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/>
  </bookViews>
  <sheets>
    <sheet name="WORD" sheetId="96" r:id="rId1"/>
    <sheet name="Solieu" sheetId="26" r:id="rId2"/>
    <sheet name="CT_tram" sheetId="23" state="hidden" r:id="rId3"/>
    <sheet name="ChiTietDuToan" sheetId="117" r:id="rId4"/>
    <sheet name="BangKeTruDoc" sheetId="119" r:id="rId5"/>
    <sheet name="bkt-DuToan" sheetId="120" r:id="rId6"/>
    <sheet name="BCTienDo" sheetId="118" r:id="rId7"/>
    <sheet name="chitiet" sheetId="1" r:id="rId8"/>
    <sheet name="DG" sheetId="15" r:id="rId9"/>
    <sheet name="kl3pct" sheetId="31" state="hidden" r:id="rId10"/>
    <sheet name="klHTHH" sheetId="34" state="hidden" r:id="rId11"/>
    <sheet name="pp_NC" sheetId="16" state="hidden" r:id="rId12"/>
    <sheet name="pp3p2m " sheetId="17" state="hidden" r:id="rId13"/>
    <sheet name="pp1p" sheetId="18" state="hidden" r:id="rId14"/>
    <sheet name="PPHTCS" sheetId="61" state="hidden" r:id="rId15"/>
    <sheet name="klHTDL" sheetId="35" state="hidden" r:id="rId16"/>
    <sheet name="ppht NC" sheetId="70" state="hidden" r:id="rId17"/>
    <sheet name="ppht" sheetId="20" state="hidden" r:id="rId18"/>
    <sheet name="pp3p1m" sheetId="41" state="hidden" r:id="rId19"/>
    <sheet name="kl3p1m" sheetId="42" state="hidden" r:id="rId20"/>
    <sheet name="kl1p" sheetId="33" state="hidden" r:id="rId21"/>
    <sheet name="KTCT" sheetId="74" r:id="rId22"/>
    <sheet name="TongHopKL" sheetId="97" r:id="rId23"/>
    <sheet name="NT-VT" sheetId="78" r:id="rId24"/>
    <sheet name="B_CAP" sheetId="79" r:id="rId25"/>
    <sheet name="PL-1" sheetId="91" state="hidden" r:id="rId26"/>
    <sheet name="PL-2" sheetId="92" state="hidden" r:id="rId27"/>
    <sheet name="PL-3" sheetId="93" state="hidden" r:id="rId28"/>
    <sheet name="PL-4" sheetId="94" state="hidden" r:id="rId29"/>
    <sheet name="chonCB" sheetId="62" state="hidden" r:id="rId30"/>
    <sheet name="2Mong" sheetId="105" r:id="rId31"/>
    <sheet name="3Tru" sheetId="106" r:id="rId32"/>
    <sheet name="DaCan" sheetId="121" r:id="rId33"/>
    <sheet name="4BT" sheetId="107" r:id="rId34"/>
    <sheet name="5Neo" sheetId="108" r:id="rId35"/>
    <sheet name="6PK" sheetId="109" r:id="rId36"/>
    <sheet name="7day" sheetId="110" r:id="rId37"/>
    <sheet name="8TB" sheetId="111" r:id="rId38"/>
    <sheet name="9TD" sheetId="113" r:id="rId39"/>
    <sheet name="10DN" sheetId="114" r:id="rId40"/>
    <sheet name="NK-KLCY" sheetId="90" r:id="rId41"/>
    <sheet name="NK" sheetId="115" r:id="rId42"/>
  </sheets>
  <definedNames>
    <definedName name="_xlnm._FilterDatabase" localSheetId="39" hidden="1">'10DN'!$G$6:$G$20</definedName>
    <definedName name="_xlnm._FilterDatabase" localSheetId="30" hidden="1">'2Mong'!$I$3:$I$70</definedName>
    <definedName name="_xlnm._FilterDatabase" localSheetId="31" hidden="1">'3Tru'!$I$3:$I$70</definedName>
    <definedName name="_xlnm._FilterDatabase" localSheetId="33" hidden="1">'4BT'!$I$3:$I$11</definedName>
    <definedName name="_xlnm._FilterDatabase" localSheetId="34" hidden="1">'5Neo'!$I$3:$I$33</definedName>
    <definedName name="_xlnm._FilterDatabase" localSheetId="35" hidden="1">'6PK'!$J$3:$J$84</definedName>
    <definedName name="_xlnm._FilterDatabase" localSheetId="36" hidden="1">'7day'!$I$3:$I$15</definedName>
    <definedName name="_xlnm._FilterDatabase" localSheetId="37" hidden="1">'8TB'!$B$1:$I$31</definedName>
    <definedName name="_xlnm._FilterDatabase" localSheetId="38" hidden="1">'9TD'!$C$8:$G$21</definedName>
    <definedName name="_xlnm._FilterDatabase" localSheetId="24" hidden="1">B_CAP!$A$2:$I$94</definedName>
    <definedName name="_xlnm._FilterDatabase" localSheetId="4" hidden="1">BangKeTruDoc!$A$2:$GB$102</definedName>
    <definedName name="_xlnm._FilterDatabase" localSheetId="6" hidden="1">BCTienDo!$N$38:$N$62</definedName>
    <definedName name="_xlnm._FilterDatabase" localSheetId="5" hidden="1">'bkt-DuToan'!$A$4:$DI$186</definedName>
    <definedName name="_xlnm._FilterDatabase" localSheetId="7" hidden="1">chitiet!$A$9:$AJ$2329</definedName>
    <definedName name="_xlnm._FilterDatabase" localSheetId="3" hidden="1">ChiTietDuToan!$A$4:$U$189</definedName>
    <definedName name="_xlnm._FilterDatabase" localSheetId="2" hidden="1">CT_tram!$A$24:$M$2667</definedName>
    <definedName name="_xlnm._FilterDatabase" localSheetId="32" hidden="1">DaCan!$I$3:$I$11</definedName>
    <definedName name="_xlnm._FilterDatabase" localSheetId="8" hidden="1">DG!$A$1:$G$1443</definedName>
    <definedName name="_xlnm._FilterDatabase" localSheetId="20" hidden="1">kl1p!$G$9:$G$161</definedName>
    <definedName name="_xlnm._FilterDatabase" localSheetId="19" hidden="1">kl3p1m!$G$8:$G$313</definedName>
    <definedName name="_xlnm._FilterDatabase" localSheetId="9" hidden="1">kl3pct!$G$6:$G$205</definedName>
    <definedName name="_xlnm._FilterDatabase" localSheetId="15" hidden="1">klHTDL!$G$7:$G$140</definedName>
    <definedName name="_xlnm._FilterDatabase" localSheetId="10" hidden="1">klHTHH!$G$9:$G$93</definedName>
    <definedName name="_xlnm._FilterDatabase" localSheetId="21" hidden="1">KTCT!$J$31:$J$87</definedName>
    <definedName name="_xlnm._FilterDatabase" localSheetId="41" hidden="1">NK!$D$23:$D$252</definedName>
    <definedName name="_xlnm._FilterDatabase" localSheetId="40" hidden="1">'NK-KLCY'!$B$3:$H$48</definedName>
    <definedName name="_xlnm._FilterDatabase" localSheetId="23" hidden="1">'NT-VT'!$B$4:$R$135</definedName>
    <definedName name="_xlnm._FilterDatabase" localSheetId="25" hidden="1">'PL-1'!$Q$7:$Q$50</definedName>
    <definedName name="_xlnm._FilterDatabase" localSheetId="26" hidden="1">'PL-2'!$Q$8:$Q$24</definedName>
    <definedName name="_xlnm._FilterDatabase" localSheetId="27" hidden="1">'PL-3'!$A$8:$AD$18</definedName>
    <definedName name="_xlnm._FilterDatabase" localSheetId="11" hidden="1">pp_NC!$A$8:$GU$182</definedName>
    <definedName name="_xlnm._FilterDatabase" localSheetId="13" hidden="1">pp1p!$A$6:$CR$88</definedName>
    <definedName name="_xlnm._FilterDatabase" localSheetId="18" hidden="1">pp3p1m!$A$7:$HE$109</definedName>
    <definedName name="_xlnm._FilterDatabase" localSheetId="17" hidden="1">ppht!$A$6:$DV$342</definedName>
    <definedName name="_xlnm._FilterDatabase" localSheetId="16" hidden="1">'ppht NC'!$A$5:$CW$411</definedName>
    <definedName name="_xlnm._FilterDatabase" localSheetId="1" hidden="1">Solieu!$B$127:$B$154</definedName>
    <definedName name="_xlnm._FilterDatabase" localSheetId="22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6">'ppht NC'!$R$5:$U$310</definedName>
    <definedName name="BTLTHTDL">ppht!$R$5:$V$338</definedName>
    <definedName name="BTLTHTHH" localSheetId="16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6">'ppht NC'!$AW$5:$BE$314</definedName>
    <definedName name="changht">ppht!$AX$5:$BF$342</definedName>
    <definedName name="changHTDL" localSheetId="16">'ppht NC'!$AW$5:$BE$310</definedName>
    <definedName name="changHTDL">ppht!$AX$5:$BF$338</definedName>
    <definedName name="changHTHH" localSheetId="16">'ppht NC'!$AW$5:$BE$312</definedName>
    <definedName name="changHTHH">ppht!$AX$5:$BF$340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sdc">chitiet!$F$3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>chitiet!$F$2</definedName>
    <definedName name="KLTH1pm" localSheetId="32">#REF!</definedName>
    <definedName name="KLTH1pm">#REF!</definedName>
    <definedName name="KLTH3p1m" localSheetId="32">#REF!</definedName>
    <definedName name="KLTH3p1m">#REF!</definedName>
    <definedName name="KLTH3pct" localSheetId="32">#REF!</definedName>
    <definedName name="KLTH3pct">#REF!</definedName>
    <definedName name="KLTH3pm" localSheetId="32">#REF!</definedName>
    <definedName name="KLTH3pm">#REF!</definedName>
    <definedName name="KLTHhtdl" localSheetId="32">#REF!</definedName>
    <definedName name="KLTHhtdl">#REF!</definedName>
    <definedName name="KLTHhthh" localSheetId="32">#REF!</definedName>
    <definedName name="KLTHhthh">#REF!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6">'ppht NC'!$V$5:$AV$314</definedName>
    <definedName name="monght">ppht!$W$5:$AW$342</definedName>
    <definedName name="mongHTCS">PPHTCS!$R$5:$Y$69</definedName>
    <definedName name="mongHTDL" localSheetId="16">'ppht NC'!$V$5:$AV$310</definedName>
    <definedName name="mongHTDL">ppht!$W$5:$AW$338</definedName>
    <definedName name="mongHTHH" localSheetId="16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6">'ppht NC'!$BF$5:$BO$314</definedName>
    <definedName name="mongneoht">ppht!$BG$5:$BP$342</definedName>
    <definedName name="mongneoHTDL" localSheetId="16">'ppht NC'!$BF$5:$BO$310</definedName>
    <definedName name="mongneoHTDL">ppht!$BG$5:$BP$338</definedName>
    <definedName name="mongneoHTHH" localSheetId="16">'ppht NC'!$BF$5:$BO$312</definedName>
    <definedName name="mongneoHTHH">ppht!$BG$5:$BP$340</definedName>
    <definedName name="MTCCS">Solieu!$O$20</definedName>
    <definedName name="MTCDD" localSheetId="32">Solieu!#REF!</definedName>
    <definedName name="MTCDD">Solieu!#REF!</definedName>
    <definedName name="MTCTBA" localSheetId="32">Solieu!#REF!</definedName>
    <definedName name="MTCTBA">Solieu!#REF!</definedName>
    <definedName name="MTCTN">Solieu!$O$18</definedName>
    <definedName name="NCCS">Solieu!$O$19</definedName>
    <definedName name="NCDD" localSheetId="32">Solieu!#REF!</definedName>
    <definedName name="NCDD">Solieu!#REF!</definedName>
    <definedName name="NCTBA" localSheetId="32">Solieu!#REF!</definedName>
    <definedName name="NCTBA">Solieu!#REF!</definedName>
    <definedName name="NCTN">Solieu!$O$17</definedName>
    <definedName name="pp_3XDM" localSheetId="12">'pp3p2m '!$H$107:$DM$125</definedName>
    <definedName name="pp_ht" localSheetId="17">ppht!#REF!</definedName>
    <definedName name="pp_ht" localSheetId="16">'ppht NC'!#REF!</definedName>
    <definedName name="_xlnm.Print_Area" localSheetId="24">B_CAP!$A:$F</definedName>
    <definedName name="_xlnm.Print_Area" localSheetId="6">BCTienDo!$B$1:$M$69</definedName>
    <definedName name="_xlnm.Print_Area" localSheetId="7">chitiet!$D:$S</definedName>
    <definedName name="_xlnm.Print_Area" localSheetId="2">CT_tram!$C$19:$K$2680</definedName>
    <definedName name="_xlnm.Print_Area" localSheetId="8">DG!$A$1:$D$1152</definedName>
    <definedName name="_xlnm.Print_Area" localSheetId="20">kl1p!$B$4:$E$155</definedName>
    <definedName name="_xlnm.Print_Area" localSheetId="19">kl3p1m!$B$5:$E$300</definedName>
    <definedName name="_xlnm.Print_Area" localSheetId="9">kl3pct!$B$3:$E$205</definedName>
    <definedName name="_xlnm.Print_Area" localSheetId="15">klHTDL!$B$3:$E$137</definedName>
    <definedName name="_xlnm.Print_Area" localSheetId="10">klHTHH!$B$4:$E$86</definedName>
    <definedName name="_xlnm.Print_Area" localSheetId="21">KTCT!$A:$I</definedName>
    <definedName name="_xlnm.Print_Area" localSheetId="41">NK!$B$22:$E$252</definedName>
    <definedName name="_xlnm.Print_Area" localSheetId="40">'NK-KLCY'!$B$1:$G$57</definedName>
    <definedName name="_xlnm.Print_Area" localSheetId="23">'NT-VT'!$B:$N</definedName>
    <definedName name="_xlnm.Print_Area" localSheetId="25">'PL-1'!$A:$P</definedName>
    <definedName name="_xlnm.Print_Area" localSheetId="26">'PL-2'!$A$1:$P$28</definedName>
    <definedName name="_xlnm.Print_Area" localSheetId="27">'PL-3'!$A$1:$T$15</definedName>
    <definedName name="_xlnm.Print_Area" localSheetId="11">pp_NC!$A$2:$GU$209</definedName>
    <definedName name="_xlnm.Print_Area" localSheetId="13">pp1p!$A$1:$CR$104</definedName>
    <definedName name="_xlnm.Print_Area" localSheetId="18">pp3p1m!$A$2:$HE$119</definedName>
    <definedName name="_xlnm.Print_Area" localSheetId="12">'pp3p2m '!$A$4:$EC$104</definedName>
    <definedName name="_xlnm.Print_Area" localSheetId="17">ppht!$A$1:$DV$356</definedName>
    <definedName name="_xlnm.Print_Area" localSheetId="16">'ppht NC'!$A$2:$CY$314</definedName>
    <definedName name="_xlnm.Print_Area" localSheetId="14">PPHTCS!$A$2:$BN$69</definedName>
    <definedName name="_xlnm.Print_Titles" localSheetId="24">B_CAP!$2:$2</definedName>
    <definedName name="_xlnm.Print_Titles" localSheetId="6">BCTienDo!$11:$12</definedName>
    <definedName name="_xlnm.Print_Titles" localSheetId="7">chitiet!$9:$10</definedName>
    <definedName name="_xlnm.Print_Titles" localSheetId="2">CT_tram!$22:$23</definedName>
    <definedName name="_xlnm.Print_Titles" localSheetId="20">kl1p!$7:$9</definedName>
    <definedName name="_xlnm.Print_Titles" localSheetId="19">kl3p1m!$7:$8</definedName>
    <definedName name="_xlnm.Print_Titles" localSheetId="9">kl3pct!$4:$5</definedName>
    <definedName name="_xlnm.Print_Titles" localSheetId="15">klHTDL!$5:$7</definedName>
    <definedName name="_xlnm.Print_Titles" localSheetId="10">klHTHH!$7:$9</definedName>
    <definedName name="_xlnm.Print_Titles" localSheetId="21">KTCT!$32:$33</definedName>
    <definedName name="_xlnm.Print_Titles" localSheetId="41">NK!$23:$23</definedName>
    <definedName name="_xlnm.Print_Titles" localSheetId="40">'NK-KLCY'!$2:$3</definedName>
    <definedName name="_xlnm.Print_Titles" localSheetId="23">'NT-VT'!$4:$5</definedName>
    <definedName name="_xlnm.Print_Titles" localSheetId="11">pp_NC!$4:$5</definedName>
    <definedName name="_xlnm.Print_Titles" localSheetId="13">pp1p!$4:$5</definedName>
    <definedName name="_xlnm.Print_Titles" localSheetId="18">pp3p1m!$5:$6</definedName>
    <definedName name="_xlnm.Print_Titles" localSheetId="12">'pp3p2m '!$5:$6</definedName>
    <definedName name="_xlnm.Print_Titles" localSheetId="17">ppht!$4:$5</definedName>
    <definedName name="_xlnm.Print_Titles" localSheetId="16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6">'ppht NC'!$R$310:$U$310</definedName>
    <definedName name="slBTLTHTDL">ppht!$R$338:$V$338</definedName>
    <definedName name="slBTLTHTHH" localSheetId="16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6">'ppht NC'!$AW$314:$BE$314</definedName>
    <definedName name="slchanght">ppht!$AX$342:$BF$342</definedName>
    <definedName name="slchangHTDL" localSheetId="16">'ppht NC'!$AW$310:$BE$310</definedName>
    <definedName name="slchangHTDL">ppht!$AX$338:$BF$338</definedName>
    <definedName name="slchangHTHH" localSheetId="16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6">'ppht NC'!$V$314:$AV$314</definedName>
    <definedName name="slmonght">ppht!$W$342:$AW$342</definedName>
    <definedName name="slmongHTCS">PPHTCS!$R$69:$Y$69</definedName>
    <definedName name="slmongHTDL" localSheetId="16">'ppht NC'!$V$310:$AV$310</definedName>
    <definedName name="slmongHTDL">ppht!$W$338:$AW$338</definedName>
    <definedName name="slmongHTHH" localSheetId="16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6">'ppht NC'!$BF$314:$BO$314</definedName>
    <definedName name="slmongneoht">ppht!$BG$342:$BP$342</definedName>
    <definedName name="slmongneoHTDL" localSheetId="16">'ppht NC'!$BF$310:$BO$310</definedName>
    <definedName name="slmongneoHTDL">ppht!$BG$338:$BP$338</definedName>
    <definedName name="slmongneoHTHH" localSheetId="16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6">'ppht NC'!$BP$310:$BT$310</definedName>
    <definedName name="sltdllHTDL">ppht!$BQ$338:$BU$338</definedName>
    <definedName name="sltdllHTHH" localSheetId="16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6">'ppht NC'!$BP$4:$BT$310</definedName>
    <definedName name="tdllHTDL">ppht!$BQ$4:$BU$338</definedName>
    <definedName name="tdllHTHH" localSheetId="16">'ppht NC'!$BP$4:$BT$312</definedName>
    <definedName name="tdllHTHH">ppht!$BQ$4:$BU$340</definedName>
    <definedName name="USD">Solieu!$O$22</definedName>
    <definedName name="xa1pm">pp1p!$BF$5:$BM$90</definedName>
    <definedName name="xa3p1m">pp3p1m!$CW$6:$DY$6</definedName>
    <definedName name="xa3pm">'pp3p2m '!$BS$6:$CM$82</definedName>
    <definedName name="xact">pp_NC!$CI$5:$DE$184</definedName>
  </definedNames>
  <calcPr calcId="144525"/>
</workbook>
</file>

<file path=xl/calcChain.xml><?xml version="1.0" encoding="utf-8"?>
<calcChain xmlns="http://schemas.openxmlformats.org/spreadsheetml/2006/main">
  <c r="F5" i="109" l="1"/>
  <c r="F6" i="109"/>
  <c r="F7" i="109"/>
  <c r="F8" i="109"/>
  <c r="F9" i="109"/>
  <c r="F10" i="109"/>
  <c r="F11" i="109"/>
  <c r="F12" i="109"/>
  <c r="F13" i="109"/>
  <c r="F14" i="109"/>
  <c r="F15" i="109"/>
  <c r="F16" i="109"/>
  <c r="F17" i="109"/>
  <c r="F18" i="109"/>
  <c r="F19" i="109"/>
  <c r="F20" i="109"/>
  <c r="F21" i="109"/>
  <c r="F22" i="109"/>
  <c r="F23" i="109"/>
  <c r="F24" i="109"/>
  <c r="F25" i="109"/>
  <c r="F26" i="109"/>
  <c r="F27" i="109"/>
  <c r="F28" i="109"/>
  <c r="F29" i="109"/>
  <c r="F30" i="109"/>
  <c r="F31" i="109"/>
  <c r="F32" i="109"/>
  <c r="F33" i="109"/>
  <c r="F34" i="109"/>
  <c r="F35" i="109"/>
  <c r="F36" i="109"/>
  <c r="F37" i="109"/>
  <c r="F38" i="109"/>
  <c r="F39" i="109"/>
  <c r="F40" i="109"/>
  <c r="F41" i="109"/>
  <c r="F42" i="109"/>
  <c r="F43" i="109"/>
  <c r="F44" i="109"/>
  <c r="F45" i="109"/>
  <c r="F46" i="109"/>
  <c r="F47" i="109"/>
  <c r="F48" i="109"/>
  <c r="F49" i="109"/>
  <c r="F50" i="109"/>
  <c r="F51" i="109"/>
  <c r="F52" i="109"/>
  <c r="F53" i="109"/>
  <c r="F54" i="109"/>
  <c r="F55" i="109"/>
  <c r="F56" i="109"/>
  <c r="F57" i="109"/>
  <c r="F58" i="109"/>
  <c r="F59" i="109"/>
  <c r="F60" i="109"/>
  <c r="F61" i="109"/>
  <c r="F62" i="109"/>
  <c r="F63" i="109"/>
  <c r="F64" i="109"/>
  <c r="F65" i="109"/>
  <c r="F66" i="109"/>
  <c r="F67" i="109"/>
  <c r="F68" i="109"/>
  <c r="F69" i="109"/>
  <c r="F70" i="109"/>
  <c r="F71" i="109"/>
  <c r="F72" i="109"/>
  <c r="F73" i="109"/>
  <c r="F74" i="109"/>
  <c r="F75" i="109"/>
  <c r="F76" i="109"/>
  <c r="F77" i="109"/>
  <c r="F78" i="109"/>
  <c r="F79" i="109"/>
  <c r="F80" i="109"/>
  <c r="F81" i="109"/>
  <c r="F82" i="109"/>
  <c r="F83" i="109"/>
  <c r="F84" i="109"/>
  <c r="F4" i="109"/>
  <c r="G5" i="109"/>
  <c r="G6" i="109"/>
  <c r="G7" i="109"/>
  <c r="G8" i="109"/>
  <c r="G9" i="109"/>
  <c r="G10" i="109"/>
  <c r="G11" i="109"/>
  <c r="G12" i="109"/>
  <c r="G13" i="109"/>
  <c r="G14" i="109"/>
  <c r="G15" i="109"/>
  <c r="G16" i="109"/>
  <c r="G17" i="109"/>
  <c r="G18" i="109"/>
  <c r="G19" i="109"/>
  <c r="G20" i="109"/>
  <c r="G21" i="109"/>
  <c r="G22" i="109"/>
  <c r="G23" i="109"/>
  <c r="G24" i="109"/>
  <c r="G25" i="109"/>
  <c r="G26" i="109"/>
  <c r="G27" i="109"/>
  <c r="G28" i="109"/>
  <c r="G29" i="109"/>
  <c r="G30" i="109"/>
  <c r="G31" i="109"/>
  <c r="G32" i="109"/>
  <c r="G33" i="109"/>
  <c r="G34" i="109"/>
  <c r="G35" i="109"/>
  <c r="G36" i="109"/>
  <c r="G37" i="109"/>
  <c r="G38" i="109"/>
  <c r="G39" i="109"/>
  <c r="G40" i="109"/>
  <c r="G41" i="109"/>
  <c r="G42" i="109"/>
  <c r="G43" i="109"/>
  <c r="G44" i="109"/>
  <c r="G45" i="109"/>
  <c r="G46" i="109"/>
  <c r="G47" i="109"/>
  <c r="G48" i="109"/>
  <c r="G49" i="109"/>
  <c r="G50" i="109"/>
  <c r="G51" i="109"/>
  <c r="G52" i="109"/>
  <c r="G53" i="109"/>
  <c r="G54" i="109"/>
  <c r="G55" i="109"/>
  <c r="G56" i="109"/>
  <c r="G57" i="109"/>
  <c r="G58" i="109"/>
  <c r="G59" i="109"/>
  <c r="G60" i="109"/>
  <c r="G61" i="109"/>
  <c r="G62" i="109"/>
  <c r="G63" i="109"/>
  <c r="G64" i="109"/>
  <c r="G65" i="109"/>
  <c r="G66" i="109"/>
  <c r="G67" i="109"/>
  <c r="G68" i="109"/>
  <c r="G69" i="109"/>
  <c r="G70" i="109"/>
  <c r="G71" i="109"/>
  <c r="G72" i="109"/>
  <c r="G73" i="109"/>
  <c r="G74" i="109"/>
  <c r="G75" i="109"/>
  <c r="G76" i="109"/>
  <c r="G77" i="109"/>
  <c r="G78" i="109"/>
  <c r="G79" i="109"/>
  <c r="G80" i="109"/>
  <c r="G81" i="109"/>
  <c r="G82" i="109"/>
  <c r="G83" i="109"/>
  <c r="G84" i="109"/>
  <c r="G4" i="109"/>
  <c r="D4" i="109"/>
  <c r="N6" i="109"/>
  <c r="O6" i="109"/>
  <c r="P6" i="109"/>
  <c r="Q6" i="109"/>
  <c r="R6" i="109"/>
  <c r="S6" i="109"/>
  <c r="T6" i="109"/>
  <c r="U6" i="109"/>
  <c r="V6" i="109"/>
  <c r="W6" i="109"/>
  <c r="N2" i="109"/>
  <c r="O2" i="109"/>
  <c r="P2" i="109"/>
  <c r="Q2" i="109"/>
  <c r="R2" i="109"/>
  <c r="S2" i="109"/>
  <c r="T2" i="109"/>
  <c r="U2" i="109"/>
  <c r="V2" i="109"/>
  <c r="W2" i="109"/>
  <c r="M2" i="109"/>
  <c r="M6" i="109"/>
  <c r="N4" i="109"/>
  <c r="O4" i="109"/>
  <c r="P4" i="109"/>
  <c r="Q4" i="109"/>
  <c r="R4" i="109"/>
  <c r="S4" i="109"/>
  <c r="T4" i="109"/>
  <c r="U4" i="109"/>
  <c r="V4" i="109"/>
  <c r="W4" i="109"/>
  <c r="M4" i="109"/>
  <c r="E5" i="108"/>
  <c r="E6" i="108"/>
  <c r="E7" i="108"/>
  <c r="E8" i="108"/>
  <c r="E9" i="108"/>
  <c r="E10" i="108"/>
  <c r="E11" i="108"/>
  <c r="E12" i="108"/>
  <c r="E13" i="108"/>
  <c r="E14" i="108"/>
  <c r="E15" i="108"/>
  <c r="E16" i="108"/>
  <c r="E17" i="108"/>
  <c r="E18" i="108"/>
  <c r="E19" i="108"/>
  <c r="E20" i="108"/>
  <c r="E21" i="108"/>
  <c r="E22" i="108"/>
  <c r="E23" i="108"/>
  <c r="E24" i="108"/>
  <c r="E25" i="108"/>
  <c r="E26" i="108"/>
  <c r="E27" i="108"/>
  <c r="E28" i="108"/>
  <c r="E29" i="108"/>
  <c r="E30" i="108"/>
  <c r="E31" i="108"/>
  <c r="E32" i="108"/>
  <c r="D5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20" i="108"/>
  <c r="D21" i="108"/>
  <c r="D22" i="108"/>
  <c r="D23" i="108"/>
  <c r="D24" i="108"/>
  <c r="D25" i="108"/>
  <c r="D26" i="108"/>
  <c r="D27" i="108"/>
  <c r="D28" i="108"/>
  <c r="D29" i="108"/>
  <c r="D30" i="108"/>
  <c r="D31" i="108"/>
  <c r="D32" i="108"/>
  <c r="D4" i="108"/>
  <c r="F5" i="108"/>
  <c r="F6" i="108"/>
  <c r="F7" i="108"/>
  <c r="F8" i="108"/>
  <c r="F9" i="108"/>
  <c r="F10" i="108"/>
  <c r="F11" i="108"/>
  <c r="F12" i="108"/>
  <c r="F13" i="108"/>
  <c r="F15" i="108"/>
  <c r="F17" i="108"/>
  <c r="F19" i="108"/>
  <c r="F20" i="108"/>
  <c r="F21" i="108"/>
  <c r="F22" i="108"/>
  <c r="F23" i="108"/>
  <c r="F24" i="108"/>
  <c r="F25" i="108"/>
  <c r="F26" i="108"/>
  <c r="F27" i="108"/>
  <c r="F28" i="108"/>
  <c r="F29" i="108"/>
  <c r="F30" i="108"/>
  <c r="F31" i="108"/>
  <c r="F32" i="108"/>
  <c r="F4" i="108"/>
  <c r="M6" i="108"/>
  <c r="F14" i="108" s="1"/>
  <c r="N6" i="108"/>
  <c r="F16" i="108" s="1"/>
  <c r="O6" i="108"/>
  <c r="F18" i="108" s="1"/>
  <c r="P6" i="108"/>
  <c r="Q6" i="108"/>
  <c r="L6" i="108"/>
  <c r="M4" i="108"/>
  <c r="N4" i="108"/>
  <c r="O4" i="108"/>
  <c r="P4" i="108"/>
  <c r="Q4" i="108"/>
  <c r="L4" i="108"/>
  <c r="L3" i="108"/>
  <c r="M3" i="108"/>
  <c r="N3" i="108"/>
  <c r="O3" i="108"/>
  <c r="P3" i="108"/>
  <c r="Q3" i="108"/>
  <c r="D8" i="107" l="1"/>
  <c r="D10" i="107"/>
  <c r="D5" i="107"/>
  <c r="D6" i="107"/>
  <c r="D7" i="107"/>
  <c r="D9" i="107"/>
  <c r="D4" i="107"/>
  <c r="E5" i="107"/>
  <c r="E6" i="107"/>
  <c r="E7" i="107"/>
  <c r="E8" i="107"/>
  <c r="E9" i="107"/>
  <c r="E10" i="107"/>
  <c r="E4" i="107"/>
  <c r="A5" i="107"/>
  <c r="A6" i="107"/>
  <c r="A7" i="107"/>
  <c r="A8" i="107"/>
  <c r="A9" i="107"/>
  <c r="A10" i="107"/>
  <c r="A11" i="107"/>
  <c r="A4" i="107"/>
  <c r="N6" i="107"/>
  <c r="F8" i="107" s="1"/>
  <c r="N4" i="107"/>
  <c r="F10" i="121" l="1"/>
  <c r="D10" i="121"/>
  <c r="F9" i="121"/>
  <c r="D9" i="121"/>
  <c r="F8" i="121"/>
  <c r="E8" i="121"/>
  <c r="D8" i="121"/>
  <c r="D7" i="121"/>
  <c r="F6" i="121"/>
  <c r="D6" i="121"/>
  <c r="D5" i="121"/>
  <c r="F4" i="121"/>
  <c r="D4" i="121"/>
  <c r="K14" i="106"/>
  <c r="L14" i="106"/>
  <c r="I70" i="106"/>
  <c r="M6" i="106"/>
  <c r="L6" i="106"/>
  <c r="M4" i="106"/>
  <c r="L4" i="106"/>
  <c r="L3" i="106"/>
  <c r="M3" i="106"/>
  <c r="E4" i="105"/>
  <c r="O6" i="105"/>
  <c r="E27" i="105"/>
  <c r="E28" i="105"/>
  <c r="E29" i="105"/>
  <c r="E30" i="105"/>
  <c r="E31" i="105"/>
  <c r="E32" i="105"/>
  <c r="E33" i="105"/>
  <c r="E34" i="105"/>
  <c r="E35" i="105"/>
  <c r="E36" i="105"/>
  <c r="E37" i="105"/>
  <c r="E38" i="105"/>
  <c r="E39" i="105"/>
  <c r="E40" i="105"/>
  <c r="E41" i="105"/>
  <c r="E42" i="105"/>
  <c r="E43" i="105"/>
  <c r="E44" i="105"/>
  <c r="E45" i="105"/>
  <c r="E46" i="105"/>
  <c r="E47" i="105"/>
  <c r="E48" i="105"/>
  <c r="E49" i="105"/>
  <c r="E50" i="105"/>
  <c r="E51" i="105"/>
  <c r="E52" i="105"/>
  <c r="E53" i="105"/>
  <c r="E54" i="105"/>
  <c r="E55" i="105"/>
  <c r="E56" i="105"/>
  <c r="E57" i="105"/>
  <c r="E58" i="105"/>
  <c r="E59" i="105"/>
  <c r="E60" i="105"/>
  <c r="E61" i="105"/>
  <c r="E62" i="105"/>
  <c r="E63" i="105"/>
  <c r="E64" i="105"/>
  <c r="E65" i="105"/>
  <c r="E66" i="105"/>
  <c r="E67" i="105"/>
  <c r="E68" i="105"/>
  <c r="E69" i="105"/>
  <c r="P6" i="105"/>
  <c r="Q6" i="105"/>
  <c r="R6" i="105"/>
  <c r="S6" i="105"/>
  <c r="T6" i="105"/>
  <c r="U6" i="105"/>
  <c r="V6" i="105"/>
  <c r="W6" i="105"/>
  <c r="N6" i="105"/>
  <c r="O4" i="105"/>
  <c r="P4" i="105"/>
  <c r="Q4" i="105"/>
  <c r="R4" i="105"/>
  <c r="S4" i="105"/>
  <c r="T4" i="105"/>
  <c r="U4" i="105"/>
  <c r="V4" i="105"/>
  <c r="W4" i="105"/>
  <c r="N4" i="105"/>
  <c r="I8" i="121" l="1"/>
  <c r="F30" i="105"/>
  <c r="O2" i="105"/>
  <c r="Q2" i="105"/>
  <c r="R2" i="105"/>
  <c r="S2" i="105"/>
  <c r="U2" i="105"/>
  <c r="V2" i="105"/>
  <c r="W2" i="105"/>
  <c r="N3" i="105"/>
  <c r="O3" i="105"/>
  <c r="P3" i="105"/>
  <c r="Q3" i="105"/>
  <c r="R3" i="105"/>
  <c r="S3" i="105"/>
  <c r="T3" i="105"/>
  <c r="U3" i="105"/>
  <c r="V3" i="105"/>
  <c r="W3" i="105"/>
  <c r="C2" i="120"/>
  <c r="D2" i="120"/>
  <c r="E2" i="120"/>
  <c r="F2" i="120"/>
  <c r="G2" i="120"/>
  <c r="H2" i="120"/>
  <c r="I2" i="120"/>
  <c r="J2" i="120"/>
  <c r="K2" i="120"/>
  <c r="M2" i="120"/>
  <c r="N2" i="120"/>
  <c r="O2" i="120"/>
  <c r="P2" i="120"/>
  <c r="Q2" i="120"/>
  <c r="R2" i="120"/>
  <c r="S2" i="120"/>
  <c r="T2" i="120"/>
  <c r="M2" i="108" s="1"/>
  <c r="U2" i="120"/>
  <c r="N2" i="108" s="1"/>
  <c r="V2" i="120"/>
  <c r="O2" i="108" s="1"/>
  <c r="W2" i="120"/>
  <c r="P2" i="108" s="1"/>
  <c r="X2" i="120"/>
  <c r="Q2" i="108" s="1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L2" i="120"/>
  <c r="L2" i="108" l="1"/>
  <c r="F7" i="105"/>
  <c r="F11" i="105"/>
  <c r="F15" i="105"/>
  <c r="F19" i="105"/>
  <c r="F23" i="105"/>
  <c r="F27" i="105"/>
  <c r="F33" i="105"/>
  <c r="I33" i="105" s="1"/>
  <c r="I33" i="106" s="1"/>
  <c r="F37" i="105"/>
  <c r="I37" i="105" s="1"/>
  <c r="I37" i="106" s="1"/>
  <c r="F41" i="105"/>
  <c r="F47" i="105"/>
  <c r="F51" i="105"/>
  <c r="I51" i="105" s="1"/>
  <c r="I51" i="106" s="1"/>
  <c r="F55" i="105"/>
  <c r="I55" i="105" s="1"/>
  <c r="I55" i="106" s="1"/>
  <c r="F59" i="105"/>
  <c r="I59" i="105" s="1"/>
  <c r="I59" i="106" s="1"/>
  <c r="F64" i="105"/>
  <c r="F68" i="105"/>
  <c r="I68" i="105" s="1"/>
  <c r="I68" i="106" s="1"/>
  <c r="D30" i="105"/>
  <c r="D34" i="105"/>
  <c r="D38" i="105"/>
  <c r="D42" i="105"/>
  <c r="D46" i="105"/>
  <c r="D50" i="105"/>
  <c r="D54" i="105"/>
  <c r="D58" i="105"/>
  <c r="D62" i="105"/>
  <c r="D66" i="105"/>
  <c r="F8" i="105"/>
  <c r="F12" i="105"/>
  <c r="F16" i="105"/>
  <c r="F20" i="105"/>
  <c r="F24" i="105"/>
  <c r="F28" i="105"/>
  <c r="I28" i="105" s="1"/>
  <c r="I28" i="106" s="1"/>
  <c r="F34" i="105"/>
  <c r="I34" i="105" s="1"/>
  <c r="I34" i="106" s="1"/>
  <c r="F38" i="105"/>
  <c r="F43" i="105"/>
  <c r="F48" i="105"/>
  <c r="F52" i="105"/>
  <c r="F56" i="105"/>
  <c r="I56" i="105" s="1"/>
  <c r="I56" i="106" s="1"/>
  <c r="F61" i="105"/>
  <c r="F65" i="105"/>
  <c r="I65" i="105" s="1"/>
  <c r="I65" i="106" s="1"/>
  <c r="F69" i="105"/>
  <c r="I69" i="105" s="1"/>
  <c r="I69" i="106" s="1"/>
  <c r="D31" i="105"/>
  <c r="D35" i="105"/>
  <c r="D39" i="105"/>
  <c r="D43" i="105"/>
  <c r="D47" i="105"/>
  <c r="D51" i="105"/>
  <c r="D55" i="105"/>
  <c r="D59" i="105"/>
  <c r="D63" i="105"/>
  <c r="D67" i="105"/>
  <c r="F5" i="105"/>
  <c r="F9" i="105"/>
  <c r="F13" i="105"/>
  <c r="F17" i="105"/>
  <c r="F21" i="105"/>
  <c r="F25" i="105"/>
  <c r="F31" i="105"/>
  <c r="I31" i="105" s="1"/>
  <c r="I31" i="106" s="1"/>
  <c r="F35" i="105"/>
  <c r="F39" i="105"/>
  <c r="F44" i="105"/>
  <c r="F49" i="105"/>
  <c r="I49" i="105" s="1"/>
  <c r="I49" i="106" s="1"/>
  <c r="F53" i="105"/>
  <c r="I53" i="105" s="1"/>
  <c r="I53" i="106" s="1"/>
  <c r="F57" i="105"/>
  <c r="I57" i="105" s="1"/>
  <c r="I57" i="106" s="1"/>
  <c r="F62" i="105"/>
  <c r="I62" i="105" s="1"/>
  <c r="I62" i="106" s="1"/>
  <c r="F66" i="105"/>
  <c r="I66" i="105" s="1"/>
  <c r="I66" i="106" s="1"/>
  <c r="F4" i="105"/>
  <c r="D32" i="105"/>
  <c r="D36" i="105"/>
  <c r="D40" i="105"/>
  <c r="D44" i="105"/>
  <c r="D48" i="105"/>
  <c r="D52" i="105"/>
  <c r="D56" i="105"/>
  <c r="D60" i="105"/>
  <c r="D64" i="105"/>
  <c r="D68" i="105"/>
  <c r="F6" i="105"/>
  <c r="F10" i="105"/>
  <c r="F14" i="105"/>
  <c r="F18" i="105"/>
  <c r="F22" i="105"/>
  <c r="F26" i="105"/>
  <c r="F32" i="105"/>
  <c r="I32" i="105" s="1"/>
  <c r="I32" i="106" s="1"/>
  <c r="F36" i="105"/>
  <c r="I36" i="105" s="1"/>
  <c r="I36" i="106" s="1"/>
  <c r="F40" i="105"/>
  <c r="I40" i="105" s="1"/>
  <c r="I40" i="106" s="1"/>
  <c r="F45" i="105"/>
  <c r="I45" i="105" s="1"/>
  <c r="I45" i="106" s="1"/>
  <c r="F50" i="105"/>
  <c r="I50" i="105" s="1"/>
  <c r="I50" i="106" s="1"/>
  <c r="F54" i="105"/>
  <c r="I54" i="105" s="1"/>
  <c r="I54" i="106" s="1"/>
  <c r="F58" i="105"/>
  <c r="I58" i="105" s="1"/>
  <c r="I58" i="106" s="1"/>
  <c r="F63" i="105"/>
  <c r="F67" i="105"/>
  <c r="I67" i="105" s="1"/>
  <c r="I67" i="106" s="1"/>
  <c r="D33" i="105"/>
  <c r="D37" i="105"/>
  <c r="D41" i="105"/>
  <c r="D45" i="105"/>
  <c r="D49" i="105"/>
  <c r="D53" i="105"/>
  <c r="D57" i="105"/>
  <c r="D61" i="105"/>
  <c r="D65" i="105"/>
  <c r="D69" i="105"/>
  <c r="F42" i="105"/>
  <c r="I42" i="105" s="1"/>
  <c r="I42" i="106" s="1"/>
  <c r="F29" i="105"/>
  <c r="I29" i="105" s="1"/>
  <c r="I29" i="106" s="1"/>
  <c r="F60" i="105"/>
  <c r="I60" i="105" s="1"/>
  <c r="I60" i="106" s="1"/>
  <c r="F46" i="105"/>
  <c r="I46" i="105" s="1"/>
  <c r="I46" i="106" s="1"/>
  <c r="I35" i="105"/>
  <c r="I35" i="106" s="1"/>
  <c r="I39" i="105"/>
  <c r="I39" i="106" s="1"/>
  <c r="I44" i="105"/>
  <c r="I44" i="106" s="1"/>
  <c r="I4" i="105"/>
  <c r="I4" i="106" s="1"/>
  <c r="D29" i="105"/>
  <c r="D8" i="105"/>
  <c r="D12" i="105"/>
  <c r="D16" i="105"/>
  <c r="D20" i="105"/>
  <c r="D24" i="105"/>
  <c r="D28" i="105"/>
  <c r="I27" i="105"/>
  <c r="I27" i="106" s="1"/>
  <c r="I41" i="105"/>
  <c r="I41" i="106" s="1"/>
  <c r="I47" i="105"/>
  <c r="I47" i="106" s="1"/>
  <c r="I64" i="105"/>
  <c r="I64" i="106" s="1"/>
  <c r="D6" i="105"/>
  <c r="D14" i="105"/>
  <c r="D22" i="105"/>
  <c r="I38" i="105"/>
  <c r="I38" i="106" s="1"/>
  <c r="I48" i="105"/>
  <c r="I48" i="106" s="1"/>
  <c r="I52" i="105"/>
  <c r="I52" i="106" s="1"/>
  <c r="D11" i="105"/>
  <c r="D19" i="105"/>
  <c r="D27" i="105"/>
  <c r="I63" i="105"/>
  <c r="I63" i="106" s="1"/>
  <c r="D5" i="105"/>
  <c r="D9" i="105"/>
  <c r="D13" i="105"/>
  <c r="D17" i="105"/>
  <c r="D21" i="105"/>
  <c r="D25" i="105"/>
  <c r="D4" i="105"/>
  <c r="D10" i="105"/>
  <c r="D18" i="105"/>
  <c r="D26" i="105"/>
  <c r="I43" i="105"/>
  <c r="I43" i="106" s="1"/>
  <c r="I61" i="105"/>
  <c r="I61" i="106" s="1"/>
  <c r="D7" i="105"/>
  <c r="D15" i="105"/>
  <c r="D23" i="105"/>
  <c r="I30" i="105"/>
  <c r="I30" i="106" s="1"/>
  <c r="N2" i="105"/>
  <c r="T2" i="105"/>
  <c r="P2" i="105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N1" i="120"/>
  <c r="AM1" i="120"/>
  <c r="AL1" i="120"/>
  <c r="AK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W1" i="105" l="1"/>
  <c r="T1" i="105"/>
  <c r="N1" i="105"/>
  <c r="S1" i="105"/>
  <c r="U1" i="105"/>
  <c r="V1" i="105"/>
  <c r="P1" i="105"/>
  <c r="O1" i="105"/>
  <c r="Q1" i="105"/>
  <c r="R1" i="105"/>
  <c r="I23" i="118"/>
  <c r="I24" i="118"/>
  <c r="I25" i="118"/>
  <c r="I26" i="118"/>
  <c r="I27" i="118"/>
  <c r="I28" i="118"/>
  <c r="I29" i="118"/>
  <c r="I30" i="118"/>
  <c r="I31" i="118"/>
  <c r="I32" i="118"/>
  <c r="I33" i="118"/>
  <c r="I22" i="118"/>
  <c r="G25" i="118"/>
  <c r="G26" i="118"/>
  <c r="G27" i="118"/>
  <c r="G28" i="118"/>
  <c r="G29" i="118"/>
  <c r="G30" i="118"/>
  <c r="G31" i="118"/>
  <c r="G32" i="118"/>
  <c r="G33" i="118"/>
  <c r="J18" i="118"/>
  <c r="G15" i="118"/>
  <c r="G16" i="118"/>
  <c r="G17" i="118"/>
  <c r="G18" i="118"/>
  <c r="G19" i="118"/>
  <c r="G20" i="118"/>
  <c r="G21" i="118"/>
  <c r="G22" i="118"/>
  <c r="G23" i="118"/>
  <c r="G24" i="118"/>
  <c r="G14" i="118"/>
  <c r="I41" i="118" l="1"/>
  <c r="I42" i="118"/>
  <c r="I43" i="118"/>
  <c r="I44" i="118"/>
  <c r="I45" i="118"/>
  <c r="I46" i="118"/>
  <c r="I47" i="118"/>
  <c r="I48" i="118"/>
  <c r="N48" i="118" s="1"/>
  <c r="I49" i="118"/>
  <c r="I50" i="118"/>
  <c r="I51" i="118"/>
  <c r="I52" i="118"/>
  <c r="N52" i="118" s="1"/>
  <c r="I53" i="118"/>
  <c r="I54" i="118"/>
  <c r="I55" i="118"/>
  <c r="N55" i="118" s="1"/>
  <c r="I56" i="118"/>
  <c r="N56" i="118" s="1"/>
  <c r="I57" i="118"/>
  <c r="N57" i="118" s="1"/>
  <c r="I58" i="118"/>
  <c r="I59" i="118"/>
  <c r="N59" i="118" s="1"/>
  <c r="I60" i="118"/>
  <c r="K60" i="118" s="1"/>
  <c r="I61" i="118"/>
  <c r="K61" i="118" s="1"/>
  <c r="I40" i="118"/>
  <c r="N40" i="118" s="1"/>
  <c r="H62" i="118"/>
  <c r="F62" i="118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E59" i="118"/>
  <c r="D60" i="118"/>
  <c r="E60" i="118"/>
  <c r="D61" i="118"/>
  <c r="E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Q32" i="118"/>
  <c r="N37" i="118"/>
  <c r="I17" i="118"/>
  <c r="I18" i="118"/>
  <c r="I19" i="118"/>
  <c r="I20" i="118"/>
  <c r="I21" i="118"/>
  <c r="I16" i="118"/>
  <c r="P32" i="118"/>
  <c r="E186" i="120"/>
  <c r="F186" i="120"/>
  <c r="G186" i="120"/>
  <c r="H186" i="120"/>
  <c r="I186" i="120"/>
  <c r="J186" i="120"/>
  <c r="K186" i="120"/>
  <c r="L186" i="120"/>
  <c r="M186" i="120"/>
  <c r="N186" i="120"/>
  <c r="O186" i="120"/>
  <c r="P186" i="120"/>
  <c r="Q186" i="120"/>
  <c r="R186" i="120"/>
  <c r="S186" i="120"/>
  <c r="T186" i="120"/>
  <c r="U186" i="120"/>
  <c r="V186" i="120"/>
  <c r="W186" i="120"/>
  <c r="X186" i="120"/>
  <c r="Y186" i="120"/>
  <c r="Z186" i="120"/>
  <c r="AA186" i="120"/>
  <c r="AB186" i="120"/>
  <c r="AC186" i="120"/>
  <c r="AD186" i="120"/>
  <c r="AE186" i="120"/>
  <c r="AF186" i="120"/>
  <c r="AG186" i="120"/>
  <c r="AH186" i="120"/>
  <c r="AI186" i="120"/>
  <c r="AJ186" i="120"/>
  <c r="AK186" i="120"/>
  <c r="AL186" i="120"/>
  <c r="AM186" i="120"/>
  <c r="AN186" i="120"/>
  <c r="AO186" i="120"/>
  <c r="AP186" i="120"/>
  <c r="AQ186" i="120"/>
  <c r="AR186" i="120"/>
  <c r="AS186" i="120"/>
  <c r="AT186" i="120"/>
  <c r="AU186" i="120"/>
  <c r="AV186" i="120"/>
  <c r="AW186" i="120"/>
  <c r="AX186" i="120"/>
  <c r="AY186" i="120"/>
  <c r="AZ186" i="120"/>
  <c r="BA186" i="120"/>
  <c r="BB186" i="120"/>
  <c r="BC186" i="120"/>
  <c r="BD186" i="120"/>
  <c r="BE186" i="120"/>
  <c r="BF186" i="120"/>
  <c r="BG186" i="120"/>
  <c r="BH186" i="120"/>
  <c r="BI186" i="120"/>
  <c r="BJ186" i="120"/>
  <c r="BK186" i="120"/>
  <c r="BL186" i="120"/>
  <c r="BM186" i="120"/>
  <c r="BN186" i="120"/>
  <c r="BO186" i="120"/>
  <c r="BP186" i="120"/>
  <c r="BQ186" i="120"/>
  <c r="BR186" i="120"/>
  <c r="BS186" i="120"/>
  <c r="BT186" i="120"/>
  <c r="BU186" i="120"/>
  <c r="BV186" i="120"/>
  <c r="BW186" i="120"/>
  <c r="BX186" i="120"/>
  <c r="BY186" i="120"/>
  <c r="BZ186" i="120"/>
  <c r="CA186" i="120"/>
  <c r="CB186" i="120"/>
  <c r="CC186" i="120"/>
  <c r="CD186" i="120"/>
  <c r="CE186" i="120"/>
  <c r="CF186" i="120"/>
  <c r="CG186" i="120"/>
  <c r="CH186" i="120"/>
  <c r="CI186" i="120"/>
  <c r="CJ186" i="120"/>
  <c r="CK186" i="120"/>
  <c r="CL186" i="120"/>
  <c r="CM186" i="120"/>
  <c r="CN186" i="120"/>
  <c r="CO186" i="120"/>
  <c r="CP186" i="120"/>
  <c r="CQ186" i="120"/>
  <c r="CR186" i="120"/>
  <c r="CS186" i="120"/>
  <c r="CT186" i="120"/>
  <c r="CU186" i="120"/>
  <c r="CV186" i="120"/>
  <c r="CW186" i="120"/>
  <c r="CX186" i="120"/>
  <c r="D186" i="120"/>
  <c r="K22" i="118"/>
  <c r="J22" i="118"/>
  <c r="A22" i="118"/>
  <c r="A35" i="118"/>
  <c r="A36" i="118"/>
  <c r="A34" i="118"/>
  <c r="N41" i="118"/>
  <c r="N45" i="118"/>
  <c r="N49" i="118"/>
  <c r="N51" i="118"/>
  <c r="A21" i="118"/>
  <c r="A24" i="118"/>
  <c r="A20" i="118"/>
  <c r="N47" i="118" l="1"/>
  <c r="N44" i="118"/>
  <c r="N46" i="118"/>
  <c r="N43" i="118"/>
  <c r="B45" i="118" s="1"/>
  <c r="N61" i="118"/>
  <c r="N53" i="118"/>
  <c r="N42" i="118"/>
  <c r="N58" i="118"/>
  <c r="N50" i="118"/>
  <c r="N60" i="118"/>
  <c r="N54" i="118"/>
  <c r="B47" i="118"/>
  <c r="B40" i="118"/>
  <c r="B52" i="118"/>
  <c r="B53" i="118"/>
  <c r="B51" i="118"/>
  <c r="B44" i="118"/>
  <c r="B43" i="118"/>
  <c r="B50" i="118"/>
  <c r="B42" i="118"/>
  <c r="B49" i="118"/>
  <c r="B41" i="118"/>
  <c r="B48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28" i="118"/>
  <c r="K28" i="118"/>
  <c r="J29" i="118"/>
  <c r="K29" i="118"/>
  <c r="J30" i="118"/>
  <c r="K30" i="118"/>
  <c r="J31" i="118"/>
  <c r="K31" i="118"/>
  <c r="J33" i="118"/>
  <c r="K33" i="118"/>
  <c r="I34" i="118"/>
  <c r="J34" i="118" s="1"/>
  <c r="K34" i="118"/>
  <c r="I35" i="118"/>
  <c r="J35" i="118" s="1"/>
  <c r="K35" i="118"/>
  <c r="I36" i="118"/>
  <c r="J36" i="118" s="1"/>
  <c r="K36" i="118"/>
  <c r="L140" i="78"/>
  <c r="G140" i="78"/>
  <c r="F31" i="78"/>
  <c r="G31" i="78"/>
  <c r="F26" i="79" s="1"/>
  <c r="F32" i="78"/>
  <c r="G32" i="78"/>
  <c r="F33" i="78"/>
  <c r="G33" i="78"/>
  <c r="F34" i="78"/>
  <c r="G34" i="78"/>
  <c r="F35" i="78"/>
  <c r="G35" i="78"/>
  <c r="F30" i="79" s="1"/>
  <c r="F36" i="78"/>
  <c r="G36" i="78"/>
  <c r="F37" i="78"/>
  <c r="G37" i="78"/>
  <c r="F38" i="78"/>
  <c r="G38" i="78"/>
  <c r="F39" i="78"/>
  <c r="G39" i="78"/>
  <c r="F34" i="79" s="1"/>
  <c r="F40" i="78"/>
  <c r="G40" i="78"/>
  <c r="F41" i="78"/>
  <c r="G41" i="78"/>
  <c r="F42" i="78"/>
  <c r="G42" i="78"/>
  <c r="F43" i="78"/>
  <c r="G43" i="78"/>
  <c r="F38" i="79" s="1"/>
  <c r="F44" i="78"/>
  <c r="G44" i="78"/>
  <c r="F45" i="78"/>
  <c r="G45" i="78"/>
  <c r="F46" i="78"/>
  <c r="G46" i="78"/>
  <c r="F47" i="78"/>
  <c r="G47" i="78"/>
  <c r="F42" i="79" s="1"/>
  <c r="F48" i="78"/>
  <c r="G48" i="78"/>
  <c r="F49" i="78"/>
  <c r="G49" i="78"/>
  <c r="F50" i="78"/>
  <c r="G50" i="78"/>
  <c r="F51" i="78"/>
  <c r="G51" i="78"/>
  <c r="F46" i="79" s="1"/>
  <c r="F52" i="78"/>
  <c r="G52" i="78"/>
  <c r="F53" i="78"/>
  <c r="G53" i="78"/>
  <c r="F54" i="78"/>
  <c r="G54" i="78"/>
  <c r="F55" i="78"/>
  <c r="G55" i="78"/>
  <c r="F50" i="79" s="1"/>
  <c r="F56" i="78"/>
  <c r="G56" i="78"/>
  <c r="F57" i="78"/>
  <c r="G57" i="78"/>
  <c r="F58" i="78"/>
  <c r="G58" i="78"/>
  <c r="F59" i="78"/>
  <c r="G59" i="78"/>
  <c r="F54" i="79" s="1"/>
  <c r="F60" i="78"/>
  <c r="G60" i="78"/>
  <c r="F61" i="78"/>
  <c r="G61" i="78"/>
  <c r="F62" i="78"/>
  <c r="G62" i="78"/>
  <c r="F63" i="78"/>
  <c r="G63" i="78"/>
  <c r="F58" i="79" s="1"/>
  <c r="F64" i="78"/>
  <c r="G64" i="78"/>
  <c r="F65" i="78"/>
  <c r="G65" i="78"/>
  <c r="F66" i="78"/>
  <c r="G66" i="78"/>
  <c r="F67" i="78"/>
  <c r="G67" i="78"/>
  <c r="F62" i="79" s="1"/>
  <c r="F68" i="78"/>
  <c r="G68" i="78"/>
  <c r="F69" i="78"/>
  <c r="G69" i="78"/>
  <c r="F70" i="78"/>
  <c r="G70" i="78"/>
  <c r="F71" i="78"/>
  <c r="G71" i="78"/>
  <c r="F66" i="79" s="1"/>
  <c r="F72" i="78"/>
  <c r="G72" i="78"/>
  <c r="F73" i="78"/>
  <c r="G73" i="78"/>
  <c r="F74" i="78"/>
  <c r="G74" i="78"/>
  <c r="F75" i="78"/>
  <c r="G75" i="78"/>
  <c r="F70" i="79" s="1"/>
  <c r="F76" i="78"/>
  <c r="G76" i="78"/>
  <c r="F77" i="78"/>
  <c r="G77" i="78"/>
  <c r="F78" i="78"/>
  <c r="G78" i="78"/>
  <c r="F19" i="78"/>
  <c r="G19" i="78"/>
  <c r="F14" i="79" s="1"/>
  <c r="F20" i="78"/>
  <c r="G20" i="78"/>
  <c r="F21" i="78"/>
  <c r="G21" i="78"/>
  <c r="F22" i="78"/>
  <c r="G22" i="78"/>
  <c r="F23" i="78"/>
  <c r="G23" i="78"/>
  <c r="F18" i="79" s="1"/>
  <c r="F24" i="78"/>
  <c r="G24" i="78"/>
  <c r="F25" i="78"/>
  <c r="G25" i="78"/>
  <c r="F26" i="78"/>
  <c r="G26" i="78"/>
  <c r="F27" i="78"/>
  <c r="G27" i="78"/>
  <c r="F22" i="79" s="1"/>
  <c r="F28" i="78"/>
  <c r="G28" i="78"/>
  <c r="F29" i="78"/>
  <c r="G29" i="78"/>
  <c r="F30" i="78"/>
  <c r="G30" i="78"/>
  <c r="G18" i="78"/>
  <c r="F18" i="78"/>
  <c r="E13" i="79" s="1"/>
  <c r="I145" i="117"/>
  <c r="E3" i="117"/>
  <c r="E2" i="117"/>
  <c r="I133" i="117"/>
  <c r="I124" i="117"/>
  <c r="I116" i="117"/>
  <c r="I108" i="117"/>
  <c r="I98" i="117"/>
  <c r="I90" i="117"/>
  <c r="I83" i="117"/>
  <c r="I77" i="117"/>
  <c r="I70" i="117"/>
  <c r="I63" i="117"/>
  <c r="I59" i="117"/>
  <c r="I56" i="117"/>
  <c r="I51" i="117"/>
  <c r="I40" i="117"/>
  <c r="I36" i="117"/>
  <c r="I31" i="117"/>
  <c r="I15" i="117"/>
  <c r="I10" i="117"/>
  <c r="I7" i="117"/>
  <c r="C187" i="117"/>
  <c r="C139" i="117"/>
  <c r="C138" i="117"/>
  <c r="C133" i="117"/>
  <c r="C124" i="117"/>
  <c r="C116" i="117"/>
  <c r="C108" i="117"/>
  <c r="C98" i="117"/>
  <c r="C90" i="117"/>
  <c r="C83" i="117"/>
  <c r="C77" i="117"/>
  <c r="C70" i="117"/>
  <c r="C63" i="117"/>
  <c r="C62" i="117"/>
  <c r="C55" i="117"/>
  <c r="C51" i="117"/>
  <c r="C40" i="117"/>
  <c r="C36" i="117"/>
  <c r="C31" i="117"/>
  <c r="C15" i="117"/>
  <c r="C10" i="117"/>
  <c r="C7" i="117"/>
  <c r="E5" i="119"/>
  <c r="E142" i="117" s="1"/>
  <c r="N142" i="117" s="1"/>
  <c r="E6" i="119"/>
  <c r="E7" i="119"/>
  <c r="E143" i="117" s="1"/>
  <c r="N143" i="117" s="1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E140" i="117" s="1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4" i="120"/>
  <c r="E184" i="120"/>
  <c r="F184" i="120"/>
  <c r="G184" i="120"/>
  <c r="H184" i="120"/>
  <c r="I184" i="120"/>
  <c r="J184" i="120"/>
  <c r="K184" i="120"/>
  <c r="L184" i="120"/>
  <c r="M184" i="120"/>
  <c r="N184" i="120"/>
  <c r="O184" i="120"/>
  <c r="P184" i="120"/>
  <c r="Q184" i="120"/>
  <c r="R184" i="120"/>
  <c r="S184" i="120"/>
  <c r="T184" i="120"/>
  <c r="U184" i="120"/>
  <c r="V184" i="120"/>
  <c r="W184" i="120"/>
  <c r="X184" i="120"/>
  <c r="Y184" i="120"/>
  <c r="Z184" i="120"/>
  <c r="AA184" i="120"/>
  <c r="AB184" i="120"/>
  <c r="AC184" i="120"/>
  <c r="AD184" i="120"/>
  <c r="AE184" i="120"/>
  <c r="AF184" i="120"/>
  <c r="AG184" i="120"/>
  <c r="AI184" i="120"/>
  <c r="AJ184" i="120"/>
  <c r="AK184" i="120"/>
  <c r="AL184" i="120"/>
  <c r="AM184" i="120"/>
  <c r="AN184" i="120"/>
  <c r="AO184" i="120"/>
  <c r="AP184" i="120"/>
  <c r="AQ184" i="120"/>
  <c r="AR184" i="120"/>
  <c r="AS184" i="120"/>
  <c r="AT184" i="120"/>
  <c r="AU184" i="120"/>
  <c r="AV184" i="120"/>
  <c r="AW184" i="120"/>
  <c r="AX184" i="120"/>
  <c r="AY184" i="120"/>
  <c r="AZ184" i="120"/>
  <c r="BA184" i="120"/>
  <c r="BB184" i="120"/>
  <c r="BC184" i="120"/>
  <c r="BD184" i="120"/>
  <c r="BE184" i="120"/>
  <c r="BF184" i="120"/>
  <c r="BG184" i="120"/>
  <c r="BH184" i="120"/>
  <c r="BI184" i="120"/>
  <c r="BJ184" i="120"/>
  <c r="BK184" i="120"/>
  <c r="BL184" i="120"/>
  <c r="BM184" i="120"/>
  <c r="BN184" i="120"/>
  <c r="BO184" i="120"/>
  <c r="BP184" i="120"/>
  <c r="BQ184" i="120"/>
  <c r="BR184" i="120"/>
  <c r="BS184" i="120"/>
  <c r="BT184" i="120"/>
  <c r="BU184" i="120"/>
  <c r="BV184" i="120"/>
  <c r="BW184" i="120"/>
  <c r="BX184" i="120"/>
  <c r="BY184" i="120"/>
  <c r="BZ184" i="120"/>
  <c r="CA184" i="120"/>
  <c r="CB184" i="120"/>
  <c r="CC184" i="120"/>
  <c r="CD184" i="120"/>
  <c r="CE184" i="120"/>
  <c r="CF184" i="120"/>
  <c r="CG184" i="120"/>
  <c r="CH184" i="120"/>
  <c r="CI184" i="120"/>
  <c r="CJ184" i="120"/>
  <c r="CK184" i="120"/>
  <c r="CL184" i="120"/>
  <c r="CM184" i="120"/>
  <c r="CN184" i="120"/>
  <c r="CO184" i="120"/>
  <c r="CP184" i="120"/>
  <c r="CQ184" i="120"/>
  <c r="CR184" i="120"/>
  <c r="CS184" i="120"/>
  <c r="CT184" i="120"/>
  <c r="CU184" i="120"/>
  <c r="CV184" i="120"/>
  <c r="CW184" i="120"/>
  <c r="CX184" i="120"/>
  <c r="K26" i="118"/>
  <c r="J26" i="118"/>
  <c r="K25" i="118"/>
  <c r="J25" i="118"/>
  <c r="C29" i="118"/>
  <c r="C54" i="118" s="1"/>
  <c r="C30" i="118"/>
  <c r="C55" i="118" s="1"/>
  <c r="C31" i="118"/>
  <c r="C56" i="118" s="1"/>
  <c r="C28" i="118"/>
  <c r="C53" i="118" s="1"/>
  <c r="I15" i="118"/>
  <c r="J16" i="118"/>
  <c r="J17" i="118"/>
  <c r="J19" i="118"/>
  <c r="J20" i="118"/>
  <c r="J21" i="118"/>
  <c r="J23" i="118"/>
  <c r="J24" i="118"/>
  <c r="J27" i="118"/>
  <c r="I14" i="118"/>
  <c r="K19" i="118"/>
  <c r="K20" i="118"/>
  <c r="K15" i="118"/>
  <c r="K16" i="118"/>
  <c r="K17" i="118"/>
  <c r="K18" i="118"/>
  <c r="K21" i="118"/>
  <c r="K23" i="118"/>
  <c r="K24" i="118"/>
  <c r="K27" i="118"/>
  <c r="K14" i="118"/>
  <c r="L14" i="118" s="1"/>
  <c r="V19" i="1"/>
  <c r="Y19" i="1" s="1"/>
  <c r="V28" i="1"/>
  <c r="Y28" i="1" s="1"/>
  <c r="V38" i="1"/>
  <c r="V46" i="1"/>
  <c r="Y46" i="1" s="1"/>
  <c r="V54" i="1"/>
  <c r="U56" i="1"/>
  <c r="X56" i="1" s="1"/>
  <c r="V56" i="1"/>
  <c r="U68" i="1"/>
  <c r="V68" i="1"/>
  <c r="Y68" i="1" s="1"/>
  <c r="U76" i="1"/>
  <c r="X76" i="1" s="1"/>
  <c r="V76" i="1"/>
  <c r="U77" i="1"/>
  <c r="V77" i="1"/>
  <c r="U81" i="1"/>
  <c r="X81" i="1" s="1"/>
  <c r="V81" i="1"/>
  <c r="U82" i="1"/>
  <c r="X82" i="1" s="1"/>
  <c r="V82" i="1"/>
  <c r="Y82" i="1" s="1"/>
  <c r="U93" i="1"/>
  <c r="X93" i="1" s="1"/>
  <c r="V93" i="1"/>
  <c r="U94" i="1"/>
  <c r="V94" i="1"/>
  <c r="U98" i="1"/>
  <c r="X98" i="1" s="1"/>
  <c r="V98" i="1"/>
  <c r="U99" i="1"/>
  <c r="X99" i="1" s="1"/>
  <c r="V99" i="1"/>
  <c r="Y99" i="1" s="1"/>
  <c r="U110" i="1"/>
  <c r="V110" i="1"/>
  <c r="U118" i="1"/>
  <c r="X118" i="1" s="1"/>
  <c r="V118" i="1"/>
  <c r="U126" i="1"/>
  <c r="X126" i="1" s="1"/>
  <c r="V126" i="1"/>
  <c r="U127" i="1"/>
  <c r="V127" i="1"/>
  <c r="Y127" i="1" s="1"/>
  <c r="U135" i="1"/>
  <c r="X135" i="1" s="1"/>
  <c r="V135" i="1"/>
  <c r="U143" i="1"/>
  <c r="V143" i="1"/>
  <c r="U145" i="1"/>
  <c r="X145" i="1" s="1"/>
  <c r="V145" i="1"/>
  <c r="U153" i="1"/>
  <c r="V153" i="1"/>
  <c r="Y153" i="1" s="1"/>
  <c r="U154" i="1"/>
  <c r="V154" i="1"/>
  <c r="U157" i="1"/>
  <c r="V157" i="1"/>
  <c r="U158" i="1"/>
  <c r="V158" i="1"/>
  <c r="U165" i="1"/>
  <c r="X165" i="1" s="1"/>
  <c r="V165" i="1"/>
  <c r="Y165" i="1" s="1"/>
  <c r="U166" i="1"/>
  <c r="V166" i="1"/>
  <c r="U167" i="1"/>
  <c r="V167" i="1"/>
  <c r="U175" i="1"/>
  <c r="V175" i="1"/>
  <c r="U176" i="1"/>
  <c r="V176" i="1"/>
  <c r="Y176" i="1" s="1"/>
  <c r="U181" i="1"/>
  <c r="V181" i="1"/>
  <c r="U182" i="1"/>
  <c r="V182" i="1"/>
  <c r="U189" i="1"/>
  <c r="X189" i="1" s="1"/>
  <c r="V189" i="1"/>
  <c r="U190" i="1"/>
  <c r="X190" i="1" s="1"/>
  <c r="V190" i="1"/>
  <c r="Y190" i="1" s="1"/>
  <c r="U197" i="1"/>
  <c r="V197" i="1"/>
  <c r="U198" i="1"/>
  <c r="V198" i="1"/>
  <c r="U199" i="1"/>
  <c r="X199" i="1" s="1"/>
  <c r="V199" i="1"/>
  <c r="U206" i="1"/>
  <c r="V206" i="1"/>
  <c r="Y206" i="1" s="1"/>
  <c r="U207" i="1"/>
  <c r="X207" i="1" s="1"/>
  <c r="V207" i="1"/>
  <c r="U215" i="1"/>
  <c r="V215" i="1"/>
  <c r="U225" i="1"/>
  <c r="X225" i="1" s="1"/>
  <c r="V225" i="1"/>
  <c r="U227" i="1"/>
  <c r="X227" i="1" s="1"/>
  <c r="V227" i="1"/>
  <c r="Y227" i="1" s="1"/>
  <c r="U235" i="1"/>
  <c r="X235" i="1" s="1"/>
  <c r="V235" i="1"/>
  <c r="U237" i="1"/>
  <c r="V237" i="1"/>
  <c r="U249" i="1"/>
  <c r="X249" i="1" s="1"/>
  <c r="V249" i="1"/>
  <c r="U257" i="1"/>
  <c r="V257" i="1"/>
  <c r="U258" i="1"/>
  <c r="V258" i="1"/>
  <c r="U259" i="1"/>
  <c r="V259" i="1"/>
  <c r="Y259" i="1" s="1"/>
  <c r="U267" i="1"/>
  <c r="V267" i="1"/>
  <c r="U275" i="1"/>
  <c r="V275" i="1"/>
  <c r="U276" i="1"/>
  <c r="V276" i="1"/>
  <c r="U277" i="1"/>
  <c r="V277" i="1"/>
  <c r="Y277" i="1" s="1"/>
  <c r="U284" i="1"/>
  <c r="V284" i="1"/>
  <c r="U285" i="1"/>
  <c r="V285" i="1"/>
  <c r="U293" i="1"/>
  <c r="V293" i="1"/>
  <c r="U303" i="1"/>
  <c r="V303" i="1"/>
  <c r="Y303" i="1" s="1"/>
  <c r="U308" i="1"/>
  <c r="V308" i="1"/>
  <c r="U310" i="1"/>
  <c r="V310" i="1"/>
  <c r="Y310" i="1" s="1"/>
  <c r="U318" i="1"/>
  <c r="V318" i="1"/>
  <c r="U319" i="1"/>
  <c r="V319" i="1"/>
  <c r="Y319" i="1" s="1"/>
  <c r="U327" i="1"/>
  <c r="V327" i="1"/>
  <c r="U328" i="1"/>
  <c r="V328" i="1"/>
  <c r="U340" i="1"/>
  <c r="V340" i="1"/>
  <c r="U341" i="1"/>
  <c r="V341" i="1"/>
  <c r="Y341" i="1" s="1"/>
  <c r="U346" i="1"/>
  <c r="V346" i="1"/>
  <c r="U357" i="1"/>
  <c r="V357" i="1"/>
  <c r="U358" i="1"/>
  <c r="X358" i="1" s="1"/>
  <c r="V358" i="1"/>
  <c r="Y358" i="1" s="1"/>
  <c r="U363" i="1"/>
  <c r="V363" i="1"/>
  <c r="Y363" i="1" s="1"/>
  <c r="U374" i="1"/>
  <c r="V374" i="1"/>
  <c r="U375" i="1"/>
  <c r="V375" i="1"/>
  <c r="Y375" i="1" s="1"/>
  <c r="U394" i="1"/>
  <c r="V394" i="1"/>
  <c r="U395" i="1"/>
  <c r="V395" i="1"/>
  <c r="Y395" i="1" s="1"/>
  <c r="U407" i="1"/>
  <c r="V407" i="1"/>
  <c r="U408" i="1"/>
  <c r="V408" i="1"/>
  <c r="Y408" i="1" s="1"/>
  <c r="U411" i="1"/>
  <c r="X411" i="1" s="1"/>
  <c r="V411" i="1"/>
  <c r="U412" i="1"/>
  <c r="V412" i="1"/>
  <c r="Y412" i="1" s="1"/>
  <c r="U419" i="1"/>
  <c r="V419" i="1"/>
  <c r="Y419" i="1" s="1"/>
  <c r="U420" i="1"/>
  <c r="V420" i="1"/>
  <c r="Y420" i="1" s="1"/>
  <c r="U421" i="1"/>
  <c r="V421" i="1"/>
  <c r="U429" i="1"/>
  <c r="V429" i="1"/>
  <c r="Y429" i="1" s="1"/>
  <c r="U430" i="1"/>
  <c r="V430" i="1"/>
  <c r="U434" i="1"/>
  <c r="V434" i="1"/>
  <c r="Y434" i="1" s="1"/>
  <c r="U435" i="1"/>
  <c r="V435" i="1"/>
  <c r="U446" i="1"/>
  <c r="V446" i="1"/>
  <c r="U447" i="1"/>
  <c r="V447" i="1"/>
  <c r="U454" i="1"/>
  <c r="V454" i="1"/>
  <c r="Y454" i="1" s="1"/>
  <c r="U455" i="1"/>
  <c r="V455" i="1"/>
  <c r="Y455" i="1" s="1"/>
  <c r="U456" i="1"/>
  <c r="V456" i="1"/>
  <c r="Y456" i="1" s="1"/>
  <c r="U463" i="1"/>
  <c r="V463" i="1"/>
  <c r="U464" i="1"/>
  <c r="V464" i="1"/>
  <c r="U472" i="1"/>
  <c r="V472" i="1"/>
  <c r="U474" i="1"/>
  <c r="V474" i="1"/>
  <c r="Y474" i="1" s="1"/>
  <c r="U483" i="1"/>
  <c r="V483" i="1"/>
  <c r="U485" i="1"/>
  <c r="V485" i="1"/>
  <c r="Y485" i="1" s="1"/>
  <c r="U493" i="1"/>
  <c r="V493" i="1"/>
  <c r="U495" i="1"/>
  <c r="V495" i="1"/>
  <c r="Y495" i="1" s="1"/>
  <c r="U503" i="1"/>
  <c r="V503" i="1"/>
  <c r="U504" i="1"/>
  <c r="V504" i="1"/>
  <c r="Y504" i="1" s="1"/>
  <c r="U513" i="1"/>
  <c r="V513" i="1"/>
  <c r="U521" i="1"/>
  <c r="V521" i="1"/>
  <c r="Y521" i="1" s="1"/>
  <c r="U524" i="1"/>
  <c r="V524" i="1"/>
  <c r="U532" i="1"/>
  <c r="V532" i="1"/>
  <c r="U533" i="1"/>
  <c r="V533" i="1"/>
  <c r="U539" i="1"/>
  <c r="V539" i="1"/>
  <c r="Y539" i="1" s="1"/>
  <c r="U540" i="1"/>
  <c r="V540" i="1"/>
  <c r="U548" i="1"/>
  <c r="V548" i="1"/>
  <c r="U549" i="1"/>
  <c r="V549" i="1"/>
  <c r="U555" i="1"/>
  <c r="V555" i="1"/>
  <c r="Y555" i="1" s="1"/>
  <c r="U556" i="1"/>
  <c r="V556" i="1"/>
  <c r="U844" i="1"/>
  <c r="X844" i="1" s="1"/>
  <c r="V844" i="1"/>
  <c r="Y844" i="1" s="1"/>
  <c r="U1499" i="1"/>
  <c r="U1755" i="1"/>
  <c r="V1790" i="1"/>
  <c r="Y1790" i="1" s="1"/>
  <c r="U1820" i="1"/>
  <c r="U1836" i="1"/>
  <c r="V1843" i="1"/>
  <c r="V1848" i="1"/>
  <c r="Y1848" i="1" s="1"/>
  <c r="U1849" i="1"/>
  <c r="V1849" i="1"/>
  <c r="Y1849" i="1" s="1"/>
  <c r="U1850" i="1"/>
  <c r="V1850" i="1"/>
  <c r="Y1850" i="1" s="1"/>
  <c r="V1852" i="1"/>
  <c r="Y1852" i="1" s="1"/>
  <c r="V1856" i="1"/>
  <c r="Y1856" i="1" s="1"/>
  <c r="V1860" i="1"/>
  <c r="Y1860" i="1" s="1"/>
  <c r="V1864" i="1"/>
  <c r="Y1864" i="1" s="1"/>
  <c r="V1868" i="1"/>
  <c r="Y1868" i="1" s="1"/>
  <c r="V1872" i="1"/>
  <c r="V1876" i="1"/>
  <c r="V1880" i="1"/>
  <c r="Y1880" i="1" s="1"/>
  <c r="V1884" i="1"/>
  <c r="V1888" i="1"/>
  <c r="Y1888" i="1" s="1"/>
  <c r="V1894" i="1"/>
  <c r="Y1894" i="1" s="1"/>
  <c r="V1898" i="1"/>
  <c r="Y1898" i="1" s="1"/>
  <c r="V1902" i="1"/>
  <c r="Y1902" i="1" s="1"/>
  <c r="V1906" i="1"/>
  <c r="Y1906" i="1" s="1"/>
  <c r="V1910" i="1"/>
  <c r="Y1910" i="1" s="1"/>
  <c r="V1914" i="1"/>
  <c r="V1918" i="1"/>
  <c r="V1922" i="1"/>
  <c r="Y1922" i="1" s="1"/>
  <c r="V1926" i="1"/>
  <c r="V1930" i="1"/>
  <c r="V1934" i="1"/>
  <c r="Y1934" i="1" s="1"/>
  <c r="V1938" i="1"/>
  <c r="V1942" i="1"/>
  <c r="Y1942" i="1" s="1"/>
  <c r="V1946" i="1"/>
  <c r="V1950" i="1"/>
  <c r="V1954" i="1"/>
  <c r="Y1954" i="1" s="1"/>
  <c r="V1958" i="1"/>
  <c r="V1962" i="1"/>
  <c r="Y1962" i="1" s="1"/>
  <c r="V1966" i="1"/>
  <c r="Y1966" i="1" s="1"/>
  <c r="V1970" i="1"/>
  <c r="Y1970" i="1" s="1"/>
  <c r="V1974" i="1"/>
  <c r="V1978" i="1"/>
  <c r="Y1978" i="1" s="1"/>
  <c r="V1982" i="1"/>
  <c r="Y1982" i="1" s="1"/>
  <c r="V1986" i="1"/>
  <c r="Y1986" i="1" s="1"/>
  <c r="V1990" i="1"/>
  <c r="V1994" i="1"/>
  <c r="V1998" i="1"/>
  <c r="V2002" i="1"/>
  <c r="V2006" i="1"/>
  <c r="V2010" i="1"/>
  <c r="V2014" i="1"/>
  <c r="V2018" i="1"/>
  <c r="Y2018" i="1" s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5" i="1"/>
  <c r="V2085" i="1"/>
  <c r="Y2085" i="1" s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0" i="1"/>
  <c r="V2161" i="1"/>
  <c r="Y2161" i="1" s="1"/>
  <c r="U2162" i="1"/>
  <c r="U2163" i="1"/>
  <c r="U2164" i="1"/>
  <c r="V2165" i="1"/>
  <c r="Y2165" i="1" s="1"/>
  <c r="U2166" i="1"/>
  <c r="U2167" i="1"/>
  <c r="V2167" i="1"/>
  <c r="U2168" i="1"/>
  <c r="V2168" i="1"/>
  <c r="U2169" i="1"/>
  <c r="V2169" i="1"/>
  <c r="U2170" i="1"/>
  <c r="V2170" i="1"/>
  <c r="Y2170" i="1" s="1"/>
  <c r="U2171" i="1"/>
  <c r="V2171" i="1"/>
  <c r="Y2171" i="1" s="1"/>
  <c r="U2172" i="1"/>
  <c r="V2172" i="1"/>
  <c r="Y2172" i="1" s="1"/>
  <c r="U2173" i="1"/>
  <c r="V2173" i="1"/>
  <c r="U2174" i="1"/>
  <c r="V2174" i="1"/>
  <c r="Y2174" i="1" s="1"/>
  <c r="U2175" i="1"/>
  <c r="V2175" i="1"/>
  <c r="Y2175" i="1" s="1"/>
  <c r="U2176" i="1"/>
  <c r="V2176" i="1"/>
  <c r="Y2176" i="1" s="1"/>
  <c r="U2177" i="1"/>
  <c r="V2177" i="1"/>
  <c r="Y2177" i="1" s="1"/>
  <c r="U2178" i="1"/>
  <c r="V2178" i="1"/>
  <c r="Y2178" i="1" s="1"/>
  <c r="U2179" i="1"/>
  <c r="V2179" i="1"/>
  <c r="Y2179" i="1" s="1"/>
  <c r="U2180" i="1"/>
  <c r="V2180" i="1"/>
  <c r="Y2180" i="1" s="1"/>
  <c r="U2181" i="1"/>
  <c r="V2181" i="1"/>
  <c r="Y2181" i="1" s="1"/>
  <c r="U2182" i="1"/>
  <c r="V2182" i="1"/>
  <c r="Y2182" i="1" s="1"/>
  <c r="U2183" i="1"/>
  <c r="V2183" i="1"/>
  <c r="Y2183" i="1" s="1"/>
  <c r="U2184" i="1"/>
  <c r="V2184" i="1"/>
  <c r="Y2184" i="1" s="1"/>
  <c r="U2185" i="1"/>
  <c r="V2185" i="1"/>
  <c r="Y2185" i="1" s="1"/>
  <c r="U2186" i="1"/>
  <c r="V2186" i="1"/>
  <c r="Y2186" i="1" s="1"/>
  <c r="U2187" i="1"/>
  <c r="V2187" i="1"/>
  <c r="Y2187" i="1" s="1"/>
  <c r="U2188" i="1"/>
  <c r="V2188" i="1"/>
  <c r="U2189" i="1"/>
  <c r="V2189" i="1"/>
  <c r="U2190" i="1"/>
  <c r="V2190" i="1"/>
  <c r="U2191" i="1"/>
  <c r="V2191" i="1"/>
  <c r="Y2191" i="1" s="1"/>
  <c r="U2192" i="1"/>
  <c r="V2192" i="1"/>
  <c r="U2193" i="1"/>
  <c r="V2193" i="1"/>
  <c r="U2194" i="1"/>
  <c r="V2194" i="1"/>
  <c r="U2195" i="1"/>
  <c r="V2195" i="1"/>
  <c r="Y2195" i="1" s="1"/>
  <c r="U2196" i="1"/>
  <c r="V2196" i="1"/>
  <c r="Y2196" i="1" s="1"/>
  <c r="U2197" i="1"/>
  <c r="V2197" i="1"/>
  <c r="Y2197" i="1" s="1"/>
  <c r="U2198" i="1"/>
  <c r="V2198" i="1"/>
  <c r="Y2198" i="1" s="1"/>
  <c r="U2199" i="1"/>
  <c r="V2199" i="1"/>
  <c r="Y2199" i="1" s="1"/>
  <c r="U2200" i="1"/>
  <c r="V2200" i="1"/>
  <c r="Y2200" i="1" s="1"/>
  <c r="U2201" i="1"/>
  <c r="V2201" i="1"/>
  <c r="Y2201" i="1" s="1"/>
  <c r="U2202" i="1"/>
  <c r="V2202" i="1"/>
  <c r="Y2202" i="1" s="1"/>
  <c r="U2203" i="1"/>
  <c r="V2203" i="1"/>
  <c r="U2204" i="1"/>
  <c r="V2204" i="1"/>
  <c r="Y2204" i="1" s="1"/>
  <c r="U2208" i="1"/>
  <c r="V2208" i="1"/>
  <c r="Y2208" i="1" s="1"/>
  <c r="U2209" i="1"/>
  <c r="V2209" i="1"/>
  <c r="Y2209" i="1" s="1"/>
  <c r="U2210" i="1"/>
  <c r="V2210" i="1"/>
  <c r="Y2210" i="1" s="1"/>
  <c r="U2211" i="1"/>
  <c r="V2211" i="1"/>
  <c r="U2212" i="1"/>
  <c r="V2212" i="1"/>
  <c r="Y2212" i="1" s="1"/>
  <c r="U2213" i="1"/>
  <c r="V2213" i="1"/>
  <c r="Y2213" i="1" s="1"/>
  <c r="U2214" i="1"/>
  <c r="V2214" i="1"/>
  <c r="Y2214" i="1" s="1"/>
  <c r="U2215" i="1"/>
  <c r="V2215" i="1"/>
  <c r="U2219" i="1"/>
  <c r="V2219" i="1"/>
  <c r="Y2219" i="1" s="1"/>
  <c r="U2220" i="1"/>
  <c r="V2220" i="1"/>
  <c r="Y2220" i="1" s="1"/>
  <c r="U2221" i="1"/>
  <c r="V2221" i="1"/>
  <c r="Y2221" i="1" s="1"/>
  <c r="U2222" i="1"/>
  <c r="V2222" i="1"/>
  <c r="Y2222" i="1" s="1"/>
  <c r="U2223" i="1"/>
  <c r="V2223" i="1"/>
  <c r="Y2223" i="1" s="1"/>
  <c r="U2224" i="1"/>
  <c r="V2224" i="1"/>
  <c r="Y2224" i="1" s="1"/>
  <c r="U2226" i="1"/>
  <c r="V2226" i="1"/>
  <c r="Y2226" i="1" s="1"/>
  <c r="U2227" i="1"/>
  <c r="V2227" i="1"/>
  <c r="Y2227" i="1" s="1"/>
  <c r="U2229" i="1"/>
  <c r="V2229" i="1"/>
  <c r="Y2229" i="1" s="1"/>
  <c r="U2231" i="1"/>
  <c r="V2231" i="1"/>
  <c r="Y2231" i="1" s="1"/>
  <c r="U2234" i="1"/>
  <c r="V2234" i="1"/>
  <c r="Y2234" i="1" s="1"/>
  <c r="U2235" i="1"/>
  <c r="V2235" i="1"/>
  <c r="Y2235" i="1" s="1"/>
  <c r="U2237" i="1"/>
  <c r="V2237" i="1"/>
  <c r="U2238" i="1"/>
  <c r="V2238" i="1"/>
  <c r="Y2238" i="1" s="1"/>
  <c r="U2239" i="1"/>
  <c r="V2239" i="1"/>
  <c r="Y2239" i="1" s="1"/>
  <c r="U2240" i="1"/>
  <c r="V2240" i="1"/>
  <c r="Y2240" i="1" s="1"/>
  <c r="U2241" i="1"/>
  <c r="V2241" i="1"/>
  <c r="Y2241" i="1" s="1"/>
  <c r="U2242" i="1"/>
  <c r="V2242" i="1"/>
  <c r="Y2242" i="1" s="1"/>
  <c r="U2243" i="1"/>
  <c r="V2243" i="1"/>
  <c r="Y2243" i="1" s="1"/>
  <c r="U2244" i="1"/>
  <c r="V2244" i="1"/>
  <c r="Y2244" i="1" s="1"/>
  <c r="U2245" i="1"/>
  <c r="V2245" i="1"/>
  <c r="Y2245" i="1" s="1"/>
  <c r="U2246" i="1"/>
  <c r="V2246" i="1"/>
  <c r="Y2246" i="1" s="1"/>
  <c r="U2247" i="1"/>
  <c r="V2247" i="1"/>
  <c r="Y2247" i="1" s="1"/>
  <c r="U2248" i="1"/>
  <c r="V2248" i="1"/>
  <c r="U2249" i="1"/>
  <c r="V2249" i="1"/>
  <c r="U2250" i="1"/>
  <c r="V2250" i="1"/>
  <c r="Y2250" i="1" s="1"/>
  <c r="U2251" i="1"/>
  <c r="V2251" i="1"/>
  <c r="U2252" i="1"/>
  <c r="V2252" i="1"/>
  <c r="U2253" i="1"/>
  <c r="V2253" i="1"/>
  <c r="U2254" i="1"/>
  <c r="V2254" i="1"/>
  <c r="Y2254" i="1" s="1"/>
  <c r="U2255" i="1"/>
  <c r="V2255" i="1"/>
  <c r="U2256" i="1"/>
  <c r="V2256" i="1"/>
  <c r="Y2256" i="1" s="1"/>
  <c r="U2257" i="1"/>
  <c r="V2257" i="1"/>
  <c r="U2258" i="1"/>
  <c r="V2258" i="1"/>
  <c r="U2259" i="1"/>
  <c r="V2259" i="1"/>
  <c r="U2260" i="1"/>
  <c r="V2260" i="1"/>
  <c r="Y2260" i="1" s="1"/>
  <c r="U2261" i="1"/>
  <c r="V2261" i="1"/>
  <c r="U2262" i="1"/>
  <c r="V2262" i="1"/>
  <c r="Y2262" i="1" s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Y2268" i="1" s="1"/>
  <c r="U2269" i="1"/>
  <c r="V2269" i="1"/>
  <c r="U2270" i="1"/>
  <c r="V2270" i="1"/>
  <c r="U2271" i="1"/>
  <c r="V2271" i="1"/>
  <c r="U2272" i="1"/>
  <c r="V2272" i="1"/>
  <c r="U2274" i="1"/>
  <c r="V2274" i="1"/>
  <c r="Y2274" i="1" s="1"/>
  <c r="U2275" i="1"/>
  <c r="V2275" i="1"/>
  <c r="Y2275" i="1" s="1"/>
  <c r="U2276" i="1"/>
  <c r="V2276" i="1"/>
  <c r="Y2276" i="1" s="1"/>
  <c r="U2277" i="1"/>
  <c r="V2277" i="1"/>
  <c r="Y2277" i="1" s="1"/>
  <c r="U2278" i="1"/>
  <c r="V2278" i="1"/>
  <c r="Y2278" i="1" s="1"/>
  <c r="U2279" i="1"/>
  <c r="V2279" i="1"/>
  <c r="Y2279" i="1" s="1"/>
  <c r="U2280" i="1"/>
  <c r="V2280" i="1"/>
  <c r="Y2280" i="1" s="1"/>
  <c r="U2281" i="1"/>
  <c r="V2281" i="1"/>
  <c r="Y2281" i="1" s="1"/>
  <c r="U2282" i="1"/>
  <c r="V2282" i="1"/>
  <c r="Y2282" i="1" s="1"/>
  <c r="U2283" i="1"/>
  <c r="X2283" i="1" s="1"/>
  <c r="V2283" i="1"/>
  <c r="Y2283" i="1" s="1"/>
  <c r="U2284" i="1"/>
  <c r="V2284" i="1"/>
  <c r="Y2284" i="1" s="1"/>
  <c r="U2285" i="1"/>
  <c r="X2285" i="1" s="1"/>
  <c r="V2285" i="1"/>
  <c r="Y2285" i="1" s="1"/>
  <c r="U2286" i="1"/>
  <c r="X2286" i="1" s="1"/>
  <c r="V2286" i="1"/>
  <c r="Y2286" i="1" s="1"/>
  <c r="U2287" i="1"/>
  <c r="X2287" i="1" s="1"/>
  <c r="V2287" i="1"/>
  <c r="Y2287" i="1" s="1"/>
  <c r="U2288" i="1"/>
  <c r="X2288" i="1" s="1"/>
  <c r="V2288" i="1"/>
  <c r="Y2288" i="1" s="1"/>
  <c r="U2289" i="1"/>
  <c r="X2289" i="1" s="1"/>
  <c r="V2289" i="1"/>
  <c r="Y2289" i="1" s="1"/>
  <c r="U2290" i="1"/>
  <c r="X2290" i="1" s="1"/>
  <c r="V2290" i="1"/>
  <c r="Y2290" i="1" s="1"/>
  <c r="U2291" i="1"/>
  <c r="X2291" i="1" s="1"/>
  <c r="V2291" i="1"/>
  <c r="Y2291" i="1" s="1"/>
  <c r="U2292" i="1"/>
  <c r="V2292" i="1"/>
  <c r="Y2292" i="1" s="1"/>
  <c r="U2293" i="1"/>
  <c r="X2293" i="1" s="1"/>
  <c r="V2293" i="1"/>
  <c r="Y2293" i="1" s="1"/>
  <c r="U2294" i="1"/>
  <c r="X2294" i="1" s="1"/>
  <c r="V2294" i="1"/>
  <c r="Y2294" i="1" s="1"/>
  <c r="U2295" i="1"/>
  <c r="X2295" i="1" s="1"/>
  <c r="V2295" i="1"/>
  <c r="Y2295" i="1" s="1"/>
  <c r="U2296" i="1"/>
  <c r="V2296" i="1"/>
  <c r="Y2296" i="1" s="1"/>
  <c r="U2297" i="1"/>
  <c r="X2297" i="1" s="1"/>
  <c r="V2297" i="1"/>
  <c r="Y2297" i="1" s="1"/>
  <c r="U2298" i="1"/>
  <c r="X2298" i="1" s="1"/>
  <c r="V2298" i="1"/>
  <c r="Y2298" i="1" s="1"/>
  <c r="U2299" i="1"/>
  <c r="X2299" i="1" s="1"/>
  <c r="V2299" i="1"/>
  <c r="Y2299" i="1" s="1"/>
  <c r="U2300" i="1"/>
  <c r="X2300" i="1" s="1"/>
  <c r="V2300" i="1"/>
  <c r="Y2300" i="1" s="1"/>
  <c r="U2301" i="1"/>
  <c r="X2301" i="1" s="1"/>
  <c r="V2301" i="1"/>
  <c r="Y2301" i="1" s="1"/>
  <c r="U2302" i="1"/>
  <c r="X2302" i="1" s="1"/>
  <c r="V2302" i="1"/>
  <c r="Y2302" i="1" s="1"/>
  <c r="U2303" i="1"/>
  <c r="X2303" i="1" s="1"/>
  <c r="V2303" i="1"/>
  <c r="Y2303" i="1" s="1"/>
  <c r="U2304" i="1"/>
  <c r="X2304" i="1" s="1"/>
  <c r="V2304" i="1"/>
  <c r="Y2304" i="1" s="1"/>
  <c r="U2305" i="1"/>
  <c r="X2305" i="1" s="1"/>
  <c r="V2305" i="1"/>
  <c r="Y2305" i="1" s="1"/>
  <c r="U2306" i="1"/>
  <c r="X2306" i="1" s="1"/>
  <c r="V2306" i="1"/>
  <c r="Y2306" i="1" s="1"/>
  <c r="U2307" i="1"/>
  <c r="X2307" i="1" s="1"/>
  <c r="V2307" i="1"/>
  <c r="Y2307" i="1" s="1"/>
  <c r="U2308" i="1"/>
  <c r="X2308" i="1" s="1"/>
  <c r="V2308" i="1"/>
  <c r="Y2308" i="1" s="1"/>
  <c r="U2309" i="1"/>
  <c r="X2309" i="1" s="1"/>
  <c r="V2309" i="1"/>
  <c r="Y2309" i="1" s="1"/>
  <c r="U2310" i="1"/>
  <c r="V2310" i="1"/>
  <c r="Y2310" i="1" s="1"/>
  <c r="U2311" i="1"/>
  <c r="X2311" i="1" s="1"/>
  <c r="V2311" i="1"/>
  <c r="Y2311" i="1" s="1"/>
  <c r="U2312" i="1"/>
  <c r="X2312" i="1" s="1"/>
  <c r="V2312" i="1"/>
  <c r="Y2312" i="1" s="1"/>
  <c r="U2313" i="1"/>
  <c r="X2313" i="1" s="1"/>
  <c r="V2313" i="1"/>
  <c r="Y2313" i="1" s="1"/>
  <c r="U2314" i="1"/>
  <c r="X2314" i="1" s="1"/>
  <c r="V2314" i="1"/>
  <c r="Y2314" i="1" s="1"/>
  <c r="U2315" i="1"/>
  <c r="X2315" i="1" s="1"/>
  <c r="V2315" i="1"/>
  <c r="Y2315" i="1" s="1"/>
  <c r="U2316" i="1"/>
  <c r="X2316" i="1" s="1"/>
  <c r="V2316" i="1"/>
  <c r="Y2316" i="1" s="1"/>
  <c r="U2317" i="1"/>
  <c r="X2317" i="1" s="1"/>
  <c r="V2317" i="1"/>
  <c r="Y2317" i="1" s="1"/>
  <c r="U2318" i="1"/>
  <c r="X2318" i="1" s="1"/>
  <c r="V2318" i="1"/>
  <c r="Y2318" i="1" s="1"/>
  <c r="U2319" i="1"/>
  <c r="V2319" i="1"/>
  <c r="Y2319" i="1" s="1"/>
  <c r="U2320" i="1"/>
  <c r="X2320" i="1" s="1"/>
  <c r="V2320" i="1"/>
  <c r="Y2320" i="1" s="1"/>
  <c r="U2321" i="1"/>
  <c r="V2321" i="1"/>
  <c r="Y2321" i="1" s="1"/>
  <c r="U2322" i="1"/>
  <c r="X2322" i="1" s="1"/>
  <c r="V2322" i="1"/>
  <c r="Y2322" i="1" s="1"/>
  <c r="U2323" i="1"/>
  <c r="X2323" i="1" s="1"/>
  <c r="V2323" i="1"/>
  <c r="Y2323" i="1" s="1"/>
  <c r="U2324" i="1"/>
  <c r="X2324" i="1" s="1"/>
  <c r="V2324" i="1"/>
  <c r="Y2324" i="1" s="1"/>
  <c r="U2325" i="1"/>
  <c r="X2325" i="1" s="1"/>
  <c r="V2325" i="1"/>
  <c r="Y2325" i="1" s="1"/>
  <c r="U2326" i="1"/>
  <c r="X2326" i="1" s="1"/>
  <c r="V2326" i="1"/>
  <c r="Y2326" i="1" s="1"/>
  <c r="U2327" i="1"/>
  <c r="X2327" i="1" s="1"/>
  <c r="V2327" i="1"/>
  <c r="Y2327" i="1" s="1"/>
  <c r="U2328" i="1"/>
  <c r="X2328" i="1" s="1"/>
  <c r="V2328" i="1"/>
  <c r="Y2328" i="1" s="1"/>
  <c r="V13" i="1"/>
  <c r="Y13" i="1" s="1"/>
  <c r="U13" i="1"/>
  <c r="X13" i="1" s="1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70" i="1"/>
  <c r="G1471" i="1"/>
  <c r="G1477" i="1"/>
  <c r="G1479" i="1"/>
  <c r="G1486" i="1"/>
  <c r="G1488" i="1"/>
  <c r="G1499" i="1"/>
  <c r="G1502" i="1"/>
  <c r="G1505" i="1"/>
  <c r="G1547" i="1"/>
  <c r="G1549" i="1"/>
  <c r="G1550" i="1"/>
  <c r="G1562" i="1"/>
  <c r="G1602" i="1"/>
  <c r="G1607" i="1"/>
  <c r="G1608" i="1"/>
  <c r="G1609" i="1"/>
  <c r="G1614" i="1"/>
  <c r="G1615" i="1"/>
  <c r="G1617" i="1"/>
  <c r="G1619" i="1"/>
  <c r="G1632" i="1"/>
  <c r="G1635" i="1"/>
  <c r="G1638" i="1"/>
  <c r="G1684" i="1"/>
  <c r="G1698" i="1"/>
  <c r="G1717" i="1"/>
  <c r="G1723" i="1"/>
  <c r="G1731" i="1"/>
  <c r="G1733" i="1"/>
  <c r="G1734" i="1"/>
  <c r="G1737" i="1"/>
  <c r="G1740" i="1"/>
  <c r="G1743" i="1"/>
  <c r="G1744" i="1"/>
  <c r="G1746" i="1"/>
  <c r="G1748" i="1"/>
  <c r="G1756" i="1"/>
  <c r="G1758" i="1"/>
  <c r="G1760" i="1"/>
  <c r="G1766" i="1"/>
  <c r="G1771" i="1"/>
  <c r="G1774" i="1"/>
  <c r="G1777" i="1"/>
  <c r="G1778" i="1"/>
  <c r="G1779" i="1"/>
  <c r="G1785" i="1"/>
  <c r="G1786" i="1"/>
  <c r="G1788" i="1"/>
  <c r="G1843" i="1"/>
  <c r="G1845" i="1"/>
  <c r="G1865" i="1"/>
  <c r="G1873" i="1"/>
  <c r="G1878" i="1"/>
  <c r="G1915" i="1"/>
  <c r="G1922" i="1"/>
  <c r="G1924" i="1"/>
  <c r="G1927" i="1"/>
  <c r="G1928" i="1"/>
  <c r="G1944" i="1"/>
  <c r="G1946" i="1"/>
  <c r="G1980" i="1"/>
  <c r="G1981" i="1"/>
  <c r="G2030" i="1"/>
  <c r="G2084" i="1"/>
  <c r="G2087" i="1"/>
  <c r="G2121" i="1"/>
  <c r="G2125" i="1"/>
  <c r="G2126" i="1"/>
  <c r="G2127" i="1"/>
  <c r="G2129" i="1"/>
  <c r="G2178" i="1"/>
  <c r="G2259" i="1"/>
  <c r="Y2329" i="1"/>
  <c r="Y556" i="1"/>
  <c r="Y540" i="1"/>
  <c r="Y524" i="1"/>
  <c r="Y513" i="1"/>
  <c r="Y503" i="1"/>
  <c r="Y493" i="1"/>
  <c r="Y483" i="1"/>
  <c r="Y472" i="1"/>
  <c r="Y464" i="1"/>
  <c r="Y463" i="1"/>
  <c r="Y447" i="1"/>
  <c r="Y446" i="1"/>
  <c r="Y435" i="1"/>
  <c r="Y430" i="1"/>
  <c r="Y421" i="1"/>
  <c r="Y411" i="1"/>
  <c r="Y407" i="1"/>
  <c r="Y394" i="1"/>
  <c r="Y374" i="1"/>
  <c r="Y357" i="1"/>
  <c r="Y346" i="1"/>
  <c r="Y340" i="1"/>
  <c r="Y328" i="1"/>
  <c r="Y327" i="1"/>
  <c r="Y318" i="1"/>
  <c r="Y308" i="1"/>
  <c r="Y293" i="1"/>
  <c r="Y285" i="1"/>
  <c r="Y284" i="1"/>
  <c r="Y276" i="1"/>
  <c r="Y275" i="1"/>
  <c r="Y267" i="1"/>
  <c r="Y258" i="1"/>
  <c r="Y257" i="1"/>
  <c r="Y249" i="1"/>
  <c r="Y38" i="1"/>
  <c r="Y54" i="1"/>
  <c r="Y56" i="1"/>
  <c r="Y76" i="1"/>
  <c r="Y77" i="1"/>
  <c r="Y81" i="1"/>
  <c r="Y93" i="1"/>
  <c r="Y94" i="1"/>
  <c r="Y98" i="1"/>
  <c r="Y110" i="1"/>
  <c r="Y118" i="1"/>
  <c r="Y126" i="1"/>
  <c r="Y135" i="1"/>
  <c r="Y143" i="1"/>
  <c r="Y145" i="1"/>
  <c r="Y154" i="1"/>
  <c r="Y157" i="1"/>
  <c r="Y158" i="1"/>
  <c r="Y166" i="1"/>
  <c r="Y167" i="1"/>
  <c r="Y175" i="1"/>
  <c r="Y181" i="1"/>
  <c r="Y182" i="1"/>
  <c r="Y189" i="1"/>
  <c r="Y197" i="1"/>
  <c r="Y198" i="1"/>
  <c r="Y199" i="1"/>
  <c r="Y207" i="1"/>
  <c r="Y215" i="1"/>
  <c r="Y225" i="1"/>
  <c r="Y235" i="1"/>
  <c r="Y237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87" i="97"/>
  <c r="G2137" i="1"/>
  <c r="G1620" i="1"/>
  <c r="G625" i="1"/>
  <c r="G1916" i="1"/>
  <c r="U2225" i="1"/>
  <c r="X2225" i="1" s="1"/>
  <c r="V2225" i="1"/>
  <c r="G1888" i="1"/>
  <c r="G1780" i="1"/>
  <c r="G1735" i="1"/>
  <c r="G1945" i="1"/>
  <c r="G1929" i="1"/>
  <c r="G1917" i="1"/>
  <c r="G1759" i="1"/>
  <c r="G1621" i="1"/>
  <c r="G1616" i="1"/>
  <c r="G1487" i="1"/>
  <c r="G1472" i="1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H2227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H1368" i="1"/>
  <c r="Q1368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V762" i="1"/>
  <c r="Y762" i="1" s="1"/>
  <c r="U762" i="1"/>
  <c r="X762" i="1" s="1"/>
  <c r="V936" i="1"/>
  <c r="Y936" i="1" s="1"/>
  <c r="U936" i="1"/>
  <c r="X936" i="1" s="1"/>
  <c r="U1177" i="1"/>
  <c r="X1177" i="1" s="1"/>
  <c r="V1177" i="1"/>
  <c r="Y1177" i="1" s="1"/>
  <c r="V248" i="1"/>
  <c r="Y248" i="1" s="1"/>
  <c r="U248" i="1"/>
  <c r="X248" i="1" s="1"/>
  <c r="U783" i="1"/>
  <c r="X783" i="1" s="1"/>
  <c r="V783" i="1"/>
  <c r="Y783" i="1" s="1"/>
  <c r="V1124" i="1"/>
  <c r="Y1124" i="1" s="1"/>
  <c r="U1124" i="1"/>
  <c r="X1124" i="1" s="1"/>
  <c r="V1186" i="1"/>
  <c r="Y1186" i="1" s="1"/>
  <c r="U1186" i="1"/>
  <c r="X1186" i="1" s="1"/>
  <c r="V356" i="1"/>
  <c r="Y356" i="1" s="1"/>
  <c r="U356" i="1"/>
  <c r="X356" i="1" s="1"/>
  <c r="U839" i="1"/>
  <c r="X839" i="1" s="1"/>
  <c r="V839" i="1"/>
  <c r="Y839" i="1" s="1"/>
  <c r="U1137" i="1"/>
  <c r="X1137" i="1" s="1"/>
  <c r="V1137" i="1"/>
  <c r="Y1137" i="1" s="1"/>
  <c r="V1366" i="1"/>
  <c r="Y1366" i="1" s="1"/>
  <c r="U1366" i="1"/>
  <c r="X1366" i="1" s="1"/>
  <c r="V410" i="1"/>
  <c r="Y410" i="1" s="1"/>
  <c r="U410" i="1"/>
  <c r="X410" i="1" s="1"/>
  <c r="U927" i="1"/>
  <c r="X927" i="1" s="1"/>
  <c r="V927" i="1"/>
  <c r="Y927" i="1" s="1"/>
  <c r="U1157" i="1"/>
  <c r="X1157" i="1" s="1"/>
  <c r="V1157" i="1"/>
  <c r="Y1157" i="1" s="1"/>
  <c r="P1157" i="1"/>
  <c r="P1158" i="1"/>
  <c r="P1366" i="1"/>
  <c r="H1367" i="1"/>
  <c r="Q1367" i="1"/>
  <c r="H1370" i="1"/>
  <c r="Q1370" i="1"/>
  <c r="H1369" i="1"/>
  <c r="Q1369" i="1"/>
  <c r="I105" i="97"/>
  <c r="I44" i="97"/>
  <c r="I170" i="97"/>
  <c r="I147" i="97"/>
  <c r="I127" i="97"/>
  <c r="I46" i="97"/>
  <c r="I42" i="97"/>
  <c r="I32" i="97"/>
  <c r="I156" i="97"/>
  <c r="I53" i="97"/>
  <c r="I119" i="97"/>
  <c r="I34" i="97"/>
  <c r="I82" i="97"/>
  <c r="I4" i="97"/>
  <c r="I43" i="97"/>
  <c r="I178" i="97"/>
  <c r="I169" i="97"/>
  <c r="I160" i="97"/>
  <c r="I183" i="97"/>
  <c r="I168" i="97"/>
  <c r="I28" i="97"/>
  <c r="I152" i="97"/>
  <c r="I100" i="97"/>
  <c r="I68" i="97"/>
  <c r="I14" i="97"/>
  <c r="I83" i="97"/>
  <c r="I180" i="97"/>
  <c r="I133" i="97"/>
  <c r="I174" i="97"/>
  <c r="I17" i="97"/>
  <c r="I37" i="97"/>
  <c r="I165" i="97"/>
  <c r="I9" i="97"/>
  <c r="I20" i="97"/>
  <c r="I135" i="97"/>
  <c r="I12" i="97"/>
  <c r="I50" i="97"/>
  <c r="I94" i="97"/>
  <c r="I95" i="97"/>
  <c r="I2" i="97"/>
  <c r="I148" i="97"/>
  <c r="I13" i="97"/>
  <c r="I146" i="97"/>
  <c r="I176" i="97"/>
  <c r="I140" i="97"/>
  <c r="I115" i="97"/>
  <c r="I27" i="97"/>
  <c r="I98" i="97"/>
  <c r="I19" i="97"/>
  <c r="I158" i="97"/>
  <c r="I166" i="97"/>
  <c r="I111" i="97"/>
  <c r="I134" i="97"/>
  <c r="I125" i="97"/>
  <c r="I179" i="97"/>
  <c r="I132" i="97"/>
  <c r="I7" i="97"/>
  <c r="I8" i="97"/>
  <c r="I103" i="97"/>
  <c r="I126" i="97"/>
  <c r="I137" i="97"/>
  <c r="I96" i="97"/>
  <c r="I66" i="97"/>
  <c r="I74" i="97"/>
  <c r="I51" i="97"/>
  <c r="I102" i="97"/>
  <c r="I155" i="97"/>
  <c r="I5" i="97"/>
  <c r="I114" i="97"/>
  <c r="I106" i="97"/>
  <c r="I21" i="97"/>
  <c r="I139" i="97"/>
  <c r="I112" i="97"/>
  <c r="I138" i="97"/>
  <c r="I153" i="97"/>
  <c r="I175" i="97"/>
  <c r="I23" i="97"/>
  <c r="I149" i="97"/>
  <c r="I162" i="97"/>
  <c r="I163" i="97"/>
  <c r="I167" i="97"/>
  <c r="I142" i="97"/>
  <c r="I54" i="97"/>
  <c r="I150" i="97"/>
  <c r="I172" i="97"/>
  <c r="I99" i="97"/>
  <c r="I161" i="97"/>
  <c r="I33" i="97"/>
  <c r="I121" i="97"/>
  <c r="I35" i="97"/>
  <c r="I36" i="97"/>
  <c r="I72" i="97"/>
  <c r="I26" i="97"/>
  <c r="I79" i="97"/>
  <c r="I107" i="97"/>
  <c r="I171" i="97"/>
  <c r="I87" i="97"/>
  <c r="I29" i="97"/>
  <c r="I86" i="97"/>
  <c r="I63" i="97"/>
  <c r="I64" i="97"/>
  <c r="I30" i="97"/>
  <c r="I108" i="97"/>
  <c r="I129" i="97"/>
  <c r="I122" i="97"/>
  <c r="I39" i="97"/>
  <c r="I101" i="97"/>
  <c r="I71" i="97"/>
  <c r="I75" i="97"/>
  <c r="I69" i="97"/>
  <c r="I18" i="97"/>
  <c r="I113" i="97"/>
  <c r="I123" i="97"/>
  <c r="I85" i="97"/>
  <c r="I144" i="97"/>
  <c r="I76" i="97"/>
  <c r="I77" i="97"/>
  <c r="I128" i="97"/>
  <c r="I40" i="97"/>
  <c r="I97" i="97"/>
  <c r="I118" i="97"/>
  <c r="I65" i="97"/>
  <c r="I15" i="97"/>
  <c r="I24" i="97"/>
  <c r="I62" i="97"/>
  <c r="I61" i="97"/>
  <c r="I67" i="97"/>
  <c r="I48" i="97"/>
  <c r="I45" i="97"/>
  <c r="I88" i="97"/>
  <c r="I6" i="97"/>
  <c r="I49" i="97"/>
  <c r="I117" i="97"/>
  <c r="I120" i="97"/>
  <c r="I159" i="97"/>
  <c r="I38" i="97"/>
  <c r="I164" i="97"/>
  <c r="I80" i="97"/>
  <c r="I81" i="97"/>
  <c r="I131" i="97"/>
  <c r="I143" i="97"/>
  <c r="I78" i="97"/>
  <c r="I31" i="97"/>
  <c r="I41" i="97"/>
  <c r="I91" i="97"/>
  <c r="I157" i="97"/>
  <c r="I141" i="97"/>
  <c r="I89" i="97"/>
  <c r="I154" i="97"/>
  <c r="I22" i="97"/>
  <c r="I124" i="97"/>
  <c r="I182" i="97"/>
  <c r="I25" i="97"/>
  <c r="I16" i="97"/>
  <c r="I151" i="97"/>
  <c r="I177" i="97"/>
  <c r="I110" i="97"/>
  <c r="I3" i="97"/>
  <c r="I181" i="97"/>
  <c r="I173" i="97"/>
  <c r="I109" i="97"/>
  <c r="I92" i="97"/>
  <c r="I55" i="97"/>
  <c r="I104" i="97"/>
  <c r="I130" i="97"/>
  <c r="I84" i="97"/>
  <c r="I145" i="97"/>
  <c r="I136" i="97"/>
  <c r="I57" i="97"/>
  <c r="I93" i="97"/>
  <c r="I73" i="97"/>
  <c r="I11" i="97"/>
  <c r="I10" i="97"/>
  <c r="I90" i="97"/>
  <c r="I47" i="97"/>
  <c r="I70" i="97"/>
  <c r="I60" i="97"/>
  <c r="I59" i="97"/>
  <c r="I58" i="97"/>
  <c r="I116" i="97"/>
  <c r="I52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56" i="97"/>
  <c r="E1124" i="15"/>
  <c r="P1162" i="1"/>
  <c r="P1160" i="1"/>
  <c r="P1163" i="1"/>
  <c r="P1159" i="1"/>
  <c r="F36" i="118"/>
  <c r="F35" i="118"/>
  <c r="F34" i="118"/>
  <c r="F14" i="118"/>
  <c r="J8" i="118"/>
  <c r="J14" i="118"/>
  <c r="D11" i="97"/>
  <c r="E11" i="97"/>
  <c r="F11" i="97"/>
  <c r="D10" i="97"/>
  <c r="E10" i="97"/>
  <c r="F10" i="97"/>
  <c r="D90" i="97"/>
  <c r="E90" i="97"/>
  <c r="F90" i="97"/>
  <c r="D47" i="97"/>
  <c r="E47" i="97"/>
  <c r="F47" i="97"/>
  <c r="D70" i="97"/>
  <c r="E70" i="97"/>
  <c r="F70" i="97"/>
  <c r="D60" i="97"/>
  <c r="E60" i="97"/>
  <c r="F60" i="97"/>
  <c r="D59" i="97"/>
  <c r="E59" i="97"/>
  <c r="F59" i="97"/>
  <c r="D58" i="97"/>
  <c r="E58" i="97"/>
  <c r="F58" i="97"/>
  <c r="D116" i="97"/>
  <c r="E116" i="97"/>
  <c r="F116" i="97"/>
  <c r="D52" i="97"/>
  <c r="E52" i="97"/>
  <c r="F52" i="97"/>
  <c r="D184" i="97"/>
  <c r="E184" i="97"/>
  <c r="F184" i="97"/>
  <c r="D185" i="97"/>
  <c r="H185" i="97" s="1"/>
  <c r="E185" i="97"/>
  <c r="F185" i="97"/>
  <c r="D186" i="97"/>
  <c r="H186" i="97" s="1"/>
  <c r="E186" i="97"/>
  <c r="F186" i="97"/>
  <c r="D187" i="97"/>
  <c r="H187" i="97" s="1"/>
  <c r="E187" i="97"/>
  <c r="F187" i="97"/>
  <c r="D188" i="97"/>
  <c r="H188" i="97" s="1"/>
  <c r="E188" i="97"/>
  <c r="F188" i="97"/>
  <c r="D189" i="97"/>
  <c r="H189" i="97" s="1"/>
  <c r="E189" i="97"/>
  <c r="F189" i="97"/>
  <c r="D190" i="97"/>
  <c r="H190" i="97" s="1"/>
  <c r="E190" i="97"/>
  <c r="F190" i="97"/>
  <c r="D191" i="97"/>
  <c r="H191" i="97" s="1"/>
  <c r="E191" i="97"/>
  <c r="F191" i="97"/>
  <c r="D192" i="97"/>
  <c r="H192" i="97" s="1"/>
  <c r="E192" i="97"/>
  <c r="F192" i="97"/>
  <c r="D193" i="97"/>
  <c r="H193" i="97" s="1"/>
  <c r="E193" i="97"/>
  <c r="F193" i="97"/>
  <c r="D194" i="97"/>
  <c r="H194" i="97" s="1"/>
  <c r="E194" i="97"/>
  <c r="F194" i="97"/>
  <c r="D195" i="97"/>
  <c r="H195" i="97" s="1"/>
  <c r="E195" i="97"/>
  <c r="F195" i="97"/>
  <c r="D196" i="97"/>
  <c r="H196" i="97" s="1"/>
  <c r="E196" i="97"/>
  <c r="F196" i="97"/>
  <c r="D197" i="97"/>
  <c r="H197" i="97" s="1"/>
  <c r="E197" i="97"/>
  <c r="F197" i="97"/>
  <c r="D198" i="97"/>
  <c r="H198" i="97" s="1"/>
  <c r="E198" i="97"/>
  <c r="F198" i="97"/>
  <c r="D199" i="97"/>
  <c r="H199" i="97" s="1"/>
  <c r="E199" i="97"/>
  <c r="F199" i="97"/>
  <c r="D200" i="97"/>
  <c r="H200" i="97" s="1"/>
  <c r="E200" i="97"/>
  <c r="F200" i="97"/>
  <c r="D201" i="97"/>
  <c r="H201" i="97" s="1"/>
  <c r="E201" i="97"/>
  <c r="F201" i="97"/>
  <c r="D202" i="97"/>
  <c r="H202" i="97" s="1"/>
  <c r="E202" i="97"/>
  <c r="F202" i="97"/>
  <c r="D203" i="97"/>
  <c r="H203" i="97" s="1"/>
  <c r="E203" i="97"/>
  <c r="F203" i="97"/>
  <c r="D204" i="97"/>
  <c r="H204" i="97" s="1"/>
  <c r="E204" i="97"/>
  <c r="F204" i="97"/>
  <c r="D205" i="97"/>
  <c r="H205" i="97" s="1"/>
  <c r="E205" i="97"/>
  <c r="F205" i="97"/>
  <c r="D206" i="97"/>
  <c r="H206" i="97" s="1"/>
  <c r="E206" i="97"/>
  <c r="F206" i="97"/>
  <c r="D207" i="97"/>
  <c r="H207" i="97" s="1"/>
  <c r="E207" i="97"/>
  <c r="F207" i="97"/>
  <c r="D208" i="97"/>
  <c r="H208" i="97" s="1"/>
  <c r="E208" i="97"/>
  <c r="F208" i="97"/>
  <c r="D209" i="97"/>
  <c r="H209" i="97" s="1"/>
  <c r="E209" i="97"/>
  <c r="F209" i="97"/>
  <c r="D210" i="97"/>
  <c r="H210" i="97" s="1"/>
  <c r="E210" i="97"/>
  <c r="F210" i="97"/>
  <c r="D211" i="97"/>
  <c r="H211" i="97" s="1"/>
  <c r="E211" i="97"/>
  <c r="F211" i="97"/>
  <c r="D212" i="97"/>
  <c r="H212" i="97" s="1"/>
  <c r="E212" i="97"/>
  <c r="F212" i="97"/>
  <c r="D213" i="97"/>
  <c r="H213" i="97"/>
  <c r="E213" i="97"/>
  <c r="F213" i="97"/>
  <c r="D214" i="97"/>
  <c r="H214" i="97" s="1"/>
  <c r="E214" i="97"/>
  <c r="F214" i="97"/>
  <c r="D215" i="97"/>
  <c r="H215" i="97" s="1"/>
  <c r="E215" i="97"/>
  <c r="F215" i="97"/>
  <c r="D216" i="97"/>
  <c r="H216" i="97" s="1"/>
  <c r="E216" i="97"/>
  <c r="F216" i="97"/>
  <c r="D217" i="97"/>
  <c r="H217" i="97" s="1"/>
  <c r="E217" i="97"/>
  <c r="F217" i="97"/>
  <c r="D218" i="97"/>
  <c r="H218" i="97" s="1"/>
  <c r="E218" i="97"/>
  <c r="F218" i="97"/>
  <c r="D219" i="97"/>
  <c r="H219" i="97" s="1"/>
  <c r="E219" i="97"/>
  <c r="F219" i="97"/>
  <c r="D220" i="97"/>
  <c r="H220" i="97" s="1"/>
  <c r="E220" i="97"/>
  <c r="F220" i="97"/>
  <c r="D221" i="97"/>
  <c r="H221" i="97" s="1"/>
  <c r="E221" i="97"/>
  <c r="F221" i="97"/>
  <c r="D222" i="97"/>
  <c r="H222" i="97" s="1"/>
  <c r="E222" i="97"/>
  <c r="F222" i="97"/>
  <c r="D223" i="97"/>
  <c r="H223" i="97" s="1"/>
  <c r="E223" i="97"/>
  <c r="F223" i="97"/>
  <c r="D224" i="97"/>
  <c r="H224" i="97" s="1"/>
  <c r="E224" i="97"/>
  <c r="F224" i="97"/>
  <c r="D225" i="97"/>
  <c r="H225" i="97" s="1"/>
  <c r="E225" i="97"/>
  <c r="F225" i="97"/>
  <c r="D226" i="97"/>
  <c r="H226" i="97" s="1"/>
  <c r="E226" i="97"/>
  <c r="F226" i="97"/>
  <c r="D227" i="97"/>
  <c r="H227" i="97" s="1"/>
  <c r="E227" i="97"/>
  <c r="F227" i="97"/>
  <c r="D228" i="97"/>
  <c r="H228" i="97" s="1"/>
  <c r="E228" i="97"/>
  <c r="F228" i="97"/>
  <c r="D229" i="97"/>
  <c r="H229" i="97" s="1"/>
  <c r="E229" i="97"/>
  <c r="F229" i="97"/>
  <c r="D230" i="97"/>
  <c r="H230" i="97" s="1"/>
  <c r="E230" i="97"/>
  <c r="F230" i="97"/>
  <c r="D231" i="97"/>
  <c r="H231" i="97" s="1"/>
  <c r="E231" i="97"/>
  <c r="F231" i="97"/>
  <c r="D232" i="97"/>
  <c r="H232" i="97" s="1"/>
  <c r="E232" i="97"/>
  <c r="F232" i="97"/>
  <c r="D233" i="97"/>
  <c r="H233" i="97" s="1"/>
  <c r="E233" i="97"/>
  <c r="F233" i="97"/>
  <c r="D234" i="97"/>
  <c r="H234" i="97" s="1"/>
  <c r="E234" i="97"/>
  <c r="F234" i="97"/>
  <c r="D235" i="97"/>
  <c r="H235" i="97" s="1"/>
  <c r="E235" i="97"/>
  <c r="F235" i="97"/>
  <c r="D236" i="97"/>
  <c r="H236" i="97" s="1"/>
  <c r="E236" i="97"/>
  <c r="F236" i="97"/>
  <c r="D237" i="97"/>
  <c r="H237" i="97" s="1"/>
  <c r="E237" i="97"/>
  <c r="F237" i="97"/>
  <c r="D238" i="97"/>
  <c r="H238" i="97" s="1"/>
  <c r="E238" i="97"/>
  <c r="F238" i="97"/>
  <c r="D239" i="97"/>
  <c r="H239" i="97" s="1"/>
  <c r="E239" i="97"/>
  <c r="F239" i="97"/>
  <c r="D240" i="97"/>
  <c r="H240" i="97" s="1"/>
  <c r="E240" i="97"/>
  <c r="F240" i="97"/>
  <c r="D241" i="97"/>
  <c r="H241" i="97" s="1"/>
  <c r="E241" i="97"/>
  <c r="F241" i="97"/>
  <c r="D242" i="97"/>
  <c r="H242" i="97" s="1"/>
  <c r="E242" i="97"/>
  <c r="F242" i="97"/>
  <c r="D243" i="97"/>
  <c r="H243" i="97" s="1"/>
  <c r="E243" i="97"/>
  <c r="F243" i="97"/>
  <c r="D244" i="97"/>
  <c r="H244" i="97" s="1"/>
  <c r="E244" i="97"/>
  <c r="F244" i="97"/>
  <c r="D245" i="97"/>
  <c r="H245" i="97" s="1"/>
  <c r="E245" i="97"/>
  <c r="F245" i="97"/>
  <c r="D246" i="97"/>
  <c r="H246" i="97" s="1"/>
  <c r="E246" i="97"/>
  <c r="F246" i="97"/>
  <c r="D247" i="97"/>
  <c r="H247" i="97" s="1"/>
  <c r="E247" i="97"/>
  <c r="F247" i="97"/>
  <c r="D248" i="97"/>
  <c r="H248" i="97" s="1"/>
  <c r="E248" i="97"/>
  <c r="F248" i="97"/>
  <c r="D249" i="97"/>
  <c r="H249" i="97" s="1"/>
  <c r="E249" i="97"/>
  <c r="F249" i="97"/>
  <c r="D250" i="97"/>
  <c r="H250" i="97" s="1"/>
  <c r="E250" i="97"/>
  <c r="F250" i="97"/>
  <c r="D251" i="97"/>
  <c r="H251" i="97" s="1"/>
  <c r="E251" i="97"/>
  <c r="F251" i="97"/>
  <c r="D252" i="97"/>
  <c r="H252" i="97" s="1"/>
  <c r="E252" i="97"/>
  <c r="F252" i="97"/>
  <c r="D253" i="97"/>
  <c r="H253" i="97" s="1"/>
  <c r="E253" i="97"/>
  <c r="F253" i="97"/>
  <c r="D254" i="97"/>
  <c r="H254" i="97" s="1"/>
  <c r="E254" i="97"/>
  <c r="F254" i="97"/>
  <c r="D255" i="97"/>
  <c r="H255" i="97" s="1"/>
  <c r="E255" i="97"/>
  <c r="F255" i="97"/>
  <c r="D256" i="97"/>
  <c r="H256" i="97" s="1"/>
  <c r="E256" i="97"/>
  <c r="F256" i="97"/>
  <c r="D257" i="97"/>
  <c r="H257" i="97" s="1"/>
  <c r="E257" i="97"/>
  <c r="F257" i="97"/>
  <c r="D258" i="97"/>
  <c r="H258" i="97" s="1"/>
  <c r="E258" i="97"/>
  <c r="F258" i="97"/>
  <c r="D259" i="97"/>
  <c r="H259" i="97" s="1"/>
  <c r="E259" i="97"/>
  <c r="F259" i="97"/>
  <c r="D260" i="97"/>
  <c r="H260" i="97" s="1"/>
  <c r="E260" i="97"/>
  <c r="F260" i="97"/>
  <c r="D261" i="97"/>
  <c r="H261" i="97" s="1"/>
  <c r="E261" i="97"/>
  <c r="F261" i="97"/>
  <c r="D262" i="97"/>
  <c r="H262" i="97" s="1"/>
  <c r="E262" i="97"/>
  <c r="F262" i="97"/>
  <c r="D263" i="97"/>
  <c r="H263" i="97" s="1"/>
  <c r="E263" i="97"/>
  <c r="F263" i="97"/>
  <c r="D264" i="97"/>
  <c r="H264" i="97" s="1"/>
  <c r="E264" i="97"/>
  <c r="F264" i="97"/>
  <c r="D265" i="97"/>
  <c r="H265" i="97" s="1"/>
  <c r="E265" i="97"/>
  <c r="F265" i="97"/>
  <c r="D266" i="97"/>
  <c r="H266" i="97" s="1"/>
  <c r="E266" i="97"/>
  <c r="F266" i="97"/>
  <c r="D267" i="97"/>
  <c r="H267" i="97" s="1"/>
  <c r="E267" i="97"/>
  <c r="F267" i="97"/>
  <c r="D268" i="97"/>
  <c r="H268" i="97" s="1"/>
  <c r="E268" i="97"/>
  <c r="F268" i="97"/>
  <c r="D269" i="97"/>
  <c r="H269" i="97" s="1"/>
  <c r="E269" i="97"/>
  <c r="F269" i="97"/>
  <c r="D270" i="97"/>
  <c r="H270" i="97" s="1"/>
  <c r="E270" i="97"/>
  <c r="F270" i="97"/>
  <c r="D271" i="97"/>
  <c r="H271" i="97" s="1"/>
  <c r="E271" i="97"/>
  <c r="F271" i="97"/>
  <c r="D272" i="97"/>
  <c r="H272" i="97" s="1"/>
  <c r="E272" i="97"/>
  <c r="F272" i="97"/>
  <c r="D273" i="97"/>
  <c r="H273" i="97"/>
  <c r="E273" i="97"/>
  <c r="F273" i="97"/>
  <c r="D274" i="97"/>
  <c r="H274" i="97" s="1"/>
  <c r="E274" i="97"/>
  <c r="F274" i="97"/>
  <c r="D275" i="97"/>
  <c r="H275" i="97" s="1"/>
  <c r="E275" i="97"/>
  <c r="F275" i="97"/>
  <c r="D276" i="97"/>
  <c r="H276" i="97" s="1"/>
  <c r="E276" i="97"/>
  <c r="F276" i="97"/>
  <c r="D277" i="97"/>
  <c r="H277" i="97" s="1"/>
  <c r="E277" i="97"/>
  <c r="F277" i="97"/>
  <c r="D278" i="97"/>
  <c r="H278" i="97" s="1"/>
  <c r="E278" i="97"/>
  <c r="F278" i="97"/>
  <c r="D279" i="97"/>
  <c r="H279" i="97" s="1"/>
  <c r="E279" i="97"/>
  <c r="F279" i="97"/>
  <c r="D280" i="97"/>
  <c r="H280" i="97" s="1"/>
  <c r="E280" i="97"/>
  <c r="F280" i="97"/>
  <c r="D281" i="97"/>
  <c r="H281" i="97" s="1"/>
  <c r="E281" i="97"/>
  <c r="F281" i="97"/>
  <c r="D282" i="97"/>
  <c r="H282" i="97" s="1"/>
  <c r="E282" i="97"/>
  <c r="F282" i="97"/>
  <c r="D283" i="97"/>
  <c r="H283" i="97" s="1"/>
  <c r="E283" i="97"/>
  <c r="F283" i="97"/>
  <c r="D284" i="97"/>
  <c r="H284" i="97" s="1"/>
  <c r="E284" i="97"/>
  <c r="F284" i="97"/>
  <c r="D285" i="97"/>
  <c r="H285" i="97" s="1"/>
  <c r="E285" i="97"/>
  <c r="F285" i="97"/>
  <c r="D286" i="97"/>
  <c r="H286" i="97" s="1"/>
  <c r="E286" i="97"/>
  <c r="F286" i="97"/>
  <c r="D287" i="97"/>
  <c r="H287" i="97" s="1"/>
  <c r="E287" i="97"/>
  <c r="F287" i="97"/>
  <c r="D288" i="97"/>
  <c r="H288" i="97" s="1"/>
  <c r="E288" i="97"/>
  <c r="F288" i="97"/>
  <c r="D289" i="97"/>
  <c r="H289" i="97" s="1"/>
  <c r="E289" i="97"/>
  <c r="F289" i="97"/>
  <c r="D290" i="97"/>
  <c r="H290" i="97" s="1"/>
  <c r="E290" i="97"/>
  <c r="F290" i="97"/>
  <c r="D291" i="97"/>
  <c r="H291" i="97" s="1"/>
  <c r="E291" i="97"/>
  <c r="F291" i="97"/>
  <c r="D292" i="97"/>
  <c r="H292" i="97" s="1"/>
  <c r="E292" i="97"/>
  <c r="F292" i="97"/>
  <c r="D293" i="97"/>
  <c r="H293" i="97" s="1"/>
  <c r="E293" i="97"/>
  <c r="F293" i="97"/>
  <c r="D294" i="97"/>
  <c r="H294" i="97" s="1"/>
  <c r="E294" i="97"/>
  <c r="F294" i="97"/>
  <c r="D295" i="97"/>
  <c r="H295" i="97" s="1"/>
  <c r="E295" i="97"/>
  <c r="F295" i="97"/>
  <c r="D296" i="97"/>
  <c r="H296" i="97" s="1"/>
  <c r="E296" i="97"/>
  <c r="F296" i="97"/>
  <c r="D297" i="97"/>
  <c r="H297" i="97" s="1"/>
  <c r="E297" i="97"/>
  <c r="F297" i="97"/>
  <c r="D298" i="97"/>
  <c r="H298" i="97" s="1"/>
  <c r="E298" i="97"/>
  <c r="F298" i="97"/>
  <c r="D299" i="97"/>
  <c r="H299" i="97" s="1"/>
  <c r="E299" i="97"/>
  <c r="F299" i="97"/>
  <c r="D300" i="97"/>
  <c r="H300" i="97" s="1"/>
  <c r="E300" i="97"/>
  <c r="F300" i="97"/>
  <c r="D301" i="97"/>
  <c r="H301" i="97" s="1"/>
  <c r="E301" i="97"/>
  <c r="F301" i="97"/>
  <c r="D302" i="97"/>
  <c r="H302" i="97" s="1"/>
  <c r="E302" i="97"/>
  <c r="F302" i="97"/>
  <c r="D303" i="97"/>
  <c r="H303" i="97" s="1"/>
  <c r="E303" i="97"/>
  <c r="F303" i="97"/>
  <c r="D304" i="97"/>
  <c r="H304" i="97" s="1"/>
  <c r="E304" i="97"/>
  <c r="F304" i="97"/>
  <c r="D305" i="97"/>
  <c r="H305" i="97" s="1"/>
  <c r="E305" i="97"/>
  <c r="F305" i="97"/>
  <c r="D306" i="97"/>
  <c r="H306" i="97" s="1"/>
  <c r="E306" i="97"/>
  <c r="F306" i="97"/>
  <c r="D307" i="97"/>
  <c r="H307" i="97" s="1"/>
  <c r="E307" i="97"/>
  <c r="F307" i="97"/>
  <c r="D308" i="97"/>
  <c r="H308" i="97" s="1"/>
  <c r="E308" i="97"/>
  <c r="F308" i="97"/>
  <c r="D309" i="97"/>
  <c r="H309" i="97" s="1"/>
  <c r="E309" i="97"/>
  <c r="F309" i="97"/>
  <c r="D310" i="97"/>
  <c r="H310" i="97" s="1"/>
  <c r="E310" i="97"/>
  <c r="F310" i="97"/>
  <c r="D311" i="97"/>
  <c r="H311" i="97" s="1"/>
  <c r="E311" i="97"/>
  <c r="F311" i="97"/>
  <c r="D312" i="97"/>
  <c r="H312" i="97" s="1"/>
  <c r="E312" i="97"/>
  <c r="F312" i="97"/>
  <c r="D313" i="97"/>
  <c r="H313" i="97" s="1"/>
  <c r="E313" i="97"/>
  <c r="F313" i="97"/>
  <c r="D314" i="97"/>
  <c r="H314" i="97" s="1"/>
  <c r="E314" i="97"/>
  <c r="F314" i="97"/>
  <c r="D315" i="97"/>
  <c r="H315" i="97" s="1"/>
  <c r="E315" i="97"/>
  <c r="F315" i="97"/>
  <c r="D316" i="97"/>
  <c r="H316" i="97" s="1"/>
  <c r="E316" i="97"/>
  <c r="F316" i="97"/>
  <c r="D317" i="97"/>
  <c r="H317" i="97" s="1"/>
  <c r="E317" i="97"/>
  <c r="F317" i="97"/>
  <c r="D318" i="97"/>
  <c r="H318" i="97" s="1"/>
  <c r="E318" i="97"/>
  <c r="F318" i="97"/>
  <c r="D319" i="97"/>
  <c r="H319" i="97" s="1"/>
  <c r="E319" i="97"/>
  <c r="F319" i="97"/>
  <c r="D320" i="97"/>
  <c r="H320" i="97" s="1"/>
  <c r="E320" i="97"/>
  <c r="F320" i="97"/>
  <c r="D321" i="97"/>
  <c r="H321" i="97" s="1"/>
  <c r="E321" i="97"/>
  <c r="F321" i="97"/>
  <c r="D322" i="97"/>
  <c r="H322" i="97" s="1"/>
  <c r="E322" i="97"/>
  <c r="F322" i="97"/>
  <c r="D323" i="97"/>
  <c r="H323" i="97" s="1"/>
  <c r="E323" i="97"/>
  <c r="F323" i="97"/>
  <c r="D324" i="97"/>
  <c r="H324" i="97" s="1"/>
  <c r="E324" i="97"/>
  <c r="F324" i="97"/>
  <c r="D325" i="97"/>
  <c r="H325" i="97" s="1"/>
  <c r="E325" i="97"/>
  <c r="F325" i="97"/>
  <c r="D326" i="97"/>
  <c r="H326" i="97" s="1"/>
  <c r="E326" i="97"/>
  <c r="F326" i="97"/>
  <c r="D327" i="97"/>
  <c r="H327" i="97" s="1"/>
  <c r="E327" i="97"/>
  <c r="F327" i="97"/>
  <c r="D328" i="97"/>
  <c r="H328" i="97" s="1"/>
  <c r="E328" i="97"/>
  <c r="F328" i="97"/>
  <c r="D329" i="97"/>
  <c r="H329" i="97" s="1"/>
  <c r="E329" i="97"/>
  <c r="F329" i="97"/>
  <c r="D330" i="97"/>
  <c r="H330" i="97" s="1"/>
  <c r="E330" i="97"/>
  <c r="F330" i="97"/>
  <c r="D331" i="97"/>
  <c r="H331" i="97" s="1"/>
  <c r="E331" i="97"/>
  <c r="F331" i="97"/>
  <c r="D332" i="97"/>
  <c r="H332" i="97" s="1"/>
  <c r="E332" i="97"/>
  <c r="F332" i="97"/>
  <c r="D333" i="97"/>
  <c r="H333" i="97" s="1"/>
  <c r="E333" i="97"/>
  <c r="F333" i="97"/>
  <c r="D334" i="97"/>
  <c r="H334" i="97" s="1"/>
  <c r="E334" i="97"/>
  <c r="F334" i="97"/>
  <c r="D335" i="97"/>
  <c r="H335" i="97" s="1"/>
  <c r="E335" i="97"/>
  <c r="F335" i="97"/>
  <c r="D336" i="97"/>
  <c r="H336" i="97" s="1"/>
  <c r="E336" i="97"/>
  <c r="F336" i="97"/>
  <c r="D337" i="97"/>
  <c r="H337" i="97" s="1"/>
  <c r="E337" i="97"/>
  <c r="F337" i="97"/>
  <c r="D338" i="97"/>
  <c r="H338" i="97" s="1"/>
  <c r="E338" i="97"/>
  <c r="F338" i="97"/>
  <c r="D339" i="97"/>
  <c r="H339" i="97" s="1"/>
  <c r="E339" i="97"/>
  <c r="F339" i="97"/>
  <c r="D340" i="97"/>
  <c r="H340" i="97" s="1"/>
  <c r="E340" i="97"/>
  <c r="F340" i="97"/>
  <c r="D341" i="97"/>
  <c r="H341" i="97" s="1"/>
  <c r="E341" i="97"/>
  <c r="F341" i="97"/>
  <c r="D342" i="97"/>
  <c r="H342" i="97" s="1"/>
  <c r="E342" i="97"/>
  <c r="F342" i="97"/>
  <c r="D343" i="97"/>
  <c r="H343" i="97" s="1"/>
  <c r="E343" i="97"/>
  <c r="F343" i="97"/>
  <c r="D344" i="97"/>
  <c r="H344" i="97" s="1"/>
  <c r="E344" i="97"/>
  <c r="F344" i="97"/>
  <c r="D345" i="97"/>
  <c r="H345" i="97" s="1"/>
  <c r="E345" i="97"/>
  <c r="F345" i="97"/>
  <c r="D346" i="97"/>
  <c r="H346" i="97" s="1"/>
  <c r="E346" i="97"/>
  <c r="F346" i="97"/>
  <c r="D347" i="97"/>
  <c r="H347" i="97" s="1"/>
  <c r="E347" i="97"/>
  <c r="F347" i="97"/>
  <c r="D348" i="97"/>
  <c r="H348" i="97" s="1"/>
  <c r="E348" i="97"/>
  <c r="F348" i="97"/>
  <c r="D349" i="97"/>
  <c r="H349" i="97" s="1"/>
  <c r="E349" i="97"/>
  <c r="F349" i="97"/>
  <c r="D350" i="97"/>
  <c r="H350" i="97" s="1"/>
  <c r="E350" i="97"/>
  <c r="F350" i="97"/>
  <c r="D351" i="97"/>
  <c r="H351" i="97" s="1"/>
  <c r="E351" i="97"/>
  <c r="F351" i="97"/>
  <c r="D352" i="97"/>
  <c r="H352" i="97" s="1"/>
  <c r="E352" i="97"/>
  <c r="F352" i="97"/>
  <c r="D353" i="97"/>
  <c r="H353" i="97" s="1"/>
  <c r="E353" i="97"/>
  <c r="F353" i="97"/>
  <c r="D354" i="97"/>
  <c r="H354" i="97" s="1"/>
  <c r="E354" i="97"/>
  <c r="F354" i="97"/>
  <c r="D355" i="97"/>
  <c r="H355" i="97" s="1"/>
  <c r="E355" i="97"/>
  <c r="F355" i="97"/>
  <c r="D356" i="97"/>
  <c r="H356" i="97" s="1"/>
  <c r="E356" i="97"/>
  <c r="F356" i="97"/>
  <c r="D357" i="97"/>
  <c r="H357" i="97" s="1"/>
  <c r="E357" i="97"/>
  <c r="F357" i="97"/>
  <c r="D358" i="97"/>
  <c r="H358" i="97" s="1"/>
  <c r="E358" i="97"/>
  <c r="F358" i="97"/>
  <c r="D359" i="97"/>
  <c r="H359" i="97" s="1"/>
  <c r="E359" i="97"/>
  <c r="F359" i="97"/>
  <c r="D360" i="97"/>
  <c r="H360" i="97" s="1"/>
  <c r="E360" i="97"/>
  <c r="F360" i="97"/>
  <c r="D361" i="97"/>
  <c r="H361" i="97" s="1"/>
  <c r="E361" i="97"/>
  <c r="F361" i="97"/>
  <c r="D362" i="97"/>
  <c r="H362" i="97" s="1"/>
  <c r="E362" i="97"/>
  <c r="F362" i="97"/>
  <c r="D363" i="97"/>
  <c r="H363" i="97" s="1"/>
  <c r="E363" i="97"/>
  <c r="F363" i="97"/>
  <c r="D364" i="97"/>
  <c r="H364" i="97" s="1"/>
  <c r="E364" i="97"/>
  <c r="F364" i="97"/>
  <c r="D365" i="97"/>
  <c r="H365" i="97" s="1"/>
  <c r="E365" i="97"/>
  <c r="F365" i="97"/>
  <c r="D366" i="97"/>
  <c r="H366" i="97" s="1"/>
  <c r="E366" i="97"/>
  <c r="F366" i="97"/>
  <c r="D367" i="97"/>
  <c r="H367" i="97" s="1"/>
  <c r="E367" i="97"/>
  <c r="F367" i="97"/>
  <c r="D368" i="97"/>
  <c r="H368" i="97" s="1"/>
  <c r="E368" i="97"/>
  <c r="F368" i="97"/>
  <c r="D369" i="97"/>
  <c r="H369" i="97" s="1"/>
  <c r="E369" i="97"/>
  <c r="F369" i="97"/>
  <c r="D370" i="97"/>
  <c r="H370" i="97" s="1"/>
  <c r="E370" i="97"/>
  <c r="F370" i="97"/>
  <c r="D371" i="97"/>
  <c r="H371" i="97" s="1"/>
  <c r="E371" i="97"/>
  <c r="F371" i="97"/>
  <c r="D372" i="97"/>
  <c r="H372" i="97" s="1"/>
  <c r="E372" i="97"/>
  <c r="F372" i="97"/>
  <c r="D373" i="97"/>
  <c r="H373" i="97" s="1"/>
  <c r="E373" i="97"/>
  <c r="F373" i="97"/>
  <c r="D374" i="97"/>
  <c r="H374" i="97" s="1"/>
  <c r="E374" i="97"/>
  <c r="F374" i="97"/>
  <c r="D375" i="97"/>
  <c r="H375" i="97" s="1"/>
  <c r="E375" i="97"/>
  <c r="F375" i="97"/>
  <c r="D376" i="97"/>
  <c r="H376" i="97" s="1"/>
  <c r="E376" i="97"/>
  <c r="F376" i="97"/>
  <c r="D377" i="97"/>
  <c r="H377" i="97" s="1"/>
  <c r="E377" i="97"/>
  <c r="F377" i="97"/>
  <c r="D378" i="97"/>
  <c r="H378" i="97" s="1"/>
  <c r="E378" i="97"/>
  <c r="F378" i="97"/>
  <c r="D379" i="97"/>
  <c r="H379" i="97" s="1"/>
  <c r="E379" i="97"/>
  <c r="F379" i="97"/>
  <c r="D380" i="97"/>
  <c r="H380" i="97" s="1"/>
  <c r="E380" i="97"/>
  <c r="F380" i="97"/>
  <c r="D381" i="97"/>
  <c r="H381" i="97" s="1"/>
  <c r="E381" i="97"/>
  <c r="F381" i="97"/>
  <c r="D382" i="97"/>
  <c r="H382" i="97" s="1"/>
  <c r="E382" i="97"/>
  <c r="F382" i="97"/>
  <c r="D383" i="97"/>
  <c r="H383" i="97" s="1"/>
  <c r="E383" i="97"/>
  <c r="F383" i="97"/>
  <c r="D384" i="97"/>
  <c r="H384" i="97" s="1"/>
  <c r="E384" i="97"/>
  <c r="F384" i="97"/>
  <c r="D385" i="97"/>
  <c r="H385" i="97" s="1"/>
  <c r="E385" i="97"/>
  <c r="F385" i="97"/>
  <c r="D386" i="97"/>
  <c r="H386" i="97" s="1"/>
  <c r="E386" i="97"/>
  <c r="F386" i="97"/>
  <c r="D387" i="97"/>
  <c r="H387" i="97" s="1"/>
  <c r="E387" i="97"/>
  <c r="F387" i="97"/>
  <c r="D388" i="97"/>
  <c r="H388" i="97" s="1"/>
  <c r="E388" i="97"/>
  <c r="F388" i="97"/>
  <c r="D389" i="97"/>
  <c r="H389" i="97" s="1"/>
  <c r="E389" i="97"/>
  <c r="F389" i="97"/>
  <c r="D390" i="97"/>
  <c r="H390" i="97" s="1"/>
  <c r="E390" i="97"/>
  <c r="F390" i="97"/>
  <c r="D391" i="97"/>
  <c r="H391" i="97" s="1"/>
  <c r="E391" i="97"/>
  <c r="F391" i="97"/>
  <c r="D392" i="97"/>
  <c r="H392" i="97" s="1"/>
  <c r="E392" i="97"/>
  <c r="F392" i="97"/>
  <c r="D393" i="97"/>
  <c r="H393" i="97" s="1"/>
  <c r="E393" i="97"/>
  <c r="F393" i="97"/>
  <c r="D394" i="97"/>
  <c r="H394" i="97" s="1"/>
  <c r="E394" i="97"/>
  <c r="F394" i="97"/>
  <c r="D395" i="97"/>
  <c r="H395" i="97"/>
  <c r="E395" i="97"/>
  <c r="F395" i="97"/>
  <c r="D396" i="97"/>
  <c r="H396" i="97" s="1"/>
  <c r="E396" i="97"/>
  <c r="F396" i="97"/>
  <c r="D397" i="97"/>
  <c r="H397" i="97" s="1"/>
  <c r="E397" i="97"/>
  <c r="F397" i="97"/>
  <c r="D398" i="97"/>
  <c r="H398" i="97" s="1"/>
  <c r="E398" i="97"/>
  <c r="F398" i="97"/>
  <c r="D399" i="97"/>
  <c r="H399" i="97" s="1"/>
  <c r="E399" i="97"/>
  <c r="F399" i="97"/>
  <c r="D400" i="97"/>
  <c r="H400" i="97" s="1"/>
  <c r="E400" i="97"/>
  <c r="F400" i="97"/>
  <c r="D401" i="97"/>
  <c r="H401" i="97" s="1"/>
  <c r="E401" i="97"/>
  <c r="F401" i="97"/>
  <c r="D402" i="97"/>
  <c r="H402" i="97" s="1"/>
  <c r="E402" i="97"/>
  <c r="F402" i="97"/>
  <c r="D403" i="97"/>
  <c r="H403" i="97" s="1"/>
  <c r="E403" i="97"/>
  <c r="F403" i="97"/>
  <c r="D404" i="97"/>
  <c r="H404" i="97" s="1"/>
  <c r="E404" i="97"/>
  <c r="F404" i="97"/>
  <c r="D405" i="97"/>
  <c r="H405" i="97" s="1"/>
  <c r="E405" i="97"/>
  <c r="F405" i="97"/>
  <c r="D406" i="97"/>
  <c r="H406" i="97" s="1"/>
  <c r="E406" i="97"/>
  <c r="F406" i="97"/>
  <c r="D407" i="97"/>
  <c r="H407" i="97" s="1"/>
  <c r="E407" i="97"/>
  <c r="F407" i="97"/>
  <c r="D408" i="97"/>
  <c r="H408" i="97" s="1"/>
  <c r="E408" i="97"/>
  <c r="F408" i="97"/>
  <c r="D409" i="97"/>
  <c r="H409" i="97" s="1"/>
  <c r="E409" i="97"/>
  <c r="F409" i="97"/>
  <c r="P12" i="78"/>
  <c r="K12" i="78"/>
  <c r="J12" i="78"/>
  <c r="G12" i="78"/>
  <c r="F12" i="78"/>
  <c r="E12" i="78"/>
  <c r="E8" i="26" s="1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BF342" i="20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CF342" i="20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CM342" i="20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H2016" i="1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Q6" i="96"/>
  <c r="AN6" i="96"/>
  <c r="AM6" i="96"/>
  <c r="AQ5" i="96"/>
  <c r="AM5" i="96"/>
  <c r="AQ4" i="96"/>
  <c r="AM4" i="96"/>
  <c r="AJ2" i="96"/>
  <c r="AG3" i="96"/>
  <c r="AG2" i="96"/>
  <c r="G2038" i="1"/>
  <c r="D6" i="113"/>
  <c r="AQ10" i="96"/>
  <c r="K14" i="78"/>
  <c r="E930" i="15"/>
  <c r="E582" i="1"/>
  <c r="AN2" i="96"/>
  <c r="AM2" i="96"/>
  <c r="AM3" i="96"/>
  <c r="AB2" i="96"/>
  <c r="Y2" i="96"/>
  <c r="Z2" i="96"/>
  <c r="X2" i="96"/>
  <c r="AQ3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B15" i="111"/>
  <c r="B14" i="111"/>
  <c r="B13" i="111"/>
  <c r="B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B4" i="111"/>
  <c r="E4" i="111"/>
  <c r="B5" i="111"/>
  <c r="B6" i="111"/>
  <c r="E6" i="111"/>
  <c r="B7" i="111"/>
  <c r="B8" i="111"/>
  <c r="E8" i="111"/>
  <c r="B9" i="111"/>
  <c r="B10" i="111"/>
  <c r="E10" i="111"/>
  <c r="B11" i="111"/>
  <c r="E12" i="111"/>
  <c r="E14" i="111"/>
  <c r="E16" i="111"/>
  <c r="B17" i="111"/>
  <c r="B18" i="111"/>
  <c r="E18" i="111"/>
  <c r="B19" i="111"/>
  <c r="B20" i="111"/>
  <c r="E20" i="111"/>
  <c r="B21" i="111"/>
  <c r="B22" i="111"/>
  <c r="E22" i="111"/>
  <c r="B23" i="111"/>
  <c r="B24" i="111"/>
  <c r="E24" i="111"/>
  <c r="B2" i="111"/>
  <c r="E2" i="111"/>
  <c r="E5" i="110"/>
  <c r="D3" i="111"/>
  <c r="G23" i="111"/>
  <c r="G21" i="111"/>
  <c r="G19" i="111"/>
  <c r="G24" i="111"/>
  <c r="G22" i="111"/>
  <c r="G20" i="111"/>
  <c r="D2" i="111"/>
  <c r="D23" i="111"/>
  <c r="D21" i="111"/>
  <c r="D19" i="111"/>
  <c r="D17" i="111"/>
  <c r="D15" i="111"/>
  <c r="D13" i="111"/>
  <c r="D11" i="111"/>
  <c r="D9" i="111"/>
  <c r="D7" i="111"/>
  <c r="D5" i="111"/>
  <c r="E23" i="111"/>
  <c r="E21" i="111"/>
  <c r="E19" i="111"/>
  <c r="E17" i="111"/>
  <c r="E15" i="111"/>
  <c r="E13" i="111"/>
  <c r="E11" i="111"/>
  <c r="E9" i="111"/>
  <c r="E7" i="111"/>
  <c r="E5" i="111"/>
  <c r="D24" i="111"/>
  <c r="D22" i="111"/>
  <c r="D20" i="111"/>
  <c r="D18" i="111"/>
  <c r="D16" i="111"/>
  <c r="D14" i="111"/>
  <c r="D12" i="111"/>
  <c r="D10" i="111"/>
  <c r="D8" i="111"/>
  <c r="D6" i="111"/>
  <c r="D4" i="111"/>
  <c r="E70" i="79"/>
  <c r="E71" i="79"/>
  <c r="F71" i="79"/>
  <c r="E72" i="79"/>
  <c r="F72" i="79"/>
  <c r="E73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15" i="78"/>
  <c r="G15" i="78"/>
  <c r="F16" i="78"/>
  <c r="E11" i="79" s="1"/>
  <c r="G16" i="78"/>
  <c r="F11" i="79" s="1"/>
  <c r="F17" i="78"/>
  <c r="G17" i="78"/>
  <c r="F12" i="79" s="1"/>
  <c r="E34" i="79"/>
  <c r="E35" i="79"/>
  <c r="F35" i="79"/>
  <c r="E36" i="79"/>
  <c r="F36" i="79"/>
  <c r="E37" i="79"/>
  <c r="F37" i="79"/>
  <c r="E38" i="79"/>
  <c r="E39" i="79"/>
  <c r="F39" i="79"/>
  <c r="E40" i="79"/>
  <c r="F40" i="79"/>
  <c r="E41" i="79"/>
  <c r="F41" i="79"/>
  <c r="E42" i="79"/>
  <c r="E43" i="79"/>
  <c r="F43" i="79"/>
  <c r="E44" i="79"/>
  <c r="F44" i="79"/>
  <c r="E45" i="79"/>
  <c r="F45" i="79"/>
  <c r="E46" i="79"/>
  <c r="E47" i="79"/>
  <c r="F47" i="79"/>
  <c r="E48" i="79"/>
  <c r="F48" i="79"/>
  <c r="E49" i="79"/>
  <c r="F49" i="79"/>
  <c r="E50" i="79"/>
  <c r="E51" i="79"/>
  <c r="F51" i="79"/>
  <c r="E52" i="79"/>
  <c r="F52" i="79"/>
  <c r="E53" i="79"/>
  <c r="F53" i="79"/>
  <c r="E54" i="79"/>
  <c r="E55" i="79"/>
  <c r="F55" i="79"/>
  <c r="E56" i="79"/>
  <c r="F56" i="79"/>
  <c r="E57" i="79"/>
  <c r="F57" i="79"/>
  <c r="E58" i="79"/>
  <c r="E59" i="79"/>
  <c r="F59" i="79"/>
  <c r="E60" i="79"/>
  <c r="F60" i="79"/>
  <c r="E61" i="79"/>
  <c r="F61" i="79"/>
  <c r="E62" i="79"/>
  <c r="E63" i="79"/>
  <c r="F63" i="79"/>
  <c r="E64" i="79"/>
  <c r="F64" i="79"/>
  <c r="E65" i="79"/>
  <c r="F65" i="79"/>
  <c r="E66" i="79"/>
  <c r="E67" i="79"/>
  <c r="F67" i="79"/>
  <c r="E68" i="79"/>
  <c r="F68" i="79"/>
  <c r="E69" i="79"/>
  <c r="F69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D5" i="110"/>
  <c r="AA2" i="96"/>
  <c r="AJ9" i="96"/>
  <c r="AH9" i="96"/>
  <c r="AG9" i="96"/>
  <c r="AE9" i="96"/>
  <c r="AD9" i="96"/>
  <c r="AC9" i="96"/>
  <c r="AA9" i="96"/>
  <c r="Y9" i="96"/>
  <c r="Z9" i="96"/>
  <c r="X9" i="96"/>
  <c r="V9" i="96"/>
  <c r="K20" i="78"/>
  <c r="J20" i="78"/>
  <c r="E83" i="109"/>
  <c r="D83" i="109"/>
  <c r="E82" i="109"/>
  <c r="D82" i="109"/>
  <c r="E81" i="109"/>
  <c r="D81" i="109"/>
  <c r="E80" i="109"/>
  <c r="D80" i="109"/>
  <c r="E79" i="109"/>
  <c r="D79" i="109"/>
  <c r="E78" i="109"/>
  <c r="D78" i="109"/>
  <c r="E77" i="109"/>
  <c r="D77" i="109"/>
  <c r="E76" i="109"/>
  <c r="D76" i="109"/>
  <c r="E75" i="109"/>
  <c r="D75" i="109"/>
  <c r="E74" i="109"/>
  <c r="D74" i="109"/>
  <c r="E73" i="109"/>
  <c r="D73" i="109"/>
  <c r="E72" i="109"/>
  <c r="D72" i="109"/>
  <c r="E71" i="109"/>
  <c r="D71" i="109"/>
  <c r="E70" i="109"/>
  <c r="D70" i="109"/>
  <c r="E69" i="109"/>
  <c r="D69" i="109"/>
  <c r="E68" i="109"/>
  <c r="D68" i="109"/>
  <c r="E67" i="109"/>
  <c r="D67" i="109"/>
  <c r="C3" i="26"/>
  <c r="E7" i="114" s="1"/>
  <c r="E16" i="114"/>
  <c r="C4" i="26"/>
  <c r="C5" i="26"/>
  <c r="C6" i="26"/>
  <c r="H82" i="109"/>
  <c r="C7" i="26"/>
  <c r="C8" i="26"/>
  <c r="C9" i="26"/>
  <c r="C2" i="26"/>
  <c r="G61" i="105" s="1"/>
  <c r="E2056" i="1"/>
  <c r="E2016" i="1"/>
  <c r="F2016" i="1"/>
  <c r="E2015" i="1"/>
  <c r="E19" i="113"/>
  <c r="E15" i="113"/>
  <c r="H67" i="109"/>
  <c r="H69" i="109"/>
  <c r="H71" i="109"/>
  <c r="H73" i="109"/>
  <c r="H75" i="109"/>
  <c r="H77" i="109"/>
  <c r="H79" i="109"/>
  <c r="H81" i="109"/>
  <c r="H83" i="109"/>
  <c r="H68" i="109"/>
  <c r="H70" i="109"/>
  <c r="H72" i="109"/>
  <c r="H74" i="109"/>
  <c r="H76" i="109"/>
  <c r="H78" i="109"/>
  <c r="H80" i="109"/>
  <c r="AG4" i="96"/>
  <c r="C215" i="115"/>
  <c r="H10" i="109"/>
  <c r="E10" i="109"/>
  <c r="D10" i="109"/>
  <c r="H9" i="109"/>
  <c r="E9" i="109"/>
  <c r="D9" i="109"/>
  <c r="E28" i="79"/>
  <c r="E29" i="79"/>
  <c r="E30" i="79"/>
  <c r="E31" i="79"/>
  <c r="E32" i="79"/>
  <c r="E33" i="79"/>
  <c r="E23" i="79"/>
  <c r="E24" i="79"/>
  <c r="E25" i="79"/>
  <c r="E26" i="79"/>
  <c r="E27" i="79"/>
  <c r="E18" i="79"/>
  <c r="E19" i="79"/>
  <c r="E20" i="79"/>
  <c r="E21" i="79"/>
  <c r="E22" i="79"/>
  <c r="L3" i="26"/>
  <c r="G3" i="111"/>
  <c r="G4" i="111"/>
  <c r="G5" i="111"/>
  <c r="G6" i="111"/>
  <c r="G7" i="111"/>
  <c r="G8" i="111"/>
  <c r="L9" i="26"/>
  <c r="L10" i="26"/>
  <c r="L11" i="26"/>
  <c r="L12" i="26"/>
  <c r="L13" i="26"/>
  <c r="L14" i="26"/>
  <c r="L15" i="26"/>
  <c r="G15" i="111"/>
  <c r="G16" i="111"/>
  <c r="L17" i="26"/>
  <c r="G17" i="111"/>
  <c r="L18" i="26"/>
  <c r="G18" i="111"/>
  <c r="L2" i="26"/>
  <c r="G2" i="111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F1978" i="1"/>
  <c r="E1978" i="1"/>
  <c r="D1978" i="1"/>
  <c r="L2272" i="1"/>
  <c r="L2203" i="1"/>
  <c r="L2005" i="1"/>
  <c r="L1455" i="1"/>
  <c r="L1427" i="1"/>
  <c r="L1329" i="1"/>
  <c r="L1272" i="1"/>
  <c r="L1215" i="1"/>
  <c r="L1133" i="1"/>
  <c r="L1061" i="1"/>
  <c r="L1026" i="1"/>
  <c r="L987" i="1"/>
  <c r="L954" i="1"/>
  <c r="L916" i="1"/>
  <c r="L882" i="1"/>
  <c r="L839" i="1"/>
  <c r="L763" i="1"/>
  <c r="L715" i="1"/>
  <c r="L690" i="1"/>
  <c r="L658" i="1"/>
  <c r="L619" i="1"/>
  <c r="L581" i="1"/>
  <c r="L531" i="1"/>
  <c r="L244" i="1"/>
  <c r="L134" i="1"/>
  <c r="L92" i="1"/>
  <c r="L53" i="1"/>
  <c r="L1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L2310" i="1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H1978" i="1"/>
  <c r="L2296" i="1"/>
  <c r="L37" i="1"/>
  <c r="L67" i="1"/>
  <c r="L117" i="1"/>
  <c r="L152" i="1"/>
  <c r="L291" i="1"/>
  <c r="L326" i="1"/>
  <c r="L393" i="1"/>
  <c r="L428" i="1"/>
  <c r="L470" i="1"/>
  <c r="L510" i="1"/>
  <c r="L563" i="1"/>
  <c r="L599" i="1"/>
  <c r="L640" i="1"/>
  <c r="L682" i="1"/>
  <c r="L704" i="1"/>
  <c r="L728" i="1"/>
  <c r="L755" i="1"/>
  <c r="L783" i="1"/>
  <c r="L825" i="1"/>
  <c r="L969" i="1"/>
  <c r="L1007" i="1"/>
  <c r="L1046" i="1"/>
  <c r="L1077" i="1"/>
  <c r="L1244" i="1"/>
  <c r="L1299" i="1"/>
  <c r="L1354" i="1"/>
  <c r="L1445" i="1"/>
  <c r="L1713" i="1"/>
  <c r="L2147" i="1"/>
  <c r="L2225" i="1"/>
  <c r="L2281" i="1"/>
  <c r="L14" i="1"/>
  <c r="L27" i="1"/>
  <c r="L45" i="1"/>
  <c r="L63" i="1"/>
  <c r="L75" i="1"/>
  <c r="L109" i="1"/>
  <c r="L125" i="1"/>
  <c r="L142" i="1"/>
  <c r="L174" i="1"/>
  <c r="L213" i="1"/>
  <c r="L317" i="1"/>
  <c r="L335" i="1"/>
  <c r="L373" i="1"/>
  <c r="L406" i="1"/>
  <c r="L502" i="1"/>
  <c r="L523" i="1"/>
  <c r="L547" i="1"/>
  <c r="L571" i="1"/>
  <c r="L591" i="1"/>
  <c r="L609" i="1"/>
  <c r="L630" i="1"/>
  <c r="L650" i="1"/>
  <c r="L667" i="1"/>
  <c r="L683" i="1"/>
  <c r="L697" i="1"/>
  <c r="L711" i="1"/>
  <c r="L721" i="1"/>
  <c r="L730" i="1"/>
  <c r="L762" i="1"/>
  <c r="L773" i="1"/>
  <c r="L814" i="1"/>
  <c r="L834" i="1"/>
  <c r="L852" i="1"/>
  <c r="L906" i="1"/>
  <c r="L947" i="1"/>
  <c r="L962" i="1"/>
  <c r="L977" i="1"/>
  <c r="L997" i="1"/>
  <c r="L1016" i="1"/>
  <c r="L1036" i="1"/>
  <c r="L1054" i="1"/>
  <c r="L1068" i="1"/>
  <c r="L1081" i="1"/>
  <c r="L1121" i="1"/>
  <c r="L1202" i="1"/>
  <c r="L1230" i="1"/>
  <c r="L1257" i="1"/>
  <c r="L1286" i="1"/>
  <c r="L1315" i="1"/>
  <c r="L1342" i="1"/>
  <c r="L1418" i="1"/>
  <c r="L1436" i="1"/>
  <c r="L1454" i="1"/>
  <c r="L1593" i="1"/>
  <c r="L1911" i="1"/>
  <c r="L2114" i="1"/>
  <c r="L2195" i="1"/>
  <c r="L2214" i="1"/>
  <c r="L2247" i="1"/>
  <c r="L2276" i="1"/>
  <c r="L2282" i="1"/>
  <c r="G14" i="111"/>
  <c r="G12" i="111"/>
  <c r="G10" i="111"/>
  <c r="G13" i="111"/>
  <c r="G11" i="111"/>
  <c r="G9" i="111"/>
  <c r="P1978" i="1"/>
  <c r="C1978" i="1"/>
  <c r="L1978" i="1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AJ7" i="96"/>
  <c r="AH7" i="96"/>
  <c r="AG7" i="96"/>
  <c r="AE7" i="96"/>
  <c r="AD7" i="96"/>
  <c r="AC7" i="96"/>
  <c r="AA7" i="96"/>
  <c r="Y7" i="96"/>
  <c r="Z7" i="96"/>
  <c r="X7" i="96"/>
  <c r="V7" i="96"/>
  <c r="P13" i="78"/>
  <c r="K13" i="78"/>
  <c r="J13" i="78"/>
  <c r="G13" i="78"/>
  <c r="F13" i="78"/>
  <c r="E13" i="78"/>
  <c r="E9" i="26" s="1"/>
  <c r="D13" i="78"/>
  <c r="C9" i="79" s="1"/>
  <c r="C13" i="78"/>
  <c r="B9" i="79" s="1"/>
  <c r="E28" i="90"/>
  <c r="C29" i="90"/>
  <c r="D29" i="90"/>
  <c r="E29" i="90"/>
  <c r="E31" i="90"/>
  <c r="E35" i="90"/>
  <c r="F35" i="90"/>
  <c r="C36" i="90"/>
  <c r="D36" i="90"/>
  <c r="E36" i="90"/>
  <c r="F36" i="90"/>
  <c r="C4" i="90"/>
  <c r="C5" i="90"/>
  <c r="C6" i="90"/>
  <c r="C7" i="90"/>
  <c r="C8" i="90"/>
  <c r="C9" i="90"/>
  <c r="C10" i="90"/>
  <c r="C11" i="90"/>
  <c r="C13" i="90"/>
  <c r="C14" i="90"/>
  <c r="C15" i="90"/>
  <c r="C16" i="90"/>
  <c r="C17" i="90"/>
  <c r="C18" i="90"/>
  <c r="C19" i="90"/>
  <c r="C20" i="90"/>
  <c r="C21" i="90"/>
  <c r="C22" i="90"/>
  <c r="D4" i="113"/>
  <c r="B1713" i="1"/>
  <c r="B619" i="1"/>
  <c r="B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2" i="26"/>
  <c r="D15" i="97"/>
  <c r="E15" i="97"/>
  <c r="F15" i="97"/>
  <c r="D183" i="97"/>
  <c r="E183" i="97"/>
  <c r="F183" i="97"/>
  <c r="D170" i="97"/>
  <c r="H170" i="97" s="1"/>
  <c r="E170" i="97"/>
  <c r="F170" i="97"/>
  <c r="D134" i="97"/>
  <c r="E134" i="97"/>
  <c r="F134" i="97"/>
  <c r="D133" i="97"/>
  <c r="E133" i="97"/>
  <c r="F133" i="97"/>
  <c r="D77" i="97"/>
  <c r="E77" i="97"/>
  <c r="F77" i="97"/>
  <c r="D128" i="97"/>
  <c r="E128" i="97"/>
  <c r="F128" i="97"/>
  <c r="D101" i="97"/>
  <c r="E101" i="97"/>
  <c r="F101" i="97"/>
  <c r="D40" i="97"/>
  <c r="E40" i="97"/>
  <c r="F40" i="97"/>
  <c r="D95" i="97"/>
  <c r="E95" i="97"/>
  <c r="F95" i="97"/>
  <c r="D2" i="97"/>
  <c r="E2" i="97"/>
  <c r="F2" i="97"/>
  <c r="D83" i="97"/>
  <c r="E83" i="97"/>
  <c r="F83" i="97"/>
  <c r="D148" i="97"/>
  <c r="E148" i="97"/>
  <c r="F148" i="97"/>
  <c r="D88" i="97"/>
  <c r="E88" i="97"/>
  <c r="F88" i="97"/>
  <c r="D6" i="97"/>
  <c r="E6" i="97"/>
  <c r="F6" i="97"/>
  <c r="D54" i="97"/>
  <c r="E54" i="97"/>
  <c r="F54" i="97"/>
  <c r="D26" i="97"/>
  <c r="E26" i="97"/>
  <c r="F26" i="97"/>
  <c r="D13" i="97"/>
  <c r="E13" i="97"/>
  <c r="F13" i="97"/>
  <c r="D146" i="97"/>
  <c r="E146" i="97"/>
  <c r="F146" i="97"/>
  <c r="D118" i="97"/>
  <c r="E118" i="97"/>
  <c r="F118" i="97"/>
  <c r="D97" i="97"/>
  <c r="E97" i="97"/>
  <c r="F97" i="97"/>
  <c r="D23" i="97"/>
  <c r="E23" i="97"/>
  <c r="F23" i="97"/>
  <c r="D140" i="97"/>
  <c r="E140" i="97"/>
  <c r="F140" i="97"/>
  <c r="D98" i="97"/>
  <c r="E98" i="97"/>
  <c r="F98" i="97"/>
  <c r="D86" i="97"/>
  <c r="E86" i="97"/>
  <c r="F86" i="97"/>
  <c r="D51" i="97"/>
  <c r="E51" i="97"/>
  <c r="F51" i="97"/>
  <c r="D8" i="97"/>
  <c r="E8" i="97"/>
  <c r="F8" i="97"/>
  <c r="D164" i="97"/>
  <c r="E164" i="97"/>
  <c r="F164" i="97"/>
  <c r="D80" i="97"/>
  <c r="E80" i="97"/>
  <c r="F80" i="97"/>
  <c r="D74" i="97"/>
  <c r="E74" i="97"/>
  <c r="F74" i="97"/>
  <c r="D65" i="97"/>
  <c r="E65" i="97"/>
  <c r="F65" i="97"/>
  <c r="D150" i="97"/>
  <c r="H150" i="97" s="1"/>
  <c r="E150" i="97"/>
  <c r="F150" i="97"/>
  <c r="D28" i="97"/>
  <c r="E28" i="97"/>
  <c r="F28" i="97"/>
  <c r="D49" i="97"/>
  <c r="E49" i="97"/>
  <c r="F49" i="97"/>
  <c r="D117" i="97"/>
  <c r="E117" i="97"/>
  <c r="F117" i="97"/>
  <c r="D91" i="97"/>
  <c r="E91" i="97"/>
  <c r="F91" i="97"/>
  <c r="D120" i="97"/>
  <c r="E120" i="97"/>
  <c r="F120" i="97"/>
  <c r="D159" i="97"/>
  <c r="E159" i="97"/>
  <c r="F159" i="97"/>
  <c r="D38" i="97"/>
  <c r="E38" i="97"/>
  <c r="F38" i="97"/>
  <c r="D157" i="97"/>
  <c r="H157" i="97" s="1"/>
  <c r="E157" i="97"/>
  <c r="F157" i="97"/>
  <c r="D89" i="97"/>
  <c r="E89" i="97"/>
  <c r="F89" i="97"/>
  <c r="D81" i="97"/>
  <c r="E81" i="97"/>
  <c r="F81" i="97"/>
  <c r="D131" i="97"/>
  <c r="E131" i="97"/>
  <c r="F131" i="97"/>
  <c r="D143" i="97"/>
  <c r="E143" i="97"/>
  <c r="F143" i="97"/>
  <c r="D78" i="97"/>
  <c r="E78" i="97"/>
  <c r="F78" i="97"/>
  <c r="D31" i="97"/>
  <c r="E31" i="97"/>
  <c r="F31" i="97"/>
  <c r="D41" i="97"/>
  <c r="E41" i="97"/>
  <c r="F41" i="97"/>
  <c r="D174" i="97"/>
  <c r="E174" i="97"/>
  <c r="F174" i="97"/>
  <c r="D96" i="97"/>
  <c r="E96" i="97"/>
  <c r="F96" i="97"/>
  <c r="D141" i="97"/>
  <c r="E141" i="97"/>
  <c r="F141" i="97"/>
  <c r="D124" i="97"/>
  <c r="E124" i="97"/>
  <c r="F124" i="97"/>
  <c r="D154" i="97"/>
  <c r="E154" i="97"/>
  <c r="F154" i="97"/>
  <c r="D22" i="97"/>
  <c r="E22" i="97"/>
  <c r="F22" i="97"/>
  <c r="D110" i="97"/>
  <c r="E110" i="97"/>
  <c r="F110" i="97"/>
  <c r="D182" i="97"/>
  <c r="E182" i="97"/>
  <c r="F182" i="97"/>
  <c r="D25" i="97"/>
  <c r="E25" i="97"/>
  <c r="F25" i="97"/>
  <c r="D16" i="97"/>
  <c r="E16" i="97"/>
  <c r="F16" i="97"/>
  <c r="D151" i="97"/>
  <c r="E151" i="97"/>
  <c r="F151" i="97"/>
  <c r="D177" i="97"/>
  <c r="E177" i="97"/>
  <c r="F177" i="97"/>
  <c r="D4" i="97"/>
  <c r="E4" i="97"/>
  <c r="F4" i="97"/>
  <c r="D3" i="97"/>
  <c r="E3" i="97"/>
  <c r="F3" i="97"/>
  <c r="D181" i="97"/>
  <c r="E181" i="97"/>
  <c r="F181" i="97"/>
  <c r="D173" i="97"/>
  <c r="E173" i="97"/>
  <c r="F173" i="97"/>
  <c r="D109" i="97"/>
  <c r="E109" i="97"/>
  <c r="F109" i="97"/>
  <c r="D92" i="97"/>
  <c r="E92" i="97"/>
  <c r="F92" i="97"/>
  <c r="D55" i="97"/>
  <c r="E55" i="97"/>
  <c r="F55" i="97"/>
  <c r="D104" i="97"/>
  <c r="E104" i="97"/>
  <c r="F104" i="97"/>
  <c r="D130" i="97"/>
  <c r="E130" i="97"/>
  <c r="F130" i="97"/>
  <c r="D84" i="97"/>
  <c r="E84" i="97"/>
  <c r="F84" i="97"/>
  <c r="D145" i="97"/>
  <c r="E145" i="97"/>
  <c r="F145" i="97"/>
  <c r="D136" i="97"/>
  <c r="E136" i="97"/>
  <c r="F136" i="97"/>
  <c r="D57" i="97"/>
  <c r="E57" i="97"/>
  <c r="F57" i="97"/>
  <c r="D93" i="97"/>
  <c r="E93" i="97"/>
  <c r="F93" i="97"/>
  <c r="D73" i="97"/>
  <c r="E73" i="97"/>
  <c r="F73" i="97"/>
  <c r="C251" i="115"/>
  <c r="G29" i="10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H2310" i="1"/>
  <c r="H2296" i="1"/>
  <c r="H2282" i="1"/>
  <c r="H2276" i="1"/>
  <c r="H2272" i="1"/>
  <c r="H2247" i="1"/>
  <c r="H2225" i="1"/>
  <c r="H2214" i="1"/>
  <c r="H2203" i="1"/>
  <c r="H2195" i="1"/>
  <c r="H2147" i="1"/>
  <c r="H2114" i="1"/>
  <c r="H2005" i="1"/>
  <c r="H1911" i="1"/>
  <c r="H1713" i="1"/>
  <c r="H1593" i="1"/>
  <c r="H1455" i="1"/>
  <c r="H1454" i="1"/>
  <c r="H762" i="1"/>
  <c r="H547" i="1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U969" i="1"/>
  <c r="V969" i="1"/>
  <c r="Y969" i="1" s="1"/>
  <c r="U619" i="1"/>
  <c r="V619" i="1"/>
  <c r="Y619" i="1" s="1"/>
  <c r="V814" i="1"/>
  <c r="Y814" i="1" s="1"/>
  <c r="U814" i="1"/>
  <c r="U1061" i="1"/>
  <c r="V1061" i="1"/>
  <c r="Y1061" i="1" s="1"/>
  <c r="U1713" i="1"/>
  <c r="V1713" i="1"/>
  <c r="Y1713" i="1" s="1"/>
  <c r="V244" i="1"/>
  <c r="Y244" i="1" s="1"/>
  <c r="U244" i="1"/>
  <c r="X244" i="1" s="1"/>
  <c r="C212" i="115"/>
  <c r="D212" i="115"/>
  <c r="E212" i="115"/>
  <c r="D63" i="109"/>
  <c r="C207" i="115" s="1"/>
  <c r="E63" i="109"/>
  <c r="E207" i="115" s="1"/>
  <c r="H63" i="109"/>
  <c r="D64" i="109"/>
  <c r="C208" i="115" s="1"/>
  <c r="E64" i="109"/>
  <c r="E208" i="115" s="1"/>
  <c r="H64" i="109"/>
  <c r="D65" i="109"/>
  <c r="C209" i="115" s="1"/>
  <c r="E65" i="109"/>
  <c r="E209" i="115" s="1"/>
  <c r="H65" i="109"/>
  <c r="D66" i="109"/>
  <c r="C210" i="115" s="1"/>
  <c r="E66" i="109"/>
  <c r="E210" i="115" s="1"/>
  <c r="H66" i="109"/>
  <c r="D84" i="109"/>
  <c r="C211" i="115" s="1"/>
  <c r="E84" i="109"/>
  <c r="E211" i="115" s="1"/>
  <c r="H84" i="109"/>
  <c r="E5" i="109"/>
  <c r="E6" i="109"/>
  <c r="E7" i="109"/>
  <c r="E8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4" i="109"/>
  <c r="C213" i="115"/>
  <c r="C95" i="115"/>
  <c r="G60" i="105"/>
  <c r="G62" i="105"/>
  <c r="G64" i="105"/>
  <c r="G66" i="105"/>
  <c r="G68" i="105"/>
  <c r="C217" i="115"/>
  <c r="C224" i="115"/>
  <c r="C225" i="115"/>
  <c r="C249" i="115"/>
  <c r="C235" i="115"/>
  <c r="C236" i="115"/>
  <c r="C237" i="115"/>
  <c r="G5" i="108"/>
  <c r="G6" i="108"/>
  <c r="G7" i="108"/>
  <c r="G8" i="108"/>
  <c r="G9" i="108"/>
  <c r="G10" i="108"/>
  <c r="G11" i="108"/>
  <c r="G12" i="108"/>
  <c r="G13" i="108"/>
  <c r="G14" i="108"/>
  <c r="G15" i="108"/>
  <c r="G16" i="108"/>
  <c r="G17" i="108"/>
  <c r="G18" i="108"/>
  <c r="G19" i="108"/>
  <c r="G20" i="108"/>
  <c r="G21" i="108"/>
  <c r="G22" i="108"/>
  <c r="G23" i="108"/>
  <c r="G24" i="108"/>
  <c r="G25" i="108"/>
  <c r="G26" i="108"/>
  <c r="G27" i="108"/>
  <c r="G28" i="108"/>
  <c r="G29" i="108"/>
  <c r="G30" i="108"/>
  <c r="G31" i="108"/>
  <c r="G32" i="108"/>
  <c r="F94" i="79"/>
  <c r="E94" i="79"/>
  <c r="E126" i="97"/>
  <c r="E158" i="97"/>
  <c r="E21" i="97"/>
  <c r="E139" i="97"/>
  <c r="E75" i="97"/>
  <c r="E144" i="97"/>
  <c r="E123" i="97"/>
  <c r="E166" i="97"/>
  <c r="E82" i="97"/>
  <c r="E114" i="97"/>
  <c r="E105" i="97"/>
  <c r="E71" i="97"/>
  <c r="E108" i="97"/>
  <c r="E46" i="97"/>
  <c r="E102" i="97"/>
  <c r="E99" i="97"/>
  <c r="E125" i="97"/>
  <c r="E32" i="97"/>
  <c r="E35" i="97"/>
  <c r="E7" i="97"/>
  <c r="E61" i="97"/>
  <c r="E37" i="97"/>
  <c r="E142" i="97"/>
  <c r="E14" i="97"/>
  <c r="E132" i="97"/>
  <c r="E64" i="97"/>
  <c r="E69" i="97"/>
  <c r="E168" i="97"/>
  <c r="E43" i="97"/>
  <c r="E48" i="97"/>
  <c r="E169" i="97"/>
  <c r="E53" i="97"/>
  <c r="E135" i="97"/>
  <c r="E67" i="97"/>
  <c r="E147" i="97"/>
  <c r="E36" i="97"/>
  <c r="E106" i="97"/>
  <c r="E30" i="97"/>
  <c r="E12" i="97"/>
  <c r="E160" i="97"/>
  <c r="E33" i="97"/>
  <c r="E178" i="97"/>
  <c r="E34" i="97"/>
  <c r="E94" i="97"/>
  <c r="E121" i="97"/>
  <c r="E179" i="97"/>
  <c r="E112" i="97"/>
  <c r="E42" i="97"/>
  <c r="E50" i="97"/>
  <c r="E172" i="97"/>
  <c r="E18" i="97"/>
  <c r="E155" i="97"/>
  <c r="E79" i="97"/>
  <c r="E122" i="97"/>
  <c r="E62" i="97"/>
  <c r="E39" i="97"/>
  <c r="E163" i="97"/>
  <c r="E167" i="97"/>
  <c r="E68" i="97"/>
  <c r="E153" i="97"/>
  <c r="E66" i="97"/>
  <c r="E161" i="97"/>
  <c r="E156" i="97"/>
  <c r="E45" i="97"/>
  <c r="E85" i="97"/>
  <c r="E44" i="97"/>
  <c r="E137" i="97"/>
  <c r="E76" i="97"/>
  <c r="E175" i="97"/>
  <c r="E29" i="97"/>
  <c r="E107" i="97"/>
  <c r="E115" i="97"/>
  <c r="E27" i="97"/>
  <c r="E171" i="97"/>
  <c r="E119" i="97"/>
  <c r="E5" i="97"/>
  <c r="E24" i="97"/>
  <c r="E17" i="97"/>
  <c r="E127" i="97"/>
  <c r="E152" i="97"/>
  <c r="E165" i="97"/>
  <c r="E9" i="97"/>
  <c r="E162" i="97"/>
  <c r="E180" i="97"/>
  <c r="E100" i="97"/>
  <c r="E129" i="97"/>
  <c r="E113" i="97"/>
  <c r="E19" i="97"/>
  <c r="E103" i="97"/>
  <c r="E149" i="97"/>
  <c r="E138" i="97"/>
  <c r="E111" i="97"/>
  <c r="E176" i="97"/>
  <c r="E87" i="97"/>
  <c r="E72" i="97"/>
  <c r="E20" i="97"/>
  <c r="E56" i="97"/>
  <c r="D5" i="109"/>
  <c r="C151" i="115" s="1"/>
  <c r="H5" i="109"/>
  <c r="D6" i="109"/>
  <c r="C152" i="115" s="1"/>
  <c r="H6" i="109"/>
  <c r="D7" i="109"/>
  <c r="C153" i="115" s="1"/>
  <c r="H7" i="109"/>
  <c r="D8" i="109"/>
  <c r="C154" i="115" s="1"/>
  <c r="H8" i="109"/>
  <c r="D11" i="109"/>
  <c r="C155" i="115" s="1"/>
  <c r="H11" i="109"/>
  <c r="D12" i="109"/>
  <c r="C156" i="115" s="1"/>
  <c r="H12" i="109"/>
  <c r="D13" i="109"/>
  <c r="C157" i="115" s="1"/>
  <c r="H13" i="109"/>
  <c r="D14" i="109"/>
  <c r="C158" i="115" s="1"/>
  <c r="H14" i="109"/>
  <c r="D15" i="109"/>
  <c r="C159" i="115" s="1"/>
  <c r="H15" i="109"/>
  <c r="D16" i="109"/>
  <c r="C160" i="115" s="1"/>
  <c r="H16" i="109"/>
  <c r="D17" i="109"/>
  <c r="C161" i="115" s="1"/>
  <c r="H17" i="109"/>
  <c r="D18" i="109"/>
  <c r="C162" i="115" s="1"/>
  <c r="H18" i="109"/>
  <c r="D19" i="109"/>
  <c r="C163" i="115" s="1"/>
  <c r="H19" i="109"/>
  <c r="D20" i="109"/>
  <c r="C164" i="115" s="1"/>
  <c r="H20" i="109"/>
  <c r="D21" i="109"/>
  <c r="C165" i="115" s="1"/>
  <c r="H21" i="109"/>
  <c r="D22" i="109"/>
  <c r="C166" i="115" s="1"/>
  <c r="H22" i="109"/>
  <c r="D23" i="109"/>
  <c r="C167" i="115" s="1"/>
  <c r="H23" i="109"/>
  <c r="D24" i="109"/>
  <c r="C168" i="115" s="1"/>
  <c r="H24" i="109"/>
  <c r="D25" i="109"/>
  <c r="C169" i="115" s="1"/>
  <c r="H25" i="109"/>
  <c r="D26" i="109"/>
  <c r="C170" i="115" s="1"/>
  <c r="H26" i="109"/>
  <c r="D27" i="109"/>
  <c r="C171" i="115" s="1"/>
  <c r="H27" i="109"/>
  <c r="D28" i="109"/>
  <c r="C172" i="115" s="1"/>
  <c r="H28" i="109"/>
  <c r="D29" i="109"/>
  <c r="C173" i="115" s="1"/>
  <c r="H29" i="109"/>
  <c r="D30" i="109"/>
  <c r="C174" i="115" s="1"/>
  <c r="H30" i="109"/>
  <c r="D31" i="109"/>
  <c r="C175" i="115" s="1"/>
  <c r="H31" i="109"/>
  <c r="D32" i="109"/>
  <c r="C176" i="115" s="1"/>
  <c r="H32" i="109"/>
  <c r="D33" i="109"/>
  <c r="C177" i="115" s="1"/>
  <c r="H33" i="109"/>
  <c r="D34" i="109"/>
  <c r="C178" i="115" s="1"/>
  <c r="H34" i="109"/>
  <c r="D35" i="109"/>
  <c r="C179" i="115" s="1"/>
  <c r="H35" i="109"/>
  <c r="D36" i="109"/>
  <c r="C180" i="115" s="1"/>
  <c r="H36" i="109"/>
  <c r="D37" i="109"/>
  <c r="C181" i="115" s="1"/>
  <c r="H37" i="109"/>
  <c r="D38" i="109"/>
  <c r="C182" i="115" s="1"/>
  <c r="H38" i="109"/>
  <c r="D39" i="109"/>
  <c r="C183" i="115" s="1"/>
  <c r="H39" i="109"/>
  <c r="D40" i="109"/>
  <c r="C184" i="115" s="1"/>
  <c r="H40" i="109"/>
  <c r="D41" i="109"/>
  <c r="C185" i="115" s="1"/>
  <c r="H41" i="109"/>
  <c r="D42" i="109"/>
  <c r="C186" i="115" s="1"/>
  <c r="H42" i="109"/>
  <c r="D43" i="109"/>
  <c r="C187" i="115" s="1"/>
  <c r="H43" i="109"/>
  <c r="D44" i="109"/>
  <c r="C188" i="115" s="1"/>
  <c r="H44" i="109"/>
  <c r="D45" i="109"/>
  <c r="C189" i="115" s="1"/>
  <c r="H45" i="109"/>
  <c r="D46" i="109"/>
  <c r="C190" i="115" s="1"/>
  <c r="H46" i="109"/>
  <c r="D47" i="109"/>
  <c r="C191" i="115" s="1"/>
  <c r="H47" i="109"/>
  <c r="D48" i="109"/>
  <c r="C192" i="115" s="1"/>
  <c r="H48" i="109"/>
  <c r="D49" i="109"/>
  <c r="C193" i="115"/>
  <c r="H49" i="109"/>
  <c r="D50" i="109"/>
  <c r="C194" i="115" s="1"/>
  <c r="H50" i="109"/>
  <c r="D51" i="109"/>
  <c r="C195" i="115" s="1"/>
  <c r="H51" i="109"/>
  <c r="D52" i="109"/>
  <c r="C196" i="115" s="1"/>
  <c r="H52" i="109"/>
  <c r="D53" i="109"/>
  <c r="C197" i="115" s="1"/>
  <c r="H53" i="109"/>
  <c r="D54" i="109"/>
  <c r="C198" i="115" s="1"/>
  <c r="H54" i="109"/>
  <c r="D55" i="109"/>
  <c r="C199" i="115" s="1"/>
  <c r="H55" i="109"/>
  <c r="D56" i="109"/>
  <c r="C200" i="115" s="1"/>
  <c r="H56" i="109"/>
  <c r="D57" i="109"/>
  <c r="C201" i="115" s="1"/>
  <c r="H57" i="109"/>
  <c r="D58" i="109"/>
  <c r="C202" i="115" s="1"/>
  <c r="H58" i="109"/>
  <c r="D59" i="109"/>
  <c r="C203" i="115" s="1"/>
  <c r="H59" i="109"/>
  <c r="D60" i="109"/>
  <c r="C204" i="115" s="1"/>
  <c r="H60" i="109"/>
  <c r="D61" i="109"/>
  <c r="C205" i="115" s="1"/>
  <c r="H61" i="109"/>
  <c r="D62" i="109"/>
  <c r="C206" i="115"/>
  <c r="H62" i="109"/>
  <c r="H4" i="109"/>
  <c r="C150" i="115"/>
  <c r="G4" i="108"/>
  <c r="D99" i="115"/>
  <c r="D100" i="115"/>
  <c r="D103" i="115"/>
  <c r="D104" i="115"/>
  <c r="C104" i="115" s="1"/>
  <c r="D107" i="115"/>
  <c r="D108" i="115"/>
  <c r="C108" i="115" s="1"/>
  <c r="D81" i="115"/>
  <c r="D82" i="115"/>
  <c r="G59" i="105"/>
  <c r="G5" i="105"/>
  <c r="D29" i="115"/>
  <c r="G6" i="105"/>
  <c r="D30" i="115"/>
  <c r="D31" i="115"/>
  <c r="D32" i="115"/>
  <c r="G9" i="105"/>
  <c r="D35" i="115"/>
  <c r="G12" i="105"/>
  <c r="D37" i="115"/>
  <c r="D38" i="115"/>
  <c r="G15" i="105"/>
  <c r="D39" i="115"/>
  <c r="G16" i="105"/>
  <c r="D40" i="115"/>
  <c r="D41" i="115"/>
  <c r="G19" i="105"/>
  <c r="D43" i="115"/>
  <c r="D44" i="115"/>
  <c r="D45" i="115"/>
  <c r="G22" i="105"/>
  <c r="D46" i="115"/>
  <c r="G23" i="105"/>
  <c r="D47" i="115"/>
  <c r="D48" i="115"/>
  <c r="D49" i="115"/>
  <c r="G26" i="105"/>
  <c r="D50" i="115"/>
  <c r="G27" i="105"/>
  <c r="D51" i="115"/>
  <c r="D54" i="115"/>
  <c r="G31" i="105"/>
  <c r="D55" i="115"/>
  <c r="G32" i="105"/>
  <c r="D56" i="115"/>
  <c r="D57" i="115"/>
  <c r="D58" i="115"/>
  <c r="G35" i="105"/>
  <c r="D59" i="115"/>
  <c r="G36" i="105"/>
  <c r="D60" i="115"/>
  <c r="D61" i="115"/>
  <c r="D62" i="115"/>
  <c r="G39" i="105"/>
  <c r="D63" i="115"/>
  <c r="G40" i="105"/>
  <c r="G42" i="105"/>
  <c r="D66" i="115"/>
  <c r="D67" i="115"/>
  <c r="D68" i="115"/>
  <c r="G45" i="105"/>
  <c r="D69" i="115"/>
  <c r="G46" i="105"/>
  <c r="D70" i="115"/>
  <c r="D71" i="115"/>
  <c r="D72" i="115"/>
  <c r="G49" i="105"/>
  <c r="D73" i="115"/>
  <c r="G50" i="105"/>
  <c r="D74" i="115"/>
  <c r="D75" i="115"/>
  <c r="D76" i="115"/>
  <c r="G53" i="105"/>
  <c r="D77" i="115"/>
  <c r="G54" i="105"/>
  <c r="D78" i="115"/>
  <c r="D79" i="115"/>
  <c r="D80" i="115"/>
  <c r="G57" i="105"/>
  <c r="D99" i="97"/>
  <c r="D5" i="97"/>
  <c r="D24" i="97"/>
  <c r="D126" i="97"/>
  <c r="D125" i="97"/>
  <c r="D17" i="97"/>
  <c r="D32" i="97"/>
  <c r="D35" i="97"/>
  <c r="D7" i="97"/>
  <c r="D108" i="97"/>
  <c r="D61" i="97"/>
  <c r="D37" i="97"/>
  <c r="D127" i="97"/>
  <c r="D152" i="97"/>
  <c r="D142" i="97"/>
  <c r="H142" i="97" s="1"/>
  <c r="D14" i="97"/>
  <c r="D132" i="97"/>
  <c r="D46" i="97"/>
  <c r="D64" i="97"/>
  <c r="D69" i="97"/>
  <c r="D168" i="97"/>
  <c r="H168" i="97" s="1"/>
  <c r="D165" i="97"/>
  <c r="D43" i="97"/>
  <c r="D48" i="97"/>
  <c r="D9" i="97"/>
  <c r="D162" i="97"/>
  <c r="H162" i="97" s="1"/>
  <c r="D169" i="97"/>
  <c r="H169" i="97" s="1"/>
  <c r="D53" i="97"/>
  <c r="D180" i="97"/>
  <c r="H180" i="97" s="1"/>
  <c r="D100" i="97"/>
  <c r="D71" i="97"/>
  <c r="D114" i="97"/>
  <c r="D20" i="97"/>
  <c r="D135" i="97"/>
  <c r="H135" i="97" s="1"/>
  <c r="D67" i="97"/>
  <c r="D147" i="97"/>
  <c r="D56" i="97"/>
  <c r="D75" i="97"/>
  <c r="D36" i="97"/>
  <c r="D106" i="97"/>
  <c r="D30" i="97"/>
  <c r="D12" i="97"/>
  <c r="D160" i="97"/>
  <c r="D33" i="97"/>
  <c r="D178" i="97"/>
  <c r="H178" i="97" s="1"/>
  <c r="D34" i="97"/>
  <c r="D166" i="97"/>
  <c r="D94" i="97"/>
  <c r="D129" i="97"/>
  <c r="D63" i="97"/>
  <c r="D158" i="97"/>
  <c r="H158" i="97" s="1"/>
  <c r="D121" i="97"/>
  <c r="D21" i="97"/>
  <c r="D139" i="97"/>
  <c r="H139" i="97" s="1"/>
  <c r="D179" i="97"/>
  <c r="D112" i="97"/>
  <c r="D42" i="97"/>
  <c r="D50" i="97"/>
  <c r="D172" i="97"/>
  <c r="D18" i="97"/>
  <c r="D155" i="97"/>
  <c r="H155" i="97" s="1"/>
  <c r="D105" i="97"/>
  <c r="D79" i="97"/>
  <c r="D122" i="97"/>
  <c r="D62" i="97"/>
  <c r="D39" i="97"/>
  <c r="D163" i="97"/>
  <c r="H163" i="97" s="1"/>
  <c r="D113" i="97"/>
  <c r="D19" i="97"/>
  <c r="D103" i="97"/>
  <c r="D149" i="97"/>
  <c r="H149" i="97" s="1"/>
  <c r="D167" i="97"/>
  <c r="H167" i="97" s="1"/>
  <c r="D68" i="97"/>
  <c r="D138" i="97"/>
  <c r="H138" i="97" s="1"/>
  <c r="D153" i="97"/>
  <c r="H153" i="97" s="1"/>
  <c r="D82" i="97"/>
  <c r="D66" i="97"/>
  <c r="D161" i="97"/>
  <c r="H161" i="97" s="1"/>
  <c r="D156" i="97"/>
  <c r="D45" i="97"/>
  <c r="D85" i="97"/>
  <c r="D111" i="97"/>
  <c r="D144" i="97"/>
  <c r="D123" i="97"/>
  <c r="D44" i="97"/>
  <c r="D137" i="97"/>
  <c r="H137" i="97" s="1"/>
  <c r="D76" i="97"/>
  <c r="D175" i="97"/>
  <c r="D176" i="97"/>
  <c r="D29" i="97"/>
  <c r="D107" i="97"/>
  <c r="D115" i="97"/>
  <c r="D27" i="97"/>
  <c r="D171" i="97"/>
  <c r="H171" i="97" s="1"/>
  <c r="D72" i="97"/>
  <c r="D119" i="97"/>
  <c r="D102" i="97"/>
  <c r="H148" i="97"/>
  <c r="H140" i="97"/>
  <c r="H126" i="97"/>
  <c r="B149" i="115"/>
  <c r="B213" i="115"/>
  <c r="B215" i="115"/>
  <c r="B231" i="115"/>
  <c r="B241" i="115"/>
  <c r="B95" i="115"/>
  <c r="B109" i="115"/>
  <c r="B8" i="114"/>
  <c r="C219" i="115"/>
  <c r="E63" i="97"/>
  <c r="H184" i="97"/>
  <c r="H154" i="97"/>
  <c r="H164" i="97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098" i="23"/>
  <c r="G1097" i="23"/>
  <c r="G1096" i="23"/>
  <c r="G1071" i="23"/>
  <c r="G1002" i="23"/>
  <c r="G813" i="23"/>
  <c r="G785" i="23"/>
  <c r="G160" i="23"/>
  <c r="AJ4" i="96"/>
  <c r="E260" i="15"/>
  <c r="E306" i="15"/>
  <c r="K90" i="18"/>
  <c r="L744" i="1"/>
  <c r="L90" i="18"/>
  <c r="L737" i="1"/>
  <c r="M90" i="18"/>
  <c r="L748" i="1"/>
  <c r="N90" i="18"/>
  <c r="L156" i="1"/>
  <c r="O90" i="18"/>
  <c r="L164" i="1"/>
  <c r="P90" i="18"/>
  <c r="L188" i="1"/>
  <c r="Q90" i="18"/>
  <c r="L196" i="1"/>
  <c r="R90" i="18"/>
  <c r="L205" i="1"/>
  <c r="S90" i="18"/>
  <c r="L224" i="1"/>
  <c r="T90" i="18"/>
  <c r="L234" i="1"/>
  <c r="U90" i="18"/>
  <c r="L248" i="1"/>
  <c r="V90" i="18"/>
  <c r="L339" i="1"/>
  <c r="W90" i="18"/>
  <c r="L356" i="1"/>
  <c r="X90" i="18"/>
  <c r="L256" i="1"/>
  <c r="Y90" i="18"/>
  <c r="L266" i="1"/>
  <c r="Z90" i="18"/>
  <c r="L274" i="1"/>
  <c r="AA90" i="18"/>
  <c r="L283" i="1"/>
  <c r="AB90" i="18"/>
  <c r="L302" i="1"/>
  <c r="AC90" i="18"/>
  <c r="L307" i="1"/>
  <c r="AD90" i="18"/>
  <c r="L410" i="1"/>
  <c r="AE90" i="18"/>
  <c r="L418" i="1"/>
  <c r="AF90" i="18"/>
  <c r="L445" i="1"/>
  <c r="AG90" i="18"/>
  <c r="L453" i="1"/>
  <c r="AH90" i="18"/>
  <c r="L462" i="1"/>
  <c r="AI90" i="18"/>
  <c r="L482" i="1"/>
  <c r="AJ90" i="18"/>
  <c r="L492" i="1"/>
  <c r="AK90" i="18"/>
  <c r="L1092" i="1"/>
  <c r="AL90" i="18"/>
  <c r="L1101" i="1"/>
  <c r="AM90" i="18"/>
  <c r="L1112" i="1"/>
  <c r="AN90" i="18"/>
  <c r="L1124" i="1"/>
  <c r="AO90" i="18"/>
  <c r="L1137" i="1"/>
  <c r="AP90" i="18"/>
  <c r="L1148" i="1"/>
  <c r="AQ90" i="18"/>
  <c r="L1157" i="1"/>
  <c r="AR90" i="18"/>
  <c r="L1166" i="1"/>
  <c r="AS90" i="18"/>
  <c r="L1177" i="1"/>
  <c r="AT90" i="18"/>
  <c r="L1186" i="1"/>
  <c r="AU90" i="18"/>
  <c r="L1194" i="1"/>
  <c r="AV90" i="18"/>
  <c r="AW90" i="18"/>
  <c r="L1366" i="1"/>
  <c r="AX90" i="18"/>
  <c r="L1374" i="1"/>
  <c r="AY90" i="18"/>
  <c r="L1382" i="1"/>
  <c r="AZ90" i="18"/>
  <c r="L1391" i="1"/>
  <c r="BA90" i="18"/>
  <c r="L1400" i="1"/>
  <c r="BB90" i="18"/>
  <c r="L1409" i="1"/>
  <c r="BC90" i="18"/>
  <c r="BD90" i="18"/>
  <c r="BE90" i="18"/>
  <c r="BF90" i="18"/>
  <c r="L794" i="1"/>
  <c r="BG90" i="18"/>
  <c r="L803" i="1"/>
  <c r="BH90" i="18"/>
  <c r="L863" i="1"/>
  <c r="BI90" i="18"/>
  <c r="L872" i="1"/>
  <c r="BJ90" i="18"/>
  <c r="L927" i="1"/>
  <c r="BK90" i="18"/>
  <c r="L936" i="1"/>
  <c r="BL90" i="18"/>
  <c r="L887" i="1"/>
  <c r="BM90" i="18"/>
  <c r="L896" i="1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CQ90" i="18"/>
  <c r="J90" i="18"/>
  <c r="B90" i="18"/>
  <c r="D90" i="18"/>
  <c r="G1137" i="23"/>
  <c r="E62" i="74"/>
  <c r="E24" i="90"/>
  <c r="E61" i="74"/>
  <c r="E23" i="90"/>
  <c r="G162" i="23"/>
  <c r="G165" i="23"/>
  <c r="L346" i="1"/>
  <c r="L345" i="1"/>
  <c r="L353" i="1"/>
  <c r="L349" i="1"/>
  <c r="L352" i="1"/>
  <c r="L348" i="1"/>
  <c r="L355" i="1"/>
  <c r="L351" i="1"/>
  <c r="L347" i="1"/>
  <c r="L350" i="1"/>
  <c r="K14" i="1"/>
  <c r="AJ3" i="96"/>
  <c r="C86" i="78"/>
  <c r="B82" i="79" s="1"/>
  <c r="C87" i="78"/>
  <c r="B83" i="79" s="1"/>
  <c r="C88" i="78"/>
  <c r="B84" i="79" s="1"/>
  <c r="C89" i="78"/>
  <c r="B85" i="79" s="1"/>
  <c r="C90" i="78"/>
  <c r="B86" i="79" s="1"/>
  <c r="C91" i="78"/>
  <c r="B87" i="79" s="1"/>
  <c r="C92" i="78"/>
  <c r="B88" i="79" s="1"/>
  <c r="C93" i="78"/>
  <c r="B89" i="79" s="1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 s="1"/>
  <c r="C8" i="78"/>
  <c r="C9" i="78"/>
  <c r="C10" i="78"/>
  <c r="B7" i="79" s="1"/>
  <c r="C11" i="78"/>
  <c r="B8" i="79" s="1"/>
  <c r="C14" i="78"/>
  <c r="B10" i="79" s="1"/>
  <c r="C15" i="78"/>
  <c r="B11" i="79"/>
  <c r="C16" i="78"/>
  <c r="B12" i="79" s="1"/>
  <c r="C17" i="78"/>
  <c r="B13" i="79" s="1"/>
  <c r="C18" i="78"/>
  <c r="B14" i="79" s="1"/>
  <c r="C19" i="78"/>
  <c r="B15" i="79" s="1"/>
  <c r="C20" i="78"/>
  <c r="B16" i="79"/>
  <c r="C21" i="78"/>
  <c r="B17" i="79" s="1"/>
  <c r="C22" i="78"/>
  <c r="B18" i="79" s="1"/>
  <c r="C23" i="78"/>
  <c r="B19" i="79" s="1"/>
  <c r="C24" i="78"/>
  <c r="B20" i="79"/>
  <c r="C25" i="78"/>
  <c r="B21" i="79" s="1"/>
  <c r="C26" i="78"/>
  <c r="B22" i="79" s="1"/>
  <c r="C27" i="78"/>
  <c r="B23" i="79" s="1"/>
  <c r="C28" i="78"/>
  <c r="B24" i="79" s="1"/>
  <c r="C29" i="78"/>
  <c r="B25" i="79" s="1"/>
  <c r="C30" i="78"/>
  <c r="B26" i="79" s="1"/>
  <c r="C31" i="78"/>
  <c r="B27" i="79" s="1"/>
  <c r="C32" i="78"/>
  <c r="B28" i="79" s="1"/>
  <c r="C33" i="78"/>
  <c r="B29" i="79" s="1"/>
  <c r="C34" i="78"/>
  <c r="B30" i="79" s="1"/>
  <c r="C35" i="78"/>
  <c r="B31" i="79" s="1"/>
  <c r="C36" i="78"/>
  <c r="B32" i="79" s="1"/>
  <c r="C37" i="78"/>
  <c r="B33" i="79" s="1"/>
  <c r="C38" i="78"/>
  <c r="B34" i="79" s="1"/>
  <c r="C39" i="78"/>
  <c r="B35" i="79" s="1"/>
  <c r="C40" i="78"/>
  <c r="B36" i="79" s="1"/>
  <c r="C41" i="78"/>
  <c r="B37" i="79" s="1"/>
  <c r="C42" i="78"/>
  <c r="B38" i="79" s="1"/>
  <c r="C43" i="78"/>
  <c r="B39" i="79" s="1"/>
  <c r="C44" i="78"/>
  <c r="B40" i="79" s="1"/>
  <c r="C45" i="78"/>
  <c r="B41" i="79" s="1"/>
  <c r="C46" i="78"/>
  <c r="B42" i="79" s="1"/>
  <c r="C47" i="78"/>
  <c r="B43" i="79" s="1"/>
  <c r="C48" i="78"/>
  <c r="B44" i="79" s="1"/>
  <c r="C49" i="78"/>
  <c r="B45" i="79" s="1"/>
  <c r="C50" i="78"/>
  <c r="B46" i="79" s="1"/>
  <c r="C51" i="78"/>
  <c r="B47" i="79" s="1"/>
  <c r="C52" i="78"/>
  <c r="B48" i="79" s="1"/>
  <c r="C53" i="78"/>
  <c r="B49" i="79" s="1"/>
  <c r="C54" i="78"/>
  <c r="B50" i="79" s="1"/>
  <c r="C55" i="78"/>
  <c r="B51" i="79" s="1"/>
  <c r="C56" i="78"/>
  <c r="B52" i="79" s="1"/>
  <c r="C57" i="78"/>
  <c r="B53" i="79" s="1"/>
  <c r="C58" i="78"/>
  <c r="B54" i="79" s="1"/>
  <c r="C59" i="78"/>
  <c r="B55" i="79" s="1"/>
  <c r="C60" i="78"/>
  <c r="B56" i="79" s="1"/>
  <c r="C61" i="78"/>
  <c r="B57" i="79" s="1"/>
  <c r="C62" i="78"/>
  <c r="B58" i="79" s="1"/>
  <c r="C63" i="78"/>
  <c r="B59" i="79" s="1"/>
  <c r="C64" i="78"/>
  <c r="B60" i="79"/>
  <c r="C65" i="78"/>
  <c r="B61" i="79" s="1"/>
  <c r="C66" i="78"/>
  <c r="B62" i="79" s="1"/>
  <c r="C67" i="78"/>
  <c r="B63" i="79" s="1"/>
  <c r="C68" i="78"/>
  <c r="B64" i="79" s="1"/>
  <c r="C69" i="78"/>
  <c r="B65" i="79" s="1"/>
  <c r="C70" i="78"/>
  <c r="B66" i="79" s="1"/>
  <c r="C71" i="78"/>
  <c r="B67" i="79" s="1"/>
  <c r="C72" i="78"/>
  <c r="B68" i="79" s="1"/>
  <c r="C73" i="78"/>
  <c r="B69" i="79" s="1"/>
  <c r="C74" i="78"/>
  <c r="B70" i="79" s="1"/>
  <c r="C75" i="78"/>
  <c r="B71" i="79" s="1"/>
  <c r="C76" i="78"/>
  <c r="B72" i="79" s="1"/>
  <c r="C77" i="78"/>
  <c r="B73" i="79" s="1"/>
  <c r="C78" i="78"/>
  <c r="B74" i="79" s="1"/>
  <c r="C79" i="78"/>
  <c r="B75" i="79" s="1"/>
  <c r="C80" i="78"/>
  <c r="B76" i="79" s="1"/>
  <c r="C81" i="78"/>
  <c r="B77" i="79" s="1"/>
  <c r="C82" i="78"/>
  <c r="B78" i="79" s="1"/>
  <c r="C83" i="78"/>
  <c r="B79" i="79" s="1"/>
  <c r="C84" i="78"/>
  <c r="B80" i="79" s="1"/>
  <c r="C85" i="78"/>
  <c r="B81" i="79" s="1"/>
  <c r="E17" i="79"/>
  <c r="F17" i="79"/>
  <c r="J22" i="78"/>
  <c r="K22" i="78"/>
  <c r="B118" i="115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 s="1"/>
  <c r="G8" i="78"/>
  <c r="F5" i="79" s="1"/>
  <c r="G9" i="78"/>
  <c r="F6" i="79" s="1"/>
  <c r="G10" i="78"/>
  <c r="F7" i="79" s="1"/>
  <c r="G11" i="78"/>
  <c r="F8" i="79" s="1"/>
  <c r="F9" i="79"/>
  <c r="F10" i="79"/>
  <c r="F13" i="79"/>
  <c r="F15" i="79"/>
  <c r="F19" i="79"/>
  <c r="F20" i="79"/>
  <c r="F21" i="79"/>
  <c r="F23" i="79"/>
  <c r="F24" i="79"/>
  <c r="F25" i="79"/>
  <c r="F27" i="79"/>
  <c r="F28" i="79"/>
  <c r="F29" i="79"/>
  <c r="F31" i="79"/>
  <c r="F32" i="79"/>
  <c r="F33" i="79"/>
  <c r="G6" i="78"/>
  <c r="F7" i="78"/>
  <c r="E4" i="79" s="1"/>
  <c r="F8" i="78"/>
  <c r="E5" i="79" s="1"/>
  <c r="F9" i="78"/>
  <c r="E6" i="79" s="1"/>
  <c r="F10" i="78"/>
  <c r="E7" i="79" s="1"/>
  <c r="F11" i="78"/>
  <c r="E8" i="79" s="1"/>
  <c r="E9" i="79"/>
  <c r="E10" i="79"/>
  <c r="E12" i="79"/>
  <c r="E14" i="79"/>
  <c r="E15" i="79"/>
  <c r="F6" i="78"/>
  <c r="F166" i="97"/>
  <c r="F94" i="97"/>
  <c r="F129" i="97"/>
  <c r="F63" i="97"/>
  <c r="F158" i="97"/>
  <c r="F121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H2209" i="1"/>
  <c r="P2209" i="1"/>
  <c r="B2273" i="1"/>
  <c r="B2233" i="1"/>
  <c r="B2232" i="1"/>
  <c r="B2230" i="1"/>
  <c r="B2228" i="1"/>
  <c r="B2218" i="1"/>
  <c r="B2217" i="1"/>
  <c r="B2216" i="1"/>
  <c r="B2207" i="1"/>
  <c r="B2206" i="1"/>
  <c r="B2205" i="1"/>
  <c r="B1891" i="1"/>
  <c r="B1889" i="1"/>
  <c r="C232" i="115"/>
  <c r="V2236" i="1"/>
  <c r="U2236" i="1"/>
  <c r="U2206" i="1"/>
  <c r="V2206" i="1"/>
  <c r="U2218" i="1"/>
  <c r="V2218" i="1"/>
  <c r="Y2218" i="1" s="1"/>
  <c r="U2233" i="1"/>
  <c r="V2233" i="1"/>
  <c r="Y2233" i="1" s="1"/>
  <c r="U2216" i="1"/>
  <c r="V2216" i="1"/>
  <c r="Y2216" i="1" s="1"/>
  <c r="E2230" i="1"/>
  <c r="V2230" i="1"/>
  <c r="Y2230" i="1" s="1"/>
  <c r="U2230" i="1"/>
  <c r="V2205" i="1"/>
  <c r="Y2205" i="1" s="1"/>
  <c r="U2205" i="1"/>
  <c r="V2217" i="1"/>
  <c r="Y2217" i="1" s="1"/>
  <c r="U2217" i="1"/>
  <c r="V2232" i="1"/>
  <c r="Y2232" i="1" s="1"/>
  <c r="U2232" i="1"/>
  <c r="E1889" i="1"/>
  <c r="V1889" i="1"/>
  <c r="Y1889" i="1" s="1"/>
  <c r="U1889" i="1"/>
  <c r="V2207" i="1"/>
  <c r="Y2207" i="1" s="1"/>
  <c r="U2207" i="1"/>
  <c r="E2228" i="1"/>
  <c r="V2228" i="1"/>
  <c r="Y2228" i="1" s="1"/>
  <c r="U2228" i="1"/>
  <c r="U2273" i="1"/>
  <c r="V2273" i="1"/>
  <c r="Y2273" i="1" s="1"/>
  <c r="E1891" i="1"/>
  <c r="V1891" i="1"/>
  <c r="Y1891" i="1" s="1"/>
  <c r="U1891" i="1"/>
  <c r="E11" i="113"/>
  <c r="C216" i="115"/>
  <c r="C220" i="115"/>
  <c r="C230" i="115"/>
  <c r="C229" i="115"/>
  <c r="C228" i="115"/>
  <c r="C226" i="115"/>
  <c r="C221" i="115"/>
  <c r="C222" i="115"/>
  <c r="C223" i="115"/>
  <c r="C218" i="115"/>
  <c r="F5" i="110"/>
  <c r="G5" i="110" s="1"/>
  <c r="G15" i="110"/>
  <c r="F15" i="110"/>
  <c r="E15" i="110"/>
  <c r="D15" i="110"/>
  <c r="G14" i="110"/>
  <c r="F14" i="110"/>
  <c r="E14" i="110"/>
  <c r="D14" i="110"/>
  <c r="G13" i="110"/>
  <c r="F13" i="110"/>
  <c r="E13" i="110"/>
  <c r="D13" i="110"/>
  <c r="G12" i="110"/>
  <c r="F12" i="110"/>
  <c r="E12" i="110"/>
  <c r="D12" i="110"/>
  <c r="G11" i="110"/>
  <c r="F11" i="110"/>
  <c r="E11" i="110"/>
  <c r="D11" i="110"/>
  <c r="G10" i="110"/>
  <c r="F10" i="110"/>
  <c r="E10" i="110"/>
  <c r="D10" i="110"/>
  <c r="G9" i="110"/>
  <c r="F9" i="110"/>
  <c r="E9" i="110"/>
  <c r="D9" i="110"/>
  <c r="G8" i="110"/>
  <c r="F8" i="110"/>
  <c r="E8" i="110"/>
  <c r="D8" i="110"/>
  <c r="G7" i="110"/>
  <c r="F7" i="110"/>
  <c r="E7" i="110"/>
  <c r="D7" i="110"/>
  <c r="I6" i="110"/>
  <c r="I4" i="110"/>
  <c r="G10" i="107"/>
  <c r="F10" i="107"/>
  <c r="D116" i="115" s="1"/>
  <c r="G9" i="107"/>
  <c r="F9" i="107"/>
  <c r="D115" i="115" s="1"/>
  <c r="G8" i="107"/>
  <c r="G7" i="107"/>
  <c r="G6" i="107"/>
  <c r="F6" i="107"/>
  <c r="D112" i="115" s="1"/>
  <c r="G5" i="107"/>
  <c r="G4" i="107"/>
  <c r="D106" i="115"/>
  <c r="C106" i="115" s="1"/>
  <c r="D101" i="115"/>
  <c r="C101" i="115" s="1"/>
  <c r="D34" i="115"/>
  <c r="AQ2" i="96"/>
  <c r="E84" i="78"/>
  <c r="E80" i="26" s="1"/>
  <c r="E85" i="78"/>
  <c r="E86" i="78"/>
  <c r="E87" i="78"/>
  <c r="O87" i="78" s="1"/>
  <c r="E88" i="78"/>
  <c r="O88" i="78" s="1"/>
  <c r="E89" i="78"/>
  <c r="O89" i="78" s="1"/>
  <c r="E90" i="78"/>
  <c r="E91" i="78"/>
  <c r="O91" i="78" s="1"/>
  <c r="E92" i="78"/>
  <c r="O92" i="78" s="1"/>
  <c r="E93" i="78"/>
  <c r="E94" i="78"/>
  <c r="O94" i="78" s="1"/>
  <c r="E95" i="78"/>
  <c r="O95" i="78" s="1"/>
  <c r="E96" i="78"/>
  <c r="O96" i="78" s="1"/>
  <c r="E97" i="78"/>
  <c r="O97" i="78" s="1"/>
  <c r="E98" i="78"/>
  <c r="O98" i="78" s="1"/>
  <c r="E99" i="78"/>
  <c r="O99" i="78" s="1"/>
  <c r="E100" i="78"/>
  <c r="O100" i="78" s="1"/>
  <c r="E101" i="78"/>
  <c r="O101" i="78" s="1"/>
  <c r="E102" i="78"/>
  <c r="O102" i="78" s="1"/>
  <c r="E103" i="78"/>
  <c r="O103" i="78" s="1"/>
  <c r="E104" i="78"/>
  <c r="O104" i="78" s="1"/>
  <c r="E105" i="78"/>
  <c r="O105" i="78" s="1"/>
  <c r="E106" i="78"/>
  <c r="O106" i="78" s="1"/>
  <c r="E107" i="78"/>
  <c r="O107" i="78" s="1"/>
  <c r="E108" i="78"/>
  <c r="O108" i="78" s="1"/>
  <c r="E109" i="78"/>
  <c r="O109" i="78" s="1"/>
  <c r="E110" i="78"/>
  <c r="O110" i="78" s="1"/>
  <c r="E111" i="78"/>
  <c r="O111" i="78" s="1"/>
  <c r="E112" i="78"/>
  <c r="O112" i="78" s="1"/>
  <c r="E113" i="78"/>
  <c r="O113" i="78" s="1"/>
  <c r="E114" i="78"/>
  <c r="O114" i="78" s="1"/>
  <c r="E115" i="78"/>
  <c r="O115" i="78" s="1"/>
  <c r="E116" i="78"/>
  <c r="O116" i="78" s="1"/>
  <c r="E117" i="78"/>
  <c r="O117" i="78" s="1"/>
  <c r="E118" i="78"/>
  <c r="O118" i="78" s="1"/>
  <c r="E119" i="78"/>
  <c r="O119" i="78" s="1"/>
  <c r="E120" i="78"/>
  <c r="O120" i="78" s="1"/>
  <c r="E121" i="78"/>
  <c r="O121" i="78" s="1"/>
  <c r="E122" i="78"/>
  <c r="O122" i="78" s="1"/>
  <c r="E123" i="78"/>
  <c r="O123" i="78" s="1"/>
  <c r="E124" i="78"/>
  <c r="O124" i="78" s="1"/>
  <c r="E125" i="78"/>
  <c r="O125" i="78" s="1"/>
  <c r="E126" i="78"/>
  <c r="O126" i="78" s="1"/>
  <c r="E127" i="78"/>
  <c r="O127" i="78" s="1"/>
  <c r="E128" i="78"/>
  <c r="O128" i="78" s="1"/>
  <c r="E129" i="78"/>
  <c r="O129" i="78" s="1"/>
  <c r="D7" i="78"/>
  <c r="C4" i="79" s="1"/>
  <c r="D8" i="78"/>
  <c r="C5" i="79" s="1"/>
  <c r="D9" i="78"/>
  <c r="C6" i="79" s="1"/>
  <c r="D10" i="78"/>
  <c r="C7" i="79" s="1"/>
  <c r="D11" i="78"/>
  <c r="C8" i="79" s="1"/>
  <c r="D14" i="78"/>
  <c r="C10" i="79" s="1"/>
  <c r="D15" i="78"/>
  <c r="C11" i="79" s="1"/>
  <c r="D16" i="78"/>
  <c r="C12" i="79" s="1"/>
  <c r="D17" i="78"/>
  <c r="C13" i="79" s="1"/>
  <c r="D18" i="78"/>
  <c r="C14" i="79" s="1"/>
  <c r="D19" i="78"/>
  <c r="C15" i="79" s="1"/>
  <c r="D20" i="78"/>
  <c r="C16" i="79" s="1"/>
  <c r="D21" i="78"/>
  <c r="C17" i="79" s="1"/>
  <c r="D22" i="78"/>
  <c r="C18" i="79" s="1"/>
  <c r="D23" i="78"/>
  <c r="C19" i="79" s="1"/>
  <c r="D24" i="78"/>
  <c r="C20" i="79" s="1"/>
  <c r="D25" i="78"/>
  <c r="C21" i="79" s="1"/>
  <c r="D26" i="78"/>
  <c r="C22" i="79" s="1"/>
  <c r="D27" i="78"/>
  <c r="C23" i="79" s="1"/>
  <c r="D28" i="78"/>
  <c r="C24" i="79" s="1"/>
  <c r="D29" i="78"/>
  <c r="C25" i="79" s="1"/>
  <c r="D30" i="78"/>
  <c r="C26" i="79" s="1"/>
  <c r="D31" i="78"/>
  <c r="C27" i="79" s="1"/>
  <c r="D32" i="78"/>
  <c r="C28" i="79" s="1"/>
  <c r="D33" i="78"/>
  <c r="C29" i="79" s="1"/>
  <c r="D34" i="78"/>
  <c r="C30" i="79" s="1"/>
  <c r="D35" i="78"/>
  <c r="C31" i="79" s="1"/>
  <c r="D36" i="78"/>
  <c r="C32" i="79" s="1"/>
  <c r="D37" i="78"/>
  <c r="C33" i="79" s="1"/>
  <c r="D38" i="78"/>
  <c r="C34" i="79" s="1"/>
  <c r="D39" i="78"/>
  <c r="C35" i="79" s="1"/>
  <c r="D40" i="78"/>
  <c r="C36" i="79" s="1"/>
  <c r="D41" i="78"/>
  <c r="C37" i="79" s="1"/>
  <c r="D42" i="78"/>
  <c r="C38" i="79" s="1"/>
  <c r="D43" i="78"/>
  <c r="C39" i="79" s="1"/>
  <c r="D44" i="78"/>
  <c r="C40" i="79" s="1"/>
  <c r="D45" i="78"/>
  <c r="C41" i="79" s="1"/>
  <c r="D46" i="78"/>
  <c r="C42" i="79" s="1"/>
  <c r="D47" i="78"/>
  <c r="C43" i="79" s="1"/>
  <c r="D48" i="78"/>
  <c r="C44" i="79" s="1"/>
  <c r="D49" i="78"/>
  <c r="C45" i="79" s="1"/>
  <c r="D50" i="78"/>
  <c r="C46" i="79" s="1"/>
  <c r="D51" i="78"/>
  <c r="C47" i="79" s="1"/>
  <c r="D52" i="78"/>
  <c r="C48" i="79" s="1"/>
  <c r="D53" i="78"/>
  <c r="C49" i="79" s="1"/>
  <c r="D54" i="78"/>
  <c r="C50" i="79" s="1"/>
  <c r="D55" i="78"/>
  <c r="C51" i="79" s="1"/>
  <c r="D56" i="78"/>
  <c r="C52" i="79" s="1"/>
  <c r="D57" i="78"/>
  <c r="C53" i="79" s="1"/>
  <c r="D58" i="78"/>
  <c r="C54" i="79" s="1"/>
  <c r="D59" i="78"/>
  <c r="C55" i="79" s="1"/>
  <c r="D60" i="78"/>
  <c r="C56" i="79" s="1"/>
  <c r="D61" i="78"/>
  <c r="C57" i="79" s="1"/>
  <c r="D62" i="78"/>
  <c r="C58" i="79" s="1"/>
  <c r="D63" i="78"/>
  <c r="C59" i="79" s="1"/>
  <c r="D64" i="78"/>
  <c r="C60" i="79" s="1"/>
  <c r="D65" i="78"/>
  <c r="C61" i="79" s="1"/>
  <c r="D66" i="78"/>
  <c r="C62" i="79" s="1"/>
  <c r="D67" i="78"/>
  <c r="C63" i="79" s="1"/>
  <c r="D68" i="78"/>
  <c r="C64" i="79" s="1"/>
  <c r="D69" i="78"/>
  <c r="C65" i="79" s="1"/>
  <c r="D70" i="78"/>
  <c r="C66" i="79" s="1"/>
  <c r="D71" i="78"/>
  <c r="C67" i="79" s="1"/>
  <c r="D72" i="78"/>
  <c r="C68" i="79" s="1"/>
  <c r="D73" i="78"/>
  <c r="C69" i="79" s="1"/>
  <c r="D74" i="78"/>
  <c r="C70" i="79" s="1"/>
  <c r="D75" i="78"/>
  <c r="C71" i="79" s="1"/>
  <c r="D76" i="78"/>
  <c r="C72" i="79" s="1"/>
  <c r="D77" i="78"/>
  <c r="C73" i="79" s="1"/>
  <c r="D78" i="78"/>
  <c r="C74" i="79" s="1"/>
  <c r="D79" i="78"/>
  <c r="C75" i="79" s="1"/>
  <c r="D80" i="78"/>
  <c r="C76" i="79" s="1"/>
  <c r="D81" i="78"/>
  <c r="C77" i="79" s="1"/>
  <c r="D82" i="78"/>
  <c r="C78" i="79" s="1"/>
  <c r="D83" i="78"/>
  <c r="C79" i="79" s="1"/>
  <c r="D84" i="78"/>
  <c r="C80" i="79" s="1"/>
  <c r="D85" i="78"/>
  <c r="C81" i="79" s="1"/>
  <c r="D86" i="78"/>
  <c r="C82" i="79" s="1"/>
  <c r="D87" i="78"/>
  <c r="C83" i="79" s="1"/>
  <c r="D88" i="78"/>
  <c r="C84" i="79" s="1"/>
  <c r="D89" i="78"/>
  <c r="C85" i="79" s="1"/>
  <c r="D90" i="78"/>
  <c r="C86" i="79"/>
  <c r="D91" i="78"/>
  <c r="C87" i="79" s="1"/>
  <c r="D92" i="78"/>
  <c r="C88" i="79" s="1"/>
  <c r="D93" i="78"/>
  <c r="C89" i="79" s="1"/>
  <c r="D94" i="78"/>
  <c r="D95" i="78"/>
  <c r="C90" i="79" s="1"/>
  <c r="D96" i="78"/>
  <c r="D97" i="78"/>
  <c r="D98" i="78"/>
  <c r="C93" i="79" s="1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B5" i="79"/>
  <c r="B6" i="79"/>
  <c r="F99" i="97"/>
  <c r="F5" i="97"/>
  <c r="F24" i="97"/>
  <c r="F126" i="97"/>
  <c r="F125" i="97"/>
  <c r="F17" i="97"/>
  <c r="F32" i="97"/>
  <c r="F35" i="97"/>
  <c r="F7" i="97"/>
  <c r="F108" i="97"/>
  <c r="F61" i="97"/>
  <c r="F37" i="97"/>
  <c r="F127" i="97"/>
  <c r="F152" i="97"/>
  <c r="F142" i="97"/>
  <c r="F14" i="97"/>
  <c r="F132" i="97"/>
  <c r="F46" i="97"/>
  <c r="F64" i="97"/>
  <c r="F69" i="97"/>
  <c r="F168" i="97"/>
  <c r="F165" i="97"/>
  <c r="F43" i="97"/>
  <c r="F48" i="97"/>
  <c r="F9" i="97"/>
  <c r="F162" i="97"/>
  <c r="F169" i="97"/>
  <c r="F53" i="97"/>
  <c r="F180" i="97"/>
  <c r="F100" i="97"/>
  <c r="F71" i="97"/>
  <c r="F114" i="97"/>
  <c r="F20" i="97"/>
  <c r="F135" i="97"/>
  <c r="F67" i="97"/>
  <c r="F147" i="97"/>
  <c r="F56" i="97"/>
  <c r="F75" i="97"/>
  <c r="F36" i="97"/>
  <c r="F106" i="97"/>
  <c r="F30" i="97"/>
  <c r="F12" i="97"/>
  <c r="F160" i="97"/>
  <c r="F33" i="97"/>
  <c r="F178" i="97"/>
  <c r="F34" i="97"/>
  <c r="F21" i="97"/>
  <c r="F139" i="97"/>
  <c r="F179" i="97"/>
  <c r="F112" i="97"/>
  <c r="F42" i="97"/>
  <c r="F50" i="97"/>
  <c r="F172" i="97"/>
  <c r="F18" i="97"/>
  <c r="F155" i="97"/>
  <c r="F105" i="97"/>
  <c r="F79" i="97"/>
  <c r="F122" i="97"/>
  <c r="F62" i="97"/>
  <c r="F39" i="97"/>
  <c r="F163" i="97"/>
  <c r="F113" i="97"/>
  <c r="F19" i="97"/>
  <c r="F103" i="97"/>
  <c r="F149" i="97"/>
  <c r="F167" i="97"/>
  <c r="F68" i="97"/>
  <c r="F138" i="97"/>
  <c r="F153" i="97"/>
  <c r="F82" i="97"/>
  <c r="F66" i="97"/>
  <c r="F161" i="97"/>
  <c r="F156" i="97"/>
  <c r="F45" i="97"/>
  <c r="F85" i="97"/>
  <c r="F111" i="97"/>
  <c r="F144" i="97"/>
  <c r="F123" i="97"/>
  <c r="F44" i="97"/>
  <c r="F137" i="97"/>
  <c r="F76" i="97"/>
  <c r="F175" i="97"/>
  <c r="F176" i="97"/>
  <c r="F29" i="97"/>
  <c r="F107" i="97"/>
  <c r="F115" i="97"/>
  <c r="F27" i="97"/>
  <c r="F171" i="97"/>
  <c r="F87" i="97"/>
  <c r="F72" i="97"/>
  <c r="F119" i="97"/>
  <c r="F102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H174" i="1"/>
  <c r="E6" i="121" s="1"/>
  <c r="I6" i="121" s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 s="1"/>
  <c r="CQ111" i="41"/>
  <c r="K619" i="1"/>
  <c r="K623" i="1" s="1"/>
  <c r="CR111" i="41"/>
  <c r="CS111" i="41"/>
  <c r="CT111" i="41"/>
  <c r="CU111" i="41"/>
  <c r="K640" i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EC111" i="41"/>
  <c r="ED111" i="41"/>
  <c r="EE111" i="41"/>
  <c r="EF111" i="41"/>
  <c r="EG111" i="41"/>
  <c r="EH111" i="41"/>
  <c r="EI111" i="41"/>
  <c r="EJ111" i="41"/>
  <c r="EK111" i="41"/>
  <c r="EL111" i="41"/>
  <c r="EM111" i="41"/>
  <c r="EN111" i="4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C2234" i="1"/>
  <c r="D89" i="79"/>
  <c r="G89" i="79" s="1"/>
  <c r="O93" i="78"/>
  <c r="D81" i="79"/>
  <c r="G81" i="79" s="1"/>
  <c r="O85" i="78"/>
  <c r="K2234" i="1"/>
  <c r="H2234" i="1"/>
  <c r="P2234" i="1"/>
  <c r="D87" i="79"/>
  <c r="G87" i="79" s="1"/>
  <c r="D83" i="79"/>
  <c r="G83" i="79" s="1"/>
  <c r="D84" i="79"/>
  <c r="G84" i="79" s="1"/>
  <c r="G2233" i="1"/>
  <c r="K339" i="1"/>
  <c r="G1003" i="23"/>
  <c r="K1838" i="1"/>
  <c r="G1838" i="1"/>
  <c r="G902" i="23"/>
  <c r="B904" i="23"/>
  <c r="H1838" i="1"/>
  <c r="H2233" i="1"/>
  <c r="C2233" i="1"/>
  <c r="G1860" i="1"/>
  <c r="H339" i="1"/>
  <c r="K345" i="1"/>
  <c r="K346" i="1"/>
  <c r="K347" i="1"/>
  <c r="K348" i="1"/>
  <c r="K349" i="1"/>
  <c r="K350" i="1"/>
  <c r="K351" i="1"/>
  <c r="K352" i="1"/>
  <c r="K353" i="1"/>
  <c r="K355" i="1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40" i="23"/>
  <c r="G733" i="23"/>
  <c r="G735" i="23"/>
  <c r="G730" i="23"/>
  <c r="G729" i="23"/>
  <c r="G728" i="23"/>
  <c r="G727" i="23"/>
  <c r="G701" i="23"/>
  <c r="G711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355" i="1"/>
  <c r="H346" i="1"/>
  <c r="G108" i="23"/>
  <c r="G110" i="23"/>
  <c r="G106" i="23"/>
  <c r="G421" i="23"/>
  <c r="G273" i="23"/>
  <c r="G274" i="23"/>
  <c r="G276" i="23"/>
  <c r="H791" i="23"/>
  <c r="G734" i="23"/>
  <c r="G739" i="23"/>
  <c r="G741" i="23"/>
  <c r="G744" i="23"/>
  <c r="G746" i="23"/>
  <c r="G748" i="23"/>
  <c r="G754" i="23"/>
  <c r="G756" i="23"/>
  <c r="G758" i="23"/>
  <c r="G738" i="23"/>
  <c r="G745" i="23"/>
  <c r="G747" i="23"/>
  <c r="G752" i="23"/>
  <c r="G755" i="23"/>
  <c r="G703" i="23"/>
  <c r="G706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B1440" i="1"/>
  <c r="B1432" i="1"/>
  <c r="B1431" i="1"/>
  <c r="B1423" i="1"/>
  <c r="B1422" i="1"/>
  <c r="B1414" i="1"/>
  <c r="B1413" i="1"/>
  <c r="B1405" i="1"/>
  <c r="B1404" i="1"/>
  <c r="B1396" i="1"/>
  <c r="B1395" i="1"/>
  <c r="B1387" i="1"/>
  <c r="B1386" i="1"/>
  <c r="B1378" i="1"/>
  <c r="B1377" i="1"/>
  <c r="B1370" i="1"/>
  <c r="B1369" i="1"/>
  <c r="B527" i="1"/>
  <c r="B526" i="1"/>
  <c r="B516" i="1"/>
  <c r="B515" i="1"/>
  <c r="B506" i="1"/>
  <c r="B505" i="1"/>
  <c r="B497" i="1"/>
  <c r="B496" i="1"/>
  <c r="B487" i="1"/>
  <c r="B486" i="1"/>
  <c r="B476" i="1"/>
  <c r="B475" i="1"/>
  <c r="B466" i="1"/>
  <c r="B465" i="1"/>
  <c r="B458" i="1"/>
  <c r="B457" i="1"/>
  <c r="B449" i="1"/>
  <c r="B448" i="1"/>
  <c r="B423" i="1"/>
  <c r="B422" i="1"/>
  <c r="B414" i="1"/>
  <c r="B413" i="1"/>
  <c r="B383" i="1"/>
  <c r="B362" i="1"/>
  <c r="B345" i="1"/>
  <c r="B331" i="1"/>
  <c r="B330" i="1"/>
  <c r="B322" i="1"/>
  <c r="B321" i="1"/>
  <c r="B312" i="1"/>
  <c r="B311" i="1"/>
  <c r="B306" i="1"/>
  <c r="B305" i="1"/>
  <c r="B296" i="1"/>
  <c r="B295" i="1"/>
  <c r="B287" i="1"/>
  <c r="B286" i="1"/>
  <c r="B279" i="1"/>
  <c r="B278" i="1"/>
  <c r="B270" i="1"/>
  <c r="B269" i="1"/>
  <c r="B261" i="1"/>
  <c r="B260" i="1"/>
  <c r="B252" i="1"/>
  <c r="B251" i="1"/>
  <c r="B246" i="1"/>
  <c r="B245" i="1"/>
  <c r="B239" i="1"/>
  <c r="B238" i="1"/>
  <c r="B229" i="1"/>
  <c r="B228" i="1"/>
  <c r="B218" i="1"/>
  <c r="B217" i="1"/>
  <c r="B209" i="1"/>
  <c r="B208" i="1"/>
  <c r="B201" i="1"/>
  <c r="B200" i="1"/>
  <c r="B192" i="1"/>
  <c r="B191" i="1"/>
  <c r="B169" i="1"/>
  <c r="B168" i="1"/>
  <c r="B160" i="1"/>
  <c r="B159" i="1"/>
  <c r="B147" i="1"/>
  <c r="B146" i="1"/>
  <c r="B138" i="1"/>
  <c r="B137" i="1"/>
  <c r="B130" i="1"/>
  <c r="B129" i="1"/>
  <c r="B121" i="1"/>
  <c r="B120" i="1"/>
  <c r="B113" i="1"/>
  <c r="B112" i="1"/>
  <c r="B71" i="1"/>
  <c r="B70" i="1"/>
  <c r="B65" i="1"/>
  <c r="B64" i="1"/>
  <c r="B58" i="1"/>
  <c r="B57" i="1"/>
  <c r="B49" i="1"/>
  <c r="B48" i="1"/>
  <c r="B41" i="1"/>
  <c r="B40" i="1"/>
  <c r="B32" i="1"/>
  <c r="B31" i="1"/>
  <c r="B22" i="1"/>
  <c r="B21" i="1"/>
  <c r="B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U15" i="1"/>
  <c r="X15" i="1" s="1"/>
  <c r="V15" i="1"/>
  <c r="Y15" i="1" s="1"/>
  <c r="V16" i="1"/>
  <c r="Y16" i="1" s="1"/>
  <c r="U16" i="1"/>
  <c r="X16" i="1" s="1"/>
  <c r="U21" i="1"/>
  <c r="X21" i="1" s="1"/>
  <c r="V21" i="1"/>
  <c r="Y21" i="1" s="1"/>
  <c r="V22" i="1"/>
  <c r="Y22" i="1" s="1"/>
  <c r="U22" i="1"/>
  <c r="U31" i="1"/>
  <c r="X31" i="1" s="1"/>
  <c r="V31" i="1"/>
  <c r="Y31" i="1" s="1"/>
  <c r="V32" i="1"/>
  <c r="Y32" i="1" s="1"/>
  <c r="U32" i="1"/>
  <c r="X32" i="1" s="1"/>
  <c r="V40" i="1"/>
  <c r="Y40" i="1" s="1"/>
  <c r="U40" i="1"/>
  <c r="X40" i="1" s="1"/>
  <c r="U41" i="1"/>
  <c r="X41" i="1" s="1"/>
  <c r="V41" i="1"/>
  <c r="Y41" i="1" s="1"/>
  <c r="V48" i="1"/>
  <c r="Y48" i="1" s="1"/>
  <c r="U48" i="1"/>
  <c r="X48" i="1" s="1"/>
  <c r="U49" i="1"/>
  <c r="X49" i="1" s="1"/>
  <c r="V49" i="1"/>
  <c r="Y49" i="1" s="1"/>
  <c r="U57" i="1"/>
  <c r="X57" i="1" s="1"/>
  <c r="V57" i="1"/>
  <c r="Y57" i="1" s="1"/>
  <c r="V58" i="1"/>
  <c r="Y58" i="1" s="1"/>
  <c r="U58" i="1"/>
  <c r="X58" i="1" s="1"/>
  <c r="V64" i="1"/>
  <c r="Y64" i="1" s="1"/>
  <c r="U64" i="1"/>
  <c r="X64" i="1" s="1"/>
  <c r="U65" i="1"/>
  <c r="X65" i="1" s="1"/>
  <c r="V65" i="1"/>
  <c r="Y65" i="1" s="1"/>
  <c r="V70" i="1"/>
  <c r="Y70" i="1" s="1"/>
  <c r="U70" i="1"/>
  <c r="X70" i="1" s="1"/>
  <c r="U71" i="1"/>
  <c r="X71" i="1" s="1"/>
  <c r="V71" i="1"/>
  <c r="Y71" i="1" s="1"/>
  <c r="V112" i="1"/>
  <c r="Y112" i="1" s="1"/>
  <c r="U112" i="1"/>
  <c r="X112" i="1" s="1"/>
  <c r="U113" i="1"/>
  <c r="X113" i="1" s="1"/>
  <c r="V113" i="1"/>
  <c r="Y113" i="1" s="1"/>
  <c r="V120" i="1"/>
  <c r="Y120" i="1" s="1"/>
  <c r="U120" i="1"/>
  <c r="X120" i="1" s="1"/>
  <c r="U121" i="1"/>
  <c r="X121" i="1" s="1"/>
  <c r="V121" i="1"/>
  <c r="Y121" i="1" s="1"/>
  <c r="U129" i="1"/>
  <c r="X129" i="1" s="1"/>
  <c r="V129" i="1"/>
  <c r="Y129" i="1" s="1"/>
  <c r="V130" i="1"/>
  <c r="Y130" i="1" s="1"/>
  <c r="U130" i="1"/>
  <c r="X130" i="1" s="1"/>
  <c r="U137" i="1"/>
  <c r="X137" i="1" s="1"/>
  <c r="V137" i="1"/>
  <c r="Y137" i="1" s="1"/>
  <c r="V138" i="1"/>
  <c r="Y138" i="1" s="1"/>
  <c r="U138" i="1"/>
  <c r="X138" i="1" s="1"/>
  <c r="V146" i="1"/>
  <c r="Y146" i="1" s="1"/>
  <c r="U146" i="1"/>
  <c r="X146" i="1" s="1"/>
  <c r="U147" i="1"/>
  <c r="X147" i="1" s="1"/>
  <c r="V147" i="1"/>
  <c r="Y147" i="1" s="1"/>
  <c r="U159" i="1"/>
  <c r="X159" i="1" s="1"/>
  <c r="V159" i="1"/>
  <c r="Y159" i="1" s="1"/>
  <c r="V160" i="1"/>
  <c r="Y160" i="1" s="1"/>
  <c r="U160" i="1"/>
  <c r="X160" i="1" s="1"/>
  <c r="V168" i="1"/>
  <c r="Y168" i="1" s="1"/>
  <c r="U168" i="1"/>
  <c r="X168" i="1" s="1"/>
  <c r="U169" i="1"/>
  <c r="X169" i="1" s="1"/>
  <c r="V169" i="1"/>
  <c r="Y169" i="1" s="1"/>
  <c r="U191" i="1"/>
  <c r="X191" i="1" s="1"/>
  <c r="V191" i="1"/>
  <c r="Y191" i="1" s="1"/>
  <c r="V192" i="1"/>
  <c r="Y192" i="1" s="1"/>
  <c r="U192" i="1"/>
  <c r="X192" i="1" s="1"/>
  <c r="V200" i="1"/>
  <c r="Y200" i="1" s="1"/>
  <c r="U200" i="1"/>
  <c r="X200" i="1" s="1"/>
  <c r="U201" i="1"/>
  <c r="X201" i="1" s="1"/>
  <c r="V201" i="1"/>
  <c r="Y201" i="1" s="1"/>
  <c r="V208" i="1"/>
  <c r="Y208" i="1" s="1"/>
  <c r="U208" i="1"/>
  <c r="X208" i="1" s="1"/>
  <c r="U209" i="1"/>
  <c r="X209" i="1" s="1"/>
  <c r="V209" i="1"/>
  <c r="Y209" i="1" s="1"/>
  <c r="U217" i="1"/>
  <c r="X217" i="1" s="1"/>
  <c r="V217" i="1"/>
  <c r="Y217" i="1" s="1"/>
  <c r="V218" i="1"/>
  <c r="Y218" i="1" s="1"/>
  <c r="U218" i="1"/>
  <c r="X218" i="1" s="1"/>
  <c r="V228" i="1"/>
  <c r="Y228" i="1" s="1"/>
  <c r="U228" i="1"/>
  <c r="X228" i="1" s="1"/>
  <c r="U229" i="1"/>
  <c r="X229" i="1" s="1"/>
  <c r="V229" i="1"/>
  <c r="Y229" i="1" s="1"/>
  <c r="V238" i="1"/>
  <c r="Y238" i="1" s="1"/>
  <c r="U238" i="1"/>
  <c r="X238" i="1" s="1"/>
  <c r="U239" i="1"/>
  <c r="X239" i="1" s="1"/>
  <c r="V239" i="1"/>
  <c r="Y239" i="1" s="1"/>
  <c r="V245" i="1"/>
  <c r="Y245" i="1" s="1"/>
  <c r="U245" i="1"/>
  <c r="X245" i="1" s="1"/>
  <c r="U246" i="1"/>
  <c r="X246" i="1" s="1"/>
  <c r="V246" i="1"/>
  <c r="Y246" i="1" s="1"/>
  <c r="U251" i="1"/>
  <c r="X251" i="1" s="1"/>
  <c r="V251" i="1"/>
  <c r="Y251" i="1" s="1"/>
  <c r="V252" i="1"/>
  <c r="Y252" i="1" s="1"/>
  <c r="U252" i="1"/>
  <c r="X252" i="1" s="1"/>
  <c r="V260" i="1"/>
  <c r="Y260" i="1" s="1"/>
  <c r="U260" i="1"/>
  <c r="U261" i="1"/>
  <c r="V261" i="1"/>
  <c r="Y261" i="1" s="1"/>
  <c r="U269" i="1"/>
  <c r="V269" i="1"/>
  <c r="Y269" i="1" s="1"/>
  <c r="V270" i="1"/>
  <c r="Y270" i="1" s="1"/>
  <c r="U270" i="1"/>
  <c r="V278" i="1"/>
  <c r="Y278" i="1" s="1"/>
  <c r="U278" i="1"/>
  <c r="U279" i="1"/>
  <c r="V279" i="1"/>
  <c r="Y279" i="1" s="1"/>
  <c r="V286" i="1"/>
  <c r="Y286" i="1" s="1"/>
  <c r="U286" i="1"/>
  <c r="U287" i="1"/>
  <c r="V287" i="1"/>
  <c r="Y287" i="1" s="1"/>
  <c r="U295" i="1"/>
  <c r="V295" i="1"/>
  <c r="Y295" i="1" s="1"/>
  <c r="V296" i="1"/>
  <c r="Y296" i="1" s="1"/>
  <c r="U296" i="1"/>
  <c r="U305" i="1"/>
  <c r="V305" i="1"/>
  <c r="Y305" i="1" s="1"/>
  <c r="V306" i="1"/>
  <c r="Y306" i="1" s="1"/>
  <c r="U306" i="1"/>
  <c r="U311" i="1"/>
  <c r="V311" i="1"/>
  <c r="Y311" i="1" s="1"/>
  <c r="V312" i="1"/>
  <c r="Y312" i="1" s="1"/>
  <c r="U312" i="1"/>
  <c r="U321" i="1"/>
  <c r="V321" i="1"/>
  <c r="Y321" i="1" s="1"/>
  <c r="V322" i="1"/>
  <c r="Y322" i="1" s="1"/>
  <c r="U322" i="1"/>
  <c r="V330" i="1"/>
  <c r="Y330" i="1" s="1"/>
  <c r="U330" i="1"/>
  <c r="U331" i="1"/>
  <c r="V331" i="1"/>
  <c r="Y331" i="1" s="1"/>
  <c r="U345" i="1"/>
  <c r="V345" i="1"/>
  <c r="Y345" i="1" s="1"/>
  <c r="U362" i="1"/>
  <c r="X362" i="1" s="1"/>
  <c r="V362" i="1"/>
  <c r="Y362" i="1" s="1"/>
  <c r="V383" i="1"/>
  <c r="Y383" i="1" s="1"/>
  <c r="U383" i="1"/>
  <c r="U413" i="1"/>
  <c r="V413" i="1"/>
  <c r="Y413" i="1" s="1"/>
  <c r="V414" i="1"/>
  <c r="Y414" i="1" s="1"/>
  <c r="U414" i="1"/>
  <c r="V422" i="1"/>
  <c r="Y422" i="1" s="1"/>
  <c r="U422" i="1"/>
  <c r="U423" i="1"/>
  <c r="V423" i="1"/>
  <c r="Y423" i="1" s="1"/>
  <c r="V448" i="1"/>
  <c r="Y448" i="1" s="1"/>
  <c r="U448" i="1"/>
  <c r="U449" i="1"/>
  <c r="V449" i="1"/>
  <c r="Y449" i="1" s="1"/>
  <c r="U457" i="1"/>
  <c r="V457" i="1"/>
  <c r="Y457" i="1" s="1"/>
  <c r="V458" i="1"/>
  <c r="Y458" i="1" s="1"/>
  <c r="U458" i="1"/>
  <c r="U465" i="1"/>
  <c r="V465" i="1"/>
  <c r="Y465" i="1" s="1"/>
  <c r="V466" i="1"/>
  <c r="Y466" i="1" s="1"/>
  <c r="U466" i="1"/>
  <c r="U475" i="1"/>
  <c r="V475" i="1"/>
  <c r="Y475" i="1" s="1"/>
  <c r="V476" i="1"/>
  <c r="Y476" i="1" s="1"/>
  <c r="U476" i="1"/>
  <c r="V486" i="1"/>
  <c r="Y486" i="1" s="1"/>
  <c r="U486" i="1"/>
  <c r="U487" i="1"/>
  <c r="V487" i="1"/>
  <c r="Y487" i="1" s="1"/>
  <c r="V496" i="1"/>
  <c r="Y496" i="1" s="1"/>
  <c r="U496" i="1"/>
  <c r="U497" i="1"/>
  <c r="V497" i="1"/>
  <c r="Y497" i="1" s="1"/>
  <c r="U505" i="1"/>
  <c r="V505" i="1"/>
  <c r="Y505" i="1" s="1"/>
  <c r="V506" i="1"/>
  <c r="Y506" i="1" s="1"/>
  <c r="U506" i="1"/>
  <c r="U515" i="1"/>
  <c r="V515" i="1"/>
  <c r="Y515" i="1" s="1"/>
  <c r="V516" i="1"/>
  <c r="Y516" i="1" s="1"/>
  <c r="U516" i="1"/>
  <c r="V526" i="1"/>
  <c r="Y526" i="1" s="1"/>
  <c r="U526" i="1"/>
  <c r="U527" i="1"/>
  <c r="V527" i="1"/>
  <c r="Y527" i="1" s="1"/>
  <c r="U1369" i="1"/>
  <c r="X1369" i="1" s="1"/>
  <c r="V1369" i="1"/>
  <c r="Y1369" i="1" s="1"/>
  <c r="V1370" i="1"/>
  <c r="Y1370" i="1" s="1"/>
  <c r="U1370" i="1"/>
  <c r="X1370" i="1" s="1"/>
  <c r="U1377" i="1"/>
  <c r="V1377" i="1"/>
  <c r="Y1377" i="1" s="1"/>
  <c r="V1378" i="1"/>
  <c r="Y1378" i="1" s="1"/>
  <c r="U1378" i="1"/>
  <c r="V1386" i="1"/>
  <c r="Y1386" i="1" s="1"/>
  <c r="U1386" i="1"/>
  <c r="U1387" i="1"/>
  <c r="V1387" i="1"/>
  <c r="Y1387" i="1" s="1"/>
  <c r="U1395" i="1"/>
  <c r="V1395" i="1"/>
  <c r="Y1395" i="1" s="1"/>
  <c r="V1396" i="1"/>
  <c r="Y1396" i="1" s="1"/>
  <c r="U1396" i="1"/>
  <c r="V1404" i="1"/>
  <c r="Y1404" i="1" s="1"/>
  <c r="U1404" i="1"/>
  <c r="U1405" i="1"/>
  <c r="V1405" i="1"/>
  <c r="Y1405" i="1" s="1"/>
  <c r="U1413" i="1"/>
  <c r="V1413" i="1"/>
  <c r="Y1413" i="1" s="1"/>
  <c r="V1414" i="1"/>
  <c r="Y1414" i="1" s="1"/>
  <c r="U1414" i="1"/>
  <c r="V1422" i="1"/>
  <c r="Y1422" i="1" s="1"/>
  <c r="U1422" i="1"/>
  <c r="U1423" i="1"/>
  <c r="V1423" i="1"/>
  <c r="Y1423" i="1" s="1"/>
  <c r="U1431" i="1"/>
  <c r="V1431" i="1"/>
  <c r="Y1431" i="1" s="1"/>
  <c r="V1432" i="1"/>
  <c r="Y1432" i="1" s="1"/>
  <c r="U1432" i="1"/>
  <c r="V1440" i="1"/>
  <c r="Y1440" i="1" s="1"/>
  <c r="U1440" i="1"/>
  <c r="U1441" i="1"/>
  <c r="V1441" i="1"/>
  <c r="Y1441" i="1" s="1"/>
  <c r="U1449" i="1"/>
  <c r="V1449" i="1"/>
  <c r="Y1449" i="1" s="1"/>
  <c r="V1450" i="1"/>
  <c r="Y1450" i="1" s="1"/>
  <c r="U1450" i="1"/>
  <c r="G275" i="23"/>
  <c r="G792" i="23"/>
  <c r="H790" i="23"/>
  <c r="H787" i="23"/>
  <c r="G793" i="23"/>
  <c r="H788" i="23"/>
  <c r="H794" i="23"/>
  <c r="H789" i="23"/>
  <c r="G714" i="23"/>
  <c r="G705" i="23"/>
  <c r="G713" i="23"/>
  <c r="L18" i="23"/>
  <c r="I18" i="23"/>
  <c r="AA6" i="96"/>
  <c r="H792" i="23"/>
  <c r="H793" i="23"/>
  <c r="M9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8" i="1"/>
  <c r="D7" i="1"/>
  <c r="F56" i="90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10" i="23"/>
  <c r="H112" i="23"/>
  <c r="H113" i="23"/>
  <c r="H114" i="23"/>
  <c r="H115" i="23"/>
  <c r="H118" i="23"/>
  <c r="H123" i="23"/>
  <c r="H129" i="23"/>
  <c r="H137" i="23"/>
  <c r="H155" i="23"/>
  <c r="H160" i="23"/>
  <c r="H161" i="23"/>
  <c r="H162" i="23"/>
  <c r="H174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76" i="23"/>
  <c r="H377" i="23"/>
  <c r="H380" i="23"/>
  <c r="H385" i="23"/>
  <c r="H391" i="23"/>
  <c r="H397" i="23"/>
  <c r="H409" i="23"/>
  <c r="H415" i="23"/>
  <c r="H424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5" i="23"/>
  <c r="H786" i="23"/>
  <c r="H795" i="23"/>
  <c r="H796" i="23"/>
  <c r="H797" i="23"/>
  <c r="H798" i="23"/>
  <c r="H799" i="23"/>
  <c r="H800" i="23"/>
  <c r="H801" i="23"/>
  <c r="H802" i="23"/>
  <c r="H803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10" i="23"/>
  <c r="H911" i="23"/>
  <c r="H931" i="23"/>
  <c r="H939" i="23"/>
  <c r="H946" i="23"/>
  <c r="H959" i="23"/>
  <c r="H968" i="23"/>
  <c r="H976" i="23"/>
  <c r="H985" i="23"/>
  <c r="H1005" i="23"/>
  <c r="H1010" i="23"/>
  <c r="H1011" i="23"/>
  <c r="H1017" i="23"/>
  <c r="H1024" i="23"/>
  <c r="H1034" i="23"/>
  <c r="H1043" i="23"/>
  <c r="H1057" i="23"/>
  <c r="H1068" i="23"/>
  <c r="H1072" i="23"/>
  <c r="H1078" i="23"/>
  <c r="H1100" i="23"/>
  <c r="H1105" i="23"/>
  <c r="H1127" i="23"/>
  <c r="H1128" i="23"/>
  <c r="H1129" i="23"/>
  <c r="H1130" i="23"/>
  <c r="H1131" i="23"/>
  <c r="H1132" i="23"/>
  <c r="H1133" i="23"/>
  <c r="H1134" i="23"/>
  <c r="F61" i="74"/>
  <c r="F23" i="90"/>
  <c r="H1142" i="23"/>
  <c r="H1143" i="23"/>
  <c r="H1144" i="23"/>
  <c r="H1152" i="23"/>
  <c r="H1163" i="23"/>
  <c r="H1172" i="23"/>
  <c r="H1178" i="23"/>
  <c r="H1179" i="23"/>
  <c r="H1186" i="23"/>
  <c r="H1188" i="23"/>
  <c r="H1194" i="23"/>
  <c r="F28" i="90"/>
  <c r="H1195" i="23"/>
  <c r="H1201" i="23"/>
  <c r="F29" i="90"/>
  <c r="H1202" i="23"/>
  <c r="H1211" i="23"/>
  <c r="H1219" i="23"/>
  <c r="H1228" i="23"/>
  <c r="H1231" i="23"/>
  <c r="H1234" i="23"/>
  <c r="H1235" i="23"/>
  <c r="H1237" i="23"/>
  <c r="H1240" i="23"/>
  <c r="H1243" i="23"/>
  <c r="H1248" i="23"/>
  <c r="H1249" i="23"/>
  <c r="H1255" i="23"/>
  <c r="H1258" i="23"/>
  <c r="H1261" i="23"/>
  <c r="H1271" i="23"/>
  <c r="H1280" i="23"/>
  <c r="H1294" i="23"/>
  <c r="H1299" i="23"/>
  <c r="H1300" i="23"/>
  <c r="H1301" i="23"/>
  <c r="H1303" i="23"/>
  <c r="H1315" i="23"/>
  <c r="H1316" i="23"/>
  <c r="H1326" i="23"/>
  <c r="H1351" i="23"/>
  <c r="H1352" i="23"/>
  <c r="H1374" i="23"/>
  <c r="H1375" i="23"/>
  <c r="H1376" i="23"/>
  <c r="H1377" i="23"/>
  <c r="H1378" i="23"/>
  <c r="H1379" i="23"/>
  <c r="H1380" i="23"/>
  <c r="H1381" i="23"/>
  <c r="H1386" i="23"/>
  <c r="J66" i="74"/>
  <c r="H1388" i="23"/>
  <c r="H1411" i="23"/>
  <c r="H1422" i="23"/>
  <c r="H1424" i="23"/>
  <c r="H1427" i="23"/>
  <c r="H1428" i="23"/>
  <c r="H1429" i="23"/>
  <c r="H1430" i="23"/>
  <c r="H1434" i="23"/>
  <c r="H1439" i="23"/>
  <c r="H1443" i="23"/>
  <c r="H1451" i="23"/>
  <c r="H1460" i="23"/>
  <c r="H1464" i="23"/>
  <c r="H1467" i="23"/>
  <c r="H1468" i="23"/>
  <c r="H1469" i="23"/>
  <c r="H1470" i="23"/>
  <c r="H1471" i="23"/>
  <c r="H1473" i="23"/>
  <c r="H1474" i="23"/>
  <c r="H1480" i="23"/>
  <c r="H1481" i="23"/>
  <c r="H1486" i="23"/>
  <c r="H1487" i="23"/>
  <c r="H1493" i="23"/>
  <c r="H1495" i="23"/>
  <c r="H1497" i="23"/>
  <c r="H1498" i="23"/>
  <c r="H1500" i="23"/>
  <c r="H1510" i="23"/>
  <c r="H1519" i="23"/>
  <c r="H1533" i="23"/>
  <c r="H1540" i="23"/>
  <c r="H1541" i="23"/>
  <c r="H1545" i="23"/>
  <c r="H1546" i="23"/>
  <c r="H1549" i="23"/>
  <c r="H1550" i="23"/>
  <c r="H1556" i="23"/>
  <c r="H1564" i="23"/>
  <c r="H1565" i="23"/>
  <c r="H1568" i="23"/>
  <c r="H1569" i="23"/>
  <c r="H1575" i="23"/>
  <c r="H1577" i="23"/>
  <c r="H1579" i="23"/>
  <c r="H1582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1638" i="23"/>
  <c r="H1639" i="23"/>
  <c r="H1640" i="23"/>
  <c r="H1641" i="23"/>
  <c r="H1642" i="23"/>
  <c r="H1643" i="23"/>
  <c r="H1644" i="23"/>
  <c r="H1645" i="23"/>
  <c r="H1646" i="23"/>
  <c r="H1647" i="23"/>
  <c r="H1648" i="23"/>
  <c r="H1649" i="23"/>
  <c r="H1650" i="23"/>
  <c r="H1651" i="23"/>
  <c r="H1652" i="23"/>
  <c r="H1653" i="23"/>
  <c r="H1654" i="23"/>
  <c r="H1655" i="23"/>
  <c r="H1656" i="23"/>
  <c r="H1657" i="23"/>
  <c r="H1658" i="23"/>
  <c r="H1659" i="23"/>
  <c r="H1660" i="23"/>
  <c r="H1661" i="23"/>
  <c r="H1662" i="23"/>
  <c r="H1663" i="23"/>
  <c r="H1664" i="23"/>
  <c r="H1665" i="23"/>
  <c r="H1666" i="23"/>
  <c r="H1667" i="23"/>
  <c r="H1668" i="23"/>
  <c r="H1669" i="23"/>
  <c r="H1670" i="23"/>
  <c r="H1671" i="23"/>
  <c r="H1672" i="23"/>
  <c r="H1673" i="23"/>
  <c r="H1674" i="23"/>
  <c r="H1675" i="23"/>
  <c r="H1676" i="23"/>
  <c r="H1677" i="23"/>
  <c r="H1678" i="23"/>
  <c r="H1679" i="23"/>
  <c r="H1680" i="23"/>
  <c r="H1681" i="23"/>
  <c r="H1682" i="23"/>
  <c r="H1683" i="23"/>
  <c r="H1684" i="23"/>
  <c r="H1685" i="23"/>
  <c r="H1686" i="23"/>
  <c r="H1687" i="23"/>
  <c r="H1688" i="23"/>
  <c r="H1689" i="23"/>
  <c r="H1690" i="23"/>
  <c r="H1691" i="23"/>
  <c r="H1692" i="23"/>
  <c r="H1693" i="23"/>
  <c r="H1694" i="23"/>
  <c r="H1695" i="23"/>
  <c r="H1696" i="23"/>
  <c r="H1697" i="23"/>
  <c r="H1698" i="23"/>
  <c r="H1699" i="23"/>
  <c r="H1700" i="23"/>
  <c r="H1701" i="23"/>
  <c r="H1702" i="23"/>
  <c r="H1703" i="23"/>
  <c r="H1704" i="23"/>
  <c r="H1705" i="23"/>
  <c r="H1706" i="23"/>
  <c r="H1707" i="23"/>
  <c r="H1708" i="23"/>
  <c r="H1709" i="23"/>
  <c r="H1710" i="23"/>
  <c r="H1711" i="23"/>
  <c r="H1712" i="23"/>
  <c r="H1713" i="23"/>
  <c r="H1714" i="23"/>
  <c r="H1715" i="23"/>
  <c r="H1716" i="23"/>
  <c r="H1717" i="23"/>
  <c r="H1718" i="23"/>
  <c r="H1719" i="23"/>
  <c r="H1720" i="23"/>
  <c r="H1721" i="23"/>
  <c r="H1722" i="23"/>
  <c r="H1723" i="23"/>
  <c r="H1724" i="23"/>
  <c r="H1725" i="23"/>
  <c r="H1726" i="23"/>
  <c r="H1727" i="23"/>
  <c r="H1728" i="23"/>
  <c r="H1729" i="23"/>
  <c r="H1730" i="23"/>
  <c r="H1731" i="23"/>
  <c r="H1732" i="23"/>
  <c r="H1733" i="23"/>
  <c r="H1734" i="23"/>
  <c r="H1735" i="23"/>
  <c r="H1736" i="23"/>
  <c r="H1737" i="23"/>
  <c r="H1738" i="23"/>
  <c r="H1739" i="23"/>
  <c r="H1740" i="23"/>
  <c r="H1741" i="23"/>
  <c r="H1742" i="23"/>
  <c r="H1743" i="23"/>
  <c r="H1744" i="23"/>
  <c r="H1745" i="23"/>
  <c r="H1746" i="23"/>
  <c r="H1747" i="23"/>
  <c r="H1748" i="23"/>
  <c r="H1749" i="23"/>
  <c r="H1750" i="23"/>
  <c r="H1751" i="23"/>
  <c r="H1752" i="23"/>
  <c r="H1753" i="23"/>
  <c r="H1754" i="23"/>
  <c r="H1755" i="23"/>
  <c r="H1756" i="23"/>
  <c r="H1757" i="23"/>
  <c r="H1758" i="23"/>
  <c r="H1759" i="23"/>
  <c r="H1760" i="23"/>
  <c r="H1761" i="23"/>
  <c r="H1762" i="23"/>
  <c r="H1763" i="23"/>
  <c r="H1764" i="23"/>
  <c r="H1765" i="23"/>
  <c r="H1766" i="23"/>
  <c r="H1767" i="23"/>
  <c r="H1768" i="23"/>
  <c r="H1769" i="23"/>
  <c r="H1770" i="23"/>
  <c r="H1771" i="23"/>
  <c r="H1772" i="23"/>
  <c r="H1773" i="23"/>
  <c r="H1774" i="23"/>
  <c r="H1775" i="23"/>
  <c r="H1776" i="23"/>
  <c r="H1777" i="23"/>
  <c r="H1778" i="23"/>
  <c r="H1779" i="23"/>
  <c r="H1780" i="23"/>
  <c r="H1781" i="23"/>
  <c r="H1782" i="23"/>
  <c r="H1783" i="23"/>
  <c r="H1784" i="23"/>
  <c r="H1785" i="23"/>
  <c r="H1786" i="23"/>
  <c r="H1787" i="23"/>
  <c r="H1788" i="23"/>
  <c r="H1789" i="23"/>
  <c r="H1790" i="23"/>
  <c r="H1791" i="23"/>
  <c r="H1792" i="23"/>
  <c r="H1793" i="23"/>
  <c r="H1794" i="23"/>
  <c r="H1795" i="23"/>
  <c r="H1796" i="23"/>
  <c r="H1797" i="23"/>
  <c r="H1798" i="23"/>
  <c r="H1799" i="23"/>
  <c r="H1800" i="23"/>
  <c r="H1801" i="23"/>
  <c r="H1802" i="23"/>
  <c r="H1803" i="23"/>
  <c r="H1804" i="23"/>
  <c r="H1805" i="23"/>
  <c r="H1806" i="23"/>
  <c r="H1807" i="23"/>
  <c r="H1808" i="23"/>
  <c r="H1809" i="23"/>
  <c r="H1810" i="23"/>
  <c r="H1811" i="23"/>
  <c r="H1812" i="23"/>
  <c r="H1813" i="23"/>
  <c r="H1814" i="23"/>
  <c r="H1815" i="23"/>
  <c r="H1816" i="23"/>
  <c r="H1817" i="23"/>
  <c r="H1818" i="23"/>
  <c r="H1819" i="23"/>
  <c r="H1820" i="23"/>
  <c r="H1821" i="23"/>
  <c r="H1822" i="23"/>
  <c r="H1823" i="23"/>
  <c r="H1824" i="23"/>
  <c r="H1825" i="23"/>
  <c r="H1826" i="23"/>
  <c r="H1827" i="23"/>
  <c r="H1828" i="23"/>
  <c r="H1829" i="23"/>
  <c r="H1830" i="23"/>
  <c r="H1831" i="23"/>
  <c r="H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H1846" i="23"/>
  <c r="H1847" i="23"/>
  <c r="H1848" i="23"/>
  <c r="H1849" i="23"/>
  <c r="H1850" i="23"/>
  <c r="H1851" i="23"/>
  <c r="H1852" i="23"/>
  <c r="H1853" i="23"/>
  <c r="H1854" i="23"/>
  <c r="H1855" i="23"/>
  <c r="H1856" i="23"/>
  <c r="H1857" i="23"/>
  <c r="H1858" i="23"/>
  <c r="H1859" i="23"/>
  <c r="H1860" i="23"/>
  <c r="H1861" i="23"/>
  <c r="H1862" i="23"/>
  <c r="H1863" i="23"/>
  <c r="H1864" i="23"/>
  <c r="H1865" i="23"/>
  <c r="H1866" i="23"/>
  <c r="H1867" i="23"/>
  <c r="H1868" i="23"/>
  <c r="H1869" i="23"/>
  <c r="H1870" i="23"/>
  <c r="H1871" i="23"/>
  <c r="H1872" i="23"/>
  <c r="H1873" i="23"/>
  <c r="H1874" i="23"/>
  <c r="H1875" i="23"/>
  <c r="H1876" i="23"/>
  <c r="H1877" i="23"/>
  <c r="H1878" i="23"/>
  <c r="H1879" i="23"/>
  <c r="H1880" i="23"/>
  <c r="H1881" i="23"/>
  <c r="H1882" i="23"/>
  <c r="H1883" i="23"/>
  <c r="H1884" i="23"/>
  <c r="H1885" i="23"/>
  <c r="H1886" i="23"/>
  <c r="H1887" i="23"/>
  <c r="H1888" i="23"/>
  <c r="H1889" i="23"/>
  <c r="H1890" i="23"/>
  <c r="H1891" i="23"/>
  <c r="H1892" i="23"/>
  <c r="H1893" i="23"/>
  <c r="H1894" i="23"/>
  <c r="H1895" i="23"/>
  <c r="H1896" i="23"/>
  <c r="H1897" i="23"/>
  <c r="H1898" i="23"/>
  <c r="H1899" i="23"/>
  <c r="H1900" i="23"/>
  <c r="H1901" i="23"/>
  <c r="H1902" i="23"/>
  <c r="H1903" i="23"/>
  <c r="H1904" i="23"/>
  <c r="H1905" i="23"/>
  <c r="H1906" i="23"/>
  <c r="H1907" i="23"/>
  <c r="H1908" i="23"/>
  <c r="H1909" i="23"/>
  <c r="H1910" i="23"/>
  <c r="H1911" i="23"/>
  <c r="H1912" i="23"/>
  <c r="H1913" i="23"/>
  <c r="H1914" i="23"/>
  <c r="H1915" i="23"/>
  <c r="H1916" i="23"/>
  <c r="H1917" i="23"/>
  <c r="H1918" i="23"/>
  <c r="H1919" i="23"/>
  <c r="H1920" i="23"/>
  <c r="H1921" i="23"/>
  <c r="H1922" i="23"/>
  <c r="H1923" i="23"/>
  <c r="H1924" i="23"/>
  <c r="H1925" i="23"/>
  <c r="H1926" i="23"/>
  <c r="H1927" i="23"/>
  <c r="H1928" i="23"/>
  <c r="H1929" i="23"/>
  <c r="H1930" i="23"/>
  <c r="H1931" i="23"/>
  <c r="H1932" i="23"/>
  <c r="H1933" i="23"/>
  <c r="H1934" i="23"/>
  <c r="H1935" i="23"/>
  <c r="H1936" i="23"/>
  <c r="H1937" i="23"/>
  <c r="H1938" i="23"/>
  <c r="H1939" i="23"/>
  <c r="H1940" i="23"/>
  <c r="H1941" i="23"/>
  <c r="H1942" i="23"/>
  <c r="H1943" i="23"/>
  <c r="H1944" i="23"/>
  <c r="H1945" i="23"/>
  <c r="H1946" i="23"/>
  <c r="H1947" i="23"/>
  <c r="H1948" i="23"/>
  <c r="H1949" i="23"/>
  <c r="H1950" i="23"/>
  <c r="H1951" i="23"/>
  <c r="H1952" i="23"/>
  <c r="H1953" i="23"/>
  <c r="H1954" i="23"/>
  <c r="H1955" i="23"/>
  <c r="H1956" i="23"/>
  <c r="H1957" i="23"/>
  <c r="H1958" i="23"/>
  <c r="H1959" i="23"/>
  <c r="H1960" i="23"/>
  <c r="H1961" i="23"/>
  <c r="H1962" i="23"/>
  <c r="H1963" i="23"/>
  <c r="H1964" i="23"/>
  <c r="H1965" i="23"/>
  <c r="H1966" i="23"/>
  <c r="H1967" i="23"/>
  <c r="H1968" i="23"/>
  <c r="H1969" i="23"/>
  <c r="H1970" i="23"/>
  <c r="H1971" i="23"/>
  <c r="H1972" i="23"/>
  <c r="H1973" i="23"/>
  <c r="H1974" i="23"/>
  <c r="H1975" i="23"/>
  <c r="H1976" i="23"/>
  <c r="H1977" i="23"/>
  <c r="H1978" i="23"/>
  <c r="H1979" i="23"/>
  <c r="H1980" i="23"/>
  <c r="H1981" i="23"/>
  <c r="H1982" i="23"/>
  <c r="H1983" i="23"/>
  <c r="H1984" i="23"/>
  <c r="H1985" i="23"/>
  <c r="H1986" i="23"/>
  <c r="H1987" i="23"/>
  <c r="H1988" i="23"/>
  <c r="H1989" i="23"/>
  <c r="H1990" i="23"/>
  <c r="H1991" i="23"/>
  <c r="H1992" i="23"/>
  <c r="H1993" i="23"/>
  <c r="H1994" i="23"/>
  <c r="H1995" i="23"/>
  <c r="H1996" i="23"/>
  <c r="H1997" i="23"/>
  <c r="H1998" i="23"/>
  <c r="H1999" i="23"/>
  <c r="H2000" i="23"/>
  <c r="H2001" i="23"/>
  <c r="H2002" i="23"/>
  <c r="H2003" i="23"/>
  <c r="H2004" i="23"/>
  <c r="H2005" i="23"/>
  <c r="H2006" i="23"/>
  <c r="H2007" i="23"/>
  <c r="H2008" i="23"/>
  <c r="H2009" i="23"/>
  <c r="H2010" i="23"/>
  <c r="H2011" i="23"/>
  <c r="H2012" i="23"/>
  <c r="H2013" i="23"/>
  <c r="H2014" i="23"/>
  <c r="H2015" i="23"/>
  <c r="H2016" i="23"/>
  <c r="H2017" i="23"/>
  <c r="H2018" i="23"/>
  <c r="H2019" i="23"/>
  <c r="H2020" i="23"/>
  <c r="H2021" i="23"/>
  <c r="H2022" i="23"/>
  <c r="H2023" i="23"/>
  <c r="H2024" i="23"/>
  <c r="H2025" i="23"/>
  <c r="H2026" i="23"/>
  <c r="H2027" i="23"/>
  <c r="H2028" i="23"/>
  <c r="H2029" i="23"/>
  <c r="H2030" i="23"/>
  <c r="H2031" i="23"/>
  <c r="H2032" i="23"/>
  <c r="H2033" i="23"/>
  <c r="H2034" i="23"/>
  <c r="H2035" i="23"/>
  <c r="H2036" i="23"/>
  <c r="H2037" i="23"/>
  <c r="H2038" i="23"/>
  <c r="H2039" i="23"/>
  <c r="H2040" i="23"/>
  <c r="H2041" i="23"/>
  <c r="H2042" i="23"/>
  <c r="H2043" i="23"/>
  <c r="H2044" i="23"/>
  <c r="H2045" i="23"/>
  <c r="H2046" i="23"/>
  <c r="H2047" i="23"/>
  <c r="H2048" i="23"/>
  <c r="H2049" i="23"/>
  <c r="H2050" i="23"/>
  <c r="H2051" i="23"/>
  <c r="H2052" i="23"/>
  <c r="H2053" i="23"/>
  <c r="H2054" i="23"/>
  <c r="H2055" i="23"/>
  <c r="H2056" i="23"/>
  <c r="H2057" i="23"/>
  <c r="H2058" i="23"/>
  <c r="H2059" i="23"/>
  <c r="H2060" i="23"/>
  <c r="H2061" i="23"/>
  <c r="H2062" i="23"/>
  <c r="H2063" i="23"/>
  <c r="H2064" i="23"/>
  <c r="H2065" i="23"/>
  <c r="H2066" i="23"/>
  <c r="H2067" i="23"/>
  <c r="H2068" i="23"/>
  <c r="H2069" i="23"/>
  <c r="H2070" i="23"/>
  <c r="H2071" i="23"/>
  <c r="H2072" i="23"/>
  <c r="H2073" i="23"/>
  <c r="H2074" i="23"/>
  <c r="H2075" i="23"/>
  <c r="H2076" i="23"/>
  <c r="H2077" i="23"/>
  <c r="H2078" i="23"/>
  <c r="H2079" i="23"/>
  <c r="H2080" i="23"/>
  <c r="H2081" i="23"/>
  <c r="H2082" i="23"/>
  <c r="H2083" i="23"/>
  <c r="H2084" i="23"/>
  <c r="H2085" i="23"/>
  <c r="H2086" i="23"/>
  <c r="H2087" i="23"/>
  <c r="H2088" i="23"/>
  <c r="H2089" i="23"/>
  <c r="H2090" i="23"/>
  <c r="H2091" i="23"/>
  <c r="H2092" i="23"/>
  <c r="H2093" i="23"/>
  <c r="H2094" i="23"/>
  <c r="H2095" i="23"/>
  <c r="H2096" i="23"/>
  <c r="H2097" i="23"/>
  <c r="H2098" i="23"/>
  <c r="H2099" i="23"/>
  <c r="H2100" i="23"/>
  <c r="H2101" i="23"/>
  <c r="H2102" i="23"/>
  <c r="H2103" i="23"/>
  <c r="H2104" i="23"/>
  <c r="H2105" i="23"/>
  <c r="H2106" i="23"/>
  <c r="H2107" i="23"/>
  <c r="H2108" i="23"/>
  <c r="H2109" i="23"/>
  <c r="H2110" i="23"/>
  <c r="H2111" i="23"/>
  <c r="H2112" i="23"/>
  <c r="H2113" i="23"/>
  <c r="H2114" i="23"/>
  <c r="H2115" i="23"/>
  <c r="H2116" i="23"/>
  <c r="H2117" i="23"/>
  <c r="H2118" i="23"/>
  <c r="H2119" i="23"/>
  <c r="H2120" i="23"/>
  <c r="H2121" i="23"/>
  <c r="H2122" i="23"/>
  <c r="H2123" i="23"/>
  <c r="H2124" i="23"/>
  <c r="H2125" i="23"/>
  <c r="H2126" i="23"/>
  <c r="H2127" i="23"/>
  <c r="H2128" i="23"/>
  <c r="H2129" i="23"/>
  <c r="H2130" i="23"/>
  <c r="H2131" i="23"/>
  <c r="H2132" i="23"/>
  <c r="H2133" i="23"/>
  <c r="H2134" i="23"/>
  <c r="H2135" i="23"/>
  <c r="H2136" i="23"/>
  <c r="H2137" i="23"/>
  <c r="H2138" i="23"/>
  <c r="H2139" i="23"/>
  <c r="H2140" i="23"/>
  <c r="H2141" i="23"/>
  <c r="H2142" i="23"/>
  <c r="H2143" i="23"/>
  <c r="H2144" i="23"/>
  <c r="H2145" i="23"/>
  <c r="H2146" i="23"/>
  <c r="H2147" i="23"/>
  <c r="H2148" i="23"/>
  <c r="H2149" i="23"/>
  <c r="H2150" i="23"/>
  <c r="H2151" i="23"/>
  <c r="H2152" i="23"/>
  <c r="H2153" i="23"/>
  <c r="H2154" i="23"/>
  <c r="H2155" i="23"/>
  <c r="H2156" i="23"/>
  <c r="H2157" i="23"/>
  <c r="H2158" i="23"/>
  <c r="H2159" i="23"/>
  <c r="H2160" i="23"/>
  <c r="H2161" i="23"/>
  <c r="H2162" i="23"/>
  <c r="H2163" i="23"/>
  <c r="H2164" i="23"/>
  <c r="H2165" i="23"/>
  <c r="H2166" i="23"/>
  <c r="H2167" i="23"/>
  <c r="H2168" i="23"/>
  <c r="H2169" i="23"/>
  <c r="H2170" i="23"/>
  <c r="H2171" i="23"/>
  <c r="H2172" i="23"/>
  <c r="H2173" i="23"/>
  <c r="H2174" i="23"/>
  <c r="H2175" i="23"/>
  <c r="H2176" i="23"/>
  <c r="H2177" i="23"/>
  <c r="H2178" i="23"/>
  <c r="H2179" i="23"/>
  <c r="H2180" i="23"/>
  <c r="H2181" i="23"/>
  <c r="H2182" i="23"/>
  <c r="H2183" i="23"/>
  <c r="H2184" i="23"/>
  <c r="H2185" i="23"/>
  <c r="H2186" i="23"/>
  <c r="H2187" i="23"/>
  <c r="H2188" i="23"/>
  <c r="H2189" i="23"/>
  <c r="H2190" i="23"/>
  <c r="H2191" i="23"/>
  <c r="H2192" i="23"/>
  <c r="H2193" i="23"/>
  <c r="H2194" i="23"/>
  <c r="H2195" i="23"/>
  <c r="H2196" i="23"/>
  <c r="H2197" i="23"/>
  <c r="H2198" i="23"/>
  <c r="H2199" i="23"/>
  <c r="H2200" i="23"/>
  <c r="H2201" i="23"/>
  <c r="H2202" i="23"/>
  <c r="H2203" i="23"/>
  <c r="H2204" i="23"/>
  <c r="H2205" i="23"/>
  <c r="H2206" i="23"/>
  <c r="H2207" i="23"/>
  <c r="H2208" i="23"/>
  <c r="H2209" i="23"/>
  <c r="H2210" i="23"/>
  <c r="H2211" i="23"/>
  <c r="H2212" i="23"/>
  <c r="H2213" i="23"/>
  <c r="H2214" i="23"/>
  <c r="H2215" i="23"/>
  <c r="H2216" i="23"/>
  <c r="H2217" i="23"/>
  <c r="H2218" i="23"/>
  <c r="H2219" i="23"/>
  <c r="H2220" i="23"/>
  <c r="H2221" i="23"/>
  <c r="H2222" i="23"/>
  <c r="H2223" i="23"/>
  <c r="H2224" i="23"/>
  <c r="H2225" i="23"/>
  <c r="H2226" i="23"/>
  <c r="H2227" i="23"/>
  <c r="H2228" i="23"/>
  <c r="H2229" i="23"/>
  <c r="H2230" i="23"/>
  <c r="H2231" i="23"/>
  <c r="H2232" i="23"/>
  <c r="H2233" i="23"/>
  <c r="H2234" i="23"/>
  <c r="H2235" i="23"/>
  <c r="H2236" i="23"/>
  <c r="H2237" i="23"/>
  <c r="H2238" i="23"/>
  <c r="H2239" i="23"/>
  <c r="H2240" i="23"/>
  <c r="H2241" i="23"/>
  <c r="H2242" i="23"/>
  <c r="H2243" i="23"/>
  <c r="H2244" i="23"/>
  <c r="H2245" i="23"/>
  <c r="H2246" i="23"/>
  <c r="H2247" i="23"/>
  <c r="H2248" i="23"/>
  <c r="H2249" i="23"/>
  <c r="H2250" i="23"/>
  <c r="H2251" i="23"/>
  <c r="H2252" i="23"/>
  <c r="H2253" i="23"/>
  <c r="H2254" i="23"/>
  <c r="H2255" i="23"/>
  <c r="H2256" i="23"/>
  <c r="H2257" i="23"/>
  <c r="H2258" i="23"/>
  <c r="H2259" i="23"/>
  <c r="H2260" i="23"/>
  <c r="H2261" i="23"/>
  <c r="H2262" i="23"/>
  <c r="H2263" i="23"/>
  <c r="H2264" i="23"/>
  <c r="H2265" i="23"/>
  <c r="H2266" i="23"/>
  <c r="H2267" i="23"/>
  <c r="H2268" i="23"/>
  <c r="H2269" i="23"/>
  <c r="H2270" i="23"/>
  <c r="H2271" i="23"/>
  <c r="H2272" i="23"/>
  <c r="H2273" i="23"/>
  <c r="H2274" i="23"/>
  <c r="H2275" i="23"/>
  <c r="H2276" i="23"/>
  <c r="H2277" i="23"/>
  <c r="H2278" i="23"/>
  <c r="H2279" i="23"/>
  <c r="H2280" i="23"/>
  <c r="H2281" i="23"/>
  <c r="H2282" i="23"/>
  <c r="H2283" i="23"/>
  <c r="H2284" i="23"/>
  <c r="H2285" i="23"/>
  <c r="H2286" i="23"/>
  <c r="H2287" i="23"/>
  <c r="H2288" i="23"/>
  <c r="H2289" i="23"/>
  <c r="H2290" i="23"/>
  <c r="H2291" i="23"/>
  <c r="H2292" i="23"/>
  <c r="H2293" i="23"/>
  <c r="H2294" i="23"/>
  <c r="H2295" i="23"/>
  <c r="H2296" i="23"/>
  <c r="H2297" i="23"/>
  <c r="H2298" i="23"/>
  <c r="H2299" i="23"/>
  <c r="H2300" i="23"/>
  <c r="H2301" i="23"/>
  <c r="H2302" i="23"/>
  <c r="H2303" i="23"/>
  <c r="H2304" i="23"/>
  <c r="H2305" i="23"/>
  <c r="H2306" i="23"/>
  <c r="H2307" i="23"/>
  <c r="H2308" i="23"/>
  <c r="H2309" i="23"/>
  <c r="H2310" i="23"/>
  <c r="H2311" i="23"/>
  <c r="H2312" i="23"/>
  <c r="H2313" i="23"/>
  <c r="H2314" i="23"/>
  <c r="H2315" i="23"/>
  <c r="H2316" i="23"/>
  <c r="H2317" i="23"/>
  <c r="H2318" i="23"/>
  <c r="H2319" i="23"/>
  <c r="H2320" i="23"/>
  <c r="H2321" i="23"/>
  <c r="H2322" i="23"/>
  <c r="H2323" i="23"/>
  <c r="H2324" i="23"/>
  <c r="H2325" i="23"/>
  <c r="H2326" i="23"/>
  <c r="H2327" i="23"/>
  <c r="H2328" i="23"/>
  <c r="H2329" i="23"/>
  <c r="H2330" i="23"/>
  <c r="H2331" i="23"/>
  <c r="H2332" i="23"/>
  <c r="H2333" i="23"/>
  <c r="H2334" i="23"/>
  <c r="H2335" i="23"/>
  <c r="H2336" i="23"/>
  <c r="H2337" i="23"/>
  <c r="H2338" i="23"/>
  <c r="H2339" i="23"/>
  <c r="H2340" i="23"/>
  <c r="H2341" i="23"/>
  <c r="H2342" i="23"/>
  <c r="H2343" i="23"/>
  <c r="H2344" i="23"/>
  <c r="H2345" i="23"/>
  <c r="H2346" i="23"/>
  <c r="H2347" i="23"/>
  <c r="H2348" i="23"/>
  <c r="H2349" i="23"/>
  <c r="H2350" i="23"/>
  <c r="H2351" i="23"/>
  <c r="H2352" i="23"/>
  <c r="H2353" i="23"/>
  <c r="H2354" i="23"/>
  <c r="H2355" i="23"/>
  <c r="H2356" i="23"/>
  <c r="H2357" i="23"/>
  <c r="H2358" i="23"/>
  <c r="H2359" i="23"/>
  <c r="H2360" i="23"/>
  <c r="H2361" i="23"/>
  <c r="H2362" i="23"/>
  <c r="H2363" i="23"/>
  <c r="H2364" i="23"/>
  <c r="H2365" i="23"/>
  <c r="H2366" i="23"/>
  <c r="H2367" i="23"/>
  <c r="H2368" i="23"/>
  <c r="H2369" i="23"/>
  <c r="H2370" i="23"/>
  <c r="H2371" i="23"/>
  <c r="H2372" i="23"/>
  <c r="H2373" i="23"/>
  <c r="H2374" i="23"/>
  <c r="H2375" i="23"/>
  <c r="H2376" i="23"/>
  <c r="H2377" i="23"/>
  <c r="H2378" i="23"/>
  <c r="H2379" i="23"/>
  <c r="H2380" i="23"/>
  <c r="H2381" i="23"/>
  <c r="H2382" i="23"/>
  <c r="H2383" i="23"/>
  <c r="H2384" i="23"/>
  <c r="H2385" i="23"/>
  <c r="H2386" i="23"/>
  <c r="H2387" i="23"/>
  <c r="H2388" i="23"/>
  <c r="H2389" i="23"/>
  <c r="H2390" i="23"/>
  <c r="H2391" i="23"/>
  <c r="H2392" i="23"/>
  <c r="H2393" i="23"/>
  <c r="H2394" i="23"/>
  <c r="H2395" i="23"/>
  <c r="H2396" i="23"/>
  <c r="H2397" i="23"/>
  <c r="H2398" i="23"/>
  <c r="H2399" i="23"/>
  <c r="H2400" i="23"/>
  <c r="H2401" i="23"/>
  <c r="H2402" i="23"/>
  <c r="H2403" i="23"/>
  <c r="H2404" i="23"/>
  <c r="H2405" i="23"/>
  <c r="H2406" i="23"/>
  <c r="H2407" i="23"/>
  <c r="H2408" i="23"/>
  <c r="H2409" i="23"/>
  <c r="H2410" i="23"/>
  <c r="H2411" i="23"/>
  <c r="H2412" i="23"/>
  <c r="H2413" i="23"/>
  <c r="H2414" i="23"/>
  <c r="H2415" i="23"/>
  <c r="H2416" i="23"/>
  <c r="H2417" i="23"/>
  <c r="H2418" i="23"/>
  <c r="H2419" i="23"/>
  <c r="H2420" i="23"/>
  <c r="H2421" i="23"/>
  <c r="H2422" i="23"/>
  <c r="H2423" i="23"/>
  <c r="H2424" i="23"/>
  <c r="H2425" i="23"/>
  <c r="H2426" i="23"/>
  <c r="H2427" i="23"/>
  <c r="H2428" i="23"/>
  <c r="H2429" i="23"/>
  <c r="H2430" i="23"/>
  <c r="H2431" i="23"/>
  <c r="H2432" i="23"/>
  <c r="H2433" i="23"/>
  <c r="H2434" i="23"/>
  <c r="H2435" i="23"/>
  <c r="H2436" i="23"/>
  <c r="H2437" i="23"/>
  <c r="H2438" i="23"/>
  <c r="H2439" i="23"/>
  <c r="H2440" i="23"/>
  <c r="H2441" i="23"/>
  <c r="H2442" i="23"/>
  <c r="H2443" i="23"/>
  <c r="H2444" i="23"/>
  <c r="H2445" i="23"/>
  <c r="H2446" i="23"/>
  <c r="H2447" i="23"/>
  <c r="H2448" i="23"/>
  <c r="H2449" i="23"/>
  <c r="H2450" i="23"/>
  <c r="H2451" i="23"/>
  <c r="H2452" i="23"/>
  <c r="H2453" i="23"/>
  <c r="H2454" i="23"/>
  <c r="H2455" i="23"/>
  <c r="H2456" i="23"/>
  <c r="H2457" i="23"/>
  <c r="H2458" i="23"/>
  <c r="H2459" i="23"/>
  <c r="H2460" i="23"/>
  <c r="H2461" i="23"/>
  <c r="H2462" i="23"/>
  <c r="H2463" i="23"/>
  <c r="H2464" i="23"/>
  <c r="H2465" i="23"/>
  <c r="H2466" i="23"/>
  <c r="H2467" i="23"/>
  <c r="H2468" i="23"/>
  <c r="H2469" i="23"/>
  <c r="H2470" i="23"/>
  <c r="H2471" i="23"/>
  <c r="H2472" i="23"/>
  <c r="H2473" i="23"/>
  <c r="H2474" i="23"/>
  <c r="H2475" i="23"/>
  <c r="H2476" i="23"/>
  <c r="H2477" i="23"/>
  <c r="H2478" i="23"/>
  <c r="H2479" i="23"/>
  <c r="H2480" i="23"/>
  <c r="H2481" i="23"/>
  <c r="H2482" i="23"/>
  <c r="H2483" i="23"/>
  <c r="H2484" i="23"/>
  <c r="H2485" i="23"/>
  <c r="H2486" i="23"/>
  <c r="H2487" i="23"/>
  <c r="H2488" i="23"/>
  <c r="H2489" i="23"/>
  <c r="H2490" i="23"/>
  <c r="H2491" i="23"/>
  <c r="H2492" i="23"/>
  <c r="H2493" i="23"/>
  <c r="H2494" i="23"/>
  <c r="H2495" i="23"/>
  <c r="H2496" i="23"/>
  <c r="H2497" i="23"/>
  <c r="H2498" i="23"/>
  <c r="H2499" i="23"/>
  <c r="H2500" i="23"/>
  <c r="H2501" i="23"/>
  <c r="H2502" i="23"/>
  <c r="H2503" i="23"/>
  <c r="H2504" i="23"/>
  <c r="H2505" i="23"/>
  <c r="H2506" i="23"/>
  <c r="H2507" i="23"/>
  <c r="H2508" i="23"/>
  <c r="H2509" i="23"/>
  <c r="H2510" i="23"/>
  <c r="H2511" i="23"/>
  <c r="H2512" i="23"/>
  <c r="H2513" i="23"/>
  <c r="H2514" i="23"/>
  <c r="H2515" i="23"/>
  <c r="H2516" i="23"/>
  <c r="H2517" i="23"/>
  <c r="H2518" i="23"/>
  <c r="H2519" i="23"/>
  <c r="H2520" i="23"/>
  <c r="H2521" i="23"/>
  <c r="H2522" i="23"/>
  <c r="H2523" i="23"/>
  <c r="H2524" i="23"/>
  <c r="H2525" i="23"/>
  <c r="H2526" i="23"/>
  <c r="H2527" i="23"/>
  <c r="H2528" i="23"/>
  <c r="H2529" i="23"/>
  <c r="H2530" i="23"/>
  <c r="H2531" i="23"/>
  <c r="H2532" i="23"/>
  <c r="H2533" i="23"/>
  <c r="H2534" i="23"/>
  <c r="H2535" i="23"/>
  <c r="H2536" i="23"/>
  <c r="H2537" i="23"/>
  <c r="H2538" i="23"/>
  <c r="H2539" i="23"/>
  <c r="H2540" i="23"/>
  <c r="H2541" i="23"/>
  <c r="H2542" i="23"/>
  <c r="H2543" i="23"/>
  <c r="H2544" i="23"/>
  <c r="H2545" i="23"/>
  <c r="H2546" i="23"/>
  <c r="H2547" i="23"/>
  <c r="H2548" i="23"/>
  <c r="H2549" i="23"/>
  <c r="H2550" i="23"/>
  <c r="H2551" i="23"/>
  <c r="H2552" i="23"/>
  <c r="H2553" i="23"/>
  <c r="H2554" i="23"/>
  <c r="H2555" i="23"/>
  <c r="H2556" i="23"/>
  <c r="H2557" i="23"/>
  <c r="H2558" i="23"/>
  <c r="H2559" i="23"/>
  <c r="H2560" i="23"/>
  <c r="H2561" i="23"/>
  <c r="H2562" i="23"/>
  <c r="H2563" i="23"/>
  <c r="H2564" i="23"/>
  <c r="H2565" i="23"/>
  <c r="H2566" i="23"/>
  <c r="H2567" i="23"/>
  <c r="H2568" i="23"/>
  <c r="H2569" i="23"/>
  <c r="H2570" i="23"/>
  <c r="H2571" i="23"/>
  <c r="H2572" i="23"/>
  <c r="H2573" i="23"/>
  <c r="H2574" i="23"/>
  <c r="H2575" i="23"/>
  <c r="H2576" i="23"/>
  <c r="H2577" i="23"/>
  <c r="H2578" i="23"/>
  <c r="H2579" i="23"/>
  <c r="H2580" i="23"/>
  <c r="H2581" i="23"/>
  <c r="H2582" i="23"/>
  <c r="H2583" i="23"/>
  <c r="H2584" i="23"/>
  <c r="H2585" i="23"/>
  <c r="H2586" i="23"/>
  <c r="H2587" i="23"/>
  <c r="H2588" i="23"/>
  <c r="H2589" i="23"/>
  <c r="H2590" i="23"/>
  <c r="H2591" i="23"/>
  <c r="H2592" i="23"/>
  <c r="H2593" i="23"/>
  <c r="H2594" i="23"/>
  <c r="H2595" i="23"/>
  <c r="H2596" i="23"/>
  <c r="H2597" i="23"/>
  <c r="H2598" i="23"/>
  <c r="H2599" i="23"/>
  <c r="H2600" i="23"/>
  <c r="H2601" i="23"/>
  <c r="H2602" i="23"/>
  <c r="H2603" i="23"/>
  <c r="H2604" i="23"/>
  <c r="H2605" i="23"/>
  <c r="H2606" i="23"/>
  <c r="H2607" i="23"/>
  <c r="H2608" i="23"/>
  <c r="H2609" i="23"/>
  <c r="H2610" i="23"/>
  <c r="H2611" i="23"/>
  <c r="H2612" i="23"/>
  <c r="H2613" i="23"/>
  <c r="H2614" i="23"/>
  <c r="H2615" i="23"/>
  <c r="H2616" i="23"/>
  <c r="H2617" i="23"/>
  <c r="H2618" i="23"/>
  <c r="H2619" i="23"/>
  <c r="H2620" i="23"/>
  <c r="H2621" i="23"/>
  <c r="H2622" i="23"/>
  <c r="H2623" i="23"/>
  <c r="H2624" i="23"/>
  <c r="H2625" i="23"/>
  <c r="H2626" i="23"/>
  <c r="H2627" i="23"/>
  <c r="H2628" i="23"/>
  <c r="H2629" i="23"/>
  <c r="H2630" i="23"/>
  <c r="H2631" i="23"/>
  <c r="H2632" i="23"/>
  <c r="H2633" i="23"/>
  <c r="H2634" i="23"/>
  <c r="H2635" i="23"/>
  <c r="H2636" i="23"/>
  <c r="H2637" i="23"/>
  <c r="H2638" i="23"/>
  <c r="H2639" i="23"/>
  <c r="H2640" i="23"/>
  <c r="H2641" i="23"/>
  <c r="H2642" i="23"/>
  <c r="H2643" i="23"/>
  <c r="H2644" i="23"/>
  <c r="H2645" i="23"/>
  <c r="H2646" i="23"/>
  <c r="H2647" i="23"/>
  <c r="H2648" i="23"/>
  <c r="H2649" i="23"/>
  <c r="H2650" i="23"/>
  <c r="H2651" i="23"/>
  <c r="H2652" i="23"/>
  <c r="H2653" i="23"/>
  <c r="H2654" i="23"/>
  <c r="H2655" i="23"/>
  <c r="H2656" i="23"/>
  <c r="H2657" i="23"/>
  <c r="H2658" i="23"/>
  <c r="H2659" i="23"/>
  <c r="H2660" i="23"/>
  <c r="H2661" i="23"/>
  <c r="H2662" i="23"/>
  <c r="H2663" i="23"/>
  <c r="H2664" i="23"/>
  <c r="H2665" i="23"/>
  <c r="H2666" i="23"/>
  <c r="H25" i="23"/>
  <c r="E701" i="23"/>
  <c r="J61" i="74"/>
  <c r="E6" i="78"/>
  <c r="D3" i="79" s="1"/>
  <c r="G3" i="79" s="1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10" i="23"/>
  <c r="A112" i="23"/>
  <c r="A113" i="23"/>
  <c r="A160" i="23"/>
  <c r="A16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9" i="23"/>
  <c r="A700" i="23"/>
  <c r="A702" i="23"/>
  <c r="A706" i="23"/>
  <c r="A709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31" i="23"/>
  <c r="A732" i="23"/>
  <c r="A733" i="23"/>
  <c r="A734" i="23"/>
  <c r="A735" i="23"/>
  <c r="A736" i="23"/>
  <c r="A737" i="23"/>
  <c r="A738" i="23"/>
  <c r="A739" i="23"/>
  <c r="A740" i="23"/>
  <c r="A741" i="23"/>
  <c r="A769" i="23"/>
  <c r="A770" i="23"/>
  <c r="A771" i="23"/>
  <c r="A772" i="23"/>
  <c r="A773" i="23"/>
  <c r="A774" i="23"/>
  <c r="A775" i="23"/>
  <c r="A776" i="23"/>
  <c r="A777" i="23"/>
  <c r="A778" i="23"/>
  <c r="A792" i="23"/>
  <c r="A796" i="23"/>
  <c r="A808" i="23"/>
  <c r="A809" i="23"/>
  <c r="A810" i="23"/>
  <c r="A811" i="23"/>
  <c r="A812" i="23"/>
  <c r="A813" i="23"/>
  <c r="A814" i="23"/>
  <c r="A815" i="23"/>
  <c r="A816" i="23"/>
  <c r="A817" i="23"/>
  <c r="A818" i="23"/>
  <c r="A819" i="23"/>
  <c r="A820" i="23"/>
  <c r="A821" i="23"/>
  <c r="A822" i="23"/>
  <c r="A823" i="23"/>
  <c r="A824" i="23"/>
  <c r="A825" i="23"/>
  <c r="A826" i="23"/>
  <c r="A827" i="23"/>
  <c r="A828" i="23"/>
  <c r="A829" i="23"/>
  <c r="A830" i="23"/>
  <c r="A831" i="23"/>
  <c r="A832" i="23"/>
  <c r="A833" i="23"/>
  <c r="A834" i="23"/>
  <c r="A835" i="23"/>
  <c r="A836" i="23"/>
  <c r="A837" i="23"/>
  <c r="A838" i="23"/>
  <c r="A839" i="23"/>
  <c r="A840" i="23"/>
  <c r="A841" i="23"/>
  <c r="A842" i="23"/>
  <c r="A843" i="23"/>
  <c r="A844" i="23"/>
  <c r="A845" i="23"/>
  <c r="A846" i="23"/>
  <c r="A847" i="23"/>
  <c r="A848" i="23"/>
  <c r="A849" i="23"/>
  <c r="A850" i="23"/>
  <c r="A851" i="23"/>
  <c r="A852" i="23"/>
  <c r="A853" i="23"/>
  <c r="A854" i="23"/>
  <c r="A855" i="23"/>
  <c r="A856" i="23"/>
  <c r="A857" i="23"/>
  <c r="A858" i="23"/>
  <c r="A859" i="23"/>
  <c r="A860" i="23"/>
  <c r="A861" i="23"/>
  <c r="A862" i="23"/>
  <c r="A863" i="23"/>
  <c r="A864" i="23"/>
  <c r="A865" i="23"/>
  <c r="A866" i="23"/>
  <c r="A867" i="23"/>
  <c r="A868" i="23"/>
  <c r="A869" i="23"/>
  <c r="A870" i="23"/>
  <c r="A871" i="23"/>
  <c r="A872" i="23"/>
  <c r="A873" i="23"/>
  <c r="A874" i="23"/>
  <c r="A875" i="23"/>
  <c r="A876" i="23"/>
  <c r="A877" i="23"/>
  <c r="A878" i="23"/>
  <c r="A879" i="23"/>
  <c r="A880" i="23"/>
  <c r="A881" i="23"/>
  <c r="A882" i="23"/>
  <c r="A883" i="23"/>
  <c r="A884" i="23"/>
  <c r="A885" i="23"/>
  <c r="A886" i="23"/>
  <c r="A887" i="23"/>
  <c r="A888" i="23"/>
  <c r="A889" i="23"/>
  <c r="A890" i="23"/>
  <c r="A891" i="23"/>
  <c r="A892" i="23"/>
  <c r="A893" i="23"/>
  <c r="A894" i="23"/>
  <c r="A895" i="23"/>
  <c r="A896" i="23"/>
  <c r="A897" i="23"/>
  <c r="A898" i="23"/>
  <c r="A899" i="23"/>
  <c r="A900" i="23"/>
  <c r="A901" i="23"/>
  <c r="A902" i="23"/>
  <c r="A910" i="23"/>
  <c r="A1010" i="23"/>
  <c r="A1011" i="23"/>
  <c r="A1068" i="23"/>
  <c r="A1100" i="23"/>
  <c r="A1127" i="23"/>
  <c r="A1128" i="23"/>
  <c r="A1129" i="23"/>
  <c r="A1131" i="23"/>
  <c r="A1132" i="23"/>
  <c r="A1133" i="23"/>
  <c r="A1134" i="23"/>
  <c r="A1144" i="23"/>
  <c r="A1152" i="23"/>
  <c r="A1178" i="23"/>
  <c r="A1179" i="23"/>
  <c r="A1188" i="23"/>
  <c r="A1194" i="23"/>
  <c r="A1195" i="23"/>
  <c r="A1201" i="23"/>
  <c r="A1202" i="23"/>
  <c r="A1231" i="23"/>
  <c r="A1234" i="23"/>
  <c r="A1235" i="23"/>
  <c r="A1237" i="23"/>
  <c r="A1240" i="23"/>
  <c r="A1248" i="23"/>
  <c r="A1249" i="23"/>
  <c r="A1258" i="23"/>
  <c r="A1299" i="23"/>
  <c r="A1300" i="23"/>
  <c r="A1301" i="23"/>
  <c r="A1303" i="23"/>
  <c r="A1315" i="23"/>
  <c r="A1316" i="23"/>
  <c r="A1351" i="23"/>
  <c r="A1352" i="23"/>
  <c r="A1374" i="23"/>
  <c r="A1375" i="23"/>
  <c r="A1376" i="23"/>
  <c r="A1377" i="23"/>
  <c r="A1378" i="23"/>
  <c r="A1379" i="23"/>
  <c r="A1380" i="23"/>
  <c r="A1381" i="23"/>
  <c r="A1390" i="23"/>
  <c r="A1391" i="23"/>
  <c r="A1422" i="23"/>
  <c r="A1424" i="23"/>
  <c r="A1428" i="23"/>
  <c r="A1429" i="23"/>
  <c r="A1430" i="23"/>
  <c r="A1439" i="23"/>
  <c r="A1464" i="23"/>
  <c r="A1467" i="23"/>
  <c r="A1468" i="23"/>
  <c r="A1469" i="23"/>
  <c r="A1470" i="23"/>
  <c r="A1471" i="23"/>
  <c r="A1473" i="23"/>
  <c r="A1474" i="23"/>
  <c r="A1480" i="23"/>
  <c r="A1481" i="23"/>
  <c r="A1486" i="23"/>
  <c r="A1487" i="23"/>
  <c r="A1495" i="23"/>
  <c r="A1497" i="23"/>
  <c r="A1498" i="23"/>
  <c r="A1540" i="23"/>
  <c r="A1541" i="23"/>
  <c r="A1545" i="23"/>
  <c r="A1546" i="23"/>
  <c r="A1549" i="23"/>
  <c r="A1550" i="23"/>
  <c r="A1564" i="23"/>
  <c r="A1565" i="23"/>
  <c r="A1568" i="23"/>
  <c r="A1569" i="23"/>
  <c r="A1575" i="23"/>
  <c r="A1577" i="23"/>
  <c r="A1579" i="23"/>
  <c r="A1606" i="23"/>
  <c r="A1607" i="23"/>
  <c r="A1608" i="23"/>
  <c r="A1609" i="23"/>
  <c r="A1610" i="23"/>
  <c r="A1611" i="23"/>
  <c r="A1612" i="23"/>
  <c r="A1613" i="23"/>
  <c r="A1622" i="23"/>
  <c r="A1623" i="23"/>
  <c r="A1624" i="23"/>
  <c r="A1625" i="23"/>
  <c r="A1626" i="23"/>
  <c r="A1627" i="23"/>
  <c r="A1628" i="23"/>
  <c r="A1629" i="23"/>
  <c r="A1630" i="23"/>
  <c r="A1631" i="23"/>
  <c r="A1632" i="23"/>
  <c r="A1633" i="23"/>
  <c r="A1634" i="23"/>
  <c r="A1635" i="23"/>
  <c r="A1636" i="23"/>
  <c r="A1637" i="23"/>
  <c r="A1638" i="23"/>
  <c r="A1639" i="23"/>
  <c r="A1640" i="23"/>
  <c r="A1641" i="23"/>
  <c r="A1642" i="23"/>
  <c r="A1643" i="23"/>
  <c r="A1644" i="23"/>
  <c r="A1645" i="23"/>
  <c r="A1646" i="23"/>
  <c r="A1647" i="23"/>
  <c r="A1648" i="23"/>
  <c r="A1649" i="23"/>
  <c r="A1650" i="23"/>
  <c r="A1651" i="23"/>
  <c r="A1652" i="23"/>
  <c r="A1653" i="23"/>
  <c r="A1654" i="23"/>
  <c r="A1655" i="23"/>
  <c r="A1656" i="23"/>
  <c r="A1657" i="23"/>
  <c r="A1658" i="23"/>
  <c r="A1659" i="23"/>
  <c r="A1660" i="23"/>
  <c r="A1661" i="23"/>
  <c r="A1662" i="23"/>
  <c r="A1663" i="23"/>
  <c r="A1664" i="23"/>
  <c r="A1665" i="23"/>
  <c r="A1666" i="23"/>
  <c r="A1667" i="23"/>
  <c r="A1668" i="23"/>
  <c r="A1669" i="23"/>
  <c r="A1670" i="23"/>
  <c r="A1671" i="23"/>
  <c r="A1672" i="23"/>
  <c r="A1673" i="23"/>
  <c r="A1674" i="23"/>
  <c r="A1675" i="23"/>
  <c r="A1676" i="23"/>
  <c r="A1677" i="23"/>
  <c r="A1678" i="23"/>
  <c r="A1679" i="23"/>
  <c r="A1680" i="23"/>
  <c r="A1681" i="23"/>
  <c r="A1682" i="23"/>
  <c r="A1683" i="23"/>
  <c r="A1684" i="23"/>
  <c r="A1685" i="23"/>
  <c r="A1686" i="23"/>
  <c r="A1687" i="23"/>
  <c r="A1688" i="23"/>
  <c r="A1689" i="23"/>
  <c r="A1690" i="23"/>
  <c r="A1691" i="23"/>
  <c r="A1692" i="23"/>
  <c r="A1693" i="23"/>
  <c r="A1694" i="23"/>
  <c r="A1695" i="23"/>
  <c r="A1696" i="23"/>
  <c r="A1697" i="23"/>
  <c r="A1698" i="23"/>
  <c r="A1699" i="23"/>
  <c r="A1700" i="23"/>
  <c r="A1701" i="23"/>
  <c r="A1702" i="23"/>
  <c r="A1703" i="23"/>
  <c r="A1704" i="23"/>
  <c r="A1705" i="23"/>
  <c r="A1706" i="23"/>
  <c r="A1707" i="23"/>
  <c r="A1708" i="23"/>
  <c r="A1709" i="23"/>
  <c r="A1710" i="23"/>
  <c r="A1711" i="23"/>
  <c r="A1712" i="23"/>
  <c r="A1713" i="23"/>
  <c r="A1714" i="23"/>
  <c r="A1715" i="23"/>
  <c r="A1716" i="23"/>
  <c r="A1717" i="23"/>
  <c r="A1718" i="23"/>
  <c r="A1719" i="23"/>
  <c r="A1720" i="23"/>
  <c r="A1721" i="23"/>
  <c r="A1722" i="23"/>
  <c r="A1723" i="23"/>
  <c r="A1724" i="23"/>
  <c r="A1725" i="23"/>
  <c r="A1726" i="23"/>
  <c r="A1727" i="23"/>
  <c r="A1728" i="23"/>
  <c r="A1729" i="23"/>
  <c r="A1730" i="23"/>
  <c r="A1731" i="23"/>
  <c r="A1732" i="23"/>
  <c r="A1733" i="23"/>
  <c r="A1734" i="23"/>
  <c r="A1735" i="23"/>
  <c r="A1736" i="23"/>
  <c r="A1737" i="23"/>
  <c r="A1738" i="23"/>
  <c r="A1739" i="23"/>
  <c r="A1740" i="23"/>
  <c r="A1741" i="23"/>
  <c r="A1742" i="23"/>
  <c r="A1743" i="23"/>
  <c r="A1744" i="23"/>
  <c r="A1745" i="23"/>
  <c r="A1746" i="23"/>
  <c r="A1747" i="23"/>
  <c r="A1748" i="23"/>
  <c r="A1749" i="23"/>
  <c r="A1750" i="23"/>
  <c r="A1751" i="23"/>
  <c r="A1752" i="23"/>
  <c r="A1753" i="23"/>
  <c r="A1754" i="23"/>
  <c r="A1755" i="23"/>
  <c r="A1756" i="23"/>
  <c r="A1757" i="23"/>
  <c r="A1758" i="23"/>
  <c r="A1759" i="23"/>
  <c r="A1760" i="23"/>
  <c r="A1761" i="23"/>
  <c r="A1762" i="23"/>
  <c r="A1763" i="23"/>
  <c r="A1764" i="23"/>
  <c r="A1765" i="23"/>
  <c r="A1766" i="23"/>
  <c r="A1767" i="23"/>
  <c r="A1768" i="23"/>
  <c r="A1769" i="23"/>
  <c r="A1770" i="23"/>
  <c r="A1771" i="23"/>
  <c r="A1772" i="23"/>
  <c r="A1773" i="23"/>
  <c r="A1774" i="23"/>
  <c r="A1775" i="23"/>
  <c r="A1776" i="23"/>
  <c r="A1777" i="23"/>
  <c r="A1778" i="23"/>
  <c r="A1779" i="23"/>
  <c r="A1780" i="23"/>
  <c r="A1781" i="23"/>
  <c r="A1782" i="23"/>
  <c r="A1783" i="23"/>
  <c r="A1784" i="23"/>
  <c r="A1785" i="23"/>
  <c r="A1786" i="23"/>
  <c r="A1787" i="23"/>
  <c r="A1788" i="23"/>
  <c r="A1789" i="23"/>
  <c r="A1790" i="23"/>
  <c r="A1791" i="23"/>
  <c r="A1792" i="23"/>
  <c r="A1793" i="23"/>
  <c r="A1794" i="23"/>
  <c r="A1795" i="23"/>
  <c r="A1796" i="23"/>
  <c r="A1797" i="23"/>
  <c r="A1798" i="23"/>
  <c r="A1799" i="23"/>
  <c r="A1800" i="23"/>
  <c r="A1801" i="23"/>
  <c r="A1802" i="23"/>
  <c r="A1803" i="23"/>
  <c r="A1804" i="23"/>
  <c r="A1805" i="23"/>
  <c r="A1806" i="23"/>
  <c r="A1807" i="23"/>
  <c r="A1808" i="23"/>
  <c r="A1809" i="23"/>
  <c r="A1810" i="23"/>
  <c r="A1811" i="23"/>
  <c r="A1812" i="23"/>
  <c r="A1813" i="23"/>
  <c r="A1814" i="23"/>
  <c r="A1815" i="23"/>
  <c r="A1816" i="23"/>
  <c r="A1817" i="23"/>
  <c r="A1818" i="23"/>
  <c r="A1819" i="23"/>
  <c r="A1820" i="23"/>
  <c r="A1821" i="23"/>
  <c r="A1822" i="23"/>
  <c r="A1823" i="23"/>
  <c r="A1824" i="23"/>
  <c r="A1825" i="23"/>
  <c r="A1826" i="23"/>
  <c r="A1827" i="23"/>
  <c r="A1828" i="23"/>
  <c r="A1829" i="23"/>
  <c r="A1830" i="23"/>
  <c r="A1831" i="23"/>
  <c r="A1832" i="23"/>
  <c r="A1845" i="23"/>
  <c r="A1846" i="23"/>
  <c r="A1847" i="23"/>
  <c r="A1848" i="23"/>
  <c r="A1849" i="23"/>
  <c r="A1850" i="23"/>
  <c r="A1851" i="23"/>
  <c r="A1852" i="23"/>
  <c r="A1853" i="23"/>
  <c r="A1854" i="23"/>
  <c r="A1855" i="23"/>
  <c r="A1856" i="23"/>
  <c r="A1857" i="23"/>
  <c r="A1858" i="23"/>
  <c r="A1859" i="23"/>
  <c r="A1860" i="23"/>
  <c r="A1861" i="23"/>
  <c r="A1862" i="23"/>
  <c r="A1863" i="23"/>
  <c r="A1864" i="23"/>
  <c r="A1865" i="23"/>
  <c r="A1866" i="23"/>
  <c r="A1867" i="23"/>
  <c r="A1868" i="23"/>
  <c r="A1869" i="23"/>
  <c r="A1870" i="23"/>
  <c r="A1871" i="23"/>
  <c r="A1872" i="23"/>
  <c r="A1873" i="23"/>
  <c r="A1874" i="23"/>
  <c r="A1875" i="23"/>
  <c r="A1876" i="23"/>
  <c r="A1877" i="23"/>
  <c r="A1878" i="23"/>
  <c r="A1879" i="23"/>
  <c r="A1880" i="23"/>
  <c r="A1881" i="23"/>
  <c r="A1882" i="23"/>
  <c r="A1883" i="23"/>
  <c r="A1884" i="23"/>
  <c r="A1885" i="23"/>
  <c r="A1886" i="23"/>
  <c r="A1887" i="23"/>
  <c r="A1888" i="23"/>
  <c r="A1889" i="23"/>
  <c r="A1890" i="23"/>
  <c r="A1891" i="23"/>
  <c r="A1892" i="23"/>
  <c r="A1893" i="23"/>
  <c r="A1894" i="23"/>
  <c r="A1895" i="23"/>
  <c r="A1896" i="23"/>
  <c r="A1897" i="23"/>
  <c r="A1898" i="23"/>
  <c r="A1899" i="23"/>
  <c r="A1900" i="23"/>
  <c r="A1901" i="23"/>
  <c r="A1902" i="23"/>
  <c r="A1903" i="23"/>
  <c r="A1904" i="23"/>
  <c r="A1905" i="23"/>
  <c r="A1906" i="23"/>
  <c r="A1907" i="23"/>
  <c r="A1908" i="23"/>
  <c r="A1909" i="23"/>
  <c r="A1910" i="23"/>
  <c r="A1911" i="23"/>
  <c r="A1912" i="23"/>
  <c r="A1913" i="23"/>
  <c r="A1914" i="23"/>
  <c r="A1915" i="23"/>
  <c r="A1916" i="23"/>
  <c r="A1917" i="23"/>
  <c r="A1918" i="23"/>
  <c r="A1919" i="23"/>
  <c r="A1920" i="23"/>
  <c r="A1921" i="23"/>
  <c r="A1922" i="23"/>
  <c r="A1923" i="23"/>
  <c r="A1924" i="23"/>
  <c r="A1925" i="23"/>
  <c r="A1926" i="23"/>
  <c r="A1927" i="23"/>
  <c r="A1928" i="23"/>
  <c r="A1929" i="23"/>
  <c r="A1930" i="23"/>
  <c r="A1931" i="23"/>
  <c r="A1932" i="23"/>
  <c r="A1933" i="23"/>
  <c r="A1934" i="23"/>
  <c r="A1935" i="23"/>
  <c r="A1936" i="23"/>
  <c r="A1937" i="23"/>
  <c r="A1938" i="23"/>
  <c r="A1939" i="23"/>
  <c r="A1940" i="23"/>
  <c r="A1941" i="23"/>
  <c r="A1942" i="23"/>
  <c r="A1943" i="23"/>
  <c r="A1944" i="23"/>
  <c r="A1945" i="23"/>
  <c r="A1946" i="23"/>
  <c r="A1947" i="23"/>
  <c r="A1948" i="23"/>
  <c r="A1949" i="23"/>
  <c r="A1950" i="23"/>
  <c r="A1951" i="23"/>
  <c r="A1952" i="23"/>
  <c r="A1953" i="23"/>
  <c r="A1954" i="23"/>
  <c r="A1955" i="23"/>
  <c r="A1956" i="23"/>
  <c r="A1957" i="23"/>
  <c r="A1958" i="23"/>
  <c r="A1959" i="23"/>
  <c r="A1960" i="23"/>
  <c r="A1961" i="23"/>
  <c r="A1962" i="23"/>
  <c r="A1963" i="23"/>
  <c r="A1964" i="23"/>
  <c r="A1965" i="23"/>
  <c r="A1966" i="23"/>
  <c r="A1967" i="23"/>
  <c r="A1968" i="23"/>
  <c r="A1969" i="23"/>
  <c r="A1970" i="23"/>
  <c r="A1971" i="23"/>
  <c r="A1972" i="23"/>
  <c r="A1973" i="23"/>
  <c r="A1974" i="23"/>
  <c r="A1975" i="23"/>
  <c r="A1976" i="23"/>
  <c r="A1977" i="23"/>
  <c r="A1978" i="23"/>
  <c r="A1979" i="23"/>
  <c r="A1980" i="23"/>
  <c r="A1981" i="23"/>
  <c r="A1982" i="23"/>
  <c r="A1983" i="23"/>
  <c r="A1984" i="23"/>
  <c r="A1985" i="23"/>
  <c r="A1986" i="23"/>
  <c r="A1987" i="23"/>
  <c r="A1988" i="23"/>
  <c r="A1989" i="23"/>
  <c r="A1990" i="23"/>
  <c r="A1991" i="23"/>
  <c r="A1992" i="23"/>
  <c r="A1993" i="23"/>
  <c r="A1994" i="23"/>
  <c r="A1995" i="23"/>
  <c r="A1996" i="23"/>
  <c r="A1997" i="23"/>
  <c r="A1998" i="23"/>
  <c r="A1999" i="23"/>
  <c r="A2000" i="23"/>
  <c r="A2001" i="23"/>
  <c r="A2002" i="23"/>
  <c r="A2003" i="23"/>
  <c r="A2004" i="23"/>
  <c r="A2005" i="23"/>
  <c r="A2006" i="23"/>
  <c r="A2007" i="23"/>
  <c r="A2008" i="23"/>
  <c r="A2009" i="23"/>
  <c r="A2010" i="23"/>
  <c r="A2011" i="23"/>
  <c r="A2012" i="23"/>
  <c r="A2013" i="23"/>
  <c r="A2014" i="23"/>
  <c r="A2015" i="23"/>
  <c r="A2016" i="23"/>
  <c r="A2017" i="23"/>
  <c r="A2018" i="23"/>
  <c r="A2019" i="23"/>
  <c r="A2020" i="23"/>
  <c r="A2021" i="23"/>
  <c r="A2022" i="23"/>
  <c r="A2023" i="23"/>
  <c r="A2024" i="23"/>
  <c r="A2025" i="23"/>
  <c r="A2026" i="23"/>
  <c r="A2027" i="23"/>
  <c r="A2028" i="23"/>
  <c r="A2029" i="23"/>
  <c r="A2030" i="23"/>
  <c r="A2031" i="23"/>
  <c r="A2032" i="23"/>
  <c r="A2033" i="23"/>
  <c r="A2034" i="23"/>
  <c r="A2035" i="23"/>
  <c r="A2036" i="23"/>
  <c r="A2037" i="23"/>
  <c r="A2038" i="23"/>
  <c r="A2039" i="23"/>
  <c r="A2040" i="23"/>
  <c r="A2041" i="23"/>
  <c r="A2042" i="23"/>
  <c r="A2043" i="23"/>
  <c r="A2044" i="23"/>
  <c r="A2045" i="23"/>
  <c r="A2046" i="23"/>
  <c r="A2047" i="23"/>
  <c r="A2048" i="23"/>
  <c r="A2049" i="23"/>
  <c r="A2050" i="23"/>
  <c r="A2051" i="23"/>
  <c r="A2052" i="23"/>
  <c r="A2053" i="23"/>
  <c r="A2054" i="23"/>
  <c r="A2055" i="23"/>
  <c r="A2056" i="23"/>
  <c r="A2057" i="23"/>
  <c r="A2058" i="23"/>
  <c r="A2059" i="23"/>
  <c r="A2060" i="23"/>
  <c r="A2061" i="23"/>
  <c r="A2062" i="23"/>
  <c r="A2063" i="23"/>
  <c r="A2064" i="23"/>
  <c r="A2065" i="23"/>
  <c r="A2066" i="23"/>
  <c r="A2067" i="23"/>
  <c r="A2068" i="23"/>
  <c r="A2069" i="23"/>
  <c r="A2070" i="23"/>
  <c r="A2079" i="23"/>
  <c r="A2080" i="23"/>
  <c r="A2081" i="23"/>
  <c r="A2082" i="23"/>
  <c r="A2083" i="23"/>
  <c r="A2084" i="23"/>
  <c r="A2085" i="23"/>
  <c r="A2086" i="23"/>
  <c r="A2087" i="23"/>
  <c r="A2088" i="23"/>
  <c r="A2089" i="23"/>
  <c r="A2090" i="23"/>
  <c r="A2091" i="23"/>
  <c r="A2092" i="23"/>
  <c r="A2093" i="23"/>
  <c r="A2094" i="23"/>
  <c r="A2095" i="23"/>
  <c r="A2096" i="23"/>
  <c r="A2097" i="23"/>
  <c r="A2098" i="23"/>
  <c r="A2099" i="23"/>
  <c r="A2100" i="23"/>
  <c r="A2101" i="23"/>
  <c r="A2102" i="23"/>
  <c r="A2103" i="23"/>
  <c r="A2104" i="23"/>
  <c r="A2105" i="23"/>
  <c r="A2106" i="23"/>
  <c r="A2107" i="23"/>
  <c r="A2108" i="23"/>
  <c r="A2109" i="23"/>
  <c r="A2110" i="23"/>
  <c r="A2111" i="23"/>
  <c r="A2112" i="23"/>
  <c r="A2113" i="23"/>
  <c r="A2114" i="23"/>
  <c r="A2115" i="23"/>
  <c r="A2116" i="23"/>
  <c r="A2117" i="23"/>
  <c r="A2118" i="23"/>
  <c r="A2119" i="23"/>
  <c r="A2120" i="23"/>
  <c r="A2121" i="23"/>
  <c r="A2122" i="23"/>
  <c r="A2123" i="23"/>
  <c r="A2124" i="23"/>
  <c r="A2125" i="23"/>
  <c r="A2126" i="23"/>
  <c r="A2127" i="23"/>
  <c r="A2128" i="23"/>
  <c r="A2129" i="23"/>
  <c r="A2130" i="23"/>
  <c r="A2131" i="23"/>
  <c r="A2132" i="23"/>
  <c r="A2133" i="23"/>
  <c r="A2134" i="23"/>
  <c r="A2135" i="23"/>
  <c r="A2136" i="23"/>
  <c r="A2137" i="23"/>
  <c r="A2138" i="23"/>
  <c r="A2139" i="23"/>
  <c r="A2140" i="23"/>
  <c r="A2141" i="23"/>
  <c r="A2142" i="23"/>
  <c r="A2143" i="23"/>
  <c r="A2144" i="23"/>
  <c r="A2145" i="23"/>
  <c r="A2146" i="23"/>
  <c r="A2147" i="23"/>
  <c r="A2148" i="23"/>
  <c r="A2149" i="23"/>
  <c r="A2150" i="23"/>
  <c r="A2151" i="23"/>
  <c r="A2152" i="23"/>
  <c r="A2153" i="23"/>
  <c r="A2154" i="23"/>
  <c r="A2155" i="23"/>
  <c r="A2156" i="23"/>
  <c r="A2157" i="23"/>
  <c r="A2158" i="23"/>
  <c r="A2159" i="23"/>
  <c r="A2160" i="23"/>
  <c r="A2161" i="23"/>
  <c r="A2162" i="23"/>
  <c r="A2163" i="23"/>
  <c r="A2164" i="23"/>
  <c r="A2165" i="23"/>
  <c r="A2166" i="23"/>
  <c r="A2167" i="23"/>
  <c r="A2168" i="23"/>
  <c r="A2169" i="23"/>
  <c r="A2170" i="23"/>
  <c r="A2171" i="23"/>
  <c r="A2172" i="23"/>
  <c r="A2173" i="23"/>
  <c r="A2174" i="23"/>
  <c r="A2175" i="23"/>
  <c r="A2176" i="23"/>
  <c r="A2177" i="23"/>
  <c r="A2178" i="23"/>
  <c r="A2179" i="23"/>
  <c r="A2180" i="23"/>
  <c r="A2181" i="23"/>
  <c r="A2182" i="23"/>
  <c r="A2183" i="23"/>
  <c r="A2184" i="23"/>
  <c r="A2185" i="23"/>
  <c r="A2186" i="23"/>
  <c r="A2187" i="23"/>
  <c r="A2188" i="23"/>
  <c r="A2189" i="23"/>
  <c r="A2190" i="23"/>
  <c r="A2191" i="23"/>
  <c r="A2192" i="23"/>
  <c r="A2193" i="23"/>
  <c r="A2194" i="23"/>
  <c r="A2195" i="23"/>
  <c r="A2196" i="23"/>
  <c r="A2197" i="23"/>
  <c r="A2198" i="23"/>
  <c r="A2199" i="23"/>
  <c r="A2200" i="23"/>
  <c r="A2201" i="23"/>
  <c r="A2202" i="23"/>
  <c r="A2203" i="23"/>
  <c r="A2204" i="23"/>
  <c r="A2205" i="23"/>
  <c r="A2206" i="23"/>
  <c r="A2207" i="23"/>
  <c r="A2208" i="23"/>
  <c r="A2209" i="23"/>
  <c r="A2210" i="23"/>
  <c r="A2211" i="23"/>
  <c r="A2212" i="23"/>
  <c r="A2213" i="23"/>
  <c r="A2214" i="23"/>
  <c r="A2215" i="23"/>
  <c r="A2216" i="23"/>
  <c r="A2217" i="23"/>
  <c r="A2218" i="23"/>
  <c r="A2219" i="23"/>
  <c r="A2220" i="23"/>
  <c r="A2221" i="23"/>
  <c r="A2222" i="23"/>
  <c r="A2223" i="23"/>
  <c r="A2224" i="23"/>
  <c r="A2225" i="23"/>
  <c r="A2226" i="23"/>
  <c r="A2227" i="23"/>
  <c r="A2228" i="23"/>
  <c r="A2229" i="23"/>
  <c r="A2230" i="23"/>
  <c r="A2231" i="23"/>
  <c r="A2232" i="23"/>
  <c r="A2233" i="23"/>
  <c r="A2234" i="23"/>
  <c r="A2235" i="23"/>
  <c r="A2236" i="23"/>
  <c r="A2237" i="23"/>
  <c r="A2238" i="23"/>
  <c r="A2239" i="23"/>
  <c r="A2240" i="23"/>
  <c r="A2241" i="23"/>
  <c r="A2242" i="23"/>
  <c r="A2243" i="23"/>
  <c r="A2244" i="23"/>
  <c r="A2245" i="23"/>
  <c r="A2246" i="23"/>
  <c r="A2247" i="23"/>
  <c r="A2248" i="23"/>
  <c r="A2249" i="23"/>
  <c r="A2250" i="23"/>
  <c r="A2251" i="23"/>
  <c r="A2252" i="23"/>
  <c r="A2253" i="23"/>
  <c r="A2254" i="23"/>
  <c r="A2255" i="23"/>
  <c r="A2256" i="23"/>
  <c r="A2257" i="23"/>
  <c r="A2258" i="23"/>
  <c r="A2259" i="23"/>
  <c r="A2260" i="23"/>
  <c r="A2261" i="23"/>
  <c r="A2262" i="23"/>
  <c r="A2263" i="23"/>
  <c r="A2264" i="23"/>
  <c r="A2265" i="23"/>
  <c r="A2266" i="23"/>
  <c r="A2267" i="23"/>
  <c r="A2268" i="23"/>
  <c r="A2269" i="23"/>
  <c r="A2270" i="23"/>
  <c r="A2271" i="23"/>
  <c r="A2272" i="23"/>
  <c r="A2273" i="23"/>
  <c r="A2274" i="23"/>
  <c r="A2275" i="23"/>
  <c r="A2276" i="23"/>
  <c r="A2277" i="23"/>
  <c r="A2278" i="23"/>
  <c r="A2279" i="23"/>
  <c r="A2280" i="23"/>
  <c r="A2281" i="23"/>
  <c r="A2282" i="23"/>
  <c r="A2283" i="23"/>
  <c r="A2284" i="23"/>
  <c r="A2285" i="23"/>
  <c r="A2286" i="23"/>
  <c r="A2287" i="23"/>
  <c r="A2288" i="23"/>
  <c r="A2289" i="23"/>
  <c r="A2290" i="23"/>
  <c r="A2291" i="23"/>
  <c r="A2292" i="23"/>
  <c r="A2293" i="23"/>
  <c r="A2294" i="23"/>
  <c r="A2295" i="23"/>
  <c r="A2305" i="23"/>
  <c r="A2307" i="23"/>
  <c r="A2308" i="23"/>
  <c r="A2309" i="23"/>
  <c r="A2310" i="23"/>
  <c r="A2311" i="23"/>
  <c r="A2312" i="23"/>
  <c r="A2313" i="23"/>
  <c r="A2314" i="23"/>
  <c r="A2315" i="23"/>
  <c r="A2316" i="23"/>
  <c r="A2317" i="23"/>
  <c r="A2318" i="23"/>
  <c r="A2319" i="23"/>
  <c r="A2320" i="23"/>
  <c r="A2321" i="23"/>
  <c r="A2322" i="23"/>
  <c r="A2323" i="23"/>
  <c r="A2324" i="23"/>
  <c r="A2325" i="23"/>
  <c r="A2326" i="23"/>
  <c r="A2327" i="23"/>
  <c r="A2328" i="23"/>
  <c r="A2329" i="23"/>
  <c r="A2330" i="23"/>
  <c r="A2331" i="23"/>
  <c r="A2332" i="23"/>
  <c r="A2333" i="23"/>
  <c r="A2334" i="23"/>
  <c r="A2335" i="23"/>
  <c r="A2336" i="23"/>
  <c r="A2337" i="23"/>
  <c r="A2338" i="23"/>
  <c r="A2339" i="23"/>
  <c r="A2340" i="23"/>
  <c r="A2341" i="23"/>
  <c r="A2342" i="23"/>
  <c r="A2343" i="23"/>
  <c r="A2344" i="23"/>
  <c r="A2345" i="23"/>
  <c r="A2346" i="23"/>
  <c r="A2347" i="23"/>
  <c r="A2348" i="23"/>
  <c r="A2349" i="23"/>
  <c r="A2350" i="23"/>
  <c r="A2351" i="23"/>
  <c r="A2352" i="23"/>
  <c r="A2353" i="23"/>
  <c r="A2354" i="23"/>
  <c r="A2355" i="23"/>
  <c r="A2356" i="23"/>
  <c r="A2357" i="23"/>
  <c r="A2358" i="23"/>
  <c r="A2359" i="23"/>
  <c r="A2360" i="23"/>
  <c r="A2361" i="23"/>
  <c r="A2362" i="23"/>
  <c r="A2363" i="23"/>
  <c r="A2364" i="23"/>
  <c r="A2365" i="23"/>
  <c r="A2366" i="23"/>
  <c r="A2367" i="23"/>
  <c r="A2368" i="23"/>
  <c r="A2369" i="23"/>
  <c r="A2370" i="23"/>
  <c r="A2371" i="23"/>
  <c r="A2372" i="23"/>
  <c r="A2373" i="23"/>
  <c r="A2374" i="23"/>
  <c r="A2375" i="23"/>
  <c r="A2376" i="23"/>
  <c r="A2377" i="23"/>
  <c r="A2378" i="23"/>
  <c r="A2379" i="23"/>
  <c r="A2380" i="23"/>
  <c r="A2381" i="23"/>
  <c r="A2382" i="23"/>
  <c r="A2383" i="23"/>
  <c r="A2384" i="23"/>
  <c r="A2385" i="23"/>
  <c r="A2386" i="23"/>
  <c r="A2387" i="23"/>
  <c r="A2388" i="23"/>
  <c r="A2389" i="23"/>
  <c r="A2390" i="23"/>
  <c r="A2391" i="23"/>
  <c r="A2392" i="23"/>
  <c r="A2393" i="23"/>
  <c r="A2394" i="23"/>
  <c r="A2395" i="23"/>
  <c r="A2396" i="23"/>
  <c r="A2397" i="23"/>
  <c r="A2398" i="23"/>
  <c r="A2399" i="23"/>
  <c r="A2400" i="23"/>
  <c r="A2401" i="23"/>
  <c r="A2402" i="23"/>
  <c r="A2403" i="23"/>
  <c r="A2404" i="23"/>
  <c r="A2405" i="23"/>
  <c r="A2406" i="23"/>
  <c r="A2407" i="23"/>
  <c r="A2408" i="23"/>
  <c r="A2409" i="23"/>
  <c r="A2410" i="23"/>
  <c r="A2411" i="23"/>
  <c r="A2412" i="23"/>
  <c r="A2413" i="23"/>
  <c r="A2414" i="23"/>
  <c r="A2415" i="23"/>
  <c r="A2416" i="23"/>
  <c r="A2417" i="23"/>
  <c r="A2418" i="23"/>
  <c r="A2419" i="23"/>
  <c r="A2420" i="23"/>
  <c r="A2421" i="23"/>
  <c r="A2422" i="23"/>
  <c r="A2423" i="23"/>
  <c r="A2424" i="23"/>
  <c r="A2425" i="23"/>
  <c r="A2426" i="23"/>
  <c r="A2427" i="23"/>
  <c r="A2428" i="23"/>
  <c r="A2429" i="23"/>
  <c r="A2430" i="23"/>
  <c r="A2431" i="23"/>
  <c r="A2432" i="23"/>
  <c r="A2433" i="23"/>
  <c r="A2434" i="23"/>
  <c r="A2435" i="23"/>
  <c r="A2436" i="23"/>
  <c r="A2437" i="23"/>
  <c r="A2438" i="23"/>
  <c r="A2439" i="23"/>
  <c r="A2440" i="23"/>
  <c r="A2441" i="23"/>
  <c r="A2442" i="23"/>
  <c r="A2443" i="23"/>
  <c r="A2444" i="23"/>
  <c r="A2445" i="23"/>
  <c r="A2446" i="23"/>
  <c r="A2447" i="23"/>
  <c r="A2448" i="23"/>
  <c r="A2449" i="23"/>
  <c r="A2450" i="23"/>
  <c r="A2451" i="23"/>
  <c r="A2452" i="23"/>
  <c r="A2453" i="23"/>
  <c r="A2454" i="23"/>
  <c r="A2455" i="23"/>
  <c r="A2456" i="23"/>
  <c r="A2457" i="23"/>
  <c r="A2458" i="23"/>
  <c r="A2459" i="23"/>
  <c r="A2460" i="23"/>
  <c r="A2461" i="23"/>
  <c r="A2462" i="23"/>
  <c r="A2463" i="23"/>
  <c r="A2464" i="23"/>
  <c r="A2465" i="23"/>
  <c r="A2466" i="23"/>
  <c r="A2467" i="23"/>
  <c r="A2468" i="23"/>
  <c r="A2469" i="23"/>
  <c r="A2470" i="23"/>
  <c r="A2471" i="23"/>
  <c r="A2472" i="23"/>
  <c r="A2473" i="23"/>
  <c r="A2474" i="23"/>
  <c r="A2475" i="23"/>
  <c r="A2476" i="23"/>
  <c r="A2477" i="23"/>
  <c r="A2478" i="23"/>
  <c r="A2479" i="23"/>
  <c r="A2480" i="23"/>
  <c r="A2481" i="23"/>
  <c r="A2482" i="23"/>
  <c r="A2483" i="23"/>
  <c r="A2493" i="23"/>
  <c r="A2495" i="23"/>
  <c r="A2496" i="23"/>
  <c r="A2497" i="23"/>
  <c r="A2498" i="23"/>
  <c r="A2499" i="23"/>
  <c r="A2500" i="23"/>
  <c r="A2501" i="23"/>
  <c r="A2502" i="23"/>
  <c r="A2503" i="23"/>
  <c r="A2504" i="23"/>
  <c r="A2505" i="23"/>
  <c r="A2506" i="23"/>
  <c r="A2507" i="23"/>
  <c r="A2508" i="23"/>
  <c r="A2509" i="23"/>
  <c r="A2510" i="23"/>
  <c r="A2511" i="23"/>
  <c r="A2512" i="23"/>
  <c r="A2513" i="23"/>
  <c r="A2514" i="23"/>
  <c r="A2515" i="23"/>
  <c r="A2516" i="23"/>
  <c r="A2517" i="23"/>
  <c r="A2518" i="23"/>
  <c r="A2519" i="23"/>
  <c r="A2520" i="23"/>
  <c r="A2521" i="23"/>
  <c r="A2522" i="23"/>
  <c r="A2523" i="23"/>
  <c r="A2524" i="23"/>
  <c r="A2525" i="23"/>
  <c r="A2526" i="23"/>
  <c r="A2527" i="23"/>
  <c r="A2528" i="23"/>
  <c r="A2529" i="23"/>
  <c r="A2530" i="23"/>
  <c r="A2531" i="23"/>
  <c r="A2532" i="23"/>
  <c r="A2533" i="23"/>
  <c r="A2534" i="23"/>
  <c r="A2535" i="23"/>
  <c r="A2536" i="23"/>
  <c r="A2537" i="23"/>
  <c r="A2538" i="23"/>
  <c r="A2539" i="23"/>
  <c r="A2540" i="23"/>
  <c r="A2541" i="23"/>
  <c r="A2542" i="23"/>
  <c r="A2543" i="23"/>
  <c r="A2544" i="23"/>
  <c r="A2545" i="23"/>
  <c r="A2546" i="23"/>
  <c r="A2547" i="23"/>
  <c r="A2548" i="23"/>
  <c r="A2549" i="23"/>
  <c r="A2550" i="23"/>
  <c r="A2551" i="23"/>
  <c r="A2552" i="23"/>
  <c r="A2553" i="23"/>
  <c r="A2554" i="23"/>
  <c r="A2555" i="23"/>
  <c r="A2556" i="23"/>
  <c r="A2557" i="23"/>
  <c r="A2558" i="23"/>
  <c r="A2559" i="23"/>
  <c r="A2560" i="23"/>
  <c r="A2561" i="23"/>
  <c r="A2562" i="23"/>
  <c r="A2563" i="23"/>
  <c r="A2564" i="23"/>
  <c r="A2565" i="23"/>
  <c r="A2566" i="23"/>
  <c r="A2567" i="23"/>
  <c r="A2568" i="23"/>
  <c r="A2569" i="23"/>
  <c r="A2570" i="23"/>
  <c r="A2571" i="23"/>
  <c r="A2572" i="23"/>
  <c r="A2573" i="23"/>
  <c r="A2574" i="23"/>
  <c r="A2575" i="23"/>
  <c r="A2576" i="23"/>
  <c r="A2577" i="23"/>
  <c r="A2578" i="23"/>
  <c r="A2579" i="23"/>
  <c r="A2580" i="23"/>
  <c r="A2581" i="23"/>
  <c r="A2582" i="23"/>
  <c r="A2583" i="23"/>
  <c r="A2584" i="23"/>
  <c r="A2585" i="23"/>
  <c r="A2586" i="23"/>
  <c r="A2587" i="23"/>
  <c r="A2588" i="23"/>
  <c r="A2589" i="23"/>
  <c r="A2590" i="23"/>
  <c r="A2591" i="23"/>
  <c r="A2592" i="23"/>
  <c r="A2593" i="23"/>
  <c r="A2594" i="23"/>
  <c r="A2595" i="23"/>
  <c r="A2596" i="23"/>
  <c r="A2597" i="23"/>
  <c r="A2598" i="23"/>
  <c r="A2599" i="23"/>
  <c r="A2600" i="23"/>
  <c r="A2601" i="23"/>
  <c r="A2602" i="23"/>
  <c r="A2603" i="23"/>
  <c r="A2604" i="23"/>
  <c r="A2605" i="23"/>
  <c r="A2606" i="23"/>
  <c r="A2607" i="23"/>
  <c r="A2608" i="23"/>
  <c r="A2609" i="23"/>
  <c r="A2610" i="23"/>
  <c r="A2611" i="23"/>
  <c r="A2612" i="23"/>
  <c r="A2613" i="23"/>
  <c r="A2614" i="23"/>
  <c r="A2615" i="23"/>
  <c r="A2616" i="23"/>
  <c r="A2617" i="23"/>
  <c r="A2618" i="23"/>
  <c r="A2619" i="23"/>
  <c r="A2620" i="23"/>
  <c r="A2621" i="23"/>
  <c r="A2622" i="23"/>
  <c r="A2623" i="23"/>
  <c r="A2624" i="23"/>
  <c r="A2625" i="23"/>
  <c r="A2626" i="23"/>
  <c r="A2627" i="23"/>
  <c r="A2628" i="23"/>
  <c r="A2629" i="23"/>
  <c r="A2630" i="23"/>
  <c r="A2631" i="23"/>
  <c r="A2632" i="23"/>
  <c r="A2633" i="23"/>
  <c r="A2634" i="23"/>
  <c r="A2635" i="23"/>
  <c r="A2636" i="23"/>
  <c r="A2637" i="23"/>
  <c r="A2638" i="23"/>
  <c r="A2639" i="23"/>
  <c r="A2640" i="23"/>
  <c r="A2641" i="23"/>
  <c r="A2642" i="23"/>
  <c r="A2643" i="23"/>
  <c r="A2644" i="23"/>
  <c r="A2645" i="23"/>
  <c r="A2646" i="23"/>
  <c r="A2647" i="23"/>
  <c r="A2648" i="23"/>
  <c r="A2649" i="23"/>
  <c r="A2650" i="23"/>
  <c r="A2651" i="23"/>
  <c r="A2652" i="23"/>
  <c r="A2653" i="23"/>
  <c r="A2654" i="23"/>
  <c r="A2655" i="23"/>
  <c r="A2656" i="23"/>
  <c r="A2657" i="23"/>
  <c r="A2658" i="23"/>
  <c r="A2659" i="23"/>
  <c r="A2660" i="23"/>
  <c r="A2661" i="23"/>
  <c r="A2662" i="23"/>
  <c r="A2663" i="23"/>
  <c r="A2664" i="23"/>
  <c r="A2665" i="23"/>
  <c r="A2666" i="23"/>
  <c r="A25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A2494" i="23"/>
  <c r="F2494" i="23"/>
  <c r="E2494" i="23"/>
  <c r="D2494" i="23"/>
  <c r="F2493" i="23"/>
  <c r="E2493" i="23"/>
  <c r="D2493" i="23"/>
  <c r="A2492" i="23"/>
  <c r="F2492" i="23"/>
  <c r="E2492" i="23"/>
  <c r="D2492" i="23"/>
  <c r="A2491" i="23"/>
  <c r="F2491" i="23"/>
  <c r="E2491" i="23"/>
  <c r="D2491" i="23"/>
  <c r="A2490" i="23"/>
  <c r="F2490" i="23"/>
  <c r="E2490" i="23"/>
  <c r="D2490" i="23"/>
  <c r="A2489" i="23"/>
  <c r="F2489" i="23"/>
  <c r="E2489" i="23"/>
  <c r="D2489" i="23"/>
  <c r="A2488" i="23"/>
  <c r="F2488" i="23"/>
  <c r="E2488" i="23"/>
  <c r="D2488" i="23"/>
  <c r="A2487" i="23"/>
  <c r="F2487" i="23"/>
  <c r="E2487" i="23"/>
  <c r="D2487" i="23"/>
  <c r="A2486" i="23"/>
  <c r="F2486" i="23"/>
  <c r="E2486" i="23"/>
  <c r="D2486" i="23"/>
  <c r="A2485" i="23"/>
  <c r="F2485" i="23"/>
  <c r="E2485" i="23"/>
  <c r="D2485" i="23"/>
  <c r="A2484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A2306" i="23"/>
  <c r="F2306" i="23"/>
  <c r="E2306" i="23"/>
  <c r="D2306" i="23"/>
  <c r="A2304" i="23"/>
  <c r="F2304" i="23"/>
  <c r="E2304" i="23"/>
  <c r="D2304" i="23"/>
  <c r="A2302" i="23"/>
  <c r="F2302" i="23"/>
  <c r="E2302" i="23"/>
  <c r="D2302" i="23"/>
  <c r="A2301" i="23"/>
  <c r="F2301" i="23"/>
  <c r="E2301" i="23"/>
  <c r="D2301" i="23"/>
  <c r="A2300" i="23"/>
  <c r="F2300" i="23"/>
  <c r="E2300" i="23"/>
  <c r="D2300" i="23"/>
  <c r="A2298" i="23"/>
  <c r="F2298" i="23"/>
  <c r="E2298" i="23"/>
  <c r="D2298" i="23"/>
  <c r="A2297" i="23"/>
  <c r="F2297" i="23"/>
  <c r="E2297" i="23"/>
  <c r="D2297" i="23"/>
  <c r="A2296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A2078" i="23"/>
  <c r="F2078" i="23"/>
  <c r="E2078" i="23"/>
  <c r="D2078" i="23"/>
  <c r="A2075" i="23"/>
  <c r="F2075" i="23"/>
  <c r="E2075" i="23"/>
  <c r="D2075" i="23"/>
  <c r="A2074" i="23"/>
  <c r="F2074" i="23"/>
  <c r="E2074" i="23"/>
  <c r="D2074" i="23"/>
  <c r="A2073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D28" i="90"/>
  <c r="E1386" i="23"/>
  <c r="C28" i="90"/>
  <c r="D1386" i="23"/>
  <c r="F1385" i="23"/>
  <c r="D27" i="90"/>
  <c r="E1385" i="23"/>
  <c r="C27" i="90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D33" i="90"/>
  <c r="E1327" i="23"/>
  <c r="C33" i="90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D35" i="90"/>
  <c r="E176" i="23"/>
  <c r="C35" i="90"/>
  <c r="D176" i="23"/>
  <c r="F175" i="23"/>
  <c r="D34" i="90"/>
  <c r="E175" i="23"/>
  <c r="C34" i="90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D32" i="90"/>
  <c r="E163" i="23"/>
  <c r="C32" i="90"/>
  <c r="D163" i="23"/>
  <c r="F159" i="23"/>
  <c r="E159" i="23"/>
  <c r="D159" i="23"/>
  <c r="F158" i="23"/>
  <c r="E158" i="23"/>
  <c r="D158" i="23"/>
  <c r="F157" i="23"/>
  <c r="E157" i="23"/>
  <c r="D157" i="23"/>
  <c r="F156" i="23"/>
  <c r="D30" i="90"/>
  <c r="E156" i="23"/>
  <c r="C30" i="90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1" i="23"/>
  <c r="C20" i="23"/>
  <c r="C26" i="90"/>
  <c r="D26" i="90"/>
  <c r="C24" i="90"/>
  <c r="D24" i="90"/>
  <c r="C91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195" i="1"/>
  <c r="C1593" i="1"/>
  <c r="P1455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C1886" i="1"/>
  <c r="C1908" i="1"/>
  <c r="P2225" i="1"/>
  <c r="P2203" i="1"/>
  <c r="P2005" i="1"/>
  <c r="P1454" i="1"/>
  <c r="G762" i="1"/>
  <c r="A4" i="41"/>
  <c r="C2276" i="1"/>
  <c r="C547" i="1"/>
  <c r="G1454" i="1"/>
  <c r="P2114" i="1"/>
  <c r="P2195" i="1"/>
  <c r="P2214" i="1"/>
  <c r="P2247" i="1"/>
  <c r="P2272" i="1"/>
  <c r="P2276" i="1"/>
  <c r="P2282" i="1"/>
  <c r="P2296" i="1"/>
  <c r="P2310" i="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H61" i="74"/>
  <c r="G61" i="74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X2321" i="1"/>
  <c r="E2321" i="1"/>
  <c r="D2321" i="1"/>
  <c r="F2320" i="1"/>
  <c r="E2320" i="1"/>
  <c r="D2320" i="1"/>
  <c r="F2319" i="1"/>
  <c r="X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X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X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D1979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8" i="1"/>
  <c r="E1958" i="1"/>
  <c r="F1957" i="1"/>
  <c r="E1957" i="1"/>
  <c r="F1956" i="1"/>
  <c r="E1956" i="1"/>
  <c r="F1955" i="1"/>
  <c r="E1955" i="1"/>
  <c r="F1953" i="1"/>
  <c r="E1953" i="1"/>
  <c r="E1952" i="1"/>
  <c r="E1951" i="1"/>
  <c r="E1950" i="1"/>
  <c r="E1949" i="1"/>
  <c r="F1947" i="1"/>
  <c r="E1947" i="1"/>
  <c r="E1946" i="1"/>
  <c r="E1945" i="1"/>
  <c r="F1943" i="1"/>
  <c r="E1943" i="1"/>
  <c r="F1942" i="1"/>
  <c r="E1942" i="1"/>
  <c r="F1941" i="1"/>
  <c r="E1941" i="1"/>
  <c r="F1940" i="1"/>
  <c r="E1940" i="1"/>
  <c r="F1939" i="1"/>
  <c r="E1939" i="1"/>
  <c r="F1937" i="1"/>
  <c r="E1937" i="1"/>
  <c r="F1936" i="1"/>
  <c r="E1936" i="1"/>
  <c r="F1935" i="1"/>
  <c r="E1935" i="1"/>
  <c r="F1933" i="1"/>
  <c r="E1933" i="1"/>
  <c r="F1932" i="1"/>
  <c r="E1932" i="1"/>
  <c r="F1931" i="1"/>
  <c r="E1931" i="1"/>
  <c r="F1929" i="1"/>
  <c r="E1929" i="1"/>
  <c r="F1928" i="1"/>
  <c r="E1928" i="1"/>
  <c r="E1926" i="1"/>
  <c r="E1925" i="1"/>
  <c r="E1924" i="1"/>
  <c r="E1923" i="1"/>
  <c r="F1921" i="1"/>
  <c r="E1921" i="1"/>
  <c r="F1920" i="1"/>
  <c r="E1920" i="1"/>
  <c r="F1919" i="1"/>
  <c r="E1919" i="1"/>
  <c r="F1917" i="1"/>
  <c r="E1917" i="1"/>
  <c r="F1916" i="1"/>
  <c r="E1916" i="1"/>
  <c r="F1914" i="1"/>
  <c r="E1914" i="1"/>
  <c r="F1913" i="1"/>
  <c r="E1913" i="1"/>
  <c r="F1912" i="1"/>
  <c r="E1912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X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X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X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X215" i="1"/>
  <c r="E215" i="1"/>
  <c r="D215" i="1"/>
  <c r="F214" i="1"/>
  <c r="E214" i="1"/>
  <c r="D214" i="1"/>
  <c r="F210" i="1"/>
  <c r="E210" i="1"/>
  <c r="D210" i="1"/>
  <c r="F207" i="1"/>
  <c r="E207" i="1"/>
  <c r="F206" i="1"/>
  <c r="X206" i="1"/>
  <c r="E206" i="1"/>
  <c r="D206" i="1"/>
  <c r="F202" i="1"/>
  <c r="E202" i="1"/>
  <c r="D202" i="1"/>
  <c r="F199" i="1"/>
  <c r="E199" i="1"/>
  <c r="F198" i="1"/>
  <c r="X198" i="1"/>
  <c r="E198" i="1"/>
  <c r="D198" i="1"/>
  <c r="F197" i="1"/>
  <c r="X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X182" i="1"/>
  <c r="E182" i="1"/>
  <c r="D182" i="1"/>
  <c r="F181" i="1"/>
  <c r="X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X176" i="1"/>
  <c r="E176" i="1"/>
  <c r="D176" i="1"/>
  <c r="F175" i="1"/>
  <c r="X175" i="1"/>
  <c r="E175" i="1"/>
  <c r="D175" i="1"/>
  <c r="F170" i="1"/>
  <c r="E170" i="1"/>
  <c r="D170" i="1"/>
  <c r="F167" i="1"/>
  <c r="X167" i="1"/>
  <c r="E167" i="1"/>
  <c r="D167" i="1"/>
  <c r="F166" i="1"/>
  <c r="X166" i="1"/>
  <c r="E166" i="1"/>
  <c r="F165" i="1"/>
  <c r="E165" i="1"/>
  <c r="D165" i="1"/>
  <c r="F161" i="1"/>
  <c r="E161" i="1"/>
  <c r="D161" i="1"/>
  <c r="F158" i="1"/>
  <c r="X158" i="1"/>
  <c r="E158" i="1"/>
  <c r="F157" i="1"/>
  <c r="X157" i="1"/>
  <c r="E157" i="1"/>
  <c r="D157" i="1"/>
  <c r="F154" i="1"/>
  <c r="X154" i="1"/>
  <c r="E154" i="1"/>
  <c r="D154" i="1"/>
  <c r="F153" i="1"/>
  <c r="X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X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X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X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X77" i="1"/>
  <c r="E77" i="1"/>
  <c r="D77" i="1"/>
  <c r="F76" i="1"/>
  <c r="E76" i="1"/>
  <c r="D76" i="1"/>
  <c r="F72" i="1"/>
  <c r="E72" i="1"/>
  <c r="D72" i="1"/>
  <c r="F69" i="1"/>
  <c r="E69" i="1"/>
  <c r="F68" i="1"/>
  <c r="X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X143" i="1"/>
  <c r="G1686" i="1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H804" i="23"/>
  <c r="H784" i="23"/>
  <c r="H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H1564" i="1"/>
  <c r="P1564" i="1"/>
  <c r="H1592" i="1"/>
  <c r="P1592" i="1"/>
  <c r="H1591" i="1"/>
  <c r="P1591" i="1"/>
  <c r="H1590" i="1"/>
  <c r="P1590" i="1"/>
  <c r="J2208" i="1"/>
  <c r="J2209" i="1"/>
  <c r="H1898" i="1"/>
  <c r="P1898" i="1"/>
  <c r="H1589" i="1"/>
  <c r="P1589" i="1"/>
  <c r="H1557" i="1"/>
  <c r="P1557" i="1"/>
  <c r="A806" i="23"/>
  <c r="A784" i="23"/>
  <c r="A804" i="23"/>
  <c r="A805" i="23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H2036" i="1"/>
  <c r="H2035" i="1"/>
  <c r="G2085" i="1"/>
  <c r="G2041" i="1"/>
  <c r="G2016" i="1"/>
  <c r="G2033" i="1"/>
  <c r="G2059" i="1"/>
  <c r="G2055" i="1"/>
  <c r="H2055" i="1"/>
  <c r="H2059" i="1"/>
  <c r="P2059" i="1"/>
  <c r="C2059" i="1"/>
  <c r="H2033" i="1"/>
  <c r="P2033" i="1"/>
  <c r="G19" i="113"/>
  <c r="D19" i="113"/>
  <c r="G18" i="113"/>
  <c r="P2016" i="1"/>
  <c r="C2016" i="1"/>
  <c r="N2016" i="1"/>
  <c r="G2028" i="1"/>
  <c r="G2037" i="1"/>
  <c r="N2041" i="1"/>
  <c r="P2035" i="1"/>
  <c r="C2035" i="1"/>
  <c r="P2036" i="1"/>
  <c r="C2036" i="1"/>
  <c r="P2054" i="1"/>
  <c r="C2054" i="1"/>
  <c r="P2092" i="1"/>
  <c r="C2092" i="1"/>
  <c r="B16" i="74"/>
  <c r="C9" i="94"/>
  <c r="C10" i="94"/>
  <c r="B9" i="94"/>
  <c r="C54" i="91"/>
  <c r="C8" i="91"/>
  <c r="C9" i="91"/>
  <c r="C10" i="91"/>
  <c r="C11" i="91"/>
  <c r="C12" i="91"/>
  <c r="C13" i="91"/>
  <c r="C14" i="91"/>
  <c r="B5" i="90"/>
  <c r="B6" i="90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E3" i="79"/>
  <c r="F3" i="79"/>
  <c r="B7" i="78"/>
  <c r="B8" i="78"/>
  <c r="B9" i="78" s="1"/>
  <c r="B10" i="78" s="1"/>
  <c r="B11" i="78" s="1"/>
  <c r="B12" i="78" s="1"/>
  <c r="B13" i="78" s="1"/>
  <c r="B14" i="78" s="1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9" i="74"/>
  <c r="C13" i="74"/>
  <c r="P2055" i="1"/>
  <c r="P2056" i="1"/>
  <c r="P2058" i="1"/>
  <c r="P2060" i="1"/>
  <c r="C2058" i="1"/>
  <c r="C2056" i="1"/>
  <c r="C2055" i="1"/>
  <c r="A2" i="94"/>
  <c r="A2" i="93"/>
  <c r="A2" i="92"/>
  <c r="C2060" i="1"/>
  <c r="A7" i="74"/>
  <c r="G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50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B61" i="74"/>
  <c r="G77" i="74"/>
  <c r="H77" i="74"/>
  <c r="G78" i="74"/>
  <c r="H78" i="74"/>
  <c r="Q55" i="91"/>
  <c r="C55" i="91"/>
  <c r="D28" i="92"/>
  <c r="D27" i="92"/>
  <c r="Q8" i="91"/>
  <c r="Q9" i="91"/>
  <c r="Q10" i="91"/>
  <c r="Q11" i="91"/>
  <c r="Q12" i="91"/>
  <c r="G2110" i="1"/>
  <c r="D2014" i="1"/>
  <c r="G2099" i="1"/>
  <c r="D2013" i="1"/>
  <c r="D2011" i="1"/>
  <c r="G2011" i="1"/>
  <c r="D2009" i="1"/>
  <c r="D2007" i="1"/>
  <c r="G2095" i="1"/>
  <c r="D2006" i="1"/>
  <c r="C350" i="20"/>
  <c r="G2100" i="1"/>
  <c r="DU344" i="20"/>
  <c r="DU345" i="20"/>
  <c r="G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91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81" i="23"/>
  <c r="G473" i="23"/>
  <c r="G478" i="23"/>
  <c r="G1598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N2178" i="23"/>
  <c r="M2178" i="23"/>
  <c r="N2172" i="23"/>
  <c r="M2172" i="23"/>
  <c r="G2160" i="23"/>
  <c r="G2127" i="23"/>
  <c r="C2068" i="23"/>
  <c r="G1946" i="23"/>
  <c r="N1946" i="23"/>
  <c r="M1946" i="23"/>
  <c r="N1940" i="23"/>
  <c r="M1940" i="23"/>
  <c r="G1894" i="23"/>
  <c r="C1830" i="23"/>
  <c r="G1722" i="23"/>
  <c r="N1722" i="23"/>
  <c r="M1722" i="23"/>
  <c r="N1716" i="23"/>
  <c r="M1716" i="23"/>
  <c r="G1671" i="23"/>
  <c r="G1657" i="23"/>
  <c r="G1655" i="23"/>
  <c r="G1654" i="23"/>
  <c r="G1619" i="23"/>
  <c r="C1611" i="23"/>
  <c r="G1171" i="23"/>
  <c r="C1144" i="23"/>
  <c r="C1152" i="23"/>
  <c r="G1323" i="23"/>
  <c r="H1323" i="23"/>
  <c r="A1323" i="23"/>
  <c r="G1321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M1247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G1177" i="23"/>
  <c r="H1177" i="23"/>
  <c r="A1177" i="23"/>
  <c r="G1156" i="23"/>
  <c r="H1156" i="23"/>
  <c r="A1156" i="23"/>
  <c r="G1153" i="23"/>
  <c r="G1145" i="23"/>
  <c r="C1132" i="23"/>
  <c r="G1015" i="23"/>
  <c r="H1015" i="23"/>
  <c r="A1015" i="23"/>
  <c r="N1015" i="23"/>
  <c r="M1015" i="23"/>
  <c r="N1009" i="23"/>
  <c r="M1009" i="23"/>
  <c r="G964" i="23"/>
  <c r="H964" i="23"/>
  <c r="A964" i="23"/>
  <c r="B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511" i="23"/>
  <c r="G462" i="23"/>
  <c r="G464" i="23"/>
  <c r="G455" i="23"/>
  <c r="G461" i="23"/>
  <c r="G457" i="23"/>
  <c r="G458" i="23"/>
  <c r="G451" i="23"/>
  <c r="C450" i="23"/>
  <c r="C367" i="23"/>
  <c r="G390" i="23"/>
  <c r="C378" i="23"/>
  <c r="G371" i="23"/>
  <c r="G368" i="23"/>
  <c r="C282" i="23"/>
  <c r="G183" i="23"/>
  <c r="H183" i="23"/>
  <c r="A183" i="23"/>
  <c r="C103" i="23"/>
  <c r="G62" i="23"/>
  <c r="C25" i="23"/>
  <c r="G186" i="1"/>
  <c r="G230" i="1"/>
  <c r="G232" i="1"/>
  <c r="G240" i="1"/>
  <c r="G242" i="1"/>
  <c r="G219" i="1"/>
  <c r="G220" i="1"/>
  <c r="G222" i="1"/>
  <c r="G253" i="1"/>
  <c r="G255" i="1"/>
  <c r="K256" i="1"/>
  <c r="G263" i="1"/>
  <c r="G264" i="1"/>
  <c r="G280" i="1"/>
  <c r="G288" i="1"/>
  <c r="G313" i="1"/>
  <c r="G315" i="1"/>
  <c r="G297" i="1"/>
  <c r="G298" i="1"/>
  <c r="G299" i="1"/>
  <c r="G323" i="1"/>
  <c r="G332" i="1"/>
  <c r="G354" i="1"/>
  <c r="G391" i="1"/>
  <c r="G371" i="1"/>
  <c r="G425" i="1"/>
  <c r="G426" i="1"/>
  <c r="G443" i="1"/>
  <c r="G450" i="1"/>
  <c r="G459" i="1"/>
  <c r="G467" i="1"/>
  <c r="G488" i="1"/>
  <c r="G490" i="1"/>
  <c r="G498" i="1"/>
  <c r="G500" i="1"/>
  <c r="G477" i="1"/>
  <c r="G478" i="1"/>
  <c r="G479" i="1"/>
  <c r="G507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G805" i="1"/>
  <c r="G907" i="1"/>
  <c r="G908" i="1"/>
  <c r="G909" i="1"/>
  <c r="K916" i="1"/>
  <c r="G917" i="1"/>
  <c r="G918" i="1"/>
  <c r="G919" i="1"/>
  <c r="K927" i="1"/>
  <c r="G928" i="1"/>
  <c r="G929" i="1"/>
  <c r="K936" i="1"/>
  <c r="G937" i="1"/>
  <c r="G938" i="1"/>
  <c r="K763" i="1"/>
  <c r="G764" i="1"/>
  <c r="G765" i="1"/>
  <c r="G774" i="1"/>
  <c r="G775" i="1"/>
  <c r="G815" i="1"/>
  <c r="G816" i="1"/>
  <c r="G824" i="1"/>
  <c r="G827" i="1"/>
  <c r="G833" i="1"/>
  <c r="G784" i="1"/>
  <c r="G785" i="1"/>
  <c r="G793" i="1"/>
  <c r="G840" i="1"/>
  <c r="G841" i="1"/>
  <c r="G849" i="1"/>
  <c r="K852" i="1"/>
  <c r="K853" i="1" s="1"/>
  <c r="G853" i="1"/>
  <c r="G854" i="1"/>
  <c r="G862" i="1"/>
  <c r="G864" i="1"/>
  <c r="G865" i="1"/>
  <c r="G873" i="1"/>
  <c r="G874" i="1"/>
  <c r="G881" i="1"/>
  <c r="G1027" i="1"/>
  <c r="K896" i="1"/>
  <c r="K898" i="1" s="1"/>
  <c r="G897" i="1"/>
  <c r="G898" i="1"/>
  <c r="G948" i="1"/>
  <c r="G955" i="1"/>
  <c r="G961" i="1"/>
  <c r="G963" i="1"/>
  <c r="G966" i="1"/>
  <c r="G970" i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7" i="1"/>
  <c r="G1059" i="1"/>
  <c r="G836" i="1"/>
  <c r="G1099" i="1"/>
  <c r="G1109" i="1"/>
  <c r="K1124" i="1"/>
  <c r="K1129" i="1" s="1"/>
  <c r="G1131" i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G1715" i="1"/>
  <c r="G1716" i="1"/>
  <c r="G1718" i="1"/>
  <c r="G1719" i="1"/>
  <c r="G1722" i="1"/>
  <c r="G1724" i="1"/>
  <c r="G1725" i="1"/>
  <c r="G1726" i="1"/>
  <c r="G1727" i="1"/>
  <c r="G1728" i="1"/>
  <c r="G1730" i="1"/>
  <c r="G1732" i="1"/>
  <c r="G1738" i="1"/>
  <c r="G1741" i="1"/>
  <c r="G1745" i="1"/>
  <c r="G1751" i="1"/>
  <c r="G1752" i="1"/>
  <c r="G1753" i="1"/>
  <c r="G1755" i="1"/>
  <c r="G1757" i="1"/>
  <c r="G1761" i="1"/>
  <c r="G1767" i="1"/>
  <c r="G1770" i="1"/>
  <c r="G1772" i="1"/>
  <c r="G1773" i="1"/>
  <c r="G1787" i="1"/>
  <c r="G1792" i="1"/>
  <c r="G1793" i="1"/>
  <c r="G1802" i="1"/>
  <c r="G1812" i="1"/>
  <c r="G1832" i="1"/>
  <c r="G1834" i="1"/>
  <c r="G1841" i="1"/>
  <c r="G1842" i="1"/>
  <c r="G1844" i="1"/>
  <c r="G1846" i="1"/>
  <c r="G1863" i="1"/>
  <c r="G1864" i="1"/>
  <c r="G1866" i="1"/>
  <c r="G1867" i="1"/>
  <c r="G1868" i="1"/>
  <c r="G1870" i="1"/>
  <c r="G1872" i="1"/>
  <c r="G1874" i="1"/>
  <c r="G1875" i="1"/>
  <c r="G1876" i="1"/>
  <c r="Y1876" i="1"/>
  <c r="G1877" i="1"/>
  <c r="G1879" i="1"/>
  <c r="G1885" i="1"/>
  <c r="G1899" i="1"/>
  <c r="G1707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Y2215" i="1"/>
  <c r="G2220" i="1"/>
  <c r="S35" i="61"/>
  <c r="S69" i="61"/>
  <c r="S67" i="61"/>
  <c r="GT53" i="16"/>
  <c r="GT95" i="16"/>
  <c r="GT184" i="16"/>
  <c r="G1587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L2279" i="1"/>
  <c r="H2279" i="1"/>
  <c r="L2278" i="1"/>
  <c r="H2278" i="1"/>
  <c r="P2278" i="1"/>
  <c r="L2277" i="1"/>
  <c r="H2277" i="1"/>
  <c r="L2275" i="1"/>
  <c r="H2275" i="1"/>
  <c r="D154" i="33"/>
  <c r="C154" i="33"/>
  <c r="L2274" i="1"/>
  <c r="H2274" i="1"/>
  <c r="D153" i="33"/>
  <c r="C153" i="33"/>
  <c r="K2246" i="1"/>
  <c r="H2246" i="1"/>
  <c r="K2245" i="1"/>
  <c r="H2245" i="1"/>
  <c r="K2242" i="1"/>
  <c r="H2242" i="1"/>
  <c r="K2241" i="1"/>
  <c r="H2241" i="1"/>
  <c r="K2240" i="1"/>
  <c r="H2240" i="1"/>
  <c r="K2239" i="1"/>
  <c r="H2239" i="1"/>
  <c r="K2232" i="1"/>
  <c r="H2232" i="1"/>
  <c r="K2231" i="1"/>
  <c r="H2231" i="1"/>
  <c r="K2230" i="1"/>
  <c r="H2230" i="1"/>
  <c r="K2229" i="1"/>
  <c r="H2229" i="1"/>
  <c r="K2228" i="1"/>
  <c r="H2228" i="1"/>
  <c r="K2227" i="1"/>
  <c r="I2224" i="1"/>
  <c r="H2224" i="1"/>
  <c r="I2223" i="1"/>
  <c r="H2223" i="1"/>
  <c r="I2222" i="1"/>
  <c r="H2222" i="1"/>
  <c r="P2222" i="1"/>
  <c r="I2221" i="1"/>
  <c r="H2221" i="1"/>
  <c r="I2219" i="1"/>
  <c r="H2219" i="1"/>
  <c r="I2218" i="1"/>
  <c r="H2218" i="1"/>
  <c r="I2217" i="1"/>
  <c r="H2217" i="1"/>
  <c r="I2216" i="1"/>
  <c r="H2216" i="1"/>
  <c r="J2213" i="1"/>
  <c r="H2213" i="1"/>
  <c r="P2213" i="1"/>
  <c r="J2212" i="1"/>
  <c r="H2212" i="1"/>
  <c r="P2212" i="1"/>
  <c r="J2210" i="1"/>
  <c r="H2210" i="1"/>
  <c r="J2202" i="1"/>
  <c r="H2202" i="1"/>
  <c r="J2201" i="1"/>
  <c r="H2201" i="1"/>
  <c r="J2200" i="1"/>
  <c r="H2200" i="1"/>
  <c r="J2199" i="1"/>
  <c r="H2199" i="1"/>
  <c r="J2198" i="1"/>
  <c r="H2198" i="1"/>
  <c r="J2197" i="1"/>
  <c r="H2197" i="1"/>
  <c r="J2196" i="1"/>
  <c r="H2196" i="1"/>
  <c r="G2169" i="1"/>
  <c r="Z35" i="61"/>
  <c r="Z67" i="61"/>
  <c r="Z69" i="61"/>
  <c r="G2155" i="1"/>
  <c r="AA35" i="61"/>
  <c r="AA67" i="61"/>
  <c r="AB35" i="61"/>
  <c r="AB67" i="61"/>
  <c r="AD35" i="61"/>
  <c r="AD67" i="61"/>
  <c r="AD69" i="61"/>
  <c r="G2158" i="1"/>
  <c r="G2163" i="1"/>
  <c r="H35" i="61"/>
  <c r="H69" i="61"/>
  <c r="C76" i="61"/>
  <c r="D2150" i="1"/>
  <c r="G2150" i="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G2160" i="1"/>
  <c r="H2185" i="1"/>
  <c r="H2184" i="1"/>
  <c r="H2183" i="1"/>
  <c r="H2182" i="1"/>
  <c r="BL35" i="61"/>
  <c r="BL69" i="61"/>
  <c r="G2181" i="1"/>
  <c r="BL67" i="61"/>
  <c r="BI35" i="61"/>
  <c r="BI67" i="61"/>
  <c r="BH35" i="61"/>
  <c r="BH69" i="61"/>
  <c r="BH67" i="61"/>
  <c r="G2179" i="1"/>
  <c r="AP35" i="61"/>
  <c r="AP67" i="61"/>
  <c r="AO35" i="61"/>
  <c r="AO67" i="61"/>
  <c r="BJ35" i="61"/>
  <c r="BJ67" i="61"/>
  <c r="BK35" i="61"/>
  <c r="BK67" i="61"/>
  <c r="H2174" i="1"/>
  <c r="BE35" i="61"/>
  <c r="BE67" i="61"/>
  <c r="BE69" i="61"/>
  <c r="G2173" i="1"/>
  <c r="BB35" i="61"/>
  <c r="BB67" i="61"/>
  <c r="BB69" i="61"/>
  <c r="G2172" i="1"/>
  <c r="H2171" i="1"/>
  <c r="G2164" i="1"/>
  <c r="G2162" i="1"/>
  <c r="G2161" i="1"/>
  <c r="H2159" i="1"/>
  <c r="G2152" i="1"/>
  <c r="I35" i="61"/>
  <c r="I67" i="61"/>
  <c r="I69" i="61"/>
  <c r="C77" i="61"/>
  <c r="D2151" i="1"/>
  <c r="G2151" i="1"/>
  <c r="D2115" i="1"/>
  <c r="G2115" i="1"/>
  <c r="D2116" i="1"/>
  <c r="G2134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H2129" i="1"/>
  <c r="P2129" i="1"/>
  <c r="G2128" i="1"/>
  <c r="H2127" i="1"/>
  <c r="P2127" i="1"/>
  <c r="H2125" i="1"/>
  <c r="P2125" i="1"/>
  <c r="G2120" i="1"/>
  <c r="G2119" i="1"/>
  <c r="P200" i="16"/>
  <c r="D2118" i="1"/>
  <c r="G2118" i="1"/>
  <c r="G2117" i="1"/>
  <c r="G2109" i="1"/>
  <c r="G2015" i="1"/>
  <c r="G2096" i="1"/>
  <c r="G2094" i="1"/>
  <c r="N2093" i="1"/>
  <c r="H2093" i="1"/>
  <c r="N2090" i="1"/>
  <c r="H2090" i="1"/>
  <c r="G2006" i="1"/>
  <c r="G2008" i="1"/>
  <c r="N2079" i="1"/>
  <c r="H2079" i="1"/>
  <c r="N2078" i="1"/>
  <c r="H2078" i="1"/>
  <c r="N2077" i="1"/>
  <c r="H2077" i="1"/>
  <c r="N2076" i="1"/>
  <c r="H2076" i="1"/>
  <c r="N2075" i="1"/>
  <c r="H2075" i="1"/>
  <c r="N2074" i="1"/>
  <c r="H2074" i="1"/>
  <c r="N2073" i="1"/>
  <c r="H2073" i="1"/>
  <c r="N2072" i="1"/>
  <c r="H2072" i="1"/>
  <c r="N2071" i="1"/>
  <c r="H2071" i="1"/>
  <c r="N2070" i="1"/>
  <c r="H2070" i="1"/>
  <c r="N2022" i="1"/>
  <c r="H2022" i="1"/>
  <c r="N2021" i="1"/>
  <c r="H2021" i="1"/>
  <c r="N2020" i="1"/>
  <c r="H2020" i="1"/>
  <c r="N2019" i="1"/>
  <c r="H2019" i="1"/>
  <c r="N2018" i="1"/>
  <c r="H2018" i="1"/>
  <c r="N2017" i="1"/>
  <c r="H2017" i="1"/>
  <c r="G2013" i="1"/>
  <c r="D1912" i="1"/>
  <c r="C97" i="18"/>
  <c r="D1914" i="1"/>
  <c r="G1991" i="1"/>
  <c r="G1918" i="1"/>
  <c r="G1930" i="1"/>
  <c r="G1934" i="1"/>
  <c r="G1938" i="1"/>
  <c r="G1948" i="1"/>
  <c r="G1954" i="1"/>
  <c r="G1999" i="1"/>
  <c r="G1960" i="1"/>
  <c r="H1987" i="1"/>
  <c r="P1987" i="1"/>
  <c r="D150" i="33"/>
  <c r="C150" i="33"/>
  <c r="H1986" i="1"/>
  <c r="P1986" i="1"/>
  <c r="D149" i="33"/>
  <c r="C149" i="33"/>
  <c r="D148" i="33"/>
  <c r="C148" i="33"/>
  <c r="D147" i="33"/>
  <c r="C147" i="33"/>
  <c r="C146" i="33"/>
  <c r="D145" i="33"/>
  <c r="C145" i="33"/>
  <c r="G1977" i="1"/>
  <c r="D144" i="33"/>
  <c r="C144" i="33"/>
  <c r="D143" i="33"/>
  <c r="C143" i="33"/>
  <c r="G1970" i="1"/>
  <c r="G1971" i="1"/>
  <c r="G1972" i="1"/>
  <c r="G1973" i="1"/>
  <c r="G1974" i="1"/>
  <c r="G1975" i="1"/>
  <c r="D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G1969" i="1"/>
  <c r="D135" i="33"/>
  <c r="C135" i="33"/>
  <c r="G1968" i="1"/>
  <c r="D134" i="33"/>
  <c r="C134" i="33"/>
  <c r="G1967" i="1"/>
  <c r="D133" i="33"/>
  <c r="C133" i="33"/>
  <c r="G1966" i="1"/>
  <c r="D132" i="33"/>
  <c r="G1965" i="1"/>
  <c r="D131" i="33"/>
  <c r="C131" i="33"/>
  <c r="G1964" i="1"/>
  <c r="D130" i="33"/>
  <c r="C130" i="33"/>
  <c r="G1963" i="1"/>
  <c r="D129" i="33"/>
  <c r="C129" i="33"/>
  <c r="H1962" i="1"/>
  <c r="L1962" i="1"/>
  <c r="K1962" i="1"/>
  <c r="D128" i="33"/>
  <c r="C128" i="33"/>
  <c r="D127" i="33"/>
  <c r="C127" i="33"/>
  <c r="D126" i="33"/>
  <c r="C126" i="33"/>
  <c r="L1959" i="1"/>
  <c r="D124" i="33"/>
  <c r="C124" i="33"/>
  <c r="D123" i="33"/>
  <c r="C123" i="33"/>
  <c r="D122" i="33"/>
  <c r="C122" i="33"/>
  <c r="D121" i="33"/>
  <c r="C121" i="33"/>
  <c r="D119" i="33"/>
  <c r="C119" i="33"/>
  <c r="C118" i="33"/>
  <c r="C117" i="33"/>
  <c r="C116" i="33"/>
  <c r="C115" i="33"/>
  <c r="D113" i="33"/>
  <c r="C113" i="33"/>
  <c r="C112" i="33"/>
  <c r="C111" i="33"/>
  <c r="D109" i="33"/>
  <c r="C109" i="33"/>
  <c r="D108" i="33"/>
  <c r="C108" i="33"/>
  <c r="D107" i="33"/>
  <c r="C107" i="33"/>
  <c r="C106" i="33"/>
  <c r="D105" i="33"/>
  <c r="C105" i="33"/>
  <c r="D103" i="33"/>
  <c r="C103" i="33"/>
  <c r="D102" i="33"/>
  <c r="C102" i="33"/>
  <c r="C101" i="33"/>
  <c r="D99" i="33"/>
  <c r="C99" i="33"/>
  <c r="D98" i="33"/>
  <c r="C98" i="33"/>
  <c r="D97" i="33"/>
  <c r="C97" i="33"/>
  <c r="D95" i="33"/>
  <c r="C95" i="33"/>
  <c r="D94" i="33"/>
  <c r="C94" i="33"/>
  <c r="C92" i="33"/>
  <c r="C91" i="33"/>
  <c r="C90" i="33"/>
  <c r="C89" i="33"/>
  <c r="D87" i="33"/>
  <c r="C87" i="33"/>
  <c r="D86" i="33"/>
  <c r="C86" i="33"/>
  <c r="D85" i="33"/>
  <c r="C85" i="33"/>
  <c r="D83" i="33"/>
  <c r="C83" i="33"/>
  <c r="D82" i="33"/>
  <c r="C82" i="33"/>
  <c r="D80" i="33"/>
  <c r="C79" i="33"/>
  <c r="D78" i="33"/>
  <c r="C78" i="33"/>
  <c r="K1861" i="1"/>
  <c r="H1861" i="1"/>
  <c r="P1861" i="1"/>
  <c r="K1856" i="1"/>
  <c r="H1856" i="1"/>
  <c r="K1855" i="1"/>
  <c r="H1855" i="1"/>
  <c r="K1854" i="1"/>
  <c r="H1854" i="1"/>
  <c r="K1853" i="1"/>
  <c r="H1853" i="1"/>
  <c r="K1852" i="1"/>
  <c r="H1852" i="1"/>
  <c r="K1851" i="1"/>
  <c r="H1851" i="1"/>
  <c r="K1850" i="1"/>
  <c r="H1850" i="1"/>
  <c r="K1849" i="1"/>
  <c r="H1849" i="1"/>
  <c r="K1848" i="1"/>
  <c r="H1848" i="1"/>
  <c r="K1847" i="1"/>
  <c r="H1847" i="1"/>
  <c r="C228" i="42"/>
  <c r="K1837" i="1"/>
  <c r="H1837" i="1"/>
  <c r="C227" i="42"/>
  <c r="K1836" i="1"/>
  <c r="H1836" i="1"/>
  <c r="K1835" i="1"/>
  <c r="H1835" i="1"/>
  <c r="K1833" i="1"/>
  <c r="H1833" i="1"/>
  <c r="K1831" i="1"/>
  <c r="H1831" i="1"/>
  <c r="K1830" i="1"/>
  <c r="H1830" i="1"/>
  <c r="K1829" i="1"/>
  <c r="H1829" i="1"/>
  <c r="K1828" i="1"/>
  <c r="H1828" i="1"/>
  <c r="K1827" i="1"/>
  <c r="H1827" i="1"/>
  <c r="K1826" i="1"/>
  <c r="H1826" i="1"/>
  <c r="K1825" i="1"/>
  <c r="H1825" i="1"/>
  <c r="K1824" i="1"/>
  <c r="H1824" i="1"/>
  <c r="K1823" i="1"/>
  <c r="H1823" i="1"/>
  <c r="K1822" i="1"/>
  <c r="H1822" i="1"/>
  <c r="K1821" i="1"/>
  <c r="H1821" i="1"/>
  <c r="K1820" i="1"/>
  <c r="H1820" i="1"/>
  <c r="K1819" i="1"/>
  <c r="H1819" i="1"/>
  <c r="K1818" i="1"/>
  <c r="H1818" i="1"/>
  <c r="K1817" i="1"/>
  <c r="H1817" i="1"/>
  <c r="K1816" i="1"/>
  <c r="H1816" i="1"/>
  <c r="K1815" i="1"/>
  <c r="H1815" i="1"/>
  <c r="K1814" i="1"/>
  <c r="H1814" i="1"/>
  <c r="K1813" i="1"/>
  <c r="H1813" i="1"/>
  <c r="K1811" i="1"/>
  <c r="H1811" i="1"/>
  <c r="K1810" i="1"/>
  <c r="H1810" i="1"/>
  <c r="K1809" i="1"/>
  <c r="H1809" i="1"/>
  <c r="K1808" i="1"/>
  <c r="H1808" i="1"/>
  <c r="K1807" i="1"/>
  <c r="H1807" i="1"/>
  <c r="K1806" i="1"/>
  <c r="H1806" i="1"/>
  <c r="K1805" i="1"/>
  <c r="H1805" i="1"/>
  <c r="K1804" i="1"/>
  <c r="H1804" i="1"/>
  <c r="K1803" i="1"/>
  <c r="H1803" i="1"/>
  <c r="K1801" i="1"/>
  <c r="H1801" i="1"/>
  <c r="K1800" i="1"/>
  <c r="H1800" i="1"/>
  <c r="K1799" i="1"/>
  <c r="H1799" i="1"/>
  <c r="K1798" i="1"/>
  <c r="H1798" i="1"/>
  <c r="K1797" i="1"/>
  <c r="H1797" i="1"/>
  <c r="K1796" i="1"/>
  <c r="H1796" i="1"/>
  <c r="K1795" i="1"/>
  <c r="H1795" i="1"/>
  <c r="K1794" i="1"/>
  <c r="K1790" i="1"/>
  <c r="H1790" i="1"/>
  <c r="K1789" i="1"/>
  <c r="H1789" i="1"/>
  <c r="K1784" i="1"/>
  <c r="H1784" i="1"/>
  <c r="K1776" i="1"/>
  <c r="H1776" i="1"/>
  <c r="K1775" i="1"/>
  <c r="H1775" i="1"/>
  <c r="K1769" i="1"/>
  <c r="H1769" i="1"/>
  <c r="K1768" i="1"/>
  <c r="H1768" i="1"/>
  <c r="K1765" i="1"/>
  <c r="H1765" i="1"/>
  <c r="K1754" i="1"/>
  <c r="H1754" i="1"/>
  <c r="K1750" i="1"/>
  <c r="H1750" i="1"/>
  <c r="K1742" i="1"/>
  <c r="H1742" i="1"/>
  <c r="K1739" i="1"/>
  <c r="H1739" i="1"/>
  <c r="K1736" i="1"/>
  <c r="H1736" i="1"/>
  <c r="D1594" i="1"/>
  <c r="G1677" i="1"/>
  <c r="D1595" i="1"/>
  <c r="G1595" i="1"/>
  <c r="D1596" i="1"/>
  <c r="D1597" i="1"/>
  <c r="C86" i="17"/>
  <c r="D1598" i="1"/>
  <c r="G1691" i="1"/>
  <c r="D1599" i="1"/>
  <c r="D1601" i="1"/>
  <c r="D1603" i="1"/>
  <c r="D1604" i="1"/>
  <c r="G1696" i="1"/>
  <c r="D1605" i="1"/>
  <c r="D1606" i="1"/>
  <c r="G1694" i="1"/>
  <c r="G1673" i="1"/>
  <c r="G1610" i="1"/>
  <c r="H1619" i="1"/>
  <c r="G1622" i="1"/>
  <c r="I1622" i="1"/>
  <c r="G1626" i="1"/>
  <c r="G1706" i="1"/>
  <c r="G1637" i="1"/>
  <c r="G1631" i="1"/>
  <c r="G1645" i="1"/>
  <c r="G1646" i="1"/>
  <c r="C84" i="17"/>
  <c r="D1600" i="1"/>
  <c r="H1684" i="1"/>
  <c r="I1684" i="1"/>
  <c r="G1667" i="1"/>
  <c r="G1668" i="1"/>
  <c r="G1669" i="1"/>
  <c r="G1671" i="1"/>
  <c r="I1670" i="1"/>
  <c r="H1670" i="1"/>
  <c r="I1666" i="1"/>
  <c r="H1666" i="1"/>
  <c r="G1665" i="1"/>
  <c r="G1664" i="1"/>
  <c r="G1663" i="1"/>
  <c r="I1662" i="1"/>
  <c r="H1662" i="1"/>
  <c r="G1661" i="1"/>
  <c r="G1660" i="1"/>
  <c r="G1659" i="1"/>
  <c r="I1658" i="1"/>
  <c r="H1658" i="1"/>
  <c r="I1657" i="1"/>
  <c r="H1657" i="1"/>
  <c r="I1656" i="1"/>
  <c r="H1656" i="1"/>
  <c r="I1655" i="1"/>
  <c r="H1655" i="1"/>
  <c r="G1654" i="1"/>
  <c r="G1652" i="1"/>
  <c r="G1651" i="1"/>
  <c r="G1650" i="1"/>
  <c r="G1649" i="1"/>
  <c r="G1648" i="1"/>
  <c r="G1647" i="1"/>
  <c r="G1644" i="1"/>
  <c r="H1644" i="1"/>
  <c r="G1639" i="1"/>
  <c r="I1636" i="1"/>
  <c r="H1636" i="1"/>
  <c r="G1634" i="1"/>
  <c r="G1633" i="1"/>
  <c r="I1630" i="1"/>
  <c r="H1630" i="1"/>
  <c r="H1622" i="1"/>
  <c r="G1618" i="1"/>
  <c r="I1614" i="1"/>
  <c r="I1610" i="1"/>
  <c r="D1456" i="1"/>
  <c r="D1457" i="1"/>
  <c r="D1458" i="1"/>
  <c r="G1563" i="1"/>
  <c r="D1460" i="1"/>
  <c r="D1461" i="1"/>
  <c r="F97" i="31"/>
  <c r="G1462" i="1"/>
  <c r="D1464" i="1"/>
  <c r="G1464" i="1"/>
  <c r="D1465" i="1"/>
  <c r="D1466" i="1"/>
  <c r="G1466" i="1"/>
  <c r="D1467" i="1"/>
  <c r="G1553" i="1"/>
  <c r="D1468" i="1"/>
  <c r="G1468" i="1"/>
  <c r="D1469" i="1"/>
  <c r="G1548" i="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G1586" i="1"/>
  <c r="G1573" i="1"/>
  <c r="G1561" i="1"/>
  <c r="J1558" i="1"/>
  <c r="H1558" i="1"/>
  <c r="D195" i="31"/>
  <c r="C195" i="31"/>
  <c r="D194" i="31"/>
  <c r="C194" i="31"/>
  <c r="D193" i="31"/>
  <c r="C193" i="31"/>
  <c r="D192" i="31"/>
  <c r="C192" i="31"/>
  <c r="D191" i="31"/>
  <c r="C191" i="31"/>
  <c r="D190" i="31"/>
  <c r="C190" i="31"/>
  <c r="D189" i="31"/>
  <c r="C189" i="31"/>
  <c r="D188" i="31"/>
  <c r="C188" i="31"/>
  <c r="D187" i="31"/>
  <c r="C187" i="31"/>
  <c r="BP181" i="16"/>
  <c r="BP163" i="16"/>
  <c r="BP154" i="16"/>
  <c r="BP148" i="16"/>
  <c r="BP139" i="16"/>
  <c r="BP131" i="16"/>
  <c r="BP119" i="16"/>
  <c r="BP94" i="16"/>
  <c r="BP86" i="16"/>
  <c r="BP53" i="16"/>
  <c r="BP29" i="16"/>
  <c r="D186" i="31"/>
  <c r="C186" i="31"/>
  <c r="D185" i="31"/>
  <c r="C185" i="31"/>
  <c r="D184" i="31"/>
  <c r="C184" i="31"/>
  <c r="J1546" i="1"/>
  <c r="H1546" i="1"/>
  <c r="D183" i="31"/>
  <c r="C183" i="3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D182" i="31"/>
  <c r="C182" i="31"/>
  <c r="D181" i="31"/>
  <c r="C181" i="31"/>
  <c r="J1543" i="1"/>
  <c r="H1543" i="1"/>
  <c r="D180" i="31"/>
  <c r="C180" i="31"/>
  <c r="D179" i="31"/>
  <c r="C179" i="31"/>
  <c r="D178" i="31"/>
  <c r="C178" i="31"/>
  <c r="D177" i="31"/>
  <c r="C177" i="31"/>
  <c r="D176" i="31"/>
  <c r="C176" i="31"/>
  <c r="DV94" i="16"/>
  <c r="DV86" i="16"/>
  <c r="DV53" i="16"/>
  <c r="DV29" i="16"/>
  <c r="D175" i="31"/>
  <c r="C175" i="31"/>
  <c r="J1537" i="1"/>
  <c r="H1537" i="1"/>
  <c r="D174" i="31"/>
  <c r="C174" i="31"/>
  <c r="DU94" i="16"/>
  <c r="DU86" i="16"/>
  <c r="DU53" i="16"/>
  <c r="DU29" i="16"/>
  <c r="D173" i="31"/>
  <c r="C173" i="31"/>
  <c r="DS94" i="16"/>
  <c r="DS86" i="16"/>
  <c r="DS53" i="16"/>
  <c r="DS29" i="16"/>
  <c r="D172" i="31"/>
  <c r="C172" i="31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D171" i="31"/>
  <c r="C171" i="31"/>
  <c r="J1530" i="1"/>
  <c r="H1530" i="1"/>
  <c r="D170" i="31"/>
  <c r="C170" i="31"/>
  <c r="J1529" i="1"/>
  <c r="H1529" i="1"/>
  <c r="D169" i="31"/>
  <c r="C169" i="31"/>
  <c r="J1528" i="1"/>
  <c r="H1528" i="1"/>
  <c r="D168" i="31"/>
  <c r="C168" i="31"/>
  <c r="J1527" i="1"/>
  <c r="H1527" i="1"/>
  <c r="D167" i="31"/>
  <c r="C167" i="31"/>
  <c r="J1526" i="1"/>
  <c r="H1526" i="1"/>
  <c r="D166" i="31"/>
  <c r="C166" i="31"/>
  <c r="J1525" i="1"/>
  <c r="H1525" i="1"/>
  <c r="D165" i="31"/>
  <c r="C165" i="31"/>
  <c r="J1524" i="1"/>
  <c r="H1524" i="1"/>
  <c r="D164" i="31"/>
  <c r="C164" i="31"/>
  <c r="J1523" i="1"/>
  <c r="H1523" i="1"/>
  <c r="D163" i="31"/>
  <c r="C163" i="31"/>
  <c r="J1522" i="1"/>
  <c r="H1522" i="1"/>
  <c r="D162" i="31"/>
  <c r="C162" i="31"/>
  <c r="J1521" i="1"/>
  <c r="H1521" i="1"/>
  <c r="D161" i="31"/>
  <c r="C161" i="31"/>
  <c r="J1520" i="1"/>
  <c r="H1520" i="1"/>
  <c r="D160" i="31"/>
  <c r="C160" i="31"/>
  <c r="J1519" i="1"/>
  <c r="H1519" i="1"/>
  <c r="D159" i="31"/>
  <c r="C159" i="31"/>
  <c r="J1518" i="1"/>
  <c r="H1518" i="1"/>
  <c r="D158" i="31"/>
  <c r="C158" i="31"/>
  <c r="J1517" i="1"/>
  <c r="H1517" i="1"/>
  <c r="D157" i="31"/>
  <c r="C157" i="31"/>
  <c r="J1516" i="1"/>
  <c r="H1516" i="1"/>
  <c r="D156" i="31"/>
  <c r="C156" i="31"/>
  <c r="J1515" i="1"/>
  <c r="H1515" i="1"/>
  <c r="D155" i="31"/>
  <c r="C155" i="31"/>
  <c r="J1514" i="1"/>
  <c r="H1514" i="1"/>
  <c r="DJ94" i="16"/>
  <c r="DJ86" i="16"/>
  <c r="DJ53" i="16"/>
  <c r="DJ29" i="16"/>
  <c r="G1507" i="1"/>
  <c r="G1506" i="1"/>
  <c r="G1504" i="1"/>
  <c r="J1503" i="1"/>
  <c r="H1503" i="1"/>
  <c r="G1501" i="1"/>
  <c r="G1500" i="1"/>
  <c r="G1498" i="1"/>
  <c r="J1497" i="1"/>
  <c r="H1497" i="1"/>
  <c r="DO94" i="16"/>
  <c r="DO86" i="16"/>
  <c r="DO53" i="16"/>
  <c r="DO29" i="16"/>
  <c r="I1445" i="1"/>
  <c r="I1447" i="1" s="1"/>
  <c r="BZ94" i="16"/>
  <c r="BZ86" i="16"/>
  <c r="BZ53" i="16"/>
  <c r="BZ95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V95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I1215" i="1"/>
  <c r="I1222" i="1" s="1"/>
  <c r="J1354" i="1"/>
  <c r="J1357" i="1" s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B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J1342" i="1"/>
  <c r="J1346" i="1" s="1"/>
  <c r="G1351" i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B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J1329" i="1"/>
  <c r="J1335" i="1" s="1"/>
  <c r="J1315" i="1"/>
  <c r="J1322" i="1" s="1"/>
  <c r="G1326" i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B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J1299" i="1"/>
  <c r="G1296" i="1"/>
  <c r="G1311" i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B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J1286" i="1"/>
  <c r="J1290" i="1" s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B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I1272" i="1"/>
  <c r="I1275" i="1" s="1"/>
  <c r="J1272" i="1"/>
  <c r="J1277" i="1" s="1"/>
  <c r="G1283" i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B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J1257" i="1"/>
  <c r="J1267" i="1" s="1"/>
  <c r="G1254" i="1"/>
  <c r="G1268" i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B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J1244" i="1"/>
  <c r="J1253" i="1" s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B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I1230" i="1"/>
  <c r="I1235" i="1" s="1"/>
  <c r="J1230" i="1"/>
  <c r="J1237" i="1" s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B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J1215" i="1"/>
  <c r="J1224" i="1" s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B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J1202" i="1"/>
  <c r="J1206" i="1" s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B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L95" i="16"/>
  <c r="BK181" i="16"/>
  <c r="BK163" i="16"/>
  <c r="BK154" i="16"/>
  <c r="BK148" i="16"/>
  <c r="BK139" i="16"/>
  <c r="BK131" i="16"/>
  <c r="BK119" i="16"/>
  <c r="BK94" i="16"/>
  <c r="BK86" i="16"/>
  <c r="BK53" i="16"/>
  <c r="BK29" i="16"/>
  <c r="I1157" i="1"/>
  <c r="I1159" i="1" s="1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K1135" i="1"/>
  <c r="K1134" i="1"/>
  <c r="I1124" i="1"/>
  <c r="I1126" i="1" s="1"/>
  <c r="BG181" i="16"/>
  <c r="BG163" i="16"/>
  <c r="BG154" i="16"/>
  <c r="BG148" i="16"/>
  <c r="BG139" i="16"/>
  <c r="BG131" i="16"/>
  <c r="BG119" i="16"/>
  <c r="BG94" i="16"/>
  <c r="BG86" i="16"/>
  <c r="BG53" i="16"/>
  <c r="BG29" i="16"/>
  <c r="BG95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182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I1009" i="1" s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G988" i="1"/>
  <c r="G989" i="1"/>
  <c r="I977" i="1"/>
  <c r="I979" i="1" s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K970" i="1"/>
  <c r="I970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J963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I937" i="1" s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N937" i="1"/>
  <c r="K937" i="1"/>
  <c r="I927" i="1"/>
  <c r="I929" i="1" s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L931" i="1"/>
  <c r="K931" i="1"/>
  <c r="N930" i="1"/>
  <c r="M930" i="1"/>
  <c r="L930" i="1"/>
  <c r="K930" i="1"/>
  <c r="M929" i="1"/>
  <c r="K929" i="1"/>
  <c r="I916" i="1"/>
  <c r="I918" i="1" s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M918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N909" i="1"/>
  <c r="N908" i="1"/>
  <c r="I896" i="1"/>
  <c r="I897" i="1" s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N898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G888" i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K874" i="1" s="1"/>
  <c r="N877" i="1"/>
  <c r="M877" i="1"/>
  <c r="N876" i="1"/>
  <c r="M876" i="1"/>
  <c r="N875" i="1"/>
  <c r="M875" i="1"/>
  <c r="M873" i="1"/>
  <c r="I863" i="1"/>
  <c r="I867" i="1" s="1"/>
  <c r="J863" i="1"/>
  <c r="J867" i="1" s="1"/>
  <c r="N867" i="1"/>
  <c r="M867" i="1"/>
  <c r="N866" i="1"/>
  <c r="M866" i="1"/>
  <c r="M864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N854" i="1"/>
  <c r="I839" i="1"/>
  <c r="J839" i="1"/>
  <c r="N845" i="1"/>
  <c r="M845" i="1"/>
  <c r="N844" i="1"/>
  <c r="M844" i="1"/>
  <c r="N843" i="1"/>
  <c r="M843" i="1"/>
  <c r="N842" i="1"/>
  <c r="M842" i="1"/>
  <c r="M841" i="1"/>
  <c r="N840" i="1"/>
  <c r="N789" i="1"/>
  <c r="M789" i="1"/>
  <c r="N788" i="1"/>
  <c r="M788" i="1"/>
  <c r="N787" i="1"/>
  <c r="M787" i="1"/>
  <c r="N786" i="1"/>
  <c r="M786" i="1"/>
  <c r="N784" i="1"/>
  <c r="I834" i="1"/>
  <c r="I836" i="1" s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7" i="1"/>
  <c r="N826" i="1"/>
  <c r="M826" i="1"/>
  <c r="N820" i="1"/>
  <c r="M820" i="1"/>
  <c r="N819" i="1"/>
  <c r="M819" i="1"/>
  <c r="N816" i="1"/>
  <c r="I803" i="1"/>
  <c r="I808" i="1" s="1"/>
  <c r="J803" i="1"/>
  <c r="N809" i="1"/>
  <c r="M809" i="1"/>
  <c r="N808" i="1"/>
  <c r="M808" i="1"/>
  <c r="N807" i="1"/>
  <c r="M807" i="1"/>
  <c r="J794" i="1"/>
  <c r="J807" i="1" s="1"/>
  <c r="I794" i="1"/>
  <c r="I805" i="1" s="1"/>
  <c r="N806" i="1"/>
  <c r="M806" i="1"/>
  <c r="N805" i="1"/>
  <c r="N798" i="1"/>
  <c r="M798" i="1"/>
  <c r="N797" i="1"/>
  <c r="M797" i="1"/>
  <c r="N796" i="1"/>
  <c r="N795" i="1"/>
  <c r="I773" i="1"/>
  <c r="I776" i="1" s="1"/>
  <c r="J773" i="1"/>
  <c r="J776" i="1" s="1"/>
  <c r="N778" i="1"/>
  <c r="M778" i="1"/>
  <c r="N777" i="1"/>
  <c r="M777" i="1"/>
  <c r="N776" i="1"/>
  <c r="M776" i="1"/>
  <c r="M775" i="1"/>
  <c r="I763" i="1"/>
  <c r="I764" i="1" s="1"/>
  <c r="J763" i="1"/>
  <c r="J767" i="1" s="1"/>
  <c r="N768" i="1"/>
  <c r="M768" i="1"/>
  <c r="L768" i="1"/>
  <c r="N767" i="1"/>
  <c r="M767" i="1"/>
  <c r="L767" i="1"/>
  <c r="N766" i="1"/>
  <c r="M766" i="1"/>
  <c r="M765" i="1"/>
  <c r="I755" i="1"/>
  <c r="I756" i="1" s="1"/>
  <c r="W94" i="16"/>
  <c r="W86" i="16"/>
  <c r="W53" i="16"/>
  <c r="W29" i="16"/>
  <c r="W95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6" i="1" s="1"/>
  <c r="I737" i="1"/>
  <c r="M737" i="1"/>
  <c r="I728" i="1"/>
  <c r="Q35" i="61"/>
  <c r="Q67" i="61"/>
  <c r="Q69" i="61"/>
  <c r="P35" i="61"/>
  <c r="P67" i="61"/>
  <c r="O69" i="61"/>
  <c r="N69" i="61"/>
  <c r="M35" i="61"/>
  <c r="M67" i="61"/>
  <c r="M69" i="61"/>
  <c r="I721" i="1"/>
  <c r="I723" i="1" s="1"/>
  <c r="K721" i="1"/>
  <c r="K723" i="1" s="1"/>
  <c r="M721" i="1"/>
  <c r="M723" i="1" s="1"/>
  <c r="N721" i="1"/>
  <c r="N715" i="1"/>
  <c r="N717" i="1" s="1"/>
  <c r="M715" i="1"/>
  <c r="K719" i="1"/>
  <c r="I715" i="1"/>
  <c r="I718" i="1" s="1"/>
  <c r="K718" i="1"/>
  <c r="K717" i="1"/>
  <c r="K716" i="1"/>
  <c r="I711" i="1"/>
  <c r="I712" i="1" s="1"/>
  <c r="M711" i="1"/>
  <c r="M712" i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L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I658" i="1"/>
  <c r="J658" i="1"/>
  <c r="K658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L660" i="1"/>
  <c r="M659" i="1"/>
  <c r="K659" i="1"/>
  <c r="N653" i="1"/>
  <c r="M653" i="1"/>
  <c r="L653" i="1"/>
  <c r="K653" i="1"/>
  <c r="N652" i="1"/>
  <c r="M652" i="1"/>
  <c r="L652" i="1"/>
  <c r="K652" i="1"/>
  <c r="L645" i="1"/>
  <c r="J609" i="1"/>
  <c r="J612" i="1" s="1"/>
  <c r="I609" i="1"/>
  <c r="I633" i="1" s="1"/>
  <c r="L644" i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L635" i="1"/>
  <c r="L634" i="1"/>
  <c r="L633" i="1"/>
  <c r="L632" i="1"/>
  <c r="L631" i="1"/>
  <c r="I619" i="1"/>
  <c r="I622" i="1" s="1"/>
  <c r="CF181" i="16"/>
  <c r="CF163" i="16"/>
  <c r="CF154" i="16"/>
  <c r="CF148" i="16"/>
  <c r="CF139" i="16"/>
  <c r="CF131" i="16"/>
  <c r="CF119" i="16"/>
  <c r="CF182" i="16"/>
  <c r="CF94" i="16"/>
  <c r="CF86" i="16"/>
  <c r="CF53" i="16"/>
  <c r="CF29" i="16"/>
  <c r="CF95" i="16"/>
  <c r="L613" i="1"/>
  <c r="L612" i="1"/>
  <c r="L611" i="1"/>
  <c r="L610" i="1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9" i="61"/>
  <c r="AG67" i="61"/>
  <c r="AH35" i="61"/>
  <c r="AH69" i="61"/>
  <c r="AH67" i="61"/>
  <c r="AF35" i="61"/>
  <c r="AF69" i="61"/>
  <c r="AF67" i="61"/>
  <c r="AE35" i="61"/>
  <c r="AE67" i="61"/>
  <c r="L604" i="1"/>
  <c r="L603" i="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L586" i="1"/>
  <c r="L585" i="1"/>
  <c r="G560" i="1"/>
  <c r="G550" i="1"/>
  <c r="G549" i="1"/>
  <c r="G553" i="1"/>
  <c r="G551" i="1"/>
  <c r="G544" i="1"/>
  <c r="G534" i="1"/>
  <c r="G533" i="1"/>
  <c r="Y532" i="1"/>
  <c r="N540" i="1"/>
  <c r="L540" i="1"/>
  <c r="K540" i="1"/>
  <c r="J540" i="1"/>
  <c r="I540" i="1"/>
  <c r="N539" i="1"/>
  <c r="L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95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P95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95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Z95" i="16"/>
  <c r="X94" i="16"/>
  <c r="X86" i="16"/>
  <c r="X53" i="16"/>
  <c r="X29" i="16"/>
  <c r="G528" i="1"/>
  <c r="I510" i="1"/>
  <c r="I512" i="1" s="1"/>
  <c r="I502" i="1"/>
  <c r="I503" i="1" s="1"/>
  <c r="I492" i="1"/>
  <c r="I18" i="1"/>
  <c r="I237" i="1" s="1"/>
  <c r="Y35" i="61"/>
  <c r="Y69" i="61"/>
  <c r="Y67" i="61"/>
  <c r="X35" i="61"/>
  <c r="X67" i="61"/>
  <c r="X69" i="61"/>
  <c r="W35" i="61"/>
  <c r="W67" i="61"/>
  <c r="W69" i="61"/>
  <c r="V35" i="61"/>
  <c r="V67" i="61"/>
  <c r="U35" i="61"/>
  <c r="U67" i="61"/>
  <c r="T35" i="61"/>
  <c r="T67" i="61"/>
  <c r="T69" i="61"/>
  <c r="R35" i="61"/>
  <c r="R67" i="61"/>
  <c r="R69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L433" i="1"/>
  <c r="J433" i="1"/>
  <c r="I433" i="1"/>
  <c r="N432" i="1"/>
  <c r="M432" i="1"/>
  <c r="L432" i="1"/>
  <c r="J432" i="1"/>
  <c r="I432" i="1"/>
  <c r="N431" i="1"/>
  <c r="M431" i="1"/>
  <c r="L431" i="1"/>
  <c r="J431" i="1"/>
  <c r="I431" i="1"/>
  <c r="N430" i="1"/>
  <c r="M430" i="1"/>
  <c r="L430" i="1"/>
  <c r="J430" i="1"/>
  <c r="I430" i="1"/>
  <c r="N429" i="1"/>
  <c r="M429" i="1"/>
  <c r="L429" i="1"/>
  <c r="J429" i="1"/>
  <c r="I429" i="1"/>
  <c r="I418" i="1"/>
  <c r="I410" i="1"/>
  <c r="I411" i="1" s="1"/>
  <c r="K410" i="1"/>
  <c r="I406" i="1"/>
  <c r="G404" i="1"/>
  <c r="G403" i="1"/>
  <c r="G402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L344" i="1"/>
  <c r="J344" i="1"/>
  <c r="I344" i="1"/>
  <c r="N343" i="1"/>
  <c r="M343" i="1"/>
  <c r="L343" i="1"/>
  <c r="J343" i="1"/>
  <c r="I343" i="1"/>
  <c r="N342" i="1"/>
  <c r="M342" i="1"/>
  <c r="L342" i="1"/>
  <c r="J342" i="1"/>
  <c r="I342" i="1"/>
  <c r="N341" i="1"/>
  <c r="M341" i="1"/>
  <c r="L341" i="1"/>
  <c r="J341" i="1"/>
  <c r="I341" i="1"/>
  <c r="N340" i="1"/>
  <c r="M340" i="1"/>
  <c r="L340" i="1"/>
  <c r="J340" i="1"/>
  <c r="I340" i="1"/>
  <c r="I335" i="1"/>
  <c r="I326" i="1"/>
  <c r="I327" i="1" s="1"/>
  <c r="I317" i="1"/>
  <c r="I307" i="1"/>
  <c r="I309" i="1" s="1"/>
  <c r="K309" i="1"/>
  <c r="K308" i="1"/>
  <c r="K304" i="1"/>
  <c r="I302" i="1"/>
  <c r="I304" i="1" s="1"/>
  <c r="K303" i="1"/>
  <c r="K283" i="1"/>
  <c r="K285" i="1"/>
  <c r="I268" i="1"/>
  <c r="I267" i="1"/>
  <c r="I256" i="1"/>
  <c r="I257" i="1" s="1"/>
  <c r="I248" i="1"/>
  <c r="K236" i="1"/>
  <c r="J236" i="1"/>
  <c r="K235" i="1"/>
  <c r="J235" i="1"/>
  <c r="K224" i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/>
  <c r="I152" i="1"/>
  <c r="K152" i="1"/>
  <c r="G148" i="1"/>
  <c r="I142" i="1"/>
  <c r="I143" i="1" s="1"/>
  <c r="G150" i="1"/>
  <c r="G139" i="1"/>
  <c r="I134" i="1"/>
  <c r="I135" i="1" s="1"/>
  <c r="I125" i="1"/>
  <c r="I126" i="1" s="1"/>
  <c r="G131" i="1"/>
  <c r="G122" i="1"/>
  <c r="I117" i="1"/>
  <c r="I118" i="1" s="1"/>
  <c r="I109" i="1"/>
  <c r="I111" i="1" s="1"/>
  <c r="G115" i="1"/>
  <c r="I92" i="1"/>
  <c r="M92" i="1"/>
  <c r="G103" i="1"/>
  <c r="M75" i="1"/>
  <c r="M96" i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I45" i="1"/>
  <c r="G50" i="1"/>
  <c r="I37" i="1"/>
  <c r="I38" i="1" s="1"/>
  <c r="G42" i="1"/>
  <c r="I27" i="1"/>
  <c r="I28" i="1" s="1"/>
  <c r="G35" i="1"/>
  <c r="G34" i="1"/>
  <c r="A32" i="42"/>
  <c r="M456" i="23"/>
  <c r="L97" i="18"/>
  <c r="L94" i="18"/>
  <c r="A154" i="33"/>
  <c r="E154" i="33"/>
  <c r="G154" i="33"/>
  <c r="A123" i="42"/>
  <c r="D123" i="42"/>
  <c r="A125" i="42"/>
  <c r="E125" i="42"/>
  <c r="G125" i="42"/>
  <c r="F125" i="42"/>
  <c r="A265" i="42"/>
  <c r="D265" i="42"/>
  <c r="E265" i="42"/>
  <c r="G265" i="42"/>
  <c r="A60" i="42"/>
  <c r="A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GA95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H95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B95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GH95" i="16"/>
  <c r="EZ94" i="16"/>
  <c r="EZ86" i="16"/>
  <c r="EZ53" i="16"/>
  <c r="EZ29" i="16"/>
  <c r="EZ95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775" i="1"/>
  <c r="O343" i="1"/>
  <c r="O432" i="1"/>
  <c r="O341" i="1"/>
  <c r="O430" i="1"/>
  <c r="O340" i="1"/>
  <c r="O429" i="1"/>
  <c r="O342" i="1"/>
  <c r="O431" i="1"/>
  <c r="A23" i="35"/>
  <c r="A22" i="35"/>
  <c r="D22" i="35"/>
  <c r="A21" i="35"/>
  <c r="A20" i="35"/>
  <c r="C20" i="35"/>
  <c r="A19" i="35"/>
  <c r="A18" i="35"/>
  <c r="D18" i="35"/>
  <c r="A17" i="35"/>
  <c r="A16" i="35"/>
  <c r="C16" i="35"/>
  <c r="A15" i="35"/>
  <c r="A14" i="35"/>
  <c r="C14" i="35"/>
  <c r="A13" i="35"/>
  <c r="A12" i="35"/>
  <c r="A11" i="35"/>
  <c r="A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W134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A134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C70" i="35"/>
  <c r="A69" i="35"/>
  <c r="D69" i="35"/>
  <c r="A68" i="35"/>
  <c r="C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N134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D134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X134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V134" i="70"/>
  <c r="AU55" i="70"/>
  <c r="AU72" i="70"/>
  <c r="AU91" i="70"/>
  <c r="AU123" i="70"/>
  <c r="AU134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M134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P134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L13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R229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L229" i="70"/>
  <c r="CM189" i="70"/>
  <c r="CO189" i="70"/>
  <c r="CO22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6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R229" i="70"/>
  <c r="S209" i="70"/>
  <c r="T209" i="70"/>
  <c r="U209" i="70"/>
  <c r="V209" i="70"/>
  <c r="V228" i="70"/>
  <c r="W209" i="70"/>
  <c r="X209" i="70"/>
  <c r="Y209" i="70"/>
  <c r="Z209" i="70"/>
  <c r="Z228" i="70"/>
  <c r="Z229" i="70"/>
  <c r="AA209" i="70"/>
  <c r="AB209" i="70"/>
  <c r="AB229" i="70"/>
  <c r="AC209" i="70"/>
  <c r="AD209" i="70"/>
  <c r="AD228" i="70"/>
  <c r="AD229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P229" i="70"/>
  <c r="AQ209" i="70"/>
  <c r="AR209" i="70"/>
  <c r="AS209" i="70"/>
  <c r="AT209" i="70"/>
  <c r="AT228" i="70"/>
  <c r="AU209" i="70"/>
  <c r="AV209" i="70"/>
  <c r="AW209" i="70"/>
  <c r="AX209" i="70"/>
  <c r="AX228" i="70"/>
  <c r="AX229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K229" i="70"/>
  <c r="CL209" i="70"/>
  <c r="CM209" i="70"/>
  <c r="CM229" i="70"/>
  <c r="CO209" i="70"/>
  <c r="CP209" i="70"/>
  <c r="CP228" i="70"/>
  <c r="CQ209" i="70"/>
  <c r="CQ229" i="70"/>
  <c r="CR209" i="70"/>
  <c r="CS209" i="70"/>
  <c r="CT209" i="70"/>
  <c r="CT228" i="70"/>
  <c r="CT229" i="70"/>
  <c r="CU209" i="70"/>
  <c r="CV209" i="70"/>
  <c r="CV22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N229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Q229" i="70"/>
  <c r="S228" i="70"/>
  <c r="T228" i="70"/>
  <c r="T229" i="70"/>
  <c r="U228" i="70"/>
  <c r="W228" i="70"/>
  <c r="X228" i="70"/>
  <c r="Y228" i="70"/>
  <c r="AA228" i="70"/>
  <c r="AA229" i="70"/>
  <c r="AB228" i="70"/>
  <c r="AC228" i="70"/>
  <c r="AE228" i="70"/>
  <c r="AF228" i="70"/>
  <c r="AG228" i="70"/>
  <c r="AI228" i="70"/>
  <c r="AJ228" i="70"/>
  <c r="AJ229" i="70"/>
  <c r="AK228" i="70"/>
  <c r="AK229" i="70"/>
  <c r="AM228" i="70"/>
  <c r="AN228" i="70"/>
  <c r="AO228" i="70"/>
  <c r="AQ228" i="70"/>
  <c r="AQ229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W229" i="70"/>
  <c r="BX228" i="70"/>
  <c r="BY228" i="70"/>
  <c r="BY229" i="70"/>
  <c r="BZ228" i="70"/>
  <c r="CA228" i="70"/>
  <c r="CA229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F307" i="70"/>
  <c r="G286" i="70"/>
  <c r="H286" i="70"/>
  <c r="I286" i="70"/>
  <c r="J286" i="70"/>
  <c r="K286" i="70"/>
  <c r="L286" i="70"/>
  <c r="M286" i="70"/>
  <c r="P286" i="70"/>
  <c r="P307" i="70"/>
  <c r="Q286" i="70"/>
  <c r="R286" i="70"/>
  <c r="S286" i="70"/>
  <c r="T286" i="70"/>
  <c r="U286" i="70"/>
  <c r="V286" i="70"/>
  <c r="W286" i="70"/>
  <c r="X286" i="70"/>
  <c r="X307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V307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J307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U307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O307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E307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T307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N307" i="70"/>
  <c r="BF300" i="70"/>
  <c r="BG300" i="70"/>
  <c r="CN300" i="70"/>
  <c r="D301" i="70"/>
  <c r="D302" i="70"/>
  <c r="D303" i="70"/>
  <c r="D304" i="70"/>
  <c r="D305" i="70"/>
  <c r="D306" i="70"/>
  <c r="D307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K307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C307" i="70"/>
  <c r="AD306" i="70"/>
  <c r="AE306" i="70"/>
  <c r="AF306" i="70"/>
  <c r="AG306" i="70"/>
  <c r="AH306" i="70"/>
  <c r="AI306" i="70"/>
  <c r="AI307" i="70"/>
  <c r="AJ306" i="70"/>
  <c r="AK306" i="70"/>
  <c r="AK307" i="70"/>
  <c r="AL306" i="70"/>
  <c r="AM306" i="70"/>
  <c r="AM307" i="70"/>
  <c r="AN306" i="70"/>
  <c r="AO306" i="70"/>
  <c r="AP306" i="70"/>
  <c r="AQ306" i="70"/>
  <c r="AR306" i="70"/>
  <c r="AS306" i="70"/>
  <c r="AT306" i="70"/>
  <c r="AT307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O307" i="70"/>
  <c r="BP306" i="70"/>
  <c r="BP307" i="70"/>
  <c r="BQ306" i="70"/>
  <c r="BR306" i="70"/>
  <c r="BS306" i="70"/>
  <c r="BT306" i="70"/>
  <c r="BU306" i="70"/>
  <c r="BV306" i="70"/>
  <c r="BW306" i="70"/>
  <c r="BW307" i="70"/>
  <c r="BX306" i="70"/>
  <c r="BY306" i="70"/>
  <c r="BZ306" i="70"/>
  <c r="BZ307" i="70"/>
  <c r="CA306" i="70"/>
  <c r="CB306" i="70"/>
  <c r="CC306" i="70"/>
  <c r="CD306" i="70"/>
  <c r="CD307" i="70"/>
  <c r="CE306" i="70"/>
  <c r="CF306" i="70"/>
  <c r="CG306" i="70"/>
  <c r="CH306" i="70"/>
  <c r="CI306" i="70"/>
  <c r="CJ306" i="70"/>
  <c r="CK306" i="70"/>
  <c r="CL306" i="70"/>
  <c r="CM306" i="70"/>
  <c r="CM307" i="70"/>
  <c r="CO306" i="70"/>
  <c r="CP306" i="70"/>
  <c r="CP307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D128" i="35"/>
  <c r="A127" i="35"/>
  <c r="A126" i="35"/>
  <c r="D126" i="35"/>
  <c r="A125" i="35"/>
  <c r="C125" i="35"/>
  <c r="A124" i="35"/>
  <c r="D124" i="35"/>
  <c r="A123" i="35"/>
  <c r="A122" i="35"/>
  <c r="C122" i="35"/>
  <c r="A121" i="35"/>
  <c r="D121" i="35"/>
  <c r="A120" i="35"/>
  <c r="E120" i="35"/>
  <c r="B120" i="35"/>
  <c r="A119" i="35"/>
  <c r="E119" i="35"/>
  <c r="B119" i="35" s="1"/>
  <c r="A118" i="35"/>
  <c r="C118" i="35"/>
  <c r="A117" i="35"/>
  <c r="A116" i="35"/>
  <c r="C116" i="35"/>
  <c r="A115" i="35"/>
  <c r="D115" i="35"/>
  <c r="A114" i="35"/>
  <c r="E114" i="35"/>
  <c r="B114" i="35"/>
  <c r="A113" i="35"/>
  <c r="D113" i="35"/>
  <c r="A112" i="35"/>
  <c r="E112" i="35"/>
  <c r="G112" i="35" s="1"/>
  <c r="A111" i="35"/>
  <c r="C111" i="35"/>
  <c r="A110" i="35"/>
  <c r="C110" i="35"/>
  <c r="A109" i="35"/>
  <c r="A108" i="35"/>
  <c r="C108" i="35"/>
  <c r="A107" i="35"/>
  <c r="A106" i="35"/>
  <c r="C106" i="35"/>
  <c r="A105" i="35"/>
  <c r="A104" i="35"/>
  <c r="D104" i="35"/>
  <c r="A103" i="35"/>
  <c r="C103" i="35"/>
  <c r="A102" i="35"/>
  <c r="D102" i="35"/>
  <c r="A101" i="35"/>
  <c r="A100" i="35"/>
  <c r="D100" i="35"/>
  <c r="A99" i="35"/>
  <c r="A98" i="35"/>
  <c r="D98" i="35"/>
  <c r="A97" i="35"/>
  <c r="D97" i="35"/>
  <c r="A96" i="35"/>
  <c r="D96" i="35"/>
  <c r="A95" i="35"/>
  <c r="D95" i="35"/>
  <c r="A94" i="35"/>
  <c r="A93" i="35"/>
  <c r="D93" i="35"/>
  <c r="A92" i="35"/>
  <c r="D92" i="35"/>
  <c r="A91" i="35"/>
  <c r="C91" i="35"/>
  <c r="A90" i="35"/>
  <c r="C90" i="35"/>
  <c r="A89" i="35"/>
  <c r="D89" i="35"/>
  <c r="A88" i="35"/>
  <c r="D88" i="35"/>
  <c r="A87" i="35"/>
  <c r="E87" i="35"/>
  <c r="A86" i="35"/>
  <c r="C86" i="35"/>
  <c r="A85" i="35"/>
  <c r="C85" i="35"/>
  <c r="A84" i="35"/>
  <c r="C84" i="35"/>
  <c r="A83" i="35"/>
  <c r="A82" i="35"/>
  <c r="C82" i="35"/>
  <c r="A81" i="35"/>
  <c r="D81" i="35"/>
  <c r="A80" i="35"/>
  <c r="E80" i="35"/>
  <c r="G80" i="35"/>
  <c r="A79" i="35"/>
  <c r="A78" i="35"/>
  <c r="C78" i="35"/>
  <c r="A77" i="35"/>
  <c r="A76" i="35"/>
  <c r="D76" i="35"/>
  <c r="A75" i="35"/>
  <c r="A74" i="35"/>
  <c r="A73" i="35"/>
  <c r="G257" i="42"/>
  <c r="C35" i="61"/>
  <c r="C69" i="61"/>
  <c r="C67" i="61"/>
  <c r="E184" i="42"/>
  <c r="B184" i="42"/>
  <c r="A179" i="42"/>
  <c r="A173" i="42"/>
  <c r="A167" i="42"/>
  <c r="D167" i="42"/>
  <c r="A163" i="42"/>
  <c r="C163" i="42"/>
  <c r="A159" i="42"/>
  <c r="A156" i="42"/>
  <c r="C156" i="42"/>
  <c r="A152" i="42"/>
  <c r="D152" i="42"/>
  <c r="A148" i="42"/>
  <c r="C148" i="42"/>
  <c r="A144" i="42"/>
  <c r="A141" i="42"/>
  <c r="D141" i="42"/>
  <c r="A138" i="42"/>
  <c r="D138" i="42"/>
  <c r="A135" i="42"/>
  <c r="D135" i="42"/>
  <c r="A134" i="42"/>
  <c r="C134" i="42"/>
  <c r="A133" i="42"/>
  <c r="D133" i="42"/>
  <c r="A132" i="42"/>
  <c r="C132" i="42"/>
  <c r="A131" i="42"/>
  <c r="A130" i="42"/>
  <c r="D130" i="42"/>
  <c r="A129" i="42"/>
  <c r="E129" i="42"/>
  <c r="B129" i="42" s="1"/>
  <c r="A128" i="42"/>
  <c r="D128" i="42"/>
  <c r="A127" i="42"/>
  <c r="A126" i="42"/>
  <c r="D126" i="42"/>
  <c r="A124" i="42"/>
  <c r="A122" i="42"/>
  <c r="D122" i="42"/>
  <c r="A121" i="42"/>
  <c r="A120" i="42"/>
  <c r="C120" i="42"/>
  <c r="A119" i="42"/>
  <c r="D119" i="42"/>
  <c r="A118" i="42"/>
  <c r="D118" i="42"/>
  <c r="A117" i="42"/>
  <c r="A116" i="42"/>
  <c r="D116" i="42"/>
  <c r="O153" i="1"/>
  <c r="O344" i="1"/>
  <c r="O433" i="1"/>
  <c r="O777" i="1"/>
  <c r="H8" i="62"/>
  <c r="J8" i="62"/>
  <c r="D5" i="62"/>
  <c r="D8" i="62"/>
  <c r="D9" i="62"/>
  <c r="C10" i="62"/>
  <c r="D10" i="62"/>
  <c r="C11" i="62"/>
  <c r="D11" i="62"/>
  <c r="C12" i="62"/>
  <c r="D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C32" i="42"/>
  <c r="D32" i="42"/>
  <c r="C11" i="35"/>
  <c r="D11" i="35"/>
  <c r="C13" i="35"/>
  <c r="C15" i="35"/>
  <c r="C17" i="35"/>
  <c r="D19" i="35"/>
  <c r="D21" i="35"/>
  <c r="C23" i="35"/>
  <c r="A20" i="33"/>
  <c r="D20" i="33"/>
  <c r="A19" i="33"/>
  <c r="C19" i="33"/>
  <c r="A18" i="33"/>
  <c r="C18" i="33"/>
  <c r="A17" i="33"/>
  <c r="A16" i="33"/>
  <c r="D16" i="33"/>
  <c r="A15" i="33"/>
  <c r="D15" i="33"/>
  <c r="A14" i="33"/>
  <c r="A13" i="33"/>
  <c r="A12" i="33"/>
  <c r="C12" i="33"/>
  <c r="A11" i="33"/>
  <c r="C11" i="33"/>
  <c r="F7" i="33"/>
  <c r="G7" i="33"/>
  <c r="A21" i="33"/>
  <c r="C21" i="33"/>
  <c r="A22" i="33"/>
  <c r="C22" i="33"/>
  <c r="A23" i="33"/>
  <c r="C23" i="33"/>
  <c r="A24" i="33"/>
  <c r="C24" i="33"/>
  <c r="A25" i="33"/>
  <c r="C25" i="33"/>
  <c r="A26" i="33"/>
  <c r="C26" i="33"/>
  <c r="A27" i="33"/>
  <c r="A28" i="33"/>
  <c r="C28" i="33"/>
  <c r="A29" i="33"/>
  <c r="C29" i="33"/>
  <c r="A30" i="33"/>
  <c r="A31" i="33"/>
  <c r="C31" i="33"/>
  <c r="A32" i="33"/>
  <c r="D32" i="33"/>
  <c r="A33" i="33"/>
  <c r="C33" i="33"/>
  <c r="A34" i="33"/>
  <c r="E34" i="33"/>
  <c r="A35" i="33"/>
  <c r="A36" i="33"/>
  <c r="A37" i="33"/>
  <c r="D37" i="33"/>
  <c r="A38" i="33"/>
  <c r="A40" i="33"/>
  <c r="D40" i="33"/>
  <c r="A41" i="33"/>
  <c r="A42" i="33"/>
  <c r="C42" i="33"/>
  <c r="A43" i="33"/>
  <c r="A45" i="33"/>
  <c r="A46" i="33"/>
  <c r="A47" i="33"/>
  <c r="D47" i="33"/>
  <c r="A48" i="33"/>
  <c r="D48" i="33"/>
  <c r="A49" i="33"/>
  <c r="C49" i="33"/>
  <c r="A50" i="33"/>
  <c r="C50" i="33"/>
  <c r="A51" i="33"/>
  <c r="C51" i="33"/>
  <c r="A52" i="33"/>
  <c r="D52" i="33"/>
  <c r="A53" i="33"/>
  <c r="C53" i="33"/>
  <c r="A54" i="33"/>
  <c r="D54" i="33"/>
  <c r="A55" i="33"/>
  <c r="C55" i="33"/>
  <c r="A56" i="33"/>
  <c r="A57" i="33"/>
  <c r="D57" i="33"/>
  <c r="A58" i="33"/>
  <c r="A59" i="33"/>
  <c r="A60" i="33"/>
  <c r="A61" i="33"/>
  <c r="C61" i="33"/>
  <c r="A62" i="33"/>
  <c r="C62" i="33"/>
  <c r="A63" i="33"/>
  <c r="A64" i="33"/>
  <c r="D64" i="33"/>
  <c r="A65" i="33"/>
  <c r="C65" i="33"/>
  <c r="A66" i="33"/>
  <c r="D66" i="33"/>
  <c r="A67" i="33"/>
  <c r="E67" i="33"/>
  <c r="G67" i="33" s="1"/>
  <c r="A68" i="33"/>
  <c r="A69" i="33"/>
  <c r="A70" i="33"/>
  <c r="D70" i="33"/>
  <c r="A71" i="33"/>
  <c r="D71" i="33"/>
  <c r="A72" i="33"/>
  <c r="D72" i="33"/>
  <c r="A73" i="33"/>
  <c r="C73" i="33"/>
  <c r="A74" i="33"/>
  <c r="C74" i="33"/>
  <c r="A75" i="33"/>
  <c r="C75" i="33"/>
  <c r="A76" i="33"/>
  <c r="A78" i="33"/>
  <c r="F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G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C33" i="42"/>
  <c r="A31" i="42"/>
  <c r="D31" i="42"/>
  <c r="A30" i="42"/>
  <c r="D30" i="42"/>
  <c r="A29" i="42"/>
  <c r="C29" i="42"/>
  <c r="A28" i="42"/>
  <c r="C28" i="42"/>
  <c r="A27" i="42"/>
  <c r="C27" i="42"/>
  <c r="A26" i="42"/>
  <c r="C26" i="42"/>
  <c r="A25" i="42"/>
  <c r="A24" i="42"/>
  <c r="A23" i="42"/>
  <c r="C23" i="42"/>
  <c r="A22" i="42"/>
  <c r="D22" i="42"/>
  <c r="A21" i="42"/>
  <c r="D21" i="42"/>
  <c r="A20" i="42"/>
  <c r="C20" i="42"/>
  <c r="A19" i="42"/>
  <c r="D19" i="42"/>
  <c r="A18" i="42"/>
  <c r="D18" i="42"/>
  <c r="A17" i="42"/>
  <c r="A16" i="42"/>
  <c r="C16" i="42"/>
  <c r="A15" i="42"/>
  <c r="D15" i="42"/>
  <c r="A14" i="42"/>
  <c r="C14" i="42"/>
  <c r="A13" i="42"/>
  <c r="A12" i="42"/>
  <c r="D12" i="42"/>
  <c r="A11" i="42"/>
  <c r="C11" i="42"/>
  <c r="A10" i="42"/>
  <c r="C10" i="42"/>
  <c r="A228" i="42"/>
  <c r="D228" i="42"/>
  <c r="E226" i="42"/>
  <c r="E220" i="42"/>
  <c r="B220" i="42"/>
  <c r="E213" i="42"/>
  <c r="E200" i="42"/>
  <c r="E199" i="42"/>
  <c r="B199" i="42"/>
  <c r="E198" i="42"/>
  <c r="B198" i="42"/>
  <c r="E197" i="42"/>
  <c r="G197" i="42"/>
  <c r="E196" i="42"/>
  <c r="E195" i="42"/>
  <c r="B195" i="42"/>
  <c r="E193" i="42"/>
  <c r="G193" i="42"/>
  <c r="E192" i="42"/>
  <c r="E191" i="42"/>
  <c r="G191" i="42"/>
  <c r="E190" i="42"/>
  <c r="E189" i="42"/>
  <c r="G189" i="42"/>
  <c r="E188" i="42"/>
  <c r="B188" i="42"/>
  <c r="E187" i="42"/>
  <c r="B187" i="42"/>
  <c r="E185" i="42"/>
  <c r="G185" i="42"/>
  <c r="E224" i="42"/>
  <c r="E221" i="42"/>
  <c r="B221" i="42"/>
  <c r="E219" i="42"/>
  <c r="E218" i="42"/>
  <c r="B218" i="42"/>
  <c r="E217" i="42"/>
  <c r="E216" i="42"/>
  <c r="E215" i="42"/>
  <c r="B215" i="42"/>
  <c r="E214" i="42"/>
  <c r="G214" i="42"/>
  <c r="E212" i="42"/>
  <c r="B212" i="42"/>
  <c r="E211" i="42"/>
  <c r="B211" i="42"/>
  <c r="E210" i="42"/>
  <c r="B210" i="42"/>
  <c r="E209" i="42"/>
  <c r="E208" i="42"/>
  <c r="E207" i="42"/>
  <c r="G207" i="42"/>
  <c r="E206" i="42"/>
  <c r="B206" i="42"/>
  <c r="E205" i="42"/>
  <c r="E204" i="42"/>
  <c r="G204" i="42"/>
  <c r="E202" i="42"/>
  <c r="B202" i="42"/>
  <c r="E201" i="42"/>
  <c r="B201" i="42"/>
  <c r="A61" i="42"/>
  <c r="A59" i="42"/>
  <c r="A58" i="42"/>
  <c r="D58" i="42"/>
  <c r="A57" i="42"/>
  <c r="C57" i="42"/>
  <c r="G312" i="42"/>
  <c r="G313" i="42"/>
  <c r="E236" i="42"/>
  <c r="B236" i="42"/>
  <c r="E240" i="42"/>
  <c r="E256" i="42"/>
  <c r="G256" i="42"/>
  <c r="E255" i="42"/>
  <c r="G255" i="42"/>
  <c r="E254" i="42"/>
  <c r="E253" i="42"/>
  <c r="B253" i="42"/>
  <c r="E252" i="42"/>
  <c r="E251" i="42"/>
  <c r="G251" i="42"/>
  <c r="E250" i="42"/>
  <c r="B250" i="42"/>
  <c r="A177" i="42"/>
  <c r="D177" i="42"/>
  <c r="E270" i="42"/>
  <c r="E269" i="42"/>
  <c r="G269" i="42"/>
  <c r="B312" i="42"/>
  <c r="G311" i="42"/>
  <c r="A303" i="42"/>
  <c r="D303" i="42"/>
  <c r="A304" i="42"/>
  <c r="D304" i="42"/>
  <c r="A302" i="42"/>
  <c r="A246" i="42"/>
  <c r="C246" i="42"/>
  <c r="A203" i="42"/>
  <c r="F7" i="42"/>
  <c r="G7" i="42"/>
  <c r="A34" i="42"/>
  <c r="C34" i="42"/>
  <c r="A35" i="42"/>
  <c r="C35" i="42"/>
  <c r="A36" i="42"/>
  <c r="D36" i="42"/>
  <c r="A37" i="42"/>
  <c r="D37" i="42"/>
  <c r="A38" i="42"/>
  <c r="A39" i="42"/>
  <c r="D39" i="42"/>
  <c r="A40" i="42"/>
  <c r="C40" i="42"/>
  <c r="A41" i="42"/>
  <c r="D41" i="42"/>
  <c r="A42" i="42"/>
  <c r="C42" i="42"/>
  <c r="A43" i="42"/>
  <c r="A44" i="42"/>
  <c r="C44" i="42"/>
  <c r="A45" i="42"/>
  <c r="C45" i="42"/>
  <c r="A46" i="42"/>
  <c r="A47" i="42"/>
  <c r="A48" i="42"/>
  <c r="C48" i="42"/>
  <c r="A49" i="42"/>
  <c r="A50" i="42"/>
  <c r="D50" i="42"/>
  <c r="A51" i="42"/>
  <c r="D51" i="42"/>
  <c r="A52" i="42"/>
  <c r="C52" i="42"/>
  <c r="A53" i="42"/>
  <c r="D53" i="42"/>
  <c r="A54" i="42"/>
  <c r="A55" i="42"/>
  <c r="A62" i="42"/>
  <c r="C62" i="42"/>
  <c r="A63" i="42"/>
  <c r="A65" i="42"/>
  <c r="C65" i="42"/>
  <c r="A66" i="42"/>
  <c r="D66" i="42"/>
  <c r="A67" i="42"/>
  <c r="A68" i="42"/>
  <c r="D68" i="42"/>
  <c r="A69" i="42"/>
  <c r="C69" i="42"/>
  <c r="A70" i="42"/>
  <c r="A71" i="42"/>
  <c r="C71" i="42"/>
  <c r="A72" i="42"/>
  <c r="C72" i="42"/>
  <c r="A73" i="42"/>
  <c r="C73" i="42"/>
  <c r="A74" i="42"/>
  <c r="A75" i="42"/>
  <c r="C75" i="42"/>
  <c r="A76" i="42"/>
  <c r="C76" i="42"/>
  <c r="A77" i="42"/>
  <c r="D77" i="42"/>
  <c r="A78" i="42"/>
  <c r="A79" i="42"/>
  <c r="C79" i="42"/>
  <c r="A80" i="42"/>
  <c r="D80" i="42"/>
  <c r="A81" i="42"/>
  <c r="C81" i="42"/>
  <c r="A82" i="42"/>
  <c r="A83" i="42"/>
  <c r="C83" i="42"/>
  <c r="A84" i="42"/>
  <c r="A85" i="42"/>
  <c r="C85" i="42"/>
  <c r="A86" i="42"/>
  <c r="A87" i="42"/>
  <c r="A88" i="42"/>
  <c r="C88" i="42"/>
  <c r="A89" i="42"/>
  <c r="C89" i="42"/>
  <c r="A90" i="42"/>
  <c r="D90" i="42"/>
  <c r="A91" i="42"/>
  <c r="C91" i="42"/>
  <c r="A92" i="42"/>
  <c r="E92" i="42"/>
  <c r="A93" i="42"/>
  <c r="A98" i="42"/>
  <c r="A103" i="42"/>
  <c r="A104" i="42"/>
  <c r="A106" i="42"/>
  <c r="A107" i="42"/>
  <c r="A108" i="42"/>
  <c r="A109" i="42"/>
  <c r="A110" i="42"/>
  <c r="A111" i="42"/>
  <c r="A112" i="42"/>
  <c r="A113" i="42"/>
  <c r="A114" i="42"/>
  <c r="F116" i="42"/>
  <c r="F118" i="42"/>
  <c r="F119" i="42"/>
  <c r="F121" i="42"/>
  <c r="F124" i="42"/>
  <c r="F126" i="42"/>
  <c r="F128" i="42"/>
  <c r="A136" i="42"/>
  <c r="D136" i="42"/>
  <c r="A137" i="42"/>
  <c r="D137" i="42"/>
  <c r="A139" i="42"/>
  <c r="A140" i="42"/>
  <c r="C140" i="42"/>
  <c r="A142" i="42"/>
  <c r="C142" i="42"/>
  <c r="A143" i="42"/>
  <c r="C143" i="42"/>
  <c r="A145" i="42"/>
  <c r="A146" i="42"/>
  <c r="A147" i="42"/>
  <c r="A149" i="42"/>
  <c r="A150" i="42"/>
  <c r="D150" i="42"/>
  <c r="A151" i="42"/>
  <c r="C151" i="42"/>
  <c r="A153" i="42"/>
  <c r="C153" i="42"/>
  <c r="A154" i="42"/>
  <c r="A155" i="42"/>
  <c r="C155" i="42"/>
  <c r="A157" i="42"/>
  <c r="A158" i="42"/>
  <c r="C158" i="42"/>
  <c r="A160" i="42"/>
  <c r="D160" i="42"/>
  <c r="A161" i="42"/>
  <c r="D161" i="42"/>
  <c r="A162" i="42"/>
  <c r="A164" i="42"/>
  <c r="C164" i="42"/>
  <c r="A165" i="42"/>
  <c r="C165" i="42"/>
  <c r="A166" i="42"/>
  <c r="D166" i="42"/>
  <c r="A168" i="42"/>
  <c r="D168" i="42"/>
  <c r="A169" i="42"/>
  <c r="C169" i="42"/>
  <c r="A170" i="42"/>
  <c r="D170" i="42"/>
  <c r="A171" i="42"/>
  <c r="D171" i="42"/>
  <c r="A172" i="42"/>
  <c r="C172" i="42"/>
  <c r="A174" i="42"/>
  <c r="D174" i="42"/>
  <c r="A175" i="42"/>
  <c r="D175" i="42"/>
  <c r="A176" i="42"/>
  <c r="D176" i="42"/>
  <c r="A178" i="42"/>
  <c r="D178" i="42"/>
  <c r="A180" i="42"/>
  <c r="A181" i="42"/>
  <c r="D181" i="42"/>
  <c r="A182" i="42"/>
  <c r="D182" i="42"/>
  <c r="A183" i="42"/>
  <c r="D183" i="42"/>
  <c r="A184" i="42"/>
  <c r="D184" i="42"/>
  <c r="A185" i="42"/>
  <c r="A186" i="42"/>
  <c r="A187" i="42"/>
  <c r="C187" i="42"/>
  <c r="A188" i="42"/>
  <c r="C188" i="42"/>
  <c r="A189" i="42"/>
  <c r="D189" i="42"/>
  <c r="A190" i="42"/>
  <c r="A191" i="42"/>
  <c r="D191" i="42"/>
  <c r="A192" i="42"/>
  <c r="A193" i="42"/>
  <c r="D193" i="42"/>
  <c r="A194" i="42"/>
  <c r="D194" i="42"/>
  <c r="A195" i="42"/>
  <c r="C195" i="42"/>
  <c r="A196" i="42"/>
  <c r="D196" i="42"/>
  <c r="A197" i="42"/>
  <c r="C197" i="42"/>
  <c r="A198" i="42"/>
  <c r="D198" i="42"/>
  <c r="A199" i="42"/>
  <c r="D199" i="42"/>
  <c r="A200" i="42"/>
  <c r="D200" i="42"/>
  <c r="A201" i="42"/>
  <c r="C201" i="42"/>
  <c r="A202" i="42"/>
  <c r="D202" i="42"/>
  <c r="A204" i="42"/>
  <c r="C204" i="42"/>
  <c r="A205" i="42"/>
  <c r="D205" i="42"/>
  <c r="A206" i="42"/>
  <c r="D206" i="42"/>
  <c r="A207" i="42"/>
  <c r="A208" i="42"/>
  <c r="A209" i="42"/>
  <c r="C209" i="42"/>
  <c r="A210" i="42"/>
  <c r="C210" i="42"/>
  <c r="A211" i="42"/>
  <c r="A212" i="42"/>
  <c r="A213" i="42"/>
  <c r="C213" i="42"/>
  <c r="A214" i="42"/>
  <c r="C214" i="42"/>
  <c r="A215" i="42"/>
  <c r="C215" i="42"/>
  <c r="A216" i="42"/>
  <c r="D216" i="42"/>
  <c r="A217" i="42"/>
  <c r="A218" i="42"/>
  <c r="A219" i="42"/>
  <c r="C219" i="42"/>
  <c r="A220" i="42"/>
  <c r="D220" i="42"/>
  <c r="A221" i="42"/>
  <c r="D221" i="42"/>
  <c r="A222" i="42"/>
  <c r="A223" i="42"/>
  <c r="C223" i="42"/>
  <c r="A224" i="42"/>
  <c r="A225" i="42"/>
  <c r="A226" i="42"/>
  <c r="D226" i="42"/>
  <c r="A227" i="42"/>
  <c r="D227" i="42"/>
  <c r="A229" i="42"/>
  <c r="D229" i="42"/>
  <c r="A230" i="42"/>
  <c r="A231" i="42"/>
  <c r="C231" i="42"/>
  <c r="A232" i="42"/>
  <c r="C232" i="42"/>
  <c r="A233" i="42"/>
  <c r="A234" i="42"/>
  <c r="D234" i="42"/>
  <c r="A235" i="42"/>
  <c r="D235" i="42"/>
  <c r="A236" i="42"/>
  <c r="D236" i="42"/>
  <c r="A237" i="42"/>
  <c r="A238" i="42"/>
  <c r="C238" i="42"/>
  <c r="A239" i="42"/>
  <c r="C239" i="42"/>
  <c r="A240" i="42"/>
  <c r="C240" i="42"/>
  <c r="A241" i="42"/>
  <c r="D241" i="42"/>
  <c r="A242" i="42"/>
  <c r="C242" i="42"/>
  <c r="A243" i="42"/>
  <c r="D243" i="42"/>
  <c r="A244" i="42"/>
  <c r="C244" i="42"/>
  <c r="A245" i="42"/>
  <c r="D245" i="42"/>
  <c r="A247" i="42"/>
  <c r="D247" i="42"/>
  <c r="A248" i="42"/>
  <c r="D248" i="42"/>
  <c r="A250" i="42"/>
  <c r="A251" i="42"/>
  <c r="D251" i="42"/>
  <c r="A252" i="42"/>
  <c r="C252" i="42"/>
  <c r="A253" i="42"/>
  <c r="A254" i="42"/>
  <c r="A255" i="42"/>
  <c r="D255" i="42"/>
  <c r="A256" i="42"/>
  <c r="A258" i="42"/>
  <c r="C258" i="42"/>
  <c r="A259" i="42"/>
  <c r="A260" i="42"/>
  <c r="C260" i="42"/>
  <c r="A261" i="42"/>
  <c r="D261" i="42"/>
  <c r="A262" i="42"/>
  <c r="C262" i="42"/>
  <c r="A263" i="42"/>
  <c r="C263" i="42"/>
  <c r="A264" i="42"/>
  <c r="A266" i="42"/>
  <c r="A267" i="42"/>
  <c r="C267" i="42"/>
  <c r="A268" i="42"/>
  <c r="A269" i="42"/>
  <c r="A270" i="42"/>
  <c r="A271" i="42"/>
  <c r="C271" i="42"/>
  <c r="A272" i="42"/>
  <c r="D272" i="42"/>
  <c r="A273" i="42"/>
  <c r="C273" i="42"/>
  <c r="A274" i="42"/>
  <c r="D274" i="42"/>
  <c r="A275" i="42"/>
  <c r="A276" i="42"/>
  <c r="D276" i="42"/>
  <c r="A277" i="42"/>
  <c r="A278" i="42"/>
  <c r="C278" i="42"/>
  <c r="A279" i="42"/>
  <c r="D279" i="42"/>
  <c r="A280" i="42"/>
  <c r="A281" i="42"/>
  <c r="D281" i="42"/>
  <c r="A282" i="42"/>
  <c r="C282" i="42"/>
  <c r="A283" i="42"/>
  <c r="D283" i="42"/>
  <c r="A284" i="42"/>
  <c r="D284" i="42"/>
  <c r="A285" i="42"/>
  <c r="C285" i="42"/>
  <c r="A286" i="42"/>
  <c r="A287" i="42"/>
  <c r="D287" i="42"/>
  <c r="A288" i="42"/>
  <c r="C288" i="42"/>
  <c r="A289" i="42"/>
  <c r="C289" i="42"/>
  <c r="A290" i="42"/>
  <c r="A291" i="42"/>
  <c r="D291" i="42"/>
  <c r="A292" i="42"/>
  <c r="A293" i="42"/>
  <c r="C293" i="42"/>
  <c r="A294" i="42"/>
  <c r="D294" i="42"/>
  <c r="A295" i="42"/>
  <c r="A296" i="42"/>
  <c r="C296" i="42"/>
  <c r="A297" i="42"/>
  <c r="D297" i="42"/>
  <c r="A298" i="42"/>
  <c r="A299" i="42"/>
  <c r="E237" i="42"/>
  <c r="G237" i="42"/>
  <c r="E238" i="42"/>
  <c r="E239" i="42"/>
  <c r="G239" i="42"/>
  <c r="B302" i="42"/>
  <c r="G302" i="42"/>
  <c r="E241" i="42"/>
  <c r="G241" i="42"/>
  <c r="E243" i="42"/>
  <c r="B243" i="42"/>
  <c r="E242" i="42"/>
  <c r="B242" i="42"/>
  <c r="E222" i="42"/>
  <c r="E260" i="42"/>
  <c r="G260" i="42"/>
  <c r="E259" i="42"/>
  <c r="B259" i="42"/>
  <c r="E258" i="42"/>
  <c r="B258" i="42"/>
  <c r="E262" i="42"/>
  <c r="B262" i="42"/>
  <c r="E274" i="42"/>
  <c r="G274" i="42"/>
  <c r="E273" i="42"/>
  <c r="E272" i="42"/>
  <c r="E271" i="42"/>
  <c r="G271" i="42"/>
  <c r="E303" i="42"/>
  <c r="E304" i="42"/>
  <c r="F4" i="31"/>
  <c r="G4" i="31"/>
  <c r="A7" i="31"/>
  <c r="C7" i="31"/>
  <c r="A8" i="31"/>
  <c r="C8" i="31"/>
  <c r="A9" i="31"/>
  <c r="D9" i="31"/>
  <c r="A10" i="31"/>
  <c r="A11" i="31"/>
  <c r="C11" i="31"/>
  <c r="A12" i="31"/>
  <c r="A13" i="31"/>
  <c r="D13" i="31"/>
  <c r="A14" i="31"/>
  <c r="C14" i="31"/>
  <c r="A15" i="31"/>
  <c r="D15" i="31"/>
  <c r="A16" i="31"/>
  <c r="C16" i="31"/>
  <c r="A17" i="31"/>
  <c r="A18" i="31"/>
  <c r="D18" i="31"/>
  <c r="A19" i="31"/>
  <c r="D19" i="31"/>
  <c r="A20" i="31"/>
  <c r="A21" i="31"/>
  <c r="D21" i="31"/>
  <c r="A22" i="31"/>
  <c r="C22" i="31"/>
  <c r="A23" i="31"/>
  <c r="D23" i="31"/>
  <c r="A24" i="31"/>
  <c r="C24" i="31"/>
  <c r="A25" i="31"/>
  <c r="D25" i="31"/>
  <c r="A26" i="31"/>
  <c r="D26" i="31"/>
  <c r="A27" i="31"/>
  <c r="C27" i="31"/>
  <c r="A28" i="31"/>
  <c r="A29" i="31"/>
  <c r="D29" i="31"/>
  <c r="A30" i="31"/>
  <c r="C30" i="31"/>
  <c r="A31" i="31"/>
  <c r="C31" i="31"/>
  <c r="A32" i="31"/>
  <c r="D32" i="31"/>
  <c r="A33" i="31"/>
  <c r="C33" i="31"/>
  <c r="A34" i="31"/>
  <c r="A35" i="31"/>
  <c r="D35" i="31"/>
  <c r="A36" i="31"/>
  <c r="D36" i="31"/>
  <c r="A37" i="31"/>
  <c r="D37" i="31"/>
  <c r="A38" i="31"/>
  <c r="A39" i="31"/>
  <c r="C39" i="31"/>
  <c r="A40" i="31"/>
  <c r="A41" i="31"/>
  <c r="A42" i="31"/>
  <c r="A43" i="31"/>
  <c r="A44" i="31"/>
  <c r="D44" i="31"/>
  <c r="A45" i="31"/>
  <c r="C45" i="31"/>
  <c r="A46" i="31"/>
  <c r="C46" i="31"/>
  <c r="A47" i="31"/>
  <c r="D47" i="31"/>
  <c r="A48" i="31"/>
  <c r="C48" i="31"/>
  <c r="A49" i="31"/>
  <c r="C49" i="31"/>
  <c r="A50" i="31"/>
  <c r="D50" i="31"/>
  <c r="A51" i="31"/>
  <c r="C51" i="31"/>
  <c r="A52" i="31"/>
  <c r="C52" i="31"/>
  <c r="A53" i="31"/>
  <c r="C53" i="31"/>
  <c r="A54" i="31"/>
  <c r="E54" i="31"/>
  <c r="A55" i="31"/>
  <c r="E55" i="31"/>
  <c r="G55" i="31" s="1"/>
  <c r="A56" i="31"/>
  <c r="A57" i="31"/>
  <c r="C57" i="31"/>
  <c r="A58" i="31"/>
  <c r="C58" i="31"/>
  <c r="A59" i="31"/>
  <c r="C59" i="31"/>
  <c r="A60" i="31"/>
  <c r="D60" i="31"/>
  <c r="A61" i="31"/>
  <c r="C61" i="31"/>
  <c r="A62" i="31"/>
  <c r="D62" i="31"/>
  <c r="A63" i="31"/>
  <c r="C63" i="31"/>
  <c r="A64" i="31"/>
  <c r="D64" i="31"/>
  <c r="A65" i="31"/>
  <c r="D65" i="31"/>
  <c r="A66" i="31"/>
  <c r="C66" i="31"/>
  <c r="A67" i="31"/>
  <c r="C67" i="31"/>
  <c r="A68" i="31"/>
  <c r="A78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C92" i="31"/>
  <c r="A93" i="31"/>
  <c r="A94" i="31"/>
  <c r="D94" i="31"/>
  <c r="A95" i="31"/>
  <c r="D95" i="31"/>
  <c r="F95" i="31"/>
  <c r="A96" i="31"/>
  <c r="C96" i="31"/>
  <c r="A97" i="31"/>
  <c r="C97" i="31"/>
  <c r="A98" i="31"/>
  <c r="D98" i="31"/>
  <c r="F98" i="31"/>
  <c r="A99" i="31"/>
  <c r="E99" i="31"/>
  <c r="F99" i="31"/>
  <c r="A100" i="31"/>
  <c r="E100" i="31"/>
  <c r="F100" i="31"/>
  <c r="A101" i="31"/>
  <c r="A102" i="31"/>
  <c r="E102" i="31"/>
  <c r="F102" i="31"/>
  <c r="A103" i="31"/>
  <c r="E103" i="31"/>
  <c r="B103" i="31" s="1"/>
  <c r="F103" i="31"/>
  <c r="A104" i="31"/>
  <c r="E104" i="31"/>
  <c r="B104" i="31" s="1"/>
  <c r="F104" i="31"/>
  <c r="A105" i="31"/>
  <c r="E105" i="31"/>
  <c r="G105" i="31" s="1"/>
  <c r="A106" i="31"/>
  <c r="A107" i="31"/>
  <c r="D107" i="31"/>
  <c r="F107" i="31"/>
  <c r="A108" i="31"/>
  <c r="C108" i="31"/>
  <c r="A109" i="31"/>
  <c r="A110" i="31"/>
  <c r="A111" i="31"/>
  <c r="D111" i="31"/>
  <c r="F111" i="31"/>
  <c r="A112" i="31"/>
  <c r="C112" i="31"/>
  <c r="A113" i="31"/>
  <c r="D113" i="31"/>
  <c r="A114" i="31"/>
  <c r="A115" i="31"/>
  <c r="F115" i="31"/>
  <c r="A116" i="31"/>
  <c r="D116" i="31"/>
  <c r="A117" i="31"/>
  <c r="C117" i="31"/>
  <c r="B117" i="31"/>
  <c r="G117" i="31"/>
  <c r="A118" i="31"/>
  <c r="B118" i="31"/>
  <c r="G118" i="31"/>
  <c r="A119" i="31"/>
  <c r="C119" i="31"/>
  <c r="B119" i="31"/>
  <c r="G119" i="31"/>
  <c r="A120" i="31"/>
  <c r="A121" i="31"/>
  <c r="D121" i="31"/>
  <c r="B121" i="31"/>
  <c r="G121" i="31"/>
  <c r="A122" i="31"/>
  <c r="B122" i="31"/>
  <c r="G122" i="31"/>
  <c r="A123" i="31"/>
  <c r="C123" i="31"/>
  <c r="A124" i="31"/>
  <c r="D124" i="31"/>
  <c r="B124" i="31"/>
  <c r="G124" i="31"/>
  <c r="A125" i="31"/>
  <c r="D125" i="31"/>
  <c r="A126" i="31"/>
  <c r="A127" i="31"/>
  <c r="D127" i="31"/>
  <c r="A128" i="31"/>
  <c r="A129" i="31"/>
  <c r="D129" i="31"/>
  <c r="A130" i="31"/>
  <c r="D130" i="31"/>
  <c r="A131" i="31"/>
  <c r="D131" i="31"/>
  <c r="A132" i="31"/>
  <c r="A133" i="31"/>
  <c r="G133" i="31"/>
  <c r="A134" i="31"/>
  <c r="D134" i="31"/>
  <c r="G134" i="31"/>
  <c r="A135" i="31"/>
  <c r="D135" i="31"/>
  <c r="B135" i="31"/>
  <c r="G135" i="31"/>
  <c r="A136" i="31"/>
  <c r="D136" i="31"/>
  <c r="A137" i="31"/>
  <c r="A138" i="31"/>
  <c r="A139" i="31"/>
  <c r="C139" i="31"/>
  <c r="A140" i="31"/>
  <c r="A141" i="31"/>
  <c r="D141" i="31"/>
  <c r="B141" i="31"/>
  <c r="G141" i="31"/>
  <c r="A142" i="31"/>
  <c r="B142" i="31"/>
  <c r="G142" i="31"/>
  <c r="A143" i="31"/>
  <c r="B143" i="31"/>
  <c r="G143" i="31"/>
  <c r="A144" i="31"/>
  <c r="D144" i="31"/>
  <c r="B144" i="31"/>
  <c r="G144" i="31"/>
  <c r="A145" i="31"/>
  <c r="C145" i="31"/>
  <c r="B145" i="31"/>
  <c r="G145" i="31"/>
  <c r="A146" i="31"/>
  <c r="C146" i="31"/>
  <c r="A147" i="31"/>
  <c r="B147" i="31"/>
  <c r="G147" i="31"/>
  <c r="A148" i="31"/>
  <c r="C148" i="31"/>
  <c r="B148" i="31"/>
  <c r="G148" i="31"/>
  <c r="A149" i="31"/>
  <c r="C149" i="31"/>
  <c r="B149" i="31"/>
  <c r="G149" i="31"/>
  <c r="A150" i="31"/>
  <c r="G150" i="31"/>
  <c r="A151" i="31"/>
  <c r="C151" i="31"/>
  <c r="A152" i="31"/>
  <c r="C152" i="31"/>
  <c r="A153" i="31"/>
  <c r="A154" i="31"/>
  <c r="A155" i="31"/>
  <c r="E155" i="31"/>
  <c r="B155" i="31"/>
  <c r="A156" i="31"/>
  <c r="E156" i="31"/>
  <c r="A157" i="31"/>
  <c r="E157" i="31"/>
  <c r="G157" i="31"/>
  <c r="A158" i="31"/>
  <c r="E158" i="31"/>
  <c r="G158" i="31"/>
  <c r="A159" i="31"/>
  <c r="E159" i="31"/>
  <c r="B159" i="31"/>
  <c r="A160" i="31"/>
  <c r="E160" i="31"/>
  <c r="B160" i="31"/>
  <c r="A161" i="31"/>
  <c r="E161" i="31"/>
  <c r="G161" i="31"/>
  <c r="A162" i="31"/>
  <c r="E162" i="31"/>
  <c r="G162" i="31"/>
  <c r="A163" i="31"/>
  <c r="E163" i="31"/>
  <c r="B163" i="31"/>
  <c r="A164" i="31"/>
  <c r="E164" i="31"/>
  <c r="B164" i="31"/>
  <c r="A165" i="31"/>
  <c r="E165" i="31"/>
  <c r="G165" i="31"/>
  <c r="A166" i="31"/>
  <c r="E166" i="31"/>
  <c r="B166" i="31"/>
  <c r="A167" i="31"/>
  <c r="E167" i="31"/>
  <c r="B167" i="31"/>
  <c r="A168" i="31"/>
  <c r="E168" i="31"/>
  <c r="B168" i="31"/>
  <c r="A169" i="31"/>
  <c r="E169" i="31"/>
  <c r="G169" i="31"/>
  <c r="A170" i="31"/>
  <c r="E170" i="31"/>
  <c r="B170" i="31"/>
  <c r="A171" i="31"/>
  <c r="E171" i="31"/>
  <c r="B171" i="31"/>
  <c r="A172" i="31"/>
  <c r="A173" i="31"/>
  <c r="A174" i="31"/>
  <c r="E174" i="31"/>
  <c r="B174" i="31"/>
  <c r="A175" i="31"/>
  <c r="A176" i="31"/>
  <c r="A177" i="31"/>
  <c r="A178" i="31"/>
  <c r="A179" i="31"/>
  <c r="A180" i="31"/>
  <c r="E180" i="31"/>
  <c r="B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C197" i="31"/>
  <c r="D197" i="31"/>
  <c r="E198" i="31"/>
  <c r="B198" i="31"/>
  <c r="C198" i="31"/>
  <c r="D198" i="31"/>
  <c r="E199" i="31"/>
  <c r="B199" i="31"/>
  <c r="C199" i="31"/>
  <c r="D199" i="31"/>
  <c r="G199" i="31"/>
  <c r="E200" i="31"/>
  <c r="B200" i="31"/>
  <c r="C200" i="31"/>
  <c r="D200" i="31"/>
  <c r="E201" i="31"/>
  <c r="C201" i="31"/>
  <c r="D201" i="31"/>
  <c r="E202" i="31"/>
  <c r="B202" i="31"/>
  <c r="C202" i="31"/>
  <c r="D202" i="31"/>
  <c r="E203" i="31"/>
  <c r="B203" i="31"/>
  <c r="C203" i="31"/>
  <c r="D203" i="31"/>
  <c r="C204" i="31"/>
  <c r="D204" i="31"/>
  <c r="F5" i="35"/>
  <c r="G5" i="35"/>
  <c r="A9" i="35"/>
  <c r="C9" i="35"/>
  <c r="A24" i="35"/>
  <c r="D24" i="35"/>
  <c r="A25" i="35"/>
  <c r="C25" i="35"/>
  <c r="A26" i="35"/>
  <c r="C26" i="35"/>
  <c r="A27" i="35"/>
  <c r="A28" i="35"/>
  <c r="D28" i="35"/>
  <c r="A29" i="35"/>
  <c r="A30" i="35"/>
  <c r="A31" i="35"/>
  <c r="C31" i="35"/>
  <c r="A32" i="35"/>
  <c r="C32" i="35"/>
  <c r="A33" i="35"/>
  <c r="C33" i="35"/>
  <c r="A34" i="35"/>
  <c r="C34" i="35"/>
  <c r="A35" i="35"/>
  <c r="A36" i="35"/>
  <c r="C36" i="35"/>
  <c r="A37" i="35"/>
  <c r="A38" i="35"/>
  <c r="A39" i="35"/>
  <c r="C39" i="35"/>
  <c r="A40" i="35"/>
  <c r="C40" i="35"/>
  <c r="A41" i="35"/>
  <c r="A42" i="35"/>
  <c r="D42" i="35"/>
  <c r="A43" i="35"/>
  <c r="A45" i="35"/>
  <c r="D45" i="35"/>
  <c r="A46" i="35"/>
  <c r="A47" i="35"/>
  <c r="C47" i="35"/>
  <c r="A48" i="35"/>
  <c r="A49" i="35"/>
  <c r="A50" i="35"/>
  <c r="C50" i="35"/>
  <c r="A51" i="35"/>
  <c r="C51" i="35"/>
  <c r="A52" i="35"/>
  <c r="C52" i="35"/>
  <c r="A53" i="35"/>
  <c r="A54" i="35"/>
  <c r="A55" i="35"/>
  <c r="D55" i="35"/>
  <c r="A56" i="35"/>
  <c r="A57" i="35"/>
  <c r="A58" i="35"/>
  <c r="C58" i="35"/>
  <c r="A59" i="35"/>
  <c r="C59" i="35"/>
  <c r="A60" i="35"/>
  <c r="C60" i="35"/>
  <c r="A61" i="35"/>
  <c r="D61" i="35"/>
  <c r="A62" i="35"/>
  <c r="A63" i="35"/>
  <c r="C63" i="35"/>
  <c r="A64" i="35"/>
  <c r="D64" i="35"/>
  <c r="A65" i="35"/>
  <c r="A66" i="35"/>
  <c r="C66" i="35"/>
  <c r="A129" i="35"/>
  <c r="A130" i="35"/>
  <c r="C130" i="35"/>
  <c r="A131" i="35"/>
  <c r="C131" i="35"/>
  <c r="A132" i="35"/>
  <c r="C132" i="35"/>
  <c r="A133" i="35"/>
  <c r="A134" i="35"/>
  <c r="C134" i="35"/>
  <c r="A135" i="35"/>
  <c r="E135" i="35"/>
  <c r="G135" i="35" s="1"/>
  <c r="A136" i="35"/>
  <c r="C136" i="35"/>
  <c r="A137" i="35"/>
  <c r="F69" i="35"/>
  <c r="F7" i="34"/>
  <c r="G7" i="34"/>
  <c r="A11" i="34"/>
  <c r="C11" i="34"/>
  <c r="A12" i="34"/>
  <c r="C12" i="34"/>
  <c r="A13" i="34"/>
  <c r="D13" i="34"/>
  <c r="A14" i="34"/>
  <c r="C14" i="34"/>
  <c r="A15" i="34"/>
  <c r="A16" i="34"/>
  <c r="A17" i="34"/>
  <c r="D17" i="34"/>
  <c r="A18" i="34"/>
  <c r="A19" i="34"/>
  <c r="A20" i="34"/>
  <c r="C20" i="34"/>
  <c r="A21" i="34"/>
  <c r="C21" i="34"/>
  <c r="A22" i="34"/>
  <c r="C22" i="34"/>
  <c r="A23" i="34"/>
  <c r="C23" i="34"/>
  <c r="A24" i="34"/>
  <c r="D24" i="34"/>
  <c r="A25" i="34"/>
  <c r="C25" i="34"/>
  <c r="A26" i="34"/>
  <c r="D26" i="34"/>
  <c r="A27" i="34"/>
  <c r="D27" i="34"/>
  <c r="A28" i="34"/>
  <c r="D28" i="34"/>
  <c r="A29" i="34"/>
  <c r="D29" i="34"/>
  <c r="A30" i="34"/>
  <c r="A31" i="34"/>
  <c r="C31" i="34"/>
  <c r="A32" i="34"/>
  <c r="A33" i="34"/>
  <c r="A34" i="34"/>
  <c r="A35" i="34"/>
  <c r="C35" i="34"/>
  <c r="A36" i="34"/>
  <c r="A37" i="34"/>
  <c r="C37" i="34"/>
  <c r="A38" i="34"/>
  <c r="E38" i="34"/>
  <c r="A39" i="34"/>
  <c r="C39" i="34"/>
  <c r="A40" i="34"/>
  <c r="A41" i="34"/>
  <c r="A42" i="34"/>
  <c r="D42" i="34"/>
  <c r="A43" i="34"/>
  <c r="D43" i="34"/>
  <c r="A44" i="34"/>
  <c r="A45" i="34"/>
  <c r="D45" i="34"/>
  <c r="A46" i="34"/>
  <c r="A47" i="34"/>
  <c r="A48" i="34"/>
  <c r="A49" i="34"/>
  <c r="A50" i="34"/>
  <c r="A51" i="34"/>
  <c r="A52" i="34"/>
  <c r="C52" i="34"/>
  <c r="A53" i="34"/>
  <c r="D53" i="34"/>
  <c r="A54" i="34"/>
  <c r="D54" i="34"/>
  <c r="A55" i="34"/>
  <c r="D55" i="34"/>
  <c r="A56" i="34"/>
  <c r="A57" i="34"/>
  <c r="A58" i="34"/>
  <c r="D58" i="34"/>
  <c r="A59" i="34"/>
  <c r="C59" i="34"/>
  <c r="A60" i="34"/>
  <c r="C60" i="34"/>
  <c r="A61" i="34"/>
  <c r="C61" i="34"/>
  <c r="A62" i="34"/>
  <c r="C62" i="34"/>
  <c r="A63" i="34"/>
  <c r="C63" i="34"/>
  <c r="A64" i="34"/>
  <c r="C64" i="34"/>
  <c r="A65" i="34"/>
  <c r="C65" i="34"/>
  <c r="A66" i="34"/>
  <c r="C66" i="34"/>
  <c r="A67" i="34"/>
  <c r="A68" i="34"/>
  <c r="C68" i="34"/>
  <c r="A69" i="34"/>
  <c r="C69" i="34"/>
  <c r="A70" i="34"/>
  <c r="A71" i="34"/>
  <c r="A72" i="34"/>
  <c r="D72" i="34"/>
  <c r="A73" i="34"/>
  <c r="A74" i="34"/>
  <c r="A75" i="34"/>
  <c r="C75" i="34"/>
  <c r="A76" i="34"/>
  <c r="D76" i="34"/>
  <c r="A77" i="34"/>
  <c r="A78" i="34"/>
  <c r="E78" i="34"/>
  <c r="G78" i="34" s="1"/>
  <c r="A79" i="34"/>
  <c r="A80" i="34"/>
  <c r="A81" i="34"/>
  <c r="C81" i="34"/>
  <c r="A82" i="34"/>
  <c r="D82" i="34"/>
  <c r="A83" i="34"/>
  <c r="A84" i="34"/>
  <c r="C84" i="34"/>
  <c r="A85" i="34"/>
  <c r="C85" i="34"/>
  <c r="D29" i="16"/>
  <c r="E29" i="16"/>
  <c r="E95" i="16"/>
  <c r="E184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J95" i="16"/>
  <c r="GK53" i="16"/>
  <c r="GL53" i="16"/>
  <c r="GL95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B95" i="16"/>
  <c r="DI86" i="16"/>
  <c r="DL86" i="16"/>
  <c r="DT86" i="16"/>
  <c r="DX86" i="16"/>
  <c r="EB86" i="16"/>
  <c r="EB94" i="16"/>
  <c r="EE86" i="16"/>
  <c r="EI86" i="16"/>
  <c r="EK86" i="16"/>
  <c r="EL86" i="16"/>
  <c r="EL94" i="16"/>
  <c r="EL95" i="16"/>
  <c r="EM86" i="16"/>
  <c r="EN86" i="16"/>
  <c r="EO86" i="16"/>
  <c r="EP86" i="16"/>
  <c r="EP95" i="16"/>
  <c r="EP94" i="16"/>
  <c r="ES86" i="16"/>
  <c r="EX86" i="16"/>
  <c r="FJ86" i="16"/>
  <c r="FL86" i="16"/>
  <c r="FL94" i="16"/>
  <c r="FL95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P95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95" i="16"/>
  <c r="CT184" i="16"/>
  <c r="J1061" i="1"/>
  <c r="CT181" i="16"/>
  <c r="CT163" i="16"/>
  <c r="CT154" i="16"/>
  <c r="CT148" i="16"/>
  <c r="CT139" i="16"/>
  <c r="CT131" i="16"/>
  <c r="CT119" i="16"/>
  <c r="CX94" i="16"/>
  <c r="DB94" i="16"/>
  <c r="DB181" i="16"/>
  <c r="DB182" i="16"/>
  <c r="DB184" i="16"/>
  <c r="DB163" i="16"/>
  <c r="DB154" i="16"/>
  <c r="DB148" i="16"/>
  <c r="DB139" i="16"/>
  <c r="DB131" i="16"/>
  <c r="DB119" i="16"/>
  <c r="DI94" i="16"/>
  <c r="DI95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E95" i="16"/>
  <c r="EI94" i="16"/>
  <c r="EK94" i="16"/>
  <c r="EM94" i="16"/>
  <c r="EM95" i="16"/>
  <c r="EN94" i="16"/>
  <c r="EO94" i="16"/>
  <c r="EO95" i="16"/>
  <c r="ES94" i="16"/>
  <c r="ES95" i="16"/>
  <c r="ES181" i="16"/>
  <c r="ES163" i="16"/>
  <c r="ES154" i="16"/>
  <c r="ES148" i="16"/>
  <c r="ES139" i="16"/>
  <c r="ES131" i="16"/>
  <c r="ES119" i="16"/>
  <c r="EX94" i="16"/>
  <c r="FJ94" i="16"/>
  <c r="FM94" i="16"/>
  <c r="FM95" i="16"/>
  <c r="FT94" i="16"/>
  <c r="FT95" i="16"/>
  <c r="FT184" i="16"/>
  <c r="FU94" i="16"/>
  <c r="FX94" i="16"/>
  <c r="FX95" i="16"/>
  <c r="GE94" i="16"/>
  <c r="GF94" i="16"/>
  <c r="GI94" i="16"/>
  <c r="GI95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L95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W182" i="16"/>
  <c r="AW184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Q148" i="16"/>
  <c r="GQ154" i="16"/>
  <c r="GQ181" i="16"/>
  <c r="GQ163" i="16"/>
  <c r="G154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GP154" i="16"/>
  <c r="H163" i="16"/>
  <c r="H182" i="16"/>
  <c r="H184" i="16"/>
  <c r="N163" i="16"/>
  <c r="N182" i="16"/>
  <c r="O163" i="16"/>
  <c r="O181" i="16"/>
  <c r="O182" i="16"/>
  <c r="P163" i="16"/>
  <c r="P181" i="16"/>
  <c r="P182" i="16"/>
  <c r="Q163" i="16"/>
  <c r="Q181" i="16"/>
  <c r="R163" i="16"/>
  <c r="T163" i="16"/>
  <c r="T181" i="16"/>
  <c r="T182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G182" i="16"/>
  <c r="AH163" i="16"/>
  <c r="AH181" i="16"/>
  <c r="AI163" i="16"/>
  <c r="AI181" i="16"/>
  <c r="AI182" i="16"/>
  <c r="AJ163" i="16"/>
  <c r="AJ181" i="16"/>
  <c r="AJ182" i="16"/>
  <c r="AK163" i="16"/>
  <c r="AL163" i="16"/>
  <c r="AL181" i="16"/>
  <c r="AM163" i="16"/>
  <c r="AM181" i="16"/>
  <c r="AN163" i="16"/>
  <c r="AN181" i="16"/>
  <c r="AN182" i="16"/>
  <c r="AO163" i="16"/>
  <c r="AP163" i="16"/>
  <c r="AP181" i="16"/>
  <c r="AQ163" i="16"/>
  <c r="AQ181" i="16"/>
  <c r="AQ182" i="16"/>
  <c r="AR163" i="16"/>
  <c r="AR181" i="16"/>
  <c r="AS163" i="16"/>
  <c r="AT163" i="16"/>
  <c r="AT181" i="16"/>
  <c r="AT182" i="16"/>
  <c r="AU163" i="16"/>
  <c r="AU181" i="16"/>
  <c r="AU182" i="16"/>
  <c r="AV163" i="16"/>
  <c r="AV181" i="16"/>
  <c r="AW163" i="16"/>
  <c r="AX163" i="16"/>
  <c r="AX181" i="16"/>
  <c r="AX182" i="16"/>
  <c r="AY163" i="16"/>
  <c r="AY181" i="16"/>
  <c r="AY182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V182" i="16"/>
  <c r="BV184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O182" i="16"/>
  <c r="DP163" i="16"/>
  <c r="DP181" i="16"/>
  <c r="DQ163" i="16"/>
  <c r="DR163" i="16"/>
  <c r="DR181" i="16"/>
  <c r="DS163" i="16"/>
  <c r="DS181" i="16"/>
  <c r="DS182" i="16"/>
  <c r="DT163" i="16"/>
  <c r="DT181" i="16"/>
  <c r="DT182" i="16"/>
  <c r="DU163" i="16"/>
  <c r="DV163" i="16"/>
  <c r="DV181" i="16"/>
  <c r="EB163" i="16"/>
  <c r="EB181" i="16"/>
  <c r="EC163" i="16"/>
  <c r="EC181" i="16"/>
  <c r="EC182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EZ182" i="16"/>
  <c r="FA163" i="16"/>
  <c r="FA181" i="16"/>
  <c r="FD163" i="16"/>
  <c r="FD181" i="16"/>
  <c r="FE163" i="16"/>
  <c r="FF163" i="16"/>
  <c r="FF182" i="16"/>
  <c r="FF181" i="16"/>
  <c r="FL163" i="16"/>
  <c r="FL181" i="16"/>
  <c r="FM163" i="16"/>
  <c r="FM182" i="16"/>
  <c r="FM181" i="16"/>
  <c r="FN163" i="16"/>
  <c r="FO163" i="16"/>
  <c r="FO181" i="16"/>
  <c r="FO182" i="16"/>
  <c r="FP163" i="16"/>
  <c r="FP181" i="16"/>
  <c r="FR163" i="16"/>
  <c r="FR181" i="16"/>
  <c r="FT163" i="16"/>
  <c r="FX163" i="16"/>
  <c r="FX181" i="16"/>
  <c r="FX182" i="16"/>
  <c r="FX184" i="16"/>
  <c r="FY163" i="16"/>
  <c r="FY181" i="16"/>
  <c r="FZ163" i="16"/>
  <c r="FZ181" i="16"/>
  <c r="FZ182" i="16"/>
  <c r="GE163" i="16"/>
  <c r="GF163" i="16"/>
  <c r="GF181" i="16"/>
  <c r="GH163" i="16"/>
  <c r="GH181" i="16"/>
  <c r="GI163" i="16"/>
  <c r="GI182" i="16"/>
  <c r="GI184" i="16"/>
  <c r="GI181" i="16"/>
  <c r="GJ163" i="16"/>
  <c r="GK163" i="16"/>
  <c r="GK181" i="16"/>
  <c r="GK182" i="16"/>
  <c r="GL163" i="16"/>
  <c r="GL181" i="16"/>
  <c r="GM163" i="16"/>
  <c r="GM181" i="16"/>
  <c r="GO163" i="16"/>
  <c r="GO181" i="16"/>
  <c r="GP163" i="16"/>
  <c r="GR163" i="16"/>
  <c r="GS163" i="16"/>
  <c r="GS182" i="16"/>
  <c r="GT163" i="16"/>
  <c r="N181" i="16"/>
  <c r="R181" i="16"/>
  <c r="W181" i="16"/>
  <c r="AC181" i="16"/>
  <c r="AG181" i="16"/>
  <c r="AK181" i="16"/>
  <c r="AO181" i="16"/>
  <c r="AS181" i="16"/>
  <c r="AS182" i="16"/>
  <c r="AS184" i="16"/>
  <c r="AW181" i="16"/>
  <c r="BA181" i="16"/>
  <c r="BA182" i="16"/>
  <c r="BU181" i="16"/>
  <c r="BY181" i="16"/>
  <c r="DJ181" i="16"/>
  <c r="DQ181" i="16"/>
  <c r="DQ182" i="16"/>
  <c r="DU181" i="16"/>
  <c r="EI181" i="16"/>
  <c r="EU181" i="16"/>
  <c r="EU182" i="16"/>
  <c r="EY181" i="16"/>
  <c r="FE181" i="16"/>
  <c r="FE182" i="16"/>
  <c r="FN181" i="16"/>
  <c r="FN182" i="16"/>
  <c r="FT181" i="16"/>
  <c r="FT182" i="16"/>
  <c r="GE181" i="16"/>
  <c r="GJ181" i="16"/>
  <c r="GP181" i="16"/>
  <c r="GP182" i="16"/>
  <c r="GP184" i="16"/>
  <c r="C182" i="16"/>
  <c r="C184" i="16"/>
  <c r="C199" i="16"/>
  <c r="D1463" i="1"/>
  <c r="G1463" i="1"/>
  <c r="E182" i="16"/>
  <c r="F182" i="16"/>
  <c r="G182" i="16"/>
  <c r="G184" i="16"/>
  <c r="I182" i="16"/>
  <c r="J182" i="16"/>
  <c r="K182" i="16"/>
  <c r="L182" i="16"/>
  <c r="GT182" i="16"/>
  <c r="L184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J69" i="61"/>
  <c r="AK35" i="61"/>
  <c r="AK67" i="61"/>
  <c r="AK69" i="61"/>
  <c r="AL35" i="61"/>
  <c r="AM35" i="61"/>
  <c r="AN35" i="61"/>
  <c r="AQ35" i="61"/>
  <c r="AQ67" i="61"/>
  <c r="AR35" i="61"/>
  <c r="AS35" i="61"/>
  <c r="AT35" i="61"/>
  <c r="AU35" i="61"/>
  <c r="AU67" i="61"/>
  <c r="AV35" i="61"/>
  <c r="AV69" i="61"/>
  <c r="AW35" i="61"/>
  <c r="AX35" i="61"/>
  <c r="AY35" i="61"/>
  <c r="AY67" i="61"/>
  <c r="AZ35" i="61"/>
  <c r="BA35" i="61"/>
  <c r="BA69" i="61"/>
  <c r="BC35" i="61"/>
  <c r="BD35" i="61"/>
  <c r="BD67" i="61"/>
  <c r="BF35" i="61"/>
  <c r="BG35" i="61"/>
  <c r="BM35" i="61"/>
  <c r="BM69" i="61"/>
  <c r="D67" i="61"/>
  <c r="E67" i="61"/>
  <c r="E69" i="61"/>
  <c r="C73" i="61"/>
  <c r="AC67" i="61"/>
  <c r="AI67" i="61"/>
  <c r="AI69" i="61"/>
  <c r="AJ67" i="61"/>
  <c r="AL67" i="61"/>
  <c r="AM67" i="61"/>
  <c r="AM69" i="61"/>
  <c r="AN67" i="61"/>
  <c r="AN69" i="61"/>
  <c r="AR67" i="61"/>
  <c r="AS67" i="61"/>
  <c r="AS69" i="61"/>
  <c r="AT67" i="61"/>
  <c r="AV67" i="61"/>
  <c r="AW67" i="61"/>
  <c r="AW69" i="61"/>
  <c r="AX67" i="61"/>
  <c r="AX69" i="61"/>
  <c r="AZ67" i="61"/>
  <c r="BA67" i="61"/>
  <c r="BC67" i="61"/>
  <c r="BC69" i="61"/>
  <c r="BF67" i="61"/>
  <c r="BF69" i="61"/>
  <c r="BG67" i="61"/>
  <c r="BG69" i="61"/>
  <c r="BM67" i="61"/>
  <c r="C55" i="31"/>
  <c r="F12" i="62"/>
  <c r="F10" i="62"/>
  <c r="F134" i="70"/>
  <c r="H134" i="70"/>
  <c r="J134" i="70"/>
  <c r="L134" i="70"/>
  <c r="N134" i="70"/>
  <c r="F68" i="35"/>
  <c r="A70" i="31"/>
  <c r="A72" i="31"/>
  <c r="E72" i="31"/>
  <c r="A74" i="31"/>
  <c r="A76" i="31"/>
  <c r="A73" i="31"/>
  <c r="F11" i="62"/>
  <c r="I134" i="70"/>
  <c r="M134" i="70"/>
  <c r="A101" i="42"/>
  <c r="E42" i="42"/>
  <c r="G42" i="42" s="1"/>
  <c r="B42" i="42"/>
  <c r="C99" i="31"/>
  <c r="E248" i="42"/>
  <c r="G248" i="42"/>
  <c r="E227" i="42"/>
  <c r="G227" i="42"/>
  <c r="E261" i="42"/>
  <c r="B261" i="42"/>
  <c r="E153" i="33"/>
  <c r="G153" i="33"/>
  <c r="E195" i="31"/>
  <c r="E264" i="42"/>
  <c r="E246" i="42"/>
  <c r="B246" i="42"/>
  <c r="E244" i="42"/>
  <c r="B244" i="42"/>
  <c r="E39" i="31"/>
  <c r="B39" i="31" s="1"/>
  <c r="F80" i="33"/>
  <c r="E93" i="33"/>
  <c r="G93" i="33"/>
  <c r="E96" i="33"/>
  <c r="B96" i="33"/>
  <c r="E52" i="33"/>
  <c r="G52" i="33" s="1"/>
  <c r="E141" i="33"/>
  <c r="B141" i="33"/>
  <c r="E136" i="33"/>
  <c r="B136" i="33"/>
  <c r="E135" i="33"/>
  <c r="B135" i="33"/>
  <c r="E133" i="33"/>
  <c r="G133" i="33"/>
  <c r="E130" i="33"/>
  <c r="B130" i="33"/>
  <c r="E143" i="33"/>
  <c r="G143" i="33"/>
  <c r="E84" i="33"/>
  <c r="B84" i="33"/>
  <c r="E146" i="33"/>
  <c r="E120" i="33"/>
  <c r="G120" i="33"/>
  <c r="E104" i="33"/>
  <c r="B104" i="33"/>
  <c r="E110" i="33"/>
  <c r="G110" i="33"/>
  <c r="E139" i="33"/>
  <c r="G139" i="33"/>
  <c r="E27" i="33"/>
  <c r="B27" i="33"/>
  <c r="A69" i="31"/>
  <c r="D94" i="42"/>
  <c r="A94" i="42"/>
  <c r="D54" i="31"/>
  <c r="A77" i="31"/>
  <c r="A102" i="42"/>
  <c r="A80" i="31"/>
  <c r="A99" i="42"/>
  <c r="A75" i="31"/>
  <c r="A79" i="31"/>
  <c r="D79" i="31"/>
  <c r="E98" i="42"/>
  <c r="E90" i="42"/>
  <c r="B90" i="42" s="1"/>
  <c r="E41" i="42"/>
  <c r="G41" i="42" s="1"/>
  <c r="G1678" i="1"/>
  <c r="G1606" i="1"/>
  <c r="G1604" i="1"/>
  <c r="G1599" i="1"/>
  <c r="G1689" i="1"/>
  <c r="G378" i="23"/>
  <c r="H378" i="23"/>
  <c r="G423" i="23"/>
  <c r="G29" i="23"/>
  <c r="G30" i="23"/>
  <c r="G31" i="23"/>
  <c r="G32" i="23"/>
  <c r="G36" i="23"/>
  <c r="G38" i="23"/>
  <c r="G79" i="23"/>
  <c r="G92" i="23"/>
  <c r="G369" i="23"/>
  <c r="G513" i="23"/>
  <c r="G1596" i="23"/>
  <c r="H1596" i="23"/>
  <c r="A1596" i="23"/>
  <c r="C283" i="23"/>
  <c r="C284" i="23"/>
  <c r="C285" i="23"/>
  <c r="C286" i="23"/>
  <c r="G1013" i="23"/>
  <c r="H1013" i="23"/>
  <c r="A1013" i="23"/>
  <c r="G1944" i="23"/>
  <c r="G2176" i="23"/>
  <c r="G1591" i="23"/>
  <c r="H1591" i="23"/>
  <c r="A1591" i="23"/>
  <c r="K134" i="70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H531" i="1" s="1"/>
  <c r="K1445" i="1"/>
  <c r="K1436" i="1"/>
  <c r="K1438" i="1" s="1"/>
  <c r="K1427" i="1"/>
  <c r="K1429" i="1" s="1"/>
  <c r="K1418" i="1"/>
  <c r="K1421" i="1" s="1"/>
  <c r="L1368" i="1"/>
  <c r="L511" i="1"/>
  <c r="M640" i="1"/>
  <c r="M888" i="1"/>
  <c r="M889" i="1"/>
  <c r="CU182" i="16"/>
  <c r="CV95" i="16"/>
  <c r="L1385" i="1"/>
  <c r="L1401" i="1"/>
  <c r="K1922" i="1"/>
  <c r="G1979" i="1"/>
  <c r="H1977" i="1"/>
  <c r="P1977" i="1"/>
  <c r="CM182" i="16"/>
  <c r="CN95" i="16"/>
  <c r="L1393" i="1"/>
  <c r="L1412" i="1"/>
  <c r="G1947" i="1"/>
  <c r="H1944" i="1"/>
  <c r="P1944" i="1"/>
  <c r="K1944" i="1"/>
  <c r="G1961" i="1"/>
  <c r="G1942" i="1"/>
  <c r="G1941" i="1"/>
  <c r="G1939" i="1"/>
  <c r="H1938" i="1"/>
  <c r="P1938" i="1"/>
  <c r="G1921" i="1"/>
  <c r="G1914" i="1"/>
  <c r="H2172" i="1"/>
  <c r="H2179" i="1"/>
  <c r="G1958" i="1"/>
  <c r="G1957" i="1"/>
  <c r="G1955" i="1"/>
  <c r="H1954" i="1"/>
  <c r="L1954" i="1"/>
  <c r="H1930" i="1"/>
  <c r="L1930" i="1"/>
  <c r="G1932" i="1"/>
  <c r="H2181" i="1"/>
  <c r="G2191" i="1"/>
  <c r="H2158" i="1"/>
  <c r="I1315" i="1"/>
  <c r="I1329" i="1"/>
  <c r="I1332" i="1" s="1"/>
  <c r="L1429" i="1"/>
  <c r="L1438" i="1"/>
  <c r="L1447" i="1"/>
  <c r="G1572" i="1"/>
  <c r="G1642" i="1"/>
  <c r="H1668" i="1"/>
  <c r="F69" i="61"/>
  <c r="C74" i="61"/>
  <c r="D2148" i="1"/>
  <c r="G2148" i="1"/>
  <c r="G1982" i="1"/>
  <c r="A97" i="42"/>
  <c r="G480" i="1"/>
  <c r="G116" i="23"/>
  <c r="H116" i="23"/>
  <c r="A116" i="23"/>
  <c r="G109" i="23"/>
  <c r="H109" i="23"/>
  <c r="A109" i="23"/>
  <c r="C105" i="23"/>
  <c r="G128" i="23"/>
  <c r="G130" i="23"/>
  <c r="G173" i="23"/>
  <c r="G186" i="23"/>
  <c r="G117" i="23"/>
  <c r="G111" i="23"/>
  <c r="H111" i="23"/>
  <c r="A111" i="23"/>
  <c r="G408" i="23"/>
  <c r="G392" i="23"/>
  <c r="G623" i="23"/>
  <c r="G677" i="23"/>
  <c r="G675" i="23"/>
  <c r="G617" i="23"/>
  <c r="G674" i="23"/>
  <c r="G618" i="23"/>
  <c r="C614" i="23"/>
  <c r="G615" i="23"/>
  <c r="G616" i="23"/>
  <c r="G619" i="23"/>
  <c r="G62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G823" i="23"/>
  <c r="G825" i="23"/>
  <c r="G818" i="23"/>
  <c r="C813" i="23"/>
  <c r="G875" i="23"/>
  <c r="G814" i="23"/>
  <c r="G873" i="23"/>
  <c r="G819" i="23"/>
  <c r="G817" i="23"/>
  <c r="G907" i="23"/>
  <c r="G967" i="23"/>
  <c r="G970" i="23"/>
  <c r="H970" i="23"/>
  <c r="A970" i="23"/>
  <c r="G916" i="23"/>
  <c r="C916" i="23"/>
  <c r="G908" i="23"/>
  <c r="H908" i="23"/>
  <c r="G1077" i="23"/>
  <c r="G1056" i="23"/>
  <c r="G975" i="23"/>
  <c r="G906" i="23"/>
  <c r="G26" i="23"/>
  <c r="C26" i="23"/>
  <c r="G52" i="23"/>
  <c r="G68" i="23"/>
  <c r="G73" i="23"/>
  <c r="G372" i="23"/>
  <c r="H372" i="23"/>
  <c r="G1012" i="23"/>
  <c r="H1012" i="23"/>
  <c r="A1012" i="23"/>
  <c r="G1642" i="23"/>
  <c r="G1650" i="23"/>
  <c r="G1618" i="23"/>
  <c r="G1711" i="23"/>
  <c r="G1674" i="23"/>
  <c r="G1678" i="23"/>
  <c r="G1139" i="23"/>
  <c r="E64" i="74"/>
  <c r="E26" i="90"/>
  <c r="G1138" i="23"/>
  <c r="G1943" i="23"/>
  <c r="G2555" i="23"/>
  <c r="G2597" i="23"/>
  <c r="G2608" i="23"/>
  <c r="G2572" i="23"/>
  <c r="G2575" i="23"/>
  <c r="G2508" i="23"/>
  <c r="G2515" i="23"/>
  <c r="G1595" i="23"/>
  <c r="H1595" i="23"/>
  <c r="A1595" i="23"/>
  <c r="G1590" i="23"/>
  <c r="H1590" i="23"/>
  <c r="A1590" i="23"/>
  <c r="G1585" i="23"/>
  <c r="H1585" i="23"/>
  <c r="A1585" i="23"/>
  <c r="G1485" i="23"/>
  <c r="H1485" i="23"/>
  <c r="A1485" i="23"/>
  <c r="G1484" i="23"/>
  <c r="H1484" i="23"/>
  <c r="A1484" i="23"/>
  <c r="G1482" i="23"/>
  <c r="H1482" i="23"/>
  <c r="A1482" i="23"/>
  <c r="A96" i="42"/>
  <c r="G2069" i="1"/>
  <c r="G2068" i="1"/>
  <c r="G2082" i="1"/>
  <c r="G2050" i="1"/>
  <c r="G2048" i="1"/>
  <c r="P2039" i="1"/>
  <c r="N2030" i="1"/>
  <c r="A100" i="42"/>
  <c r="D100" i="42"/>
  <c r="G2083" i="1"/>
  <c r="G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H1753" i="1"/>
  <c r="K1726" i="1"/>
  <c r="K1841" i="1"/>
  <c r="K1717" i="1"/>
  <c r="C75" i="31"/>
  <c r="AC182" i="16"/>
  <c r="EV182" i="16"/>
  <c r="ES182" i="16"/>
  <c r="ES184" i="16"/>
  <c r="EK95" i="16"/>
  <c r="DX95" i="16"/>
  <c r="EI95" i="16"/>
  <c r="G202" i="31"/>
  <c r="DX182" i="16"/>
  <c r="DX184" i="16"/>
  <c r="CT182" i="16"/>
  <c r="D75" i="31"/>
  <c r="A71" i="31"/>
  <c r="EX182" i="16"/>
  <c r="FU95" i="16"/>
  <c r="CX95" i="16"/>
  <c r="L11" i="62"/>
  <c r="N11" i="62"/>
  <c r="EO182" i="16"/>
  <c r="EO184" i="16"/>
  <c r="CK307" i="70"/>
  <c r="AR307" i="70"/>
  <c r="AE307" i="70"/>
  <c r="J307" i="70"/>
  <c r="CJ307" i="70"/>
  <c r="BT307" i="70"/>
  <c r="BB307" i="70"/>
  <c r="AL307" i="70"/>
  <c r="V307" i="70"/>
  <c r="L307" i="70"/>
  <c r="CN286" i="70"/>
  <c r="BF255" i="70"/>
  <c r="BF248" i="70"/>
  <c r="CS229" i="70"/>
  <c r="CH229" i="70"/>
  <c r="CD229" i="70"/>
  <c r="BX229" i="70"/>
  <c r="BR229" i="70"/>
  <c r="BN229" i="70"/>
  <c r="BH229" i="70"/>
  <c r="BA229" i="70"/>
  <c r="AE229" i="70"/>
  <c r="U229" i="70"/>
  <c r="BG228" i="70"/>
  <c r="BC229" i="70"/>
  <c r="AY229" i="70"/>
  <c r="AM229" i="70"/>
  <c r="W229" i="70"/>
  <c r="S229" i="70"/>
  <c r="BE229" i="70"/>
  <c r="AS229" i="70"/>
  <c r="Y229" i="70"/>
  <c r="E229" i="70"/>
  <c r="CN150" i="70"/>
  <c r="BF55" i="70"/>
  <c r="BL134" i="70"/>
  <c r="BU134" i="70"/>
  <c r="CH134" i="70"/>
  <c r="CV134" i="70"/>
  <c r="BV134" i="70"/>
  <c r="FP95" i="16"/>
  <c r="CW307" i="70"/>
  <c r="CB307" i="70"/>
  <c r="BY307" i="70"/>
  <c r="BL307" i="70"/>
  <c r="BC307" i="70"/>
  <c r="CV307" i="70"/>
  <c r="BX307" i="70"/>
  <c r="BH307" i="70"/>
  <c r="AP307" i="70"/>
  <c r="Z307" i="70"/>
  <c r="H307" i="70"/>
  <c r="BG298" i="70"/>
  <c r="CL307" i="70"/>
  <c r="CH307" i="70"/>
  <c r="BV307" i="70"/>
  <c r="BR307" i="70"/>
  <c r="BG255" i="70"/>
  <c r="BF228" i="70"/>
  <c r="BG209" i="70"/>
  <c r="CN160" i="70"/>
  <c r="C229" i="70"/>
  <c r="R134" i="70"/>
  <c r="V134" i="70"/>
  <c r="Z134" i="70"/>
  <c r="AD134" i="70"/>
  <c r="AH134" i="70"/>
  <c r="AL134" i="70"/>
  <c r="AP134" i="70"/>
  <c r="AT134" i="70"/>
  <c r="AX134" i="70"/>
  <c r="BB134" i="70"/>
  <c r="BF133" i="70"/>
  <c r="BG133" i="70"/>
  <c r="BG72" i="70"/>
  <c r="BG55" i="70"/>
  <c r="BN134" i="70"/>
  <c r="BY134" i="70"/>
  <c r="CJ134" i="70"/>
  <c r="CU134" i="70"/>
  <c r="CR134" i="70"/>
  <c r="L12" i="62"/>
  <c r="N12" i="62"/>
  <c r="L10" i="62"/>
  <c r="N10" i="62"/>
  <c r="CN306" i="70"/>
  <c r="CN274" i="70"/>
  <c r="BG182" i="70"/>
  <c r="BF160" i="70"/>
  <c r="BG123" i="70"/>
  <c r="AU307" i="70"/>
  <c r="AD307" i="70"/>
  <c r="W307" i="70"/>
  <c r="BG274" i="70"/>
  <c r="CG229" i="70"/>
  <c r="CJ229" i="70"/>
  <c r="CB229" i="70"/>
  <c r="BT229" i="70"/>
  <c r="BL229" i="70"/>
  <c r="AO229" i="70"/>
  <c r="AI229" i="70"/>
  <c r="CW229" i="70"/>
  <c r="CN182" i="70"/>
  <c r="BF150" i="70"/>
  <c r="BG91" i="70"/>
  <c r="CB134" i="70"/>
  <c r="M97" i="1"/>
  <c r="M95" i="1"/>
  <c r="M94" i="1"/>
  <c r="M93" i="1"/>
  <c r="M80" i="1"/>
  <c r="M79" i="1"/>
  <c r="M78" i="1"/>
  <c r="M77" i="1"/>
  <c r="K63" i="1"/>
  <c r="K69" i="1" s="1"/>
  <c r="L54" i="1"/>
  <c r="L39" i="1"/>
  <c r="L145" i="1"/>
  <c r="L474" i="1"/>
  <c r="K326" i="1"/>
  <c r="K327" i="1" s="1"/>
  <c r="K317" i="1"/>
  <c r="K320" i="1" s="1"/>
  <c r="L258" i="1"/>
  <c r="L206" i="1"/>
  <c r="K142" i="1"/>
  <c r="K134" i="1"/>
  <c r="K135" i="1" s="1"/>
  <c r="L119" i="1"/>
  <c r="L504" i="1"/>
  <c r="L236" i="1"/>
  <c r="L157" i="1"/>
  <c r="L158" i="1" s="1"/>
  <c r="K109" i="1"/>
  <c r="K111" i="1" s="1"/>
  <c r="L96" i="1"/>
  <c r="H1948" i="1"/>
  <c r="P1948" i="1"/>
  <c r="L420" i="1"/>
  <c r="L455" i="1"/>
  <c r="L483" i="1"/>
  <c r="AC95" i="16"/>
  <c r="AF95" i="16"/>
  <c r="AS95" i="16"/>
  <c r="AV95" i="16"/>
  <c r="CD182" i="16"/>
  <c r="CH95" i="16"/>
  <c r="P69" i="61"/>
  <c r="U95" i="16"/>
  <c r="H1975" i="1"/>
  <c r="L1975" i="1"/>
  <c r="H1971" i="1"/>
  <c r="P1971" i="1"/>
  <c r="G2025" i="1"/>
  <c r="L699" i="1"/>
  <c r="H1967" i="1"/>
  <c r="P1967" i="1"/>
  <c r="H1981" i="1"/>
  <c r="P1981" i="1"/>
  <c r="H1918" i="1"/>
  <c r="L1918" i="1"/>
  <c r="AK95" i="16"/>
  <c r="BA95" i="16"/>
  <c r="N581" i="1"/>
  <c r="CC182" i="16"/>
  <c r="N640" i="1"/>
  <c r="N730" i="1"/>
  <c r="N731" i="1" s="1"/>
  <c r="N737" i="1"/>
  <c r="N711" i="1"/>
  <c r="N712" i="1" s="1"/>
  <c r="N748" i="1"/>
  <c r="N744" i="1"/>
  <c r="N728" i="1"/>
  <c r="N683" i="1"/>
  <c r="L1056" i="1"/>
  <c r="L796" i="1"/>
  <c r="H1969" i="1"/>
  <c r="P1969" i="1"/>
  <c r="H1974" i="1"/>
  <c r="P1974" i="1"/>
  <c r="AJ95" i="16"/>
  <c r="AZ95" i="16"/>
  <c r="L898" i="1"/>
  <c r="L957" i="1"/>
  <c r="L949" i="1"/>
  <c r="I1652" i="1"/>
  <c r="I1626" i="1"/>
  <c r="H2126" i="1"/>
  <c r="M2126" i="1"/>
  <c r="G2273" i="1"/>
  <c r="G100" i="23"/>
  <c r="G35" i="23"/>
  <c r="G47" i="23"/>
  <c r="G51" i="23"/>
  <c r="CI182" i="16"/>
  <c r="L890" i="1"/>
  <c r="CL182" i="16"/>
  <c r="CZ95" i="16"/>
  <c r="I1101" i="1"/>
  <c r="I1102" i="1" s="1"/>
  <c r="I1148" i="1"/>
  <c r="I1154" i="1" s="1"/>
  <c r="BJ182" i="16"/>
  <c r="I1166" i="1"/>
  <c r="I1168" i="1" s="1"/>
  <c r="I1286" i="1"/>
  <c r="I1295" i="1" s="1"/>
  <c r="BQ95" i="16"/>
  <c r="EA182" i="16"/>
  <c r="DG95" i="16"/>
  <c r="DM95" i="16"/>
  <c r="H1639" i="1"/>
  <c r="EH182" i="16"/>
  <c r="EG182" i="16"/>
  <c r="M854" i="1"/>
  <c r="K510" i="1"/>
  <c r="K514" i="1" s="1"/>
  <c r="K523" i="1"/>
  <c r="K524" i="1" s="1"/>
  <c r="CI95" i="16"/>
  <c r="L826" i="1"/>
  <c r="L873" i="1"/>
  <c r="CQ182" i="16"/>
  <c r="I1112" i="1"/>
  <c r="I1113" i="1" s="1"/>
  <c r="I1137" i="1"/>
  <c r="I1143" i="1" s="1"/>
  <c r="BN95" i="16"/>
  <c r="I1202" i="1"/>
  <c r="I1207" i="1" s="1"/>
  <c r="I1244" i="1"/>
  <c r="I1245" i="1" s="1"/>
  <c r="DZ95" i="16"/>
  <c r="H1652" i="1"/>
  <c r="H1664" i="1"/>
  <c r="G1700" i="1"/>
  <c r="H1973" i="1"/>
  <c r="P1973" i="1"/>
  <c r="G2023" i="1"/>
  <c r="G2031" i="1"/>
  <c r="G2032" i="1"/>
  <c r="N2084" i="1"/>
  <c r="EN182" i="16"/>
  <c r="I1299" i="1"/>
  <c r="I1302" i="1" s="1"/>
  <c r="I1257" i="1"/>
  <c r="I1258" i="1" s="1"/>
  <c r="I1194" i="1"/>
  <c r="I1198" i="1" s="1"/>
  <c r="I1186" i="1"/>
  <c r="I1077" i="1"/>
  <c r="I1078" i="1" s="1"/>
  <c r="I1068" i="1"/>
  <c r="I1069" i="1" s="1"/>
  <c r="I963" i="1"/>
  <c r="G460" i="1"/>
  <c r="DE95" i="16"/>
  <c r="DV95" i="16"/>
  <c r="ED182" i="16"/>
  <c r="H2128" i="1"/>
  <c r="P2128" i="1"/>
  <c r="I2220" i="1"/>
  <c r="G960" i="1"/>
  <c r="M853" i="1"/>
  <c r="K92" i="1"/>
  <c r="K117" i="1"/>
  <c r="K118" i="1" s="1"/>
  <c r="K213" i="1"/>
  <c r="L319" i="1"/>
  <c r="L329" i="1"/>
  <c r="K470" i="1"/>
  <c r="K471" i="1" s="1"/>
  <c r="K668" i="1"/>
  <c r="M683" i="1"/>
  <c r="M690" i="1"/>
  <c r="M692" i="1" s="1"/>
  <c r="M728" i="1"/>
  <c r="M730" i="1"/>
  <c r="M744" i="1"/>
  <c r="L776" i="1"/>
  <c r="L789" i="1"/>
  <c r="K963" i="1"/>
  <c r="L982" i="1"/>
  <c r="L1000" i="1"/>
  <c r="L1040" i="1"/>
  <c r="BD95" i="16"/>
  <c r="I1081" i="1"/>
  <c r="I1088" i="1" s="1"/>
  <c r="I1092" i="1"/>
  <c r="I1096" i="1" s="1"/>
  <c r="I1121" i="1"/>
  <c r="I1122" i="1" s="1"/>
  <c r="I1133" i="1"/>
  <c r="I1135" i="1" s="1"/>
  <c r="BH182" i="16"/>
  <c r="I1177" i="1"/>
  <c r="I1178" i="1" s="1"/>
  <c r="BO95" i="16"/>
  <c r="I1354" i="1"/>
  <c r="CA95" i="16"/>
  <c r="DJ95" i="16"/>
  <c r="G1508" i="1"/>
  <c r="G1613" i="1"/>
  <c r="I1661" i="1"/>
  <c r="G2051" i="1"/>
  <c r="EJ182" i="16"/>
  <c r="EF95" i="16"/>
  <c r="EF182" i="16"/>
  <c r="EF184" i="16"/>
  <c r="G2205" i="1"/>
  <c r="G1005" i="1"/>
  <c r="G1044" i="1"/>
  <c r="G832" i="1"/>
  <c r="G2304" i="23"/>
  <c r="C2293" i="23"/>
  <c r="G489" i="1"/>
  <c r="G1162" i="23"/>
  <c r="G1170" i="23"/>
  <c r="H1170" i="23"/>
  <c r="A1170" i="23"/>
  <c r="C1134" i="23"/>
  <c r="G1260" i="23"/>
  <c r="G1279" i="23"/>
  <c r="G1293" i="23"/>
  <c r="G1295" i="23"/>
  <c r="E70" i="74"/>
  <c r="E32" i="90"/>
  <c r="G1987" i="23"/>
  <c r="G1991" i="23"/>
  <c r="G1973" i="23"/>
  <c r="G1978" i="23"/>
  <c r="G1888" i="23"/>
  <c r="G1891" i="23"/>
  <c r="G1851" i="23"/>
  <c r="G1852" i="23"/>
  <c r="C1832" i="23"/>
  <c r="G1841" i="23"/>
  <c r="G1935" i="23"/>
  <c r="G1897" i="23"/>
  <c r="G1904" i="23"/>
  <c r="G1847" i="23"/>
  <c r="G1848" i="23"/>
  <c r="G1850" i="23"/>
  <c r="G1887" i="23"/>
  <c r="G1833" i="23"/>
  <c r="G1844" i="23"/>
  <c r="G1842" i="23"/>
  <c r="G1837" i="23"/>
  <c r="G1905" i="23"/>
  <c r="G1909" i="23"/>
  <c r="G1836" i="23"/>
  <c r="G1914" i="23"/>
  <c r="G1934" i="23"/>
  <c r="G1838" i="23"/>
  <c r="G1947" i="23"/>
  <c r="G1949" i="23"/>
  <c r="G1953" i="23"/>
  <c r="G1865" i="23"/>
  <c r="G1871" i="23"/>
  <c r="G1954" i="23"/>
  <c r="G1963" i="23"/>
  <c r="B816" i="23"/>
  <c r="G2486" i="23"/>
  <c r="G2488" i="23"/>
  <c r="G2492" i="23"/>
  <c r="G2493" i="23"/>
  <c r="G2175" i="23"/>
  <c r="G1599" i="23"/>
  <c r="H1599" i="23"/>
  <c r="A1599" i="23"/>
  <c r="G1605" i="23"/>
  <c r="H1605" i="23"/>
  <c r="A1605" i="23"/>
  <c r="G2121" i="23"/>
  <c r="G2129" i="23"/>
  <c r="G2076" i="23"/>
  <c r="G2077" i="23"/>
  <c r="G2075" i="23"/>
  <c r="G2120" i="23"/>
  <c r="G2085" i="23"/>
  <c r="G2094" i="23"/>
  <c r="G2098" i="23"/>
  <c r="G1747" i="23"/>
  <c r="G1755" i="23"/>
  <c r="G1682" i="23"/>
  <c r="G1684" i="23"/>
  <c r="G1617" i="23"/>
  <c r="G1499" i="23"/>
  <c r="H1499" i="23"/>
  <c r="A1499" i="23"/>
  <c r="A1500" i="23"/>
  <c r="C1379" i="23"/>
  <c r="G1588" i="23"/>
  <c r="H1588" i="23"/>
  <c r="A1588" i="23"/>
  <c r="N1400" i="1"/>
  <c r="N1402" i="1" s="1"/>
  <c r="G2043" i="1"/>
  <c r="G2421" i="23"/>
  <c r="G2067" i="1"/>
  <c r="G2080" i="1"/>
  <c r="E66" i="35"/>
  <c r="E32" i="34"/>
  <c r="N307" i="1"/>
  <c r="M27" i="1"/>
  <c r="M29" i="1" s="1"/>
  <c r="M248" i="1"/>
  <c r="M317" i="1"/>
  <c r="M492" i="1"/>
  <c r="M494" i="1" s="1"/>
  <c r="M307" i="1"/>
  <c r="M18" i="1"/>
  <c r="M237" i="1" s="1"/>
  <c r="M326" i="1"/>
  <c r="M328" i="1" s="1"/>
  <c r="N92" i="1"/>
  <c r="M224" i="1"/>
  <c r="M226" i="1" s="1"/>
  <c r="N462" i="1"/>
  <c r="M291" i="1"/>
  <c r="M293" i="1" s="1"/>
  <c r="N53" i="1"/>
  <c r="N54" i="1" s="1"/>
  <c r="N45" i="1"/>
  <c r="N46" i="1" s="1"/>
  <c r="N134" i="1"/>
  <c r="N136" i="1" s="1"/>
  <c r="L1143" i="1"/>
  <c r="E11" i="33"/>
  <c r="B11" i="33" s="1"/>
  <c r="G11" i="33"/>
  <c r="G2026" i="1"/>
  <c r="M1374" i="1"/>
  <c r="M1400" i="1"/>
  <c r="M1402" i="1" s="1"/>
  <c r="M1409" i="1"/>
  <c r="M1412" i="1" s="1"/>
  <c r="H1980" i="1"/>
  <c r="P1980" i="1"/>
  <c r="E145" i="33"/>
  <c r="G145" i="33"/>
  <c r="L798" i="1"/>
  <c r="N599" i="1"/>
  <c r="N601" i="1" s="1"/>
  <c r="C1381" i="23"/>
  <c r="G2027" i="1"/>
  <c r="N563" i="1"/>
  <c r="N565" i="1" s="1"/>
  <c r="N164" i="1"/>
  <c r="N165" i="1" s="1"/>
  <c r="L1105" i="1"/>
  <c r="AC184" i="16"/>
  <c r="G586" i="23"/>
  <c r="G601" i="23"/>
  <c r="G249" i="23"/>
  <c r="G264" i="23"/>
  <c r="G198" i="23"/>
  <c r="G200" i="23"/>
  <c r="G2040" i="1"/>
  <c r="E55" i="34"/>
  <c r="B55" i="34" s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M1081" i="1"/>
  <c r="M1088" i="1" s="1"/>
  <c r="M1137" i="1"/>
  <c r="M1140" i="1" s="1"/>
  <c r="M1112" i="1"/>
  <c r="M1113" i="1" s="1"/>
  <c r="M1068" i="1"/>
  <c r="M1070" i="1" s="1"/>
  <c r="M1177" i="1"/>
  <c r="N1148" i="1"/>
  <c r="N1152" i="1" s="1"/>
  <c r="N1112" i="1"/>
  <c r="M1077" i="1"/>
  <c r="M1080" i="1" s="1"/>
  <c r="M1121" i="1"/>
  <c r="M1123" i="1" s="1"/>
  <c r="M1092" i="1"/>
  <c r="M1098" i="1" s="1"/>
  <c r="M1186" i="1"/>
  <c r="M1189" i="1" s="1"/>
  <c r="N1157" i="1"/>
  <c r="M1124" i="1"/>
  <c r="M1129" i="1" s="1"/>
  <c r="N1077" i="1"/>
  <c r="BA184" i="16"/>
  <c r="N704" i="1"/>
  <c r="O737" i="1"/>
  <c r="O697" i="1"/>
  <c r="O705" i="1" s="1"/>
  <c r="O715" i="1"/>
  <c r="O716" i="1" s="1"/>
  <c r="CI184" i="16"/>
  <c r="J814" i="1"/>
  <c r="N1177" i="1"/>
  <c r="H2084" i="1"/>
  <c r="H2043" i="1"/>
  <c r="N2037" i="1"/>
  <c r="C41" i="35"/>
  <c r="E82" i="34"/>
  <c r="D114" i="31"/>
  <c r="C111" i="31"/>
  <c r="D140" i="42"/>
  <c r="K1777" i="1"/>
  <c r="D122" i="35"/>
  <c r="D195" i="42"/>
  <c r="G146" i="33"/>
  <c r="K1732" i="1"/>
  <c r="I1634" i="1"/>
  <c r="D133" i="31"/>
  <c r="C216" i="42"/>
  <c r="D204" i="42"/>
  <c r="C255" i="42"/>
  <c r="D145" i="31"/>
  <c r="D260" i="42"/>
  <c r="C95" i="31"/>
  <c r="C82" i="34"/>
  <c r="D219" i="42"/>
  <c r="B193" i="42"/>
  <c r="I1632" i="1"/>
  <c r="H1740" i="1"/>
  <c r="D157" i="42"/>
  <c r="B169" i="31"/>
  <c r="C129" i="31"/>
  <c r="C183" i="42"/>
  <c r="C229" i="42"/>
  <c r="C224" i="42"/>
  <c r="D224" i="42"/>
  <c r="D151" i="42"/>
  <c r="D273" i="42"/>
  <c r="D132" i="35"/>
  <c r="G213" i="42"/>
  <c r="B213" i="42"/>
  <c r="D75" i="34"/>
  <c r="B157" i="31"/>
  <c r="D78" i="34"/>
  <c r="D146" i="42"/>
  <c r="C168" i="42"/>
  <c r="C251" i="42"/>
  <c r="B128" i="33"/>
  <c r="D162" i="42"/>
  <c r="B255" i="42"/>
  <c r="C162" i="42"/>
  <c r="D142" i="42"/>
  <c r="J1505" i="1"/>
  <c r="K1731" i="1"/>
  <c r="C191" i="42"/>
  <c r="C133" i="31"/>
  <c r="C245" i="42"/>
  <c r="C116" i="42"/>
  <c r="G159" i="31"/>
  <c r="E104" i="35"/>
  <c r="G104" i="35" s="1"/>
  <c r="D112" i="35"/>
  <c r="D136" i="35"/>
  <c r="H1634" i="1"/>
  <c r="C114" i="31"/>
  <c r="C134" i="31"/>
  <c r="C157" i="42"/>
  <c r="C146" i="42"/>
  <c r="C88" i="35"/>
  <c r="C74" i="34"/>
  <c r="H1766" i="1"/>
  <c r="D84" i="31"/>
  <c r="D78" i="31"/>
  <c r="D57" i="31"/>
  <c r="D40" i="31"/>
  <c r="C28" i="35"/>
  <c r="C24" i="35"/>
  <c r="D18" i="34"/>
  <c r="D14" i="34"/>
  <c r="D87" i="42"/>
  <c r="D83" i="42"/>
  <c r="D71" i="42"/>
  <c r="D67" i="42"/>
  <c r="C39" i="42"/>
  <c r="C13" i="42"/>
  <c r="D29" i="33"/>
  <c r="D25" i="33"/>
  <c r="C50" i="42"/>
  <c r="C85" i="31"/>
  <c r="C44" i="31"/>
  <c r="C41" i="31"/>
  <c r="D17" i="31"/>
  <c r="D36" i="35"/>
  <c r="C19" i="34"/>
  <c r="C84" i="42"/>
  <c r="C80" i="42"/>
  <c r="C68" i="42"/>
  <c r="C63" i="42"/>
  <c r="D13" i="42"/>
  <c r="D76" i="33"/>
  <c r="D68" i="33"/>
  <c r="D60" i="33"/>
  <c r="D56" i="33"/>
  <c r="D42" i="33"/>
  <c r="C34" i="33"/>
  <c r="D61" i="42"/>
  <c r="C20" i="33"/>
  <c r="C53" i="42"/>
  <c r="C43" i="35"/>
  <c r="D55" i="33"/>
  <c r="C94" i="42"/>
  <c r="D89" i="31"/>
  <c r="D68" i="31"/>
  <c r="D56" i="31"/>
  <c r="D46" i="31"/>
  <c r="C32" i="31"/>
  <c r="C28" i="31"/>
  <c r="C26" i="31"/>
  <c r="C20" i="31"/>
  <c r="C18" i="31"/>
  <c r="C12" i="31"/>
  <c r="C10" i="31"/>
  <c r="C64" i="35"/>
  <c r="C62" i="35"/>
  <c r="C56" i="35"/>
  <c r="C54" i="35"/>
  <c r="C48" i="35"/>
  <c r="C46" i="35"/>
  <c r="C37" i="35"/>
  <c r="C35" i="35"/>
  <c r="C29" i="35"/>
  <c r="C27" i="35"/>
  <c r="C19" i="35"/>
  <c r="C55" i="34"/>
  <c r="C53" i="34"/>
  <c r="C51" i="34"/>
  <c r="C49" i="34"/>
  <c r="C45" i="34"/>
  <c r="C42" i="34"/>
  <c r="D39" i="34"/>
  <c r="D37" i="34"/>
  <c r="D35" i="34"/>
  <c r="D33" i="34"/>
  <c r="D25" i="34"/>
  <c r="D19" i="34"/>
  <c r="D111" i="42"/>
  <c r="D98" i="42"/>
  <c r="D92" i="42"/>
  <c r="D84" i="42"/>
  <c r="D82" i="42"/>
  <c r="D74" i="42"/>
  <c r="D72" i="42"/>
  <c r="D63" i="42"/>
  <c r="D59" i="42"/>
  <c r="D48" i="42"/>
  <c r="C46" i="42"/>
  <c r="C38" i="42"/>
  <c r="C36" i="42"/>
  <c r="C24" i="42"/>
  <c r="C69" i="33"/>
  <c r="C67" i="33"/>
  <c r="C59" i="33"/>
  <c r="C57" i="33"/>
  <c r="C47" i="33"/>
  <c r="C41" i="33"/>
  <c r="D28" i="33"/>
  <c r="D24" i="33"/>
  <c r="D19" i="33"/>
  <c r="D17" i="33"/>
  <c r="D13" i="33"/>
  <c r="D11" i="33"/>
  <c r="C61" i="42"/>
  <c r="C59" i="42"/>
  <c r="C44" i="33"/>
  <c r="C55" i="42"/>
  <c r="D96" i="42"/>
  <c r="C79" i="31"/>
  <c r="D76" i="31"/>
  <c r="C74" i="31"/>
  <c r="C84" i="31"/>
  <c r="C65" i="31"/>
  <c r="C47" i="31"/>
  <c r="C40" i="31"/>
  <c r="D28" i="31"/>
  <c r="D20" i="31"/>
  <c r="D12" i="31"/>
  <c r="D10" i="31"/>
  <c r="D62" i="35"/>
  <c r="D60" i="35"/>
  <c r="D56" i="35"/>
  <c r="D54" i="35"/>
  <c r="D52" i="35"/>
  <c r="D48" i="35"/>
  <c r="D46" i="35"/>
  <c r="D43" i="35"/>
  <c r="D37" i="35"/>
  <c r="D35" i="35"/>
  <c r="D33" i="35"/>
  <c r="D29" i="35"/>
  <c r="D27" i="35"/>
  <c r="D25" i="35"/>
  <c r="D23" i="35"/>
  <c r="D15" i="35"/>
  <c r="D63" i="34"/>
  <c r="D61" i="34"/>
  <c r="D57" i="34"/>
  <c r="D51" i="34"/>
  <c r="D49" i="34"/>
  <c r="D40" i="34"/>
  <c r="C38" i="34"/>
  <c r="C36" i="34"/>
  <c r="C32" i="34"/>
  <c r="C30" i="34"/>
  <c r="C28" i="34"/>
  <c r="C24" i="34"/>
  <c r="C18" i="34"/>
  <c r="C16" i="34"/>
  <c r="C108" i="42"/>
  <c r="C87" i="42"/>
  <c r="C77" i="42"/>
  <c r="C67" i="42"/>
  <c r="D46" i="42"/>
  <c r="D42" i="42"/>
  <c r="D38" i="42"/>
  <c r="D28" i="42"/>
  <c r="D26" i="42"/>
  <c r="D24" i="42"/>
  <c r="D16" i="42"/>
  <c r="D14" i="42"/>
  <c r="D69" i="33"/>
  <c r="D41" i="33"/>
  <c r="C16" i="33"/>
  <c r="C14" i="33"/>
  <c r="D33" i="42"/>
  <c r="G238" i="42"/>
  <c r="D208" i="42"/>
  <c r="C208" i="42"/>
  <c r="D80" i="35"/>
  <c r="C141" i="31"/>
  <c r="C178" i="42"/>
  <c r="D70" i="35"/>
  <c r="D117" i="31"/>
  <c r="D1720" i="1"/>
  <c r="D1721" i="1"/>
  <c r="G1869" i="1"/>
  <c r="K962" i="1"/>
  <c r="K954" i="1"/>
  <c r="E80" i="42"/>
  <c r="G80" i="42" s="1"/>
  <c r="K922" i="1"/>
  <c r="K919" i="1"/>
  <c r="K921" i="1"/>
  <c r="K920" i="1"/>
  <c r="K918" i="1"/>
  <c r="K917" i="1"/>
  <c r="K418" i="1"/>
  <c r="K419" i="1"/>
  <c r="K1092" i="1"/>
  <c r="K1096" i="1" s="1"/>
  <c r="E38" i="42"/>
  <c r="B38" i="42" s="1"/>
  <c r="K164" i="1"/>
  <c r="K165" i="1" s="1"/>
  <c r="I164" i="1"/>
  <c r="I165" i="1" s="1"/>
  <c r="K1016" i="1"/>
  <c r="K1018" i="1" s="1"/>
  <c r="E85" i="42"/>
  <c r="B85" i="42" s="1"/>
  <c r="K977" i="1"/>
  <c r="K982" i="1" s="1"/>
  <c r="K1166" i="1"/>
  <c r="K1167" i="1" s="1"/>
  <c r="I213" i="1"/>
  <c r="I215" i="1" s="1"/>
  <c r="E86" i="42"/>
  <c r="G86" i="42" s="1"/>
  <c r="B86" i="42"/>
  <c r="K1026" i="1"/>
  <c r="K1031" i="1" s="1"/>
  <c r="K373" i="1"/>
  <c r="H373" i="1"/>
  <c r="C373" i="1" s="1"/>
  <c r="I188" i="1"/>
  <c r="I190" i="1" s="1"/>
  <c r="K188" i="1"/>
  <c r="K863" i="1"/>
  <c r="K867" i="1" s="1"/>
  <c r="K808" i="1"/>
  <c r="K809" i="1"/>
  <c r="E101" i="42"/>
  <c r="K1157" i="1"/>
  <c r="K1163" i="1" s="1"/>
  <c r="K492" i="1"/>
  <c r="K493" i="1" s="1"/>
  <c r="K248" i="1"/>
  <c r="K250" i="1"/>
  <c r="K266" i="1"/>
  <c r="K267" i="1"/>
  <c r="K406" i="1"/>
  <c r="K1046" i="1"/>
  <c r="K1049" i="1" s="1"/>
  <c r="K1054" i="1"/>
  <c r="K1056" i="1" s="1"/>
  <c r="K1400" i="1"/>
  <c r="K205" i="1"/>
  <c r="K207" i="1" s="1"/>
  <c r="I224" i="1"/>
  <c r="I283" i="1"/>
  <c r="K356" i="1"/>
  <c r="K360" i="1"/>
  <c r="K1366" i="1"/>
  <c r="K1367" i="1" s="1"/>
  <c r="H1812" i="1"/>
  <c r="P1812" i="1"/>
  <c r="E203" i="42"/>
  <c r="G203" i="42"/>
  <c r="K1812" i="1"/>
  <c r="K1832" i="1"/>
  <c r="K1746" i="1"/>
  <c r="G1747" i="1"/>
  <c r="G1749" i="1"/>
  <c r="H1746" i="1"/>
  <c r="P1746" i="1"/>
  <c r="C42" i="35"/>
  <c r="K767" i="1"/>
  <c r="K766" i="1"/>
  <c r="K765" i="1"/>
  <c r="K768" i="1"/>
  <c r="C37" i="33"/>
  <c r="K783" i="1"/>
  <c r="K785" i="1" s="1"/>
  <c r="K1374" i="1"/>
  <c r="K1375" i="1" s="1"/>
  <c r="G90" i="42"/>
  <c r="K737" i="1"/>
  <c r="K739" i="1" s="1"/>
  <c r="G39" i="31"/>
  <c r="B54" i="31"/>
  <c r="G54" i="31"/>
  <c r="C54" i="42"/>
  <c r="E34" i="42"/>
  <c r="G34" i="42" s="1"/>
  <c r="C36" i="33"/>
  <c r="K805" i="1"/>
  <c r="K807" i="1"/>
  <c r="K797" i="1"/>
  <c r="K798" i="1"/>
  <c r="C100" i="42"/>
  <c r="C40" i="34"/>
  <c r="D32" i="34"/>
  <c r="D51" i="35"/>
  <c r="D38" i="35"/>
  <c r="D30" i="35"/>
  <c r="D85" i="31"/>
  <c r="D58" i="31"/>
  <c r="D41" i="31"/>
  <c r="C36" i="31"/>
  <c r="D59" i="34"/>
  <c r="C56" i="34"/>
  <c r="D41" i="34"/>
  <c r="C29" i="34"/>
  <c r="D9" i="35"/>
  <c r="C42" i="31"/>
  <c r="C34" i="31"/>
  <c r="D30" i="31"/>
  <c r="C114" i="42"/>
  <c r="C106" i="42"/>
  <c r="C56" i="33"/>
  <c r="C45" i="33"/>
  <c r="D35" i="33"/>
  <c r="C27" i="33"/>
  <c r="D34" i="34"/>
  <c r="D30" i="34"/>
  <c r="D15" i="34"/>
  <c r="D65" i="35"/>
  <c r="C15" i="31"/>
  <c r="C47" i="42"/>
  <c r="C43" i="42"/>
  <c r="C58" i="42"/>
  <c r="D13" i="35"/>
  <c r="H1860" i="1"/>
  <c r="E245" i="42"/>
  <c r="C38" i="33"/>
  <c r="C41" i="34"/>
  <c r="C43" i="34"/>
  <c r="C51" i="42"/>
  <c r="D64" i="34"/>
  <c r="D57" i="35"/>
  <c r="C53" i="35"/>
  <c r="D49" i="35"/>
  <c r="D40" i="42"/>
  <c r="C35" i="31"/>
  <c r="C54" i="34"/>
  <c r="D31" i="34"/>
  <c r="C27" i="34"/>
  <c r="D23" i="34"/>
  <c r="D16" i="34"/>
  <c r="D66" i="35"/>
  <c r="C90" i="42"/>
  <c r="D86" i="42"/>
  <c r="C82" i="42"/>
  <c r="D78" i="42"/>
  <c r="C74" i="42"/>
  <c r="D70" i="42"/>
  <c r="C66" i="42"/>
  <c r="D55" i="42"/>
  <c r="C49" i="42"/>
  <c r="C37" i="42"/>
  <c r="C18" i="42"/>
  <c r="D67" i="33"/>
  <c r="D63" i="33"/>
  <c r="D59" i="33"/>
  <c r="D43" i="33"/>
  <c r="D38" i="33"/>
  <c r="D34" i="33"/>
  <c r="D30" i="33"/>
  <c r="C10" i="35"/>
  <c r="D14" i="35"/>
  <c r="G92" i="42"/>
  <c r="B92" i="42"/>
  <c r="C29" i="31"/>
  <c r="C25" i="31"/>
  <c r="C49" i="35"/>
  <c r="C45" i="35"/>
  <c r="D40" i="35"/>
  <c r="C30" i="35"/>
  <c r="D12" i="34"/>
  <c r="D114" i="42"/>
  <c r="C78" i="42"/>
  <c r="C25" i="42"/>
  <c r="C52" i="33"/>
  <c r="C48" i="33"/>
  <c r="D31" i="33"/>
  <c r="D27" i="33"/>
  <c r="D26" i="33"/>
  <c r="C22" i="42"/>
  <c r="C30" i="42"/>
  <c r="D104" i="42"/>
  <c r="D113" i="42"/>
  <c r="C15" i="33"/>
  <c r="C30" i="33"/>
  <c r="D35" i="42"/>
  <c r="C15" i="34"/>
  <c r="D50" i="34"/>
  <c r="D66" i="34"/>
  <c r="D38" i="34"/>
  <c r="D90" i="31"/>
  <c r="D86" i="31"/>
  <c r="D82" i="31"/>
  <c r="D67" i="31"/>
  <c r="D63" i="31"/>
  <c r="D59" i="31"/>
  <c r="D53" i="31"/>
  <c r="D33" i="31"/>
  <c r="C13" i="31"/>
  <c r="C9" i="31"/>
  <c r="D41" i="35"/>
  <c r="D26" i="35"/>
  <c r="C50" i="34"/>
  <c r="C48" i="34"/>
  <c r="C46" i="34"/>
  <c r="D89" i="42"/>
  <c r="D73" i="42"/>
  <c r="D54" i="42"/>
  <c r="D25" i="42"/>
  <c r="C76" i="33"/>
  <c r="D45" i="33"/>
  <c r="C60" i="42"/>
  <c r="C35" i="33"/>
  <c r="D49" i="42"/>
  <c r="C34" i="34"/>
  <c r="D39" i="35"/>
  <c r="C43" i="33"/>
  <c r="C63" i="33"/>
  <c r="C71" i="33"/>
  <c r="C12" i="42"/>
  <c r="C57" i="34"/>
  <c r="D66" i="31"/>
  <c r="D47" i="42"/>
  <c r="D46" i="34"/>
  <c r="D62" i="34"/>
  <c r="D53" i="35"/>
  <c r="D69" i="31"/>
  <c r="C70" i="31"/>
  <c r="C87" i="31"/>
  <c r="C83" i="31"/>
  <c r="C68" i="31"/>
  <c r="C64" i="31"/>
  <c r="C60" i="31"/>
  <c r="C56" i="31"/>
  <c r="D31" i="31"/>
  <c r="C23" i="31"/>
  <c r="C21" i="31"/>
  <c r="C19" i="31"/>
  <c r="C17" i="31"/>
  <c r="D11" i="31"/>
  <c r="C57" i="35"/>
  <c r="C55" i="35"/>
  <c r="C38" i="35"/>
  <c r="C22" i="35"/>
  <c r="D17" i="35"/>
  <c r="C58" i="34"/>
  <c r="D48" i="34"/>
  <c r="D36" i="34"/>
  <c r="D20" i="34"/>
  <c r="D110" i="42"/>
  <c r="D108" i="42"/>
  <c r="D106" i="42"/>
  <c r="D103" i="42"/>
  <c r="C86" i="42"/>
  <c r="C70" i="42"/>
  <c r="D45" i="42"/>
  <c r="D29" i="42"/>
  <c r="C21" i="42"/>
  <c r="C19" i="42"/>
  <c r="C17" i="42"/>
  <c r="C15" i="42"/>
  <c r="D74" i="33"/>
  <c r="C60" i="33"/>
  <c r="C58" i="33"/>
  <c r="C40" i="33"/>
  <c r="D23" i="33"/>
  <c r="D18" i="33"/>
  <c r="D14" i="33"/>
  <c r="C31" i="42"/>
  <c r="D60" i="42"/>
  <c r="D22" i="33"/>
  <c r="D43" i="42"/>
  <c r="D56" i="34"/>
  <c r="D97" i="42"/>
  <c r="C77" i="31"/>
  <c r="D70" i="31"/>
  <c r="D49" i="31"/>
  <c r="D45" i="31"/>
  <c r="D42" i="31"/>
  <c r="D34" i="31"/>
  <c r="C65" i="35"/>
  <c r="C61" i="35"/>
  <c r="D34" i="35"/>
  <c r="C21" i="35"/>
  <c r="D10" i="35"/>
  <c r="C33" i="34"/>
  <c r="C17" i="34"/>
  <c r="C107" i="42"/>
  <c r="C98" i="42"/>
  <c r="C92" i="42"/>
  <c r="D81" i="42"/>
  <c r="D65" i="42"/>
  <c r="C41" i="42"/>
  <c r="D17" i="42"/>
  <c r="D11" i="42"/>
  <c r="C70" i="33"/>
  <c r="C68" i="33"/>
  <c r="C66" i="33"/>
  <c r="C64" i="33"/>
  <c r="D58" i="33"/>
  <c r="D36" i="33"/>
  <c r="C17" i="33"/>
  <c r="C13" i="33"/>
  <c r="C37" i="31"/>
  <c r="D74" i="34"/>
  <c r="G84" i="33"/>
  <c r="I1638" i="1"/>
  <c r="C237" i="42"/>
  <c r="D237" i="42"/>
  <c r="D90" i="35"/>
  <c r="C241" i="42"/>
  <c r="K2233" i="1"/>
  <c r="K1857" i="1"/>
  <c r="H1857" i="1"/>
  <c r="E194" i="31"/>
  <c r="G194" i="31"/>
  <c r="J1557" i="1"/>
  <c r="G1459" i="23"/>
  <c r="G532" i="23"/>
  <c r="G548" i="23"/>
  <c r="G550" i="23"/>
  <c r="G525" i="23"/>
  <c r="G526" i="23"/>
  <c r="G529" i="23"/>
  <c r="G528" i="23"/>
  <c r="G218" i="23"/>
  <c r="G220" i="23"/>
  <c r="G201" i="23"/>
  <c r="G202" i="23"/>
  <c r="C197" i="23"/>
  <c r="L1162" i="1"/>
  <c r="L1182" i="1"/>
  <c r="L1097" i="1"/>
  <c r="L1078" i="1"/>
  <c r="L1170" i="1"/>
  <c r="L1085" i="1"/>
  <c r="N1445" i="1"/>
  <c r="N75" i="1"/>
  <c r="N96" i="1" s="1"/>
  <c r="N27" i="1"/>
  <c r="N29" i="1" s="1"/>
  <c r="E22" i="34"/>
  <c r="B22" i="34" s="1"/>
  <c r="E14" i="34"/>
  <c r="E25" i="34"/>
  <c r="B25" i="34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N335" i="1"/>
  <c r="M205" i="1"/>
  <c r="M206" i="1" s="1"/>
  <c r="M53" i="1"/>
  <c r="M54" i="1" s="1"/>
  <c r="M523" i="1"/>
  <c r="M525" i="1" s="1"/>
  <c r="M510" i="1"/>
  <c r="M482" i="1"/>
  <c r="N445" i="1"/>
  <c r="N244" i="1"/>
  <c r="N250" i="1" s="1"/>
  <c r="M142" i="1"/>
  <c r="M63" i="1"/>
  <c r="M453" i="1"/>
  <c r="M455" i="1" s="1"/>
  <c r="M406" i="1"/>
  <c r="M266" i="1"/>
  <c r="M267" i="1" s="1"/>
  <c r="M213" i="1"/>
  <c r="M109" i="1"/>
  <c r="M111" i="1" s="1"/>
  <c r="N453" i="1"/>
  <c r="N454" i="1" s="1"/>
  <c r="N406" i="1"/>
  <c r="N152" i="1"/>
  <c r="M45" i="1"/>
  <c r="M47" i="1" s="1"/>
  <c r="N502" i="1"/>
  <c r="M462" i="1"/>
  <c r="M463" i="1" s="1"/>
  <c r="N410" i="1"/>
  <c r="N317" i="1"/>
  <c r="N320" i="1" s="1"/>
  <c r="M125" i="1"/>
  <c r="M126" i="1" s="1"/>
  <c r="M37" i="1"/>
  <c r="N510" i="1"/>
  <c r="N513" i="1" s="1"/>
  <c r="N492" i="1"/>
  <c r="N494" i="1" s="1"/>
  <c r="M335" i="1"/>
  <c r="M188" i="1"/>
  <c r="M190" i="1" s="1"/>
  <c r="M117" i="1"/>
  <c r="M118" i="1" s="1"/>
  <c r="N470" i="1"/>
  <c r="M418" i="1"/>
  <c r="M420" i="1" s="1"/>
  <c r="N326" i="1"/>
  <c r="M302" i="1"/>
  <c r="M303" i="1" s="1"/>
  <c r="M234" i="1"/>
  <c r="M235" i="1" s="1"/>
  <c r="M164" i="1"/>
  <c r="M152" i="1"/>
  <c r="N117" i="1"/>
  <c r="N119" i="1" s="1"/>
  <c r="N2025" i="1"/>
  <c r="H2025" i="1"/>
  <c r="O721" i="1"/>
  <c r="O728" i="1"/>
  <c r="O690" i="1"/>
  <c r="O692" i="1" s="1"/>
  <c r="O744" i="1"/>
  <c r="H2081" i="1"/>
  <c r="G70" i="23"/>
  <c r="G973" i="23"/>
  <c r="H973" i="23"/>
  <c r="A973" i="23"/>
  <c r="G177" i="23"/>
  <c r="H177" i="23"/>
  <c r="A177" i="23"/>
  <c r="G93" i="23"/>
  <c r="G86" i="23"/>
  <c r="G97" i="23"/>
  <c r="G83" i="23"/>
  <c r="G87" i="23"/>
  <c r="B55" i="31"/>
  <c r="K796" i="1"/>
  <c r="K806" i="1"/>
  <c r="K804" i="1"/>
  <c r="K375" i="1"/>
  <c r="K379" i="1"/>
  <c r="K359" i="1"/>
  <c r="K380" i="1"/>
  <c r="N1391" i="1"/>
  <c r="N1394" i="1" s="1"/>
  <c r="O711" i="1"/>
  <c r="O712" i="1" s="1"/>
  <c r="O704" i="1"/>
  <c r="O730" i="1"/>
  <c r="H2040" i="1"/>
  <c r="G207" i="23"/>
  <c r="G209" i="23"/>
  <c r="G210" i="23"/>
  <c r="G203" i="23"/>
  <c r="G206" i="23"/>
  <c r="C524" i="23"/>
  <c r="G1167" i="23"/>
  <c r="H1167" i="23"/>
  <c r="A1167" i="23"/>
  <c r="L1199" i="1"/>
  <c r="N109" i="1"/>
  <c r="G2047" i="1"/>
  <c r="G1269" i="23"/>
  <c r="H1269" i="23"/>
  <c r="A1269" i="23"/>
  <c r="G1492" i="23"/>
  <c r="N125" i="1"/>
  <c r="M1445" i="1"/>
  <c r="M1447" i="1" s="1"/>
  <c r="M1436" i="1"/>
  <c r="G2123" i="1"/>
  <c r="L1071" i="1"/>
  <c r="N18" i="1"/>
  <c r="N259" i="1" s="1"/>
  <c r="M410" i="1"/>
  <c r="M156" i="1"/>
  <c r="M157" i="1" s="1"/>
  <c r="M158" i="1" s="1"/>
  <c r="M274" i="1"/>
  <c r="M283" i="1"/>
  <c r="M284" i="1" s="1"/>
  <c r="N523" i="1"/>
  <c r="N37" i="1"/>
  <c r="N39" i="1" s="1"/>
  <c r="M256" i="1"/>
  <c r="M258" i="1" s="1"/>
  <c r="N302" i="1"/>
  <c r="N308" i="1" s="1"/>
  <c r="M134" i="1"/>
  <c r="E26" i="34"/>
  <c r="G26" i="34" s="1"/>
  <c r="E29" i="34"/>
  <c r="N2080" i="1"/>
  <c r="G2487" i="23"/>
  <c r="G1921" i="23"/>
  <c r="C1833" i="23"/>
  <c r="C1851" i="23"/>
  <c r="G1538" i="1"/>
  <c r="L1129" i="1"/>
  <c r="H2037" i="1"/>
  <c r="P2037" i="1"/>
  <c r="H2031" i="1"/>
  <c r="E64" i="35"/>
  <c r="B64" i="35" s="1"/>
  <c r="M1366" i="1"/>
  <c r="M1368" i="1" s="1"/>
  <c r="M1427" i="1"/>
  <c r="M1429" i="1" s="1"/>
  <c r="M1391" i="1"/>
  <c r="M1418" i="1"/>
  <c r="M1382" i="1"/>
  <c r="M1385" i="1" s="1"/>
  <c r="N1409" i="1"/>
  <c r="N1427" i="1"/>
  <c r="N1428" i="1" s="1"/>
  <c r="G1988" i="1"/>
  <c r="E152" i="33"/>
  <c r="G152" i="33"/>
  <c r="L2273" i="1"/>
  <c r="N142" i="1"/>
  <c r="N144" i="1" s="1"/>
  <c r="N1418" i="1"/>
  <c r="N1421" i="1" s="1"/>
  <c r="N67" i="1"/>
  <c r="FM184" i="16"/>
  <c r="C71" i="31"/>
  <c r="D71" i="31"/>
  <c r="G972" i="23"/>
  <c r="H972" i="23"/>
  <c r="A972" i="23"/>
  <c r="G72" i="23"/>
  <c r="G2558" i="23"/>
  <c r="G2562" i="23"/>
  <c r="G2561" i="23"/>
  <c r="G84" i="23"/>
  <c r="H1929" i="1"/>
  <c r="L1929" i="1"/>
  <c r="N63" i="1"/>
  <c r="G96" i="23"/>
  <c r="C35" i="23"/>
  <c r="C36" i="23"/>
  <c r="C96" i="42"/>
  <c r="G1679" i="23"/>
  <c r="G977" i="23"/>
  <c r="H977" i="23"/>
  <c r="A977" i="23"/>
  <c r="G1049" i="23"/>
  <c r="H1049" i="23"/>
  <c r="A1049" i="23"/>
  <c r="G1047" i="23"/>
  <c r="H1047" i="23"/>
  <c r="A1047" i="23"/>
  <c r="G1033" i="23"/>
  <c r="H1033" i="23"/>
  <c r="A1033" i="23"/>
  <c r="A1034" i="23"/>
  <c r="D109" i="42"/>
  <c r="A95" i="42"/>
  <c r="C105" i="42"/>
  <c r="A105" i="42"/>
  <c r="H1982" i="1"/>
  <c r="P1982" i="1"/>
  <c r="G1871" i="1"/>
  <c r="G1729" i="1"/>
  <c r="D99" i="42"/>
  <c r="C99" i="42"/>
  <c r="C80" i="31"/>
  <c r="D80" i="31"/>
  <c r="C89" i="31"/>
  <c r="D72" i="31"/>
  <c r="C72" i="31"/>
  <c r="D74" i="31"/>
  <c r="E55" i="33"/>
  <c r="G55" i="33" s="1"/>
  <c r="D101" i="42"/>
  <c r="C101" i="42"/>
  <c r="C76" i="31"/>
  <c r="GQ182" i="16"/>
  <c r="C90" i="31"/>
  <c r="C88" i="31"/>
  <c r="C86" i="31"/>
  <c r="C82" i="31"/>
  <c r="C78" i="31"/>
  <c r="C112" i="42"/>
  <c r="C110" i="42"/>
  <c r="C103" i="42"/>
  <c r="D229" i="70"/>
  <c r="D134" i="70"/>
  <c r="E73" i="31"/>
  <c r="D73" i="31"/>
  <c r="C54" i="31"/>
  <c r="D22" i="34"/>
  <c r="C13" i="34"/>
  <c r="D50" i="35"/>
  <c r="E39" i="35"/>
  <c r="G39" i="35" s="1"/>
  <c r="D31" i="35"/>
  <c r="C81" i="31"/>
  <c r="C62" i="31"/>
  <c r="D55" i="31"/>
  <c r="C50" i="31"/>
  <c r="D22" i="31"/>
  <c r="D14" i="31"/>
  <c r="E91" i="42"/>
  <c r="B91" i="42" s="1"/>
  <c r="D85" i="42"/>
  <c r="D69" i="42"/>
  <c r="E53" i="42"/>
  <c r="G53" i="42" s="1"/>
  <c r="E48" i="42"/>
  <c r="B48" i="42" s="1"/>
  <c r="E58" i="42"/>
  <c r="D75" i="33"/>
  <c r="C72" i="33"/>
  <c r="C32" i="33"/>
  <c r="D88" i="31"/>
  <c r="D48" i="31"/>
  <c r="D24" i="31"/>
  <c r="D16" i="31"/>
  <c r="D47" i="35"/>
  <c r="D65" i="34"/>
  <c r="D52" i="34"/>
  <c r="D21" i="34"/>
  <c r="D112" i="42"/>
  <c r="D88" i="42"/>
  <c r="D62" i="42"/>
  <c r="D57" i="42"/>
  <c r="D52" i="42"/>
  <c r="D27" i="42"/>
  <c r="D23" i="42"/>
  <c r="D20" i="42"/>
  <c r="D65" i="33"/>
  <c r="D51" i="33"/>
  <c r="D50" i="33"/>
  <c r="D49" i="33"/>
  <c r="D33" i="33"/>
  <c r="GB182" i="16"/>
  <c r="CU307" i="70"/>
  <c r="CF307" i="70"/>
  <c r="BS307" i="70"/>
  <c r="BQ307" i="70"/>
  <c r="BA307" i="70"/>
  <c r="AY307" i="70"/>
  <c r="AW307" i="70"/>
  <c r="AJ307" i="70"/>
  <c r="AH307" i="70"/>
  <c r="T307" i="70"/>
  <c r="Q307" i="70"/>
  <c r="I307" i="70"/>
  <c r="E307" i="70"/>
  <c r="BF306" i="70"/>
  <c r="CO307" i="70"/>
  <c r="BF298" i="70"/>
  <c r="BF286" i="70"/>
  <c r="CC229" i="70"/>
  <c r="BZ229" i="70"/>
  <c r="BV229" i="70"/>
  <c r="BQ229" i="70"/>
  <c r="BJ229" i="70"/>
  <c r="AW229" i="70"/>
  <c r="AU229" i="70"/>
  <c r="AR229" i="70"/>
  <c r="AF229" i="70"/>
  <c r="AC229" i="70"/>
  <c r="J229" i="70"/>
  <c r="BB229" i="70"/>
  <c r="AT229" i="70"/>
  <c r="AL229" i="70"/>
  <c r="V229" i="70"/>
  <c r="BG169" i="70"/>
  <c r="CN169" i="70"/>
  <c r="G134" i="70"/>
  <c r="T134" i="70"/>
  <c r="AA134" i="70"/>
  <c r="AC134" i="70"/>
  <c r="AJ134" i="70"/>
  <c r="AQ134" i="70"/>
  <c r="AS134" i="70"/>
  <c r="AZ134" i="70"/>
  <c r="BF123" i="70"/>
  <c r="BF72" i="70"/>
  <c r="BI134" i="70"/>
  <c r="BK134" i="70"/>
  <c r="BP134" i="70"/>
  <c r="BR134" i="70"/>
  <c r="CC134" i="70"/>
  <c r="CE134" i="70"/>
  <c r="CG134" i="70"/>
  <c r="CL134" i="70"/>
  <c r="CS134" i="70"/>
  <c r="CO134" i="70"/>
  <c r="D61" i="31"/>
  <c r="D52" i="31"/>
  <c r="D51" i="31"/>
  <c r="D39" i="31"/>
  <c r="D27" i="31"/>
  <c r="D8" i="31"/>
  <c r="D7" i="31"/>
  <c r="D63" i="35"/>
  <c r="D59" i="35"/>
  <c r="D32" i="35"/>
  <c r="D60" i="34"/>
  <c r="D93" i="42"/>
  <c r="D91" i="42"/>
  <c r="D79" i="42"/>
  <c r="D76" i="42"/>
  <c r="D75" i="42"/>
  <c r="D44" i="42"/>
  <c r="D34" i="42"/>
  <c r="D10" i="42"/>
  <c r="D73" i="33"/>
  <c r="D61" i="33"/>
  <c r="D21" i="33"/>
  <c r="D12" i="33"/>
  <c r="BG306" i="70"/>
  <c r="CN228" i="70"/>
  <c r="BF196" i="70"/>
  <c r="BF189" i="70"/>
  <c r="S134" i="70"/>
  <c r="U134" i="70"/>
  <c r="AI134" i="70"/>
  <c r="AK134" i="70"/>
  <c r="AY134" i="70"/>
  <c r="BA134" i="70"/>
  <c r="BF91" i="70"/>
  <c r="BO134" i="70"/>
  <c r="BQ134" i="70"/>
  <c r="BS134" i="70"/>
  <c r="CK134" i="70"/>
  <c r="CT134" i="70"/>
  <c r="D44" i="33"/>
  <c r="L308" i="1"/>
  <c r="K502" i="1"/>
  <c r="K504" i="1" s="1"/>
  <c r="L111" i="1"/>
  <c r="K75" i="1"/>
  <c r="K97" i="1" s="1"/>
  <c r="K53" i="1"/>
  <c r="K45" i="1"/>
  <c r="K27" i="1"/>
  <c r="K29" i="1" s="1"/>
  <c r="L463" i="1"/>
  <c r="CF184" i="16"/>
  <c r="J619" i="1"/>
  <c r="J624" i="1" s="1"/>
  <c r="L712" i="1"/>
  <c r="L749" i="1"/>
  <c r="L29" i="1"/>
  <c r="K37" i="1"/>
  <c r="K38" i="1" s="1"/>
  <c r="L69" i="1"/>
  <c r="K67" i="1"/>
  <c r="K125" i="1"/>
  <c r="K126" i="1" s="1"/>
  <c r="L143" i="1"/>
  <c r="K291" i="1"/>
  <c r="L717" i="1"/>
  <c r="G1681" i="1"/>
  <c r="DY95" i="16"/>
  <c r="DW182" i="16"/>
  <c r="G2024" i="1"/>
  <c r="N2024" i="1"/>
  <c r="J2281" i="1"/>
  <c r="J2289" i="1"/>
  <c r="I1668" i="1"/>
  <c r="I1671" i="1"/>
  <c r="G1034" i="1"/>
  <c r="G221" i="1"/>
  <c r="G1719" i="23"/>
  <c r="G1728" i="23"/>
  <c r="G1734" i="23"/>
  <c r="G1624" i="23"/>
  <c r="G1632" i="23"/>
  <c r="G1664" i="23"/>
  <c r="G1614" i="23"/>
  <c r="G1663" i="23"/>
  <c r="C1613" i="23"/>
  <c r="G1840" i="23"/>
  <c r="G1839" i="23"/>
  <c r="G1881" i="23"/>
  <c r="G1885" i="23"/>
  <c r="G379" i="23"/>
  <c r="H379" i="23"/>
  <c r="A379" i="23"/>
  <c r="A380" i="23"/>
  <c r="G2179" i="23"/>
  <c r="G2185" i="23"/>
  <c r="G2099" i="23"/>
  <c r="G2101" i="23"/>
  <c r="G2186" i="23"/>
  <c r="G2138" i="23"/>
  <c r="G2142" i="23"/>
  <c r="G2081" i="23"/>
  <c r="G2089" i="23"/>
  <c r="C2070" i="23"/>
  <c r="G2147" i="23"/>
  <c r="G2166" i="23"/>
  <c r="G2114" i="23"/>
  <c r="G2117" i="23"/>
  <c r="G2074" i="23"/>
  <c r="G2046" i="1"/>
  <c r="N156" i="1"/>
  <c r="N157" i="1" s="1"/>
  <c r="N158" i="1" s="1"/>
  <c r="H1513" i="1"/>
  <c r="J1513" i="1"/>
  <c r="H2208" i="1"/>
  <c r="P2208" i="1"/>
  <c r="E36" i="33"/>
  <c r="B36" i="33" s="1"/>
  <c r="L601" i="1"/>
  <c r="L643" i="1"/>
  <c r="N1436" i="1"/>
  <c r="N1439" i="1" s="1"/>
  <c r="E66" i="31"/>
  <c r="B66" i="31" s="1"/>
  <c r="BF134" i="70"/>
  <c r="D105" i="42"/>
  <c r="D95" i="42"/>
  <c r="C95" i="42"/>
  <c r="E175" i="31"/>
  <c r="B175" i="31"/>
  <c r="G221" i="23"/>
  <c r="G267" i="23"/>
  <c r="H1512" i="1"/>
  <c r="J1512" i="1"/>
  <c r="G1708" i="1"/>
  <c r="G2256" i="23"/>
  <c r="E17" i="42"/>
  <c r="G17" i="42" s="1"/>
  <c r="K1194" i="1"/>
  <c r="K1199" i="1" s="1"/>
  <c r="K1186" i="1"/>
  <c r="K1189" i="1" s="1"/>
  <c r="K1177" i="1"/>
  <c r="C104" i="42"/>
  <c r="D107" i="42"/>
  <c r="C109" i="42"/>
  <c r="C111" i="42"/>
  <c r="C113" i="42"/>
  <c r="D102" i="42"/>
  <c r="D81" i="31"/>
  <c r="D83" i="31"/>
  <c r="D87" i="31"/>
  <c r="EZ184" i="16"/>
  <c r="L190" i="1"/>
  <c r="L153" i="1"/>
  <c r="L268" i="1"/>
  <c r="G2108" i="1"/>
  <c r="N697" i="1"/>
  <c r="G2042" i="1"/>
  <c r="N14" i="1"/>
  <c r="G1624" i="1"/>
  <c r="N2042" i="1"/>
  <c r="N2046" i="1"/>
  <c r="H2024" i="1"/>
  <c r="H1538" i="1"/>
  <c r="H2123" i="1"/>
  <c r="P2123" i="1"/>
  <c r="N2047" i="1"/>
  <c r="G1862" i="1"/>
  <c r="G1840" i="1"/>
  <c r="N2040" i="1"/>
  <c r="H2027" i="1"/>
  <c r="H2026" i="1"/>
  <c r="H2080" i="1"/>
  <c r="H2067" i="1"/>
  <c r="N2043" i="1"/>
  <c r="H2051" i="1"/>
  <c r="G1509" i="1"/>
  <c r="G1510" i="1"/>
  <c r="H2032" i="1"/>
  <c r="N2031" i="1"/>
  <c r="N2023" i="1"/>
  <c r="C2273" i="1"/>
  <c r="H2034" i="1"/>
  <c r="H2049" i="1"/>
  <c r="N2081" i="1"/>
  <c r="H2083" i="1"/>
  <c r="N2048" i="1"/>
  <c r="N2050" i="1"/>
  <c r="G2106" i="1"/>
  <c r="G132" i="1"/>
  <c r="G140" i="1"/>
  <c r="N888" i="1"/>
  <c r="N889" i="1"/>
  <c r="G1571" i="1"/>
  <c r="G1465" i="1"/>
  <c r="G1457" i="1"/>
  <c r="G1555" i="1"/>
  <c r="G1640" i="1"/>
  <c r="G1641" i="1"/>
  <c r="I1644" i="1"/>
  <c r="I1654" i="1"/>
  <c r="H1659" i="1"/>
  <c r="H1661" i="1"/>
  <c r="I1664" i="1"/>
  <c r="H1665" i="1"/>
  <c r="H1671" i="1"/>
  <c r="I1669" i="1"/>
  <c r="G1627" i="1"/>
  <c r="G1629" i="1"/>
  <c r="G1625" i="1"/>
  <c r="G1623" i="1"/>
  <c r="H1610" i="1"/>
  <c r="G1612" i="1"/>
  <c r="G1611" i="1"/>
  <c r="G1705" i="1"/>
  <c r="G1674" i="1"/>
  <c r="G1676" i="1"/>
  <c r="G1692" i="1"/>
  <c r="G1682" i="1"/>
  <c r="G1597" i="1"/>
  <c r="G1690" i="1"/>
  <c r="G1680" i="1"/>
  <c r="E129" i="33"/>
  <c r="G129" i="33"/>
  <c r="H1964" i="1"/>
  <c r="P1964" i="1"/>
  <c r="E140" i="33"/>
  <c r="Y1974" i="1"/>
  <c r="E138" i="33"/>
  <c r="G138" i="33"/>
  <c r="E137" i="33"/>
  <c r="B137" i="33"/>
  <c r="H1999" i="1"/>
  <c r="P1999" i="1"/>
  <c r="C1999" i="1"/>
  <c r="G1956" i="1"/>
  <c r="G1949" i="1"/>
  <c r="G1996" i="1"/>
  <c r="G1943" i="1"/>
  <c r="G1940" i="1"/>
  <c r="Y1938" i="1"/>
  <c r="G1935" i="1"/>
  <c r="G1937" i="1"/>
  <c r="G1931" i="1"/>
  <c r="G1933" i="1"/>
  <c r="Y1930" i="1"/>
  <c r="G1919" i="1"/>
  <c r="G1997" i="1"/>
  <c r="Y1918" i="1"/>
  <c r="G1920" i="1"/>
  <c r="H2120" i="1"/>
  <c r="P2120" i="1"/>
  <c r="H2124" i="1"/>
  <c r="M2124" i="1"/>
  <c r="H2173" i="1"/>
  <c r="Y2173" i="1"/>
  <c r="H2220" i="1"/>
  <c r="I2281" i="1"/>
  <c r="I2290" i="1"/>
  <c r="H1839" i="1"/>
  <c r="P1839" i="1"/>
  <c r="G1762" i="1"/>
  <c r="G1764" i="1"/>
  <c r="G1058" i="1"/>
  <c r="G952" i="1"/>
  <c r="M898" i="1"/>
  <c r="M897" i="1"/>
  <c r="N874" i="1"/>
  <c r="N873" i="1"/>
  <c r="N864" i="1"/>
  <c r="R793" i="1"/>
  <c r="M784" i="1"/>
  <c r="M827" i="1"/>
  <c r="N775" i="1"/>
  <c r="M937" i="1"/>
  <c r="N918" i="1"/>
  <c r="M909" i="1"/>
  <c r="M908" i="1"/>
  <c r="M805" i="1"/>
  <c r="M796" i="1"/>
  <c r="M795" i="1"/>
  <c r="G499" i="1"/>
  <c r="G468" i="1"/>
  <c r="G300" i="1"/>
  <c r="G289" i="1"/>
  <c r="G281" i="1"/>
  <c r="G254" i="1"/>
  <c r="G241" i="1"/>
  <c r="G231" i="1"/>
  <c r="H2053" i="1"/>
  <c r="G1033" i="1"/>
  <c r="H1681" i="1"/>
  <c r="K1729" i="1"/>
  <c r="H1871" i="1"/>
  <c r="H1988" i="1"/>
  <c r="L1988" i="1"/>
  <c r="H1749" i="1"/>
  <c r="H1747" i="1"/>
  <c r="P1747" i="1"/>
  <c r="H1869" i="1"/>
  <c r="P1869" i="1"/>
  <c r="C1869" i="1"/>
  <c r="G831" i="1"/>
  <c r="G1043" i="1"/>
  <c r="G1004" i="1"/>
  <c r="I1613" i="1"/>
  <c r="G959" i="1"/>
  <c r="H2191" i="1"/>
  <c r="H1957" i="1"/>
  <c r="P1957" i="1"/>
  <c r="E124" i="33"/>
  <c r="G124" i="33"/>
  <c r="Y1958" i="1"/>
  <c r="E80" i="33"/>
  <c r="G80" i="33"/>
  <c r="Y1914" i="1"/>
  <c r="H1941" i="1"/>
  <c r="L1941" i="1"/>
  <c r="H1942" i="1"/>
  <c r="P1942" i="1"/>
  <c r="E127" i="33"/>
  <c r="B127" i="33"/>
  <c r="E113" i="33"/>
  <c r="G113" i="33"/>
  <c r="H1979" i="1"/>
  <c r="P1979" i="1"/>
  <c r="I1599" i="1"/>
  <c r="I1604" i="1"/>
  <c r="I1606" i="1"/>
  <c r="J1463" i="1"/>
  <c r="G43" i="1"/>
  <c r="G51" i="1"/>
  <c r="G60" i="1"/>
  <c r="G123" i="1"/>
  <c r="G141" i="1"/>
  <c r="G149" i="1"/>
  <c r="G400" i="1"/>
  <c r="G529" i="1"/>
  <c r="I533" i="1"/>
  <c r="Y533" i="1"/>
  <c r="K534" i="1"/>
  <c r="H551" i="1"/>
  <c r="C551" i="1"/>
  <c r="H553" i="1"/>
  <c r="C553" i="1"/>
  <c r="G558" i="1"/>
  <c r="Y549" i="1"/>
  <c r="G559" i="1"/>
  <c r="V1206" i="1"/>
  <c r="Y1206" i="1" s="1"/>
  <c r="U1206" i="1"/>
  <c r="U1219" i="1"/>
  <c r="V1219" i="1"/>
  <c r="Y1219" i="1" s="1"/>
  <c r="U1235" i="1"/>
  <c r="V1235" i="1"/>
  <c r="Y1235" i="1" s="1"/>
  <c r="V1248" i="1"/>
  <c r="Y1248" i="1" s="1"/>
  <c r="U1248" i="1"/>
  <c r="U1261" i="1"/>
  <c r="V1261" i="1"/>
  <c r="Y1261" i="1" s="1"/>
  <c r="U1277" i="1"/>
  <c r="V1277" i="1"/>
  <c r="Y1277" i="1" s="1"/>
  <c r="V1290" i="1"/>
  <c r="Y1290" i="1" s="1"/>
  <c r="U1290" i="1"/>
  <c r="U1303" i="1"/>
  <c r="V1303" i="1"/>
  <c r="Y1303" i="1" s="1"/>
  <c r="V1320" i="1"/>
  <c r="Y1320" i="1" s="1"/>
  <c r="U1320" i="1"/>
  <c r="V1346" i="1"/>
  <c r="Y1346" i="1" s="1"/>
  <c r="U1346" i="1"/>
  <c r="V1358" i="1"/>
  <c r="Y1358" i="1" s="1"/>
  <c r="U1358" i="1"/>
  <c r="H1498" i="1"/>
  <c r="J1500" i="1"/>
  <c r="H1501" i="1"/>
  <c r="H1506" i="1"/>
  <c r="J1507" i="1"/>
  <c r="G1574" i="1"/>
  <c r="J1548" i="1"/>
  <c r="J1466" i="1"/>
  <c r="I1618" i="1"/>
  <c r="H1624" i="1"/>
  <c r="I1633" i="1"/>
  <c r="I1647" i="1"/>
  <c r="H1648" i="1"/>
  <c r="H1650" i="1"/>
  <c r="H1646" i="1"/>
  <c r="H1631" i="1"/>
  <c r="H1991" i="1"/>
  <c r="P1991" i="1"/>
  <c r="C1991" i="1"/>
  <c r="H2008" i="1"/>
  <c r="G2089" i="1"/>
  <c r="Y2006" i="1"/>
  <c r="G2091" i="1"/>
  <c r="H2117" i="1"/>
  <c r="P2117" i="1"/>
  <c r="H2151" i="1"/>
  <c r="H2152" i="1"/>
  <c r="H2161" i="1"/>
  <c r="H2162" i="1"/>
  <c r="G2165" i="1"/>
  <c r="H2160" i="1"/>
  <c r="H2187" i="1"/>
  <c r="H2150" i="1"/>
  <c r="H2163" i="1"/>
  <c r="G2194" i="1"/>
  <c r="Y2169" i="1"/>
  <c r="H1872" i="1"/>
  <c r="Y1872" i="1"/>
  <c r="H1870" i="1"/>
  <c r="E235" i="42"/>
  <c r="B235" i="42"/>
  <c r="H1841" i="1"/>
  <c r="E194" i="42"/>
  <c r="K1773" i="1"/>
  <c r="H1772" i="1"/>
  <c r="K1770" i="1"/>
  <c r="K1755" i="1"/>
  <c r="K1753" i="1"/>
  <c r="K1752" i="1"/>
  <c r="K1751" i="1"/>
  <c r="K1738" i="1"/>
  <c r="H1732" i="1"/>
  <c r="H1730" i="1"/>
  <c r="K1728" i="1"/>
  <c r="K1727" i="1"/>
  <c r="H1726" i="1"/>
  <c r="K1725" i="1"/>
  <c r="H1724" i="1"/>
  <c r="H1719" i="1"/>
  <c r="H1715" i="1"/>
  <c r="H1714" i="1"/>
  <c r="G951" i="1"/>
  <c r="G508" i="1"/>
  <c r="G451" i="1"/>
  <c r="G333" i="1"/>
  <c r="G324" i="1"/>
  <c r="G314" i="1"/>
  <c r="N2011" i="1"/>
  <c r="I2301" i="1"/>
  <c r="I1624" i="1"/>
  <c r="H1770" i="1"/>
  <c r="G137" i="33"/>
  <c r="I2311" i="1"/>
  <c r="D152" i="31"/>
  <c r="C135" i="31"/>
  <c r="G155" i="31"/>
  <c r="G163" i="31"/>
  <c r="C174" i="42"/>
  <c r="B271" i="42"/>
  <c r="G171" i="31"/>
  <c r="H1947" i="1"/>
  <c r="P1947" i="1"/>
  <c r="D238" i="42"/>
  <c r="D258" i="42"/>
  <c r="H1961" i="1"/>
  <c r="P1961" i="1"/>
  <c r="G1995" i="1"/>
  <c r="C112" i="35"/>
  <c r="C126" i="42"/>
  <c r="C78" i="34"/>
  <c r="B161" i="31"/>
  <c r="G174" i="31"/>
  <c r="D213" i="42"/>
  <c r="C76" i="35"/>
  <c r="D214" i="42"/>
  <c r="C124" i="35"/>
  <c r="H1958" i="1"/>
  <c r="P1958" i="1"/>
  <c r="C130" i="42"/>
  <c r="D158" i="42"/>
  <c r="C104" i="35"/>
  <c r="C136" i="42"/>
  <c r="C196" i="42"/>
  <c r="L534" i="1"/>
  <c r="G104" i="31"/>
  <c r="H1613" i="1"/>
  <c r="C94" i="31"/>
  <c r="C137" i="42"/>
  <c r="E107" i="33"/>
  <c r="G107" i="33"/>
  <c r="K1747" i="1"/>
  <c r="D285" i="42"/>
  <c r="D92" i="31"/>
  <c r="C199" i="42"/>
  <c r="C124" i="31"/>
  <c r="G2186" i="1"/>
  <c r="D108" i="31"/>
  <c r="G103" i="31"/>
  <c r="D172" i="42"/>
  <c r="C220" i="42"/>
  <c r="C281" i="42"/>
  <c r="G212" i="42"/>
  <c r="B241" i="42"/>
  <c r="L533" i="1"/>
  <c r="C115" i="35"/>
  <c r="K1760" i="1"/>
  <c r="K1748" i="1"/>
  <c r="H1920" i="1"/>
  <c r="P1920" i="1"/>
  <c r="I1640" i="1"/>
  <c r="E97" i="33"/>
  <c r="G97" i="33"/>
  <c r="H1933" i="1"/>
  <c r="L1933" i="1"/>
  <c r="E122" i="33"/>
  <c r="G122" i="33"/>
  <c r="E85" i="33"/>
  <c r="G85" i="33"/>
  <c r="H1940" i="1"/>
  <c r="P1940" i="1"/>
  <c r="H1943" i="1"/>
  <c r="L1943" i="1"/>
  <c r="E111" i="33"/>
  <c r="G111" i="33"/>
  <c r="H1946" i="1"/>
  <c r="L1946" i="1"/>
  <c r="Y1946" i="1"/>
  <c r="H548" i="1"/>
  <c r="C548" i="1"/>
  <c r="Y548" i="1"/>
  <c r="G1270" i="1"/>
  <c r="G1313" i="1"/>
  <c r="J1499" i="1"/>
  <c r="H1505" i="1"/>
  <c r="J1547" i="1"/>
  <c r="H1550" i="1"/>
  <c r="H1632" i="1"/>
  <c r="H1638" i="1"/>
  <c r="H1609" i="1"/>
  <c r="H1602" i="1"/>
  <c r="E95" i="33"/>
  <c r="G95" i="33"/>
  <c r="H1873" i="1"/>
  <c r="K1843" i="1"/>
  <c r="Y1843" i="1"/>
  <c r="H1788" i="1"/>
  <c r="H1786" i="1"/>
  <c r="K1778" i="1"/>
  <c r="H1777" i="1"/>
  <c r="H1774" i="1"/>
  <c r="H1771" i="1"/>
  <c r="K1766" i="1"/>
  <c r="H1758" i="1"/>
  <c r="H1744" i="1"/>
  <c r="K1740" i="1"/>
  <c r="H1737" i="1"/>
  <c r="H1731" i="1"/>
  <c r="H1717" i="1"/>
  <c r="R1132" i="1"/>
  <c r="R1131" i="1"/>
  <c r="G1110" i="1"/>
  <c r="K1749" i="1"/>
  <c r="D239" i="42"/>
  <c r="D231" i="42"/>
  <c r="C141" i="42"/>
  <c r="C177" i="42"/>
  <c r="D165" i="42"/>
  <c r="C121" i="31"/>
  <c r="G253" i="42"/>
  <c r="G219" i="42"/>
  <c r="I1631" i="1"/>
  <c r="K533" i="1"/>
  <c r="E84" i="35"/>
  <c r="G84" i="35"/>
  <c r="D262" i="42"/>
  <c r="G210" i="42"/>
  <c r="D108" i="35"/>
  <c r="C131" i="31"/>
  <c r="E116" i="35"/>
  <c r="G116" i="35"/>
  <c r="C100" i="35"/>
  <c r="D246" i="42"/>
  <c r="D120" i="42"/>
  <c r="D278" i="42"/>
  <c r="C287" i="42"/>
  <c r="I1648" i="1"/>
  <c r="C206" i="42"/>
  <c r="C265" i="42"/>
  <c r="C181" i="42"/>
  <c r="H1618" i="1"/>
  <c r="C184" i="42"/>
  <c r="H1599" i="1"/>
  <c r="G168" i="31"/>
  <c r="D282" i="42"/>
  <c r="C92" i="35"/>
  <c r="D116" i="35"/>
  <c r="C96" i="35"/>
  <c r="C205" i="42"/>
  <c r="H1931" i="1"/>
  <c r="P1931" i="1"/>
  <c r="C248" i="42"/>
  <c r="B139" i="33"/>
  <c r="G170" i="31"/>
  <c r="B207" i="42"/>
  <c r="C170" i="42"/>
  <c r="G201" i="42"/>
  <c r="H1463" i="1"/>
  <c r="P1463" i="1"/>
  <c r="H1751" i="1"/>
  <c r="C128" i="35"/>
  <c r="H1614" i="1"/>
  <c r="I1615" i="1"/>
  <c r="C167" i="42"/>
  <c r="C182" i="42"/>
  <c r="D240" i="42"/>
  <c r="E130" i="42"/>
  <c r="B130" i="42"/>
  <c r="G304" i="42"/>
  <c r="E115" i="35"/>
  <c r="B115" i="35"/>
  <c r="G164" i="31"/>
  <c r="D103" i="35"/>
  <c r="C160" i="42"/>
  <c r="D149" i="31"/>
  <c r="C123" i="42"/>
  <c r="C226" i="42"/>
  <c r="D143" i="42"/>
  <c r="C175" i="42"/>
  <c r="C127" i="31"/>
  <c r="D210" i="42"/>
  <c r="C243" i="42"/>
  <c r="D197" i="42"/>
  <c r="C122" i="42"/>
  <c r="C189" i="42"/>
  <c r="N533" i="1"/>
  <c r="C193" i="42"/>
  <c r="D134" i="35"/>
  <c r="E152" i="42"/>
  <c r="G152" i="42" s="1"/>
  <c r="G153" i="42" s="1"/>
  <c r="G154" i="42"/>
  <c r="B120" i="33"/>
  <c r="H1606" i="1"/>
  <c r="C98" i="35"/>
  <c r="C291" i="42"/>
  <c r="D201" i="42"/>
  <c r="G242" i="42"/>
  <c r="E185" i="31"/>
  <c r="G185" i="31"/>
  <c r="D96" i="31"/>
  <c r="E108" i="33"/>
  <c r="G108" i="33"/>
  <c r="C235" i="42"/>
  <c r="B162" i="31"/>
  <c r="G199" i="42"/>
  <c r="B191" i="42"/>
  <c r="G542" i="1"/>
  <c r="K1714" i="1"/>
  <c r="G187" i="42"/>
  <c r="E126" i="35"/>
  <c r="C116" i="31"/>
  <c r="H1640" i="1"/>
  <c r="E167" i="42"/>
  <c r="G167" i="42"/>
  <c r="G168" i="42"/>
  <c r="G169" i="42"/>
  <c r="G170" i="42" s="1"/>
  <c r="G171" i="42" s="1"/>
  <c r="G172" i="42" s="1"/>
  <c r="C152" i="42"/>
  <c r="H1956" i="1"/>
  <c r="P1956" i="1"/>
  <c r="C194" i="42"/>
  <c r="C150" i="42"/>
  <c r="B185" i="42"/>
  <c r="C107" i="31"/>
  <c r="H1499" i="1"/>
  <c r="G226" i="42"/>
  <c r="D288" i="42"/>
  <c r="C161" i="42"/>
  <c r="C202" i="42"/>
  <c r="K1719" i="1"/>
  <c r="G261" i="42"/>
  <c r="H1725" i="1"/>
  <c r="N2008" i="1"/>
  <c r="D106" i="35"/>
  <c r="E123" i="33"/>
  <c r="G123" i="33"/>
  <c r="G141" i="33"/>
  <c r="D78" i="35"/>
  <c r="D82" i="35"/>
  <c r="B158" i="31"/>
  <c r="C72" i="34"/>
  <c r="D86" i="35"/>
  <c r="C126" i="35"/>
  <c r="C171" i="42"/>
  <c r="D244" i="42"/>
  <c r="B251" i="42"/>
  <c r="D125" i="35"/>
  <c r="E99" i="33"/>
  <c r="G99" i="33"/>
  <c r="H1604" i="1"/>
  <c r="D187" i="42"/>
  <c r="G167" i="31"/>
  <c r="G195" i="42"/>
  <c r="G246" i="42"/>
  <c r="D110" i="35"/>
  <c r="D97" i="31"/>
  <c r="G96" i="33"/>
  <c r="D123" i="31"/>
  <c r="B189" i="42"/>
  <c r="C284" i="42"/>
  <c r="I1646" i="1"/>
  <c r="I1650" i="1"/>
  <c r="D146" i="31"/>
  <c r="D130" i="35"/>
  <c r="E82" i="35"/>
  <c r="G82" i="35"/>
  <c r="C118" i="42"/>
  <c r="D223" i="42"/>
  <c r="E144" i="33"/>
  <c r="G144" i="33"/>
  <c r="B138" i="33"/>
  <c r="C102" i="35"/>
  <c r="C276" i="42"/>
  <c r="C76" i="34"/>
  <c r="H1752" i="1"/>
  <c r="G1489" i="23"/>
  <c r="H1489" i="23"/>
  <c r="A1489" i="23"/>
  <c r="G20" i="114"/>
  <c r="D20" i="114" s="1"/>
  <c r="D119" i="31"/>
  <c r="G259" i="42"/>
  <c r="G130" i="33"/>
  <c r="G166" i="31"/>
  <c r="D267" i="42"/>
  <c r="E109" i="33"/>
  <c r="G109" i="33"/>
  <c r="D112" i="31"/>
  <c r="C279" i="42"/>
  <c r="G1570" i="1"/>
  <c r="C283" i="42"/>
  <c r="D139" i="31"/>
  <c r="E86" i="33"/>
  <c r="G86" i="33"/>
  <c r="N2067" i="1"/>
  <c r="I1595" i="1"/>
  <c r="H1595" i="1"/>
  <c r="H1914" i="1"/>
  <c r="P1914" i="1"/>
  <c r="C1914" i="1"/>
  <c r="H1466" i="1"/>
  <c r="P1466" i="1"/>
  <c r="C1466" i="1"/>
  <c r="G1560" i="1"/>
  <c r="G1565" i="1"/>
  <c r="F68" i="34"/>
  <c r="F109" i="31"/>
  <c r="E138" i="42"/>
  <c r="C138" i="42"/>
  <c r="C144" i="42"/>
  <c r="E144" i="42"/>
  <c r="C159" i="42"/>
  <c r="D159" i="42"/>
  <c r="D179" i="42"/>
  <c r="E179" i="42"/>
  <c r="G179" i="42" s="1"/>
  <c r="D74" i="35"/>
  <c r="C74" i="35"/>
  <c r="D94" i="35"/>
  <c r="E94" i="35"/>
  <c r="G94" i="35"/>
  <c r="D114" i="35"/>
  <c r="C114" i="35"/>
  <c r="C120" i="35"/>
  <c r="D120" i="35"/>
  <c r="D132" i="42"/>
  <c r="C94" i="35"/>
  <c r="D118" i="35"/>
  <c r="E78" i="35"/>
  <c r="G78" i="35"/>
  <c r="G195" i="31"/>
  <c r="E80" i="34"/>
  <c r="C80" i="34"/>
  <c r="D70" i="34"/>
  <c r="C70" i="34"/>
  <c r="E68" i="34"/>
  <c r="G68" i="34"/>
  <c r="D68" i="34"/>
  <c r="B156" i="31"/>
  <c r="G156" i="31"/>
  <c r="D147" i="31"/>
  <c r="C147" i="31"/>
  <c r="D143" i="31"/>
  <c r="C143" i="31"/>
  <c r="D137" i="31"/>
  <c r="C137" i="31"/>
  <c r="B102" i="31"/>
  <c r="G102" i="31"/>
  <c r="D93" i="31"/>
  <c r="C93" i="31"/>
  <c r="G222" i="42"/>
  <c r="B222" i="42"/>
  <c r="C299" i="42"/>
  <c r="D299" i="42"/>
  <c r="D295" i="42"/>
  <c r="C295" i="42"/>
  <c r="C277" i="42"/>
  <c r="D277" i="42"/>
  <c r="D269" i="42"/>
  <c r="C269" i="42"/>
  <c r="D264" i="42"/>
  <c r="C264" i="42"/>
  <c r="C253" i="42"/>
  <c r="D253" i="42"/>
  <c r="D233" i="42"/>
  <c r="C233" i="42"/>
  <c r="D222" i="42"/>
  <c r="C222" i="42"/>
  <c r="D218" i="42"/>
  <c r="C218" i="42"/>
  <c r="C212" i="42"/>
  <c r="D212" i="42"/>
  <c r="D185" i="42"/>
  <c r="C185" i="42"/>
  <c r="D154" i="42"/>
  <c r="C154" i="42"/>
  <c r="D149" i="42"/>
  <c r="C149" i="42"/>
  <c r="B240" i="42"/>
  <c r="G240" i="42"/>
  <c r="G208" i="42"/>
  <c r="B208" i="42"/>
  <c r="B217" i="42"/>
  <c r="G217" i="42"/>
  <c r="I1609" i="1"/>
  <c r="H1755" i="1"/>
  <c r="P1755" i="1"/>
  <c r="C1755" i="1"/>
  <c r="E124" i="35"/>
  <c r="B124" i="35" s="1"/>
  <c r="E134" i="35"/>
  <c r="H2023" i="1"/>
  <c r="P2023" i="1"/>
  <c r="C2023" i="1"/>
  <c r="E106" i="35"/>
  <c r="G106" i="35" s="1"/>
  <c r="E110" i="35"/>
  <c r="G110" i="35"/>
  <c r="G2105" i="1"/>
  <c r="N2034" i="1"/>
  <c r="G2010" i="1"/>
  <c r="E74" i="34"/>
  <c r="G74" i="34" s="1"/>
  <c r="E96" i="35"/>
  <c r="B96" i="35"/>
  <c r="E86" i="35"/>
  <c r="N2027" i="1"/>
  <c r="H2121" i="1"/>
  <c r="P2121" i="1"/>
  <c r="C2121" i="1"/>
  <c r="E122" i="35"/>
  <c r="G122" i="35"/>
  <c r="N2051" i="1"/>
  <c r="N2026" i="1"/>
  <c r="B80" i="35"/>
  <c r="E128" i="35"/>
  <c r="G128" i="35"/>
  <c r="G1981" i="23"/>
  <c r="C1847" i="23"/>
  <c r="G1907" i="23"/>
  <c r="G1959" i="23"/>
  <c r="G1687" i="23"/>
  <c r="G606" i="23"/>
  <c r="BG134" i="70"/>
  <c r="AL69" i="61"/>
  <c r="R182" i="16"/>
  <c r="EK182" i="16"/>
  <c r="EK184" i="16"/>
  <c r="EB182" i="16"/>
  <c r="CX182" i="16"/>
  <c r="CX184" i="16"/>
  <c r="GK95" i="16"/>
  <c r="GK184" i="16"/>
  <c r="GN95" i="16"/>
  <c r="B201" i="31"/>
  <c r="G201" i="31"/>
  <c r="BF293" i="70"/>
  <c r="P229" i="70"/>
  <c r="BD134" i="70"/>
  <c r="X95" i="16"/>
  <c r="J14" i="1"/>
  <c r="CC95" i="16"/>
  <c r="CC184" i="16"/>
  <c r="M571" i="1"/>
  <c r="M583" i="1"/>
  <c r="CD95" i="16"/>
  <c r="CD184" i="16"/>
  <c r="J599" i="1"/>
  <c r="J600" i="1" s="1"/>
  <c r="CE95" i="16"/>
  <c r="O95" i="16"/>
  <c r="O184" i="16"/>
  <c r="CP95" i="16"/>
  <c r="CY95" i="16"/>
  <c r="CW95" i="16"/>
  <c r="DC95" i="16"/>
  <c r="DC184" i="16"/>
  <c r="BU95" i="16"/>
  <c r="DW95" i="16"/>
  <c r="DW184" i="16"/>
  <c r="G1539" i="1"/>
  <c r="DK95" i="16"/>
  <c r="G69" i="61"/>
  <c r="C75" i="61"/>
  <c r="D2149" i="1"/>
  <c r="G2149" i="1"/>
  <c r="I2215" i="1"/>
  <c r="P2215" i="1"/>
  <c r="C2215" i="1"/>
  <c r="AJ184" i="16"/>
  <c r="G198" i="31"/>
  <c r="D69" i="61"/>
  <c r="BD69" i="61"/>
  <c r="AZ69" i="61"/>
  <c r="AU69" i="61"/>
  <c r="AT69" i="61"/>
  <c r="F184" i="16"/>
  <c r="GE182" i="16"/>
  <c r="W182" i="16"/>
  <c r="GR182" i="16"/>
  <c r="GO182" i="16"/>
  <c r="GF182" i="16"/>
  <c r="ET182" i="16"/>
  <c r="EL182" i="16"/>
  <c r="EL184" i="16"/>
  <c r="DR182" i="16"/>
  <c r="DI182" i="16"/>
  <c r="DI184" i="16"/>
  <c r="CA182" i="16"/>
  <c r="CA184" i="16"/>
  <c r="BT182" i="16"/>
  <c r="BM182" i="16"/>
  <c r="AP182" i="16"/>
  <c r="AP184" i="16"/>
  <c r="AM182" i="16"/>
  <c r="AL182" i="16"/>
  <c r="AE182" i="16"/>
  <c r="AE184" i="16"/>
  <c r="GM182" i="16"/>
  <c r="DV182" i="16"/>
  <c r="DV184" i="16"/>
  <c r="DL182" i="16"/>
  <c r="CO182" i="16"/>
  <c r="AO182" i="16"/>
  <c r="GL182" i="16"/>
  <c r="GL184" i="16"/>
  <c r="GH182" i="16"/>
  <c r="GH184" i="16"/>
  <c r="FY182" i="16"/>
  <c r="FL182" i="16"/>
  <c r="FL184" i="16"/>
  <c r="FA182" i="16"/>
  <c r="EE182" i="16"/>
  <c r="EE184" i="16"/>
  <c r="DU182" i="16"/>
  <c r="DJ182" i="16"/>
  <c r="CB182" i="16"/>
  <c r="AV182" i="16"/>
  <c r="AV184" i="16"/>
  <c r="AR182" i="16"/>
  <c r="Q182" i="16"/>
  <c r="CO95" i="16"/>
  <c r="EX95" i="16"/>
  <c r="EX184" i="16"/>
  <c r="GQ95" i="16"/>
  <c r="GQ184" i="16"/>
  <c r="D95" i="16"/>
  <c r="GF95" i="16"/>
  <c r="DT95" i="16"/>
  <c r="DT184" i="16"/>
  <c r="BM95" i="16"/>
  <c r="J184" i="16"/>
  <c r="C26" i="34"/>
  <c r="G203" i="31"/>
  <c r="CS307" i="70"/>
  <c r="CQ307" i="70"/>
  <c r="CG307" i="70"/>
  <c r="CE307" i="70"/>
  <c r="BN307" i="70"/>
  <c r="BI307" i="70"/>
  <c r="BD307" i="70"/>
  <c r="AZ307" i="70"/>
  <c r="AX307" i="70"/>
  <c r="AQ307" i="70"/>
  <c r="AN307" i="70"/>
  <c r="AB307" i="70"/>
  <c r="M307" i="70"/>
  <c r="CR307" i="70"/>
  <c r="CI307" i="70"/>
  <c r="AG307" i="70"/>
  <c r="C307" i="70"/>
  <c r="CU229" i="70"/>
  <c r="CF229" i="70"/>
  <c r="BK229" i="70"/>
  <c r="BI229" i="70"/>
  <c r="AZ229" i="70"/>
  <c r="L229" i="70"/>
  <c r="H229" i="70"/>
  <c r="BG189" i="70"/>
  <c r="O134" i="70"/>
  <c r="AE134" i="70"/>
  <c r="AG134" i="70"/>
  <c r="AN134" i="70"/>
  <c r="D12" i="35"/>
  <c r="C12" i="35"/>
  <c r="FZ95" i="16"/>
  <c r="FZ184" i="16"/>
  <c r="GC95" i="16"/>
  <c r="FK95" i="16"/>
  <c r="Y182" i="16"/>
  <c r="AH95" i="16"/>
  <c r="AL95" i="16"/>
  <c r="AO95" i="16"/>
  <c r="DD182" i="16"/>
  <c r="DD184" i="16"/>
  <c r="J1036" i="1"/>
  <c r="BB182" i="16"/>
  <c r="BO182" i="16"/>
  <c r="BO184" i="16"/>
  <c r="J1194" i="1"/>
  <c r="J1197" i="1" s="1"/>
  <c r="I1660" i="1"/>
  <c r="H1660" i="1"/>
  <c r="P1660" i="1"/>
  <c r="C1660" i="1"/>
  <c r="I1607" i="1"/>
  <c r="H1607" i="1"/>
  <c r="P1607" i="1"/>
  <c r="C1607" i="1"/>
  <c r="G1688" i="1"/>
  <c r="F123" i="42"/>
  <c r="EJ95" i="16"/>
  <c r="EJ184" i="16"/>
  <c r="L970" i="1"/>
  <c r="J970" i="1"/>
  <c r="R963" i="1"/>
  <c r="L963" i="1"/>
  <c r="H963" i="1"/>
  <c r="Q841" i="1"/>
  <c r="N841" i="1"/>
  <c r="Q816" i="1"/>
  <c r="M816" i="1"/>
  <c r="N765" i="1"/>
  <c r="L765" i="1"/>
  <c r="O765" i="1"/>
  <c r="Q929" i="1"/>
  <c r="N929" i="1"/>
  <c r="L929" i="1"/>
  <c r="N659" i="1"/>
  <c r="L659" i="1"/>
  <c r="CC307" i="70"/>
  <c r="CA307" i="70"/>
  <c r="BU307" i="70"/>
  <c r="BM307" i="70"/>
  <c r="BK307" i="70"/>
  <c r="AS307" i="70"/>
  <c r="AF307" i="70"/>
  <c r="AA307" i="70"/>
  <c r="Y307" i="70"/>
  <c r="S307" i="70"/>
  <c r="R307" i="70"/>
  <c r="CN298" i="70"/>
  <c r="CN293" i="70"/>
  <c r="BG293" i="70"/>
  <c r="G307" i="70"/>
  <c r="CN255" i="70"/>
  <c r="CE229" i="70"/>
  <c r="BO229" i="70"/>
  <c r="BM229" i="70"/>
  <c r="BD229" i="70"/>
  <c r="AV229" i="70"/>
  <c r="AG229" i="70"/>
  <c r="CP229" i="70"/>
  <c r="BP229" i="70"/>
  <c r="BS229" i="70"/>
  <c r="X134" i="70"/>
  <c r="AF134" i="70"/>
  <c r="AW134" i="70"/>
  <c r="BH134" i="70"/>
  <c r="CX134" i="70"/>
  <c r="FO95" i="16"/>
  <c r="FO184" i="16"/>
  <c r="EV95" i="16"/>
  <c r="EV184" i="16"/>
  <c r="FD95" i="16"/>
  <c r="FE95" i="16"/>
  <c r="FE184" i="16"/>
  <c r="FS182" i="16"/>
  <c r="ER95" i="16"/>
  <c r="U69" i="61"/>
  <c r="V69" i="61"/>
  <c r="O75" i="1"/>
  <c r="O78" i="1" s="1"/>
  <c r="AB95" i="16"/>
  <c r="AG95" i="16"/>
  <c r="AG184" i="16"/>
  <c r="AN95" i="16"/>
  <c r="AN184" i="16"/>
  <c r="AR95" i="16"/>
  <c r="AU95" i="16"/>
  <c r="AU184" i="16"/>
  <c r="AX95" i="16"/>
  <c r="AX184" i="16"/>
  <c r="AY95" i="16"/>
  <c r="AE69" i="61"/>
  <c r="S95" i="16"/>
  <c r="CR95" i="16"/>
  <c r="DD95" i="16"/>
  <c r="BE95" i="16"/>
  <c r="BB95" i="16"/>
  <c r="BH95" i="16"/>
  <c r="BH184" i="16"/>
  <c r="J1137" i="1"/>
  <c r="J1144" i="1" s="1"/>
  <c r="I1342" i="1"/>
  <c r="BS95" i="16"/>
  <c r="BW95" i="16"/>
  <c r="DS95" i="16"/>
  <c r="EC95" i="16"/>
  <c r="G1544" i="1"/>
  <c r="BP95" i="16"/>
  <c r="DN95" i="16"/>
  <c r="BK69" i="61"/>
  <c r="G2175" i="1"/>
  <c r="AO69" i="61"/>
  <c r="G2177" i="1"/>
  <c r="AB69" i="61"/>
  <c r="G2157" i="1"/>
  <c r="AA69" i="61"/>
  <c r="G2156" i="1"/>
  <c r="G1721" i="23"/>
  <c r="G995" i="1"/>
  <c r="G2014" i="1"/>
  <c r="H1162" i="23"/>
  <c r="E65" i="74"/>
  <c r="E27" i="90"/>
  <c r="H1138" i="23"/>
  <c r="E63" i="74"/>
  <c r="E25" i="90"/>
  <c r="G1041" i="23"/>
  <c r="H1041" i="23"/>
  <c r="A1041" i="23"/>
  <c r="E105" i="35"/>
  <c r="B105" i="35" s="1"/>
  <c r="J1538" i="1"/>
  <c r="H1296" i="23"/>
  <c r="A1296" i="23"/>
  <c r="H1293" i="23"/>
  <c r="A1293" i="23"/>
  <c r="A1294" i="23"/>
  <c r="G1285" i="23"/>
  <c r="H1285" i="23"/>
  <c r="A1285" i="23"/>
  <c r="H1279" i="23"/>
  <c r="A1279" i="23"/>
  <c r="A1280" i="23"/>
  <c r="G1268" i="23"/>
  <c r="H1268" i="23"/>
  <c r="A1268" i="23"/>
  <c r="H1260" i="23"/>
  <c r="A1260" i="23"/>
  <c r="A1261" i="23"/>
  <c r="G1256" i="23"/>
  <c r="H1256" i="23"/>
  <c r="A1256" i="23"/>
  <c r="H1254" i="23"/>
  <c r="H1242" i="23"/>
  <c r="A1242" i="23"/>
  <c r="A1243" i="23"/>
  <c r="H1139" i="23"/>
  <c r="G1146" i="23"/>
  <c r="H1146" i="23"/>
  <c r="A1146" i="23"/>
  <c r="H1145" i="23"/>
  <c r="A1145" i="23"/>
  <c r="G1154" i="23"/>
  <c r="H1154" i="23"/>
  <c r="A1154" i="23"/>
  <c r="H1153" i="23"/>
  <c r="A1153" i="23"/>
  <c r="G1250" i="23"/>
  <c r="H1250" i="23"/>
  <c r="A1250" i="23"/>
  <c r="H1253" i="23"/>
  <c r="A1253" i="23"/>
  <c r="G1174" i="23"/>
  <c r="H1174" i="23"/>
  <c r="A1174" i="23"/>
  <c r="H1171" i="23"/>
  <c r="A1171" i="23"/>
  <c r="A1172" i="23"/>
  <c r="C128" i="42"/>
  <c r="C104" i="31"/>
  <c r="C105" i="31"/>
  <c r="H682" i="1"/>
  <c r="G682" i="1"/>
  <c r="N2089" i="1"/>
  <c r="H2089" i="1"/>
  <c r="P2089" i="1"/>
  <c r="C2089" i="1"/>
  <c r="C83" i="34"/>
  <c r="E73" i="34"/>
  <c r="B73" i="34" s="1"/>
  <c r="D73" i="34"/>
  <c r="D71" i="34"/>
  <c r="C71" i="34"/>
  <c r="G183" i="31"/>
  <c r="B183" i="31"/>
  <c r="D151" i="31"/>
  <c r="E151" i="31"/>
  <c r="G151" i="31" s="1"/>
  <c r="D150" i="31"/>
  <c r="C150" i="31"/>
  <c r="D142" i="31"/>
  <c r="C142" i="31"/>
  <c r="D140" i="31"/>
  <c r="E140" i="31"/>
  <c r="B140" i="31"/>
  <c r="C138" i="31"/>
  <c r="D138" i="31"/>
  <c r="D128" i="31"/>
  <c r="C128" i="31"/>
  <c r="C126" i="31"/>
  <c r="D126" i="31"/>
  <c r="D120" i="31"/>
  <c r="C120" i="31"/>
  <c r="D118" i="31"/>
  <c r="C118" i="31"/>
  <c r="D110" i="31"/>
  <c r="C110" i="31"/>
  <c r="C109" i="31"/>
  <c r="D109" i="31"/>
  <c r="C106" i="31"/>
  <c r="D106" i="31"/>
  <c r="G100" i="31"/>
  <c r="B100" i="31"/>
  <c r="G303" i="42"/>
  <c r="G272" i="42"/>
  <c r="B272" i="42"/>
  <c r="D298" i="42"/>
  <c r="C298" i="42"/>
  <c r="D292" i="42"/>
  <c r="C292" i="42"/>
  <c r="D290" i="42"/>
  <c r="C290" i="42"/>
  <c r="C286" i="42"/>
  <c r="D286" i="42"/>
  <c r="D280" i="42"/>
  <c r="C280" i="42"/>
  <c r="D270" i="42"/>
  <c r="C270" i="42"/>
  <c r="D268" i="42"/>
  <c r="C268" i="42"/>
  <c r="C266" i="42"/>
  <c r="D266" i="42"/>
  <c r="C259" i="42"/>
  <c r="D259" i="42"/>
  <c r="D256" i="42"/>
  <c r="C256" i="42"/>
  <c r="C254" i="42"/>
  <c r="D254" i="42"/>
  <c r="C250" i="42"/>
  <c r="D250" i="42"/>
  <c r="C230" i="42"/>
  <c r="D230" i="42"/>
  <c r="C225" i="42"/>
  <c r="D225" i="42"/>
  <c r="D217" i="42"/>
  <c r="C217" i="42"/>
  <c r="D211" i="42"/>
  <c r="C211" i="42"/>
  <c r="C207" i="42"/>
  <c r="D207" i="42"/>
  <c r="C192" i="42"/>
  <c r="D192" i="42"/>
  <c r="D190" i="42"/>
  <c r="C190" i="42"/>
  <c r="C180" i="42"/>
  <c r="D180" i="42"/>
  <c r="C147" i="42"/>
  <c r="D147" i="42"/>
  <c r="D145" i="42"/>
  <c r="C145" i="42"/>
  <c r="D139" i="42"/>
  <c r="C139" i="42"/>
  <c r="D203" i="42"/>
  <c r="C203" i="42"/>
  <c r="G270" i="42"/>
  <c r="B270" i="42"/>
  <c r="B254" i="42"/>
  <c r="G254" i="42"/>
  <c r="G209" i="42"/>
  <c r="B209" i="42"/>
  <c r="B216" i="42"/>
  <c r="G216" i="42"/>
  <c r="B190" i="42"/>
  <c r="G190" i="42"/>
  <c r="B192" i="42"/>
  <c r="G192" i="42"/>
  <c r="B194" i="42"/>
  <c r="G194" i="42"/>
  <c r="B196" i="42"/>
  <c r="G196" i="42"/>
  <c r="E117" i="42"/>
  <c r="D117" i="42"/>
  <c r="C117" i="42"/>
  <c r="E121" i="42"/>
  <c r="C121" i="42"/>
  <c r="D124" i="42"/>
  <c r="C124" i="42"/>
  <c r="C131" i="42"/>
  <c r="E131" i="42"/>
  <c r="C173" i="42"/>
  <c r="D173" i="42"/>
  <c r="D73" i="35"/>
  <c r="C73" i="35"/>
  <c r="E83" i="35"/>
  <c r="G83" i="35"/>
  <c r="D83" i="35"/>
  <c r="C83" i="35"/>
  <c r="D99" i="35"/>
  <c r="C99" i="35"/>
  <c r="C101" i="35"/>
  <c r="D101" i="35"/>
  <c r="D107" i="35"/>
  <c r="E107" i="35"/>
  <c r="B107" i="35" s="1"/>
  <c r="C123" i="35"/>
  <c r="D123" i="35"/>
  <c r="D127" i="35"/>
  <c r="C127" i="35"/>
  <c r="E68" i="35"/>
  <c r="G68" i="35" s="1"/>
  <c r="D68" i="35"/>
  <c r="C72" i="35"/>
  <c r="D125" i="42"/>
  <c r="C125" i="42"/>
  <c r="N532" i="1"/>
  <c r="G541" i="1"/>
  <c r="J532" i="1"/>
  <c r="K532" i="1"/>
  <c r="I532" i="1"/>
  <c r="L532" i="1"/>
  <c r="N534" i="1"/>
  <c r="J534" i="1"/>
  <c r="G543" i="1"/>
  <c r="I534" i="1"/>
  <c r="J1504" i="1"/>
  <c r="H1504" i="1"/>
  <c r="P1504" i="1"/>
  <c r="C1504" i="1"/>
  <c r="E187" i="31"/>
  <c r="G187" i="31"/>
  <c r="J1550" i="1"/>
  <c r="H1459" i="1"/>
  <c r="P1459" i="1"/>
  <c r="C1459" i="1"/>
  <c r="J1459" i="1"/>
  <c r="I1611" i="1"/>
  <c r="H1611" i="1"/>
  <c r="P1611" i="1"/>
  <c r="C1611" i="1"/>
  <c r="H1623" i="1"/>
  <c r="P1623" i="1"/>
  <c r="C1623" i="1"/>
  <c r="I1623" i="1"/>
  <c r="I1625" i="1"/>
  <c r="H1625" i="1"/>
  <c r="P1625" i="1"/>
  <c r="C1625" i="1"/>
  <c r="H1649" i="1"/>
  <c r="I1649" i="1"/>
  <c r="H1651" i="1"/>
  <c r="P1651" i="1"/>
  <c r="C1651" i="1"/>
  <c r="I1651" i="1"/>
  <c r="G1653" i="1"/>
  <c r="H1645" i="1"/>
  <c r="P1645" i="1"/>
  <c r="C1645" i="1"/>
  <c r="H1637" i="1"/>
  <c r="P1637" i="1"/>
  <c r="C1637" i="1"/>
  <c r="I1637" i="1"/>
  <c r="N2013" i="1"/>
  <c r="H2013" i="1"/>
  <c r="P2013" i="1"/>
  <c r="C2013" i="1"/>
  <c r="N2006" i="1"/>
  <c r="H2006" i="1"/>
  <c r="P2006" i="1"/>
  <c r="C2006" i="1"/>
  <c r="H2115" i="1"/>
  <c r="P2115" i="1"/>
  <c r="C2115" i="1"/>
  <c r="G2131" i="1"/>
  <c r="G2166" i="1"/>
  <c r="H2165" i="1"/>
  <c r="P2165" i="1"/>
  <c r="C2165" i="1"/>
  <c r="H2169" i="1"/>
  <c r="P2169" i="1"/>
  <c r="C2169" i="1"/>
  <c r="G2170" i="1"/>
  <c r="I2316" i="1"/>
  <c r="I2314" i="1"/>
  <c r="I2312" i="1"/>
  <c r="I2318" i="1"/>
  <c r="I2306" i="1"/>
  <c r="I2304" i="1"/>
  <c r="I2302" i="1"/>
  <c r="I2300" i="1"/>
  <c r="I2298" i="1"/>
  <c r="I2294" i="1"/>
  <c r="I2291" i="1"/>
  <c r="I2289" i="1"/>
  <c r="I2287" i="1"/>
  <c r="I2285" i="1"/>
  <c r="I2283" i="1"/>
  <c r="I2317" i="1"/>
  <c r="I2313" i="1"/>
  <c r="I2308" i="1"/>
  <c r="I2303" i="1"/>
  <c r="I2299" i="1"/>
  <c r="I2292" i="1"/>
  <c r="I2288" i="1"/>
  <c r="I2284" i="1"/>
  <c r="K1846" i="1"/>
  <c r="H1846" i="1"/>
  <c r="P1846" i="1"/>
  <c r="C1846" i="1"/>
  <c r="E233" i="42"/>
  <c r="H1844" i="1"/>
  <c r="P1844" i="1"/>
  <c r="C1844" i="1"/>
  <c r="H1842" i="1"/>
  <c r="P1842" i="1"/>
  <c r="C1842" i="1"/>
  <c r="E231" i="42"/>
  <c r="K1842" i="1"/>
  <c r="C97" i="35"/>
  <c r="C133" i="42"/>
  <c r="H550" i="1"/>
  <c r="C550" i="1"/>
  <c r="D169" i="42"/>
  <c r="G243" i="42"/>
  <c r="G236" i="42"/>
  <c r="G188" i="42"/>
  <c r="D72" i="35"/>
  <c r="C200" i="42"/>
  <c r="C119" i="35"/>
  <c r="D296" i="42"/>
  <c r="C234" i="42"/>
  <c r="C198" i="42"/>
  <c r="C89" i="35"/>
  <c r="C294" i="42"/>
  <c r="E95" i="31"/>
  <c r="J1501" i="1"/>
  <c r="D119" i="35"/>
  <c r="G235" i="42"/>
  <c r="D242" i="42"/>
  <c r="D148" i="31"/>
  <c r="C221" i="42"/>
  <c r="D85" i="34"/>
  <c r="D148" i="42"/>
  <c r="C272" i="42"/>
  <c r="C274" i="42"/>
  <c r="B239" i="42"/>
  <c r="B237" i="42"/>
  <c r="E109" i="31"/>
  <c r="G109" i="31" s="1"/>
  <c r="B109" i="31"/>
  <c r="B260" i="42"/>
  <c r="E106" i="31"/>
  <c r="G106" i="31"/>
  <c r="C236" i="42"/>
  <c r="D155" i="42"/>
  <c r="D209" i="42"/>
  <c r="D232" i="42"/>
  <c r="D164" i="42"/>
  <c r="D153" i="42"/>
  <c r="H1633" i="1"/>
  <c r="P1633" i="1"/>
  <c r="C1633" i="1"/>
  <c r="G557" i="1"/>
  <c r="D188" i="42"/>
  <c r="C98" i="31"/>
  <c r="E184" i="31"/>
  <c r="C166" i="42"/>
  <c r="J1506" i="1"/>
  <c r="K1844" i="1"/>
  <c r="D252" i="42"/>
  <c r="C247" i="42"/>
  <c r="H1548" i="1"/>
  <c r="P1548" i="1"/>
  <c r="C1548" i="1"/>
  <c r="G258" i="42"/>
  <c r="D263" i="42"/>
  <c r="I2286" i="1"/>
  <c r="I2297" i="1"/>
  <c r="I2305" i="1"/>
  <c r="I2315" i="1"/>
  <c r="H1647" i="1"/>
  <c r="P1647" i="1"/>
  <c r="C1647" i="1"/>
  <c r="I1602" i="1"/>
  <c r="C176" i="42"/>
  <c r="H1547" i="1"/>
  <c r="P1547" i="1"/>
  <c r="C1547" i="1"/>
  <c r="H1642" i="1"/>
  <c r="P1642" i="1"/>
  <c r="C1642" i="1"/>
  <c r="I1642" i="1"/>
  <c r="E98" i="33"/>
  <c r="G98" i="33"/>
  <c r="H1932" i="1"/>
  <c r="P1932" i="1"/>
  <c r="C1932" i="1"/>
  <c r="H1955" i="1"/>
  <c r="P1955" i="1"/>
  <c r="C1955" i="1"/>
  <c r="E121" i="33"/>
  <c r="G121" i="33"/>
  <c r="E87" i="33"/>
  <c r="G87" i="33"/>
  <c r="H1921" i="1"/>
  <c r="P1921" i="1"/>
  <c r="C1921" i="1"/>
  <c r="H1939" i="1"/>
  <c r="L1939" i="1"/>
  <c r="E105" i="33"/>
  <c r="G105" i="33"/>
  <c r="H1945" i="1"/>
  <c r="L1945" i="1"/>
  <c r="K1945" i="1"/>
  <c r="K1788" i="1"/>
  <c r="E183" i="42"/>
  <c r="G183" i="42"/>
  <c r="K1756" i="1"/>
  <c r="H1756" i="1"/>
  <c r="P1756" i="1"/>
  <c r="C1756" i="1"/>
  <c r="H1741" i="1"/>
  <c r="P1741" i="1"/>
  <c r="C1741" i="1"/>
  <c r="K1741" i="1"/>
  <c r="K1722" i="1"/>
  <c r="H1722" i="1"/>
  <c r="P1722" i="1"/>
  <c r="C1722" i="1"/>
  <c r="H1718" i="1"/>
  <c r="P1718" i="1"/>
  <c r="C1718" i="1"/>
  <c r="K1718" i="1"/>
  <c r="E118" i="42"/>
  <c r="G118" i="42" s="1"/>
  <c r="K1716" i="1"/>
  <c r="H1778" i="1"/>
  <c r="P1778" i="1"/>
  <c r="K1758" i="1"/>
  <c r="H1728" i="1"/>
  <c r="P1728" i="1"/>
  <c r="C1728" i="1"/>
  <c r="E116" i="42"/>
  <c r="H1738" i="1"/>
  <c r="P1738" i="1"/>
  <c r="C1738" i="1"/>
  <c r="E120" i="42"/>
  <c r="B120" i="42" s="1"/>
  <c r="K1774" i="1"/>
  <c r="K1724" i="1"/>
  <c r="K1744" i="1"/>
  <c r="H1716" i="1"/>
  <c r="P1716" i="1"/>
  <c r="C1716" i="1"/>
  <c r="E181" i="42"/>
  <c r="G181" i="42"/>
  <c r="K357" i="1"/>
  <c r="C102" i="31"/>
  <c r="D104" i="31"/>
  <c r="G985" i="1"/>
  <c r="D105" i="31"/>
  <c r="E93" i="35"/>
  <c r="G93" i="35" s="1"/>
  <c r="E103" i="33"/>
  <c r="G103" i="33"/>
  <c r="H1937" i="1"/>
  <c r="P1937" i="1"/>
  <c r="C1937" i="1"/>
  <c r="E112" i="33"/>
  <c r="G112" i="33"/>
  <c r="K1946" i="1"/>
  <c r="H1678" i="1"/>
  <c r="P1678" i="1"/>
  <c r="C1678" i="1"/>
  <c r="I1678" i="1"/>
  <c r="H1680" i="1"/>
  <c r="P1680" i="1"/>
  <c r="C1680" i="1"/>
  <c r="I1680" i="1"/>
  <c r="D79" i="34"/>
  <c r="E79" i="34"/>
  <c r="G79" i="34" s="1"/>
  <c r="C77" i="34"/>
  <c r="D77" i="34"/>
  <c r="E137" i="35"/>
  <c r="B137" i="35"/>
  <c r="C137" i="35"/>
  <c r="C135" i="35"/>
  <c r="D135" i="35"/>
  <c r="D133" i="35"/>
  <c r="C133" i="35"/>
  <c r="C129" i="35"/>
  <c r="D129" i="35"/>
  <c r="C153" i="31"/>
  <c r="D153" i="31"/>
  <c r="C132" i="31"/>
  <c r="D132" i="31"/>
  <c r="D122" i="31"/>
  <c r="C122" i="31"/>
  <c r="D115" i="31"/>
  <c r="C115" i="31"/>
  <c r="B252" i="42"/>
  <c r="G252" i="42"/>
  <c r="G205" i="42"/>
  <c r="B205" i="42"/>
  <c r="G200" i="42"/>
  <c r="B200" i="42"/>
  <c r="E119" i="42"/>
  <c r="C119" i="42"/>
  <c r="D127" i="42"/>
  <c r="C127" i="42"/>
  <c r="C129" i="42"/>
  <c r="D129" i="42"/>
  <c r="C75" i="35"/>
  <c r="D75" i="35"/>
  <c r="E77" i="35"/>
  <c r="D77" i="35"/>
  <c r="C77" i="35"/>
  <c r="E79" i="35"/>
  <c r="D79" i="35"/>
  <c r="E81" i="35"/>
  <c r="C81" i="35"/>
  <c r="C87" i="35"/>
  <c r="D87" i="35"/>
  <c r="E89" i="35"/>
  <c r="D91" i="35"/>
  <c r="E91" i="35"/>
  <c r="G91" i="35" s="1"/>
  <c r="D105" i="35"/>
  <c r="C105" i="35"/>
  <c r="E109" i="35"/>
  <c r="B109" i="35" s="1"/>
  <c r="C109" i="35"/>
  <c r="C113" i="35"/>
  <c r="E113" i="35"/>
  <c r="B113" i="35" s="1"/>
  <c r="C117" i="35"/>
  <c r="C121" i="35"/>
  <c r="E121" i="35"/>
  <c r="G121" i="35" s="1"/>
  <c r="M717" i="1"/>
  <c r="M716" i="1"/>
  <c r="H1502" i="1"/>
  <c r="P1502" i="1"/>
  <c r="C1502" i="1"/>
  <c r="J1502" i="1"/>
  <c r="G1469" i="1"/>
  <c r="F112" i="31"/>
  <c r="G1567" i="1"/>
  <c r="G1569" i="1"/>
  <c r="F108" i="31"/>
  <c r="H1462" i="1"/>
  <c r="P1462" i="1"/>
  <c r="C1462" i="1"/>
  <c r="J1462" i="1"/>
  <c r="G1460" i="1"/>
  <c r="G1552" i="1"/>
  <c r="G1458" i="1"/>
  <c r="F94" i="31"/>
  <c r="G1554" i="1"/>
  <c r="G1456" i="1"/>
  <c r="G1556" i="1"/>
  <c r="G1566" i="1"/>
  <c r="H1612" i="1"/>
  <c r="P1612" i="1"/>
  <c r="C1612" i="1"/>
  <c r="I1612" i="1"/>
  <c r="H1663" i="1"/>
  <c r="P1663" i="1"/>
  <c r="C1663" i="1"/>
  <c r="I1663" i="1"/>
  <c r="G1693" i="1"/>
  <c r="G1683" i="1"/>
  <c r="H1626" i="1"/>
  <c r="P1626" i="1"/>
  <c r="C1626" i="1"/>
  <c r="G1701" i="1"/>
  <c r="G1675" i="1"/>
  <c r="I1673" i="1"/>
  <c r="G1605" i="1"/>
  <c r="F129" i="42"/>
  <c r="G1603" i="1"/>
  <c r="G1697" i="1"/>
  <c r="G1601" i="1"/>
  <c r="G1699" i="1"/>
  <c r="G1596" i="1"/>
  <c r="G1679" i="1"/>
  <c r="F122" i="42"/>
  <c r="G1594" i="1"/>
  <c r="G1926" i="1"/>
  <c r="Y1926" i="1"/>
  <c r="G1923" i="1"/>
  <c r="H1922" i="1"/>
  <c r="L1922" i="1"/>
  <c r="E88" i="33"/>
  <c r="G88" i="33"/>
  <c r="E131" i="33"/>
  <c r="H1965" i="1"/>
  <c r="P1965" i="1"/>
  <c r="C1965" i="1"/>
  <c r="H1966" i="1"/>
  <c r="P1966" i="1"/>
  <c r="C1966" i="1"/>
  <c r="E132" i="33"/>
  <c r="G132" i="33"/>
  <c r="H1968" i="1"/>
  <c r="P1968" i="1"/>
  <c r="C1968" i="1"/>
  <c r="E134" i="33"/>
  <c r="G1976" i="1"/>
  <c r="H1970" i="1"/>
  <c r="P1970" i="1"/>
  <c r="C1970" i="1"/>
  <c r="K1960" i="1"/>
  <c r="E126" i="33"/>
  <c r="E114" i="33"/>
  <c r="G114" i="33"/>
  <c r="E100" i="33"/>
  <c r="G1936" i="1"/>
  <c r="H1934" i="1"/>
  <c r="L1934" i="1"/>
  <c r="E81" i="33"/>
  <c r="G2002" i="1"/>
  <c r="G1912" i="1"/>
  <c r="G1990" i="1"/>
  <c r="N2015" i="1"/>
  <c r="H2015" i="1"/>
  <c r="P2015" i="1"/>
  <c r="C2015" i="1"/>
  <c r="H2119" i="1"/>
  <c r="P2119" i="1"/>
  <c r="C2119" i="1"/>
  <c r="E72" i="34"/>
  <c r="B72" i="34"/>
  <c r="G2116" i="1"/>
  <c r="G2153" i="1"/>
  <c r="G2168" i="1"/>
  <c r="Y2168" i="1"/>
  <c r="H2155" i="1"/>
  <c r="P2155" i="1"/>
  <c r="C2155" i="1"/>
  <c r="G1913" i="1"/>
  <c r="F79" i="33"/>
  <c r="E234" i="42"/>
  <c r="K1845" i="1"/>
  <c r="H1845" i="1"/>
  <c r="P1845" i="1"/>
  <c r="C1845" i="1"/>
  <c r="K1802" i="1"/>
  <c r="H1802" i="1"/>
  <c r="P1802" i="1"/>
  <c r="C1802" i="1"/>
  <c r="E182" i="42"/>
  <c r="G182" i="42"/>
  <c r="K1787" i="1"/>
  <c r="H1787" i="1"/>
  <c r="P1787" i="1"/>
  <c r="C1787" i="1"/>
  <c r="H1785" i="1"/>
  <c r="P1785" i="1"/>
  <c r="C1785" i="1"/>
  <c r="E180" i="42"/>
  <c r="G180" i="42"/>
  <c r="K1767" i="1"/>
  <c r="E165" i="42"/>
  <c r="K1757" i="1"/>
  <c r="H1757" i="1"/>
  <c r="P1757" i="1"/>
  <c r="C1757" i="1"/>
  <c r="K1745" i="1"/>
  <c r="H1745" i="1"/>
  <c r="P1745" i="1"/>
  <c r="C1745" i="1"/>
  <c r="H1743" i="1"/>
  <c r="P1743" i="1"/>
  <c r="C1743" i="1"/>
  <c r="K1743" i="1"/>
  <c r="K1723" i="1"/>
  <c r="H1723" i="1"/>
  <c r="P1723" i="1"/>
  <c r="C1723" i="1"/>
  <c r="H836" i="1"/>
  <c r="N836" i="1"/>
  <c r="R966" i="1"/>
  <c r="K966" i="1"/>
  <c r="H966" i="1"/>
  <c r="N865" i="1"/>
  <c r="M865" i="1"/>
  <c r="N853" i="1"/>
  <c r="G861" i="1"/>
  <c r="Q840" i="1"/>
  <c r="M840" i="1"/>
  <c r="M785" i="1"/>
  <c r="N785" i="1"/>
  <c r="Q815" i="1"/>
  <c r="M815" i="1"/>
  <c r="G823" i="1"/>
  <c r="M774" i="1"/>
  <c r="O774" i="1"/>
  <c r="N774" i="1"/>
  <c r="N764" i="1"/>
  <c r="L764" i="1"/>
  <c r="M764" i="1"/>
  <c r="O764" i="1"/>
  <c r="N938" i="1"/>
  <c r="M938" i="1"/>
  <c r="K942" i="1"/>
  <c r="K940" i="1"/>
  <c r="K938" i="1"/>
  <c r="K941" i="1"/>
  <c r="Q928" i="1"/>
  <c r="N928" i="1"/>
  <c r="L928" i="1"/>
  <c r="M928" i="1"/>
  <c r="N919" i="1"/>
  <c r="M919" i="1"/>
  <c r="M917" i="1"/>
  <c r="N917" i="1"/>
  <c r="M907" i="1"/>
  <c r="N907" i="1"/>
  <c r="M804" i="1"/>
  <c r="N804" i="1"/>
  <c r="M660" i="1"/>
  <c r="K660" i="1"/>
  <c r="N660" i="1"/>
  <c r="M668" i="1"/>
  <c r="L668" i="1"/>
  <c r="M651" i="1"/>
  <c r="K651" i="1"/>
  <c r="N651" i="1"/>
  <c r="G2007" i="1"/>
  <c r="G130" i="42"/>
  <c r="G2139" i="1"/>
  <c r="G792" i="1"/>
  <c r="G1598" i="1"/>
  <c r="M718" i="1"/>
  <c r="E106" i="33"/>
  <c r="G106" i="33"/>
  <c r="N2053" i="1"/>
  <c r="E103" i="35"/>
  <c r="G103" i="35" s="1"/>
  <c r="E123" i="35"/>
  <c r="N2032" i="1"/>
  <c r="E99" i="35"/>
  <c r="B99" i="35" s="1"/>
  <c r="E85" i="35"/>
  <c r="G85" i="35"/>
  <c r="E73" i="35"/>
  <c r="E128" i="42"/>
  <c r="G128" i="42"/>
  <c r="E97" i="35"/>
  <c r="G97" i="35" s="1"/>
  <c r="E133" i="42"/>
  <c r="D83" i="34"/>
  <c r="E146" i="31"/>
  <c r="B146" i="31" s="1"/>
  <c r="K764" i="1"/>
  <c r="K795" i="1"/>
  <c r="E156" i="42"/>
  <c r="E157" i="42" s="1"/>
  <c r="E158" i="42" s="1"/>
  <c r="E173" i="42"/>
  <c r="G173" i="42"/>
  <c r="E148" i="42"/>
  <c r="G148" i="42" s="1"/>
  <c r="E223" i="42"/>
  <c r="G223" i="42"/>
  <c r="H1832" i="1"/>
  <c r="P1832" i="1"/>
  <c r="G11" i="114"/>
  <c r="D11" i="114" s="1"/>
  <c r="C245" i="115" s="1"/>
  <c r="C113" i="31"/>
  <c r="E70" i="35"/>
  <c r="G70" i="35" s="1"/>
  <c r="G250" i="42"/>
  <c r="D131" i="35"/>
  <c r="D117" i="35"/>
  <c r="E163" i="42"/>
  <c r="E164" i="42"/>
  <c r="I1645" i="1"/>
  <c r="D85" i="35"/>
  <c r="E141" i="42"/>
  <c r="B141" i="42"/>
  <c r="E124" i="42"/>
  <c r="G1702" i="1"/>
  <c r="H1615" i="1"/>
  <c r="P1615" i="1"/>
  <c r="C1615" i="1"/>
  <c r="E108" i="35"/>
  <c r="G108" i="35"/>
  <c r="C93" i="35"/>
  <c r="C140" i="31"/>
  <c r="D109" i="35"/>
  <c r="D81" i="34"/>
  <c r="D131" i="42"/>
  <c r="G211" i="42"/>
  <c r="G218" i="42"/>
  <c r="G220" i="42"/>
  <c r="E125" i="35"/>
  <c r="G125" i="35" s="1"/>
  <c r="D69" i="34"/>
  <c r="G180" i="31"/>
  <c r="C130" i="31"/>
  <c r="C73" i="34"/>
  <c r="L966" i="1"/>
  <c r="B256" i="42"/>
  <c r="E77" i="34"/>
  <c r="B77" i="34" s="1"/>
  <c r="G221" i="42"/>
  <c r="C136" i="31"/>
  <c r="B214" i="42"/>
  <c r="C69" i="35"/>
  <c r="C95" i="35"/>
  <c r="M836" i="1"/>
  <c r="E126" i="42"/>
  <c r="E98" i="31"/>
  <c r="E81" i="34"/>
  <c r="C79" i="35"/>
  <c r="C107" i="35"/>
  <c r="K1737" i="1"/>
  <c r="D137" i="35"/>
  <c r="I966" i="1"/>
  <c r="D111" i="35"/>
  <c r="J1498" i="1"/>
  <c r="E111" i="35"/>
  <c r="G111" i="35"/>
  <c r="C71" i="35"/>
  <c r="H1500" i="1"/>
  <c r="P1500" i="1"/>
  <c r="C1500" i="1"/>
  <c r="E232" i="42"/>
  <c r="G244" i="42"/>
  <c r="G198" i="42"/>
  <c r="G2102" i="1"/>
  <c r="L865" i="1"/>
  <c r="H1972" i="1"/>
  <c r="P1972" i="1"/>
  <c r="C1972" i="1"/>
  <c r="I1665" i="1"/>
  <c r="J966" i="1"/>
  <c r="H1673" i="1"/>
  <c r="P1673" i="1"/>
  <c r="C1673" i="1"/>
  <c r="G1628" i="1"/>
  <c r="H1927" i="1"/>
  <c r="P1927" i="1"/>
  <c r="C1927" i="1"/>
  <c r="H1915" i="1"/>
  <c r="P1915" i="1"/>
  <c r="C1915" i="1"/>
  <c r="H1963" i="1"/>
  <c r="L1963" i="1"/>
  <c r="H1773" i="1"/>
  <c r="P1773" i="1"/>
  <c r="C1773" i="1"/>
  <c r="K1785" i="1"/>
  <c r="K1715" i="1"/>
  <c r="G2189" i="1"/>
  <c r="K1771" i="1"/>
  <c r="E230" i="42"/>
  <c r="H1507" i="1"/>
  <c r="P1507" i="1"/>
  <c r="C1507" i="1"/>
  <c r="H1767" i="1"/>
  <c r="P1767" i="1"/>
  <c r="C1767" i="1"/>
  <c r="G1989" i="1"/>
  <c r="H2156" i="1"/>
  <c r="P2156" i="1"/>
  <c r="C2156" i="1"/>
  <c r="P2041" i="1"/>
  <c r="C2041" i="1"/>
  <c r="G1600" i="1"/>
  <c r="G1695" i="1"/>
  <c r="L651" i="1"/>
  <c r="N815" i="1"/>
  <c r="M874" i="1"/>
  <c r="N897" i="1"/>
  <c r="K928" i="1"/>
  <c r="K939" i="1"/>
  <c r="E101" i="31"/>
  <c r="G101" i="31"/>
  <c r="D101" i="31"/>
  <c r="I1635" i="1"/>
  <c r="H1635" i="1"/>
  <c r="P1635" i="1"/>
  <c r="C1635" i="1"/>
  <c r="G1643" i="1"/>
  <c r="I1639" i="1"/>
  <c r="I1667" i="1"/>
  <c r="H1667" i="1"/>
  <c r="P1667" i="1"/>
  <c r="C1667" i="1"/>
  <c r="E132" i="42"/>
  <c r="G132" i="42" s="1"/>
  <c r="G880" i="1"/>
  <c r="H2028" i="1"/>
  <c r="P2028" i="1"/>
  <c r="C2028" i="1"/>
  <c r="N2028" i="1"/>
  <c r="R970" i="1"/>
  <c r="Q970" i="1"/>
  <c r="H2047" i="1"/>
  <c r="P2047" i="1"/>
  <c r="C2047" i="1"/>
  <c r="G114" i="35"/>
  <c r="M76" i="1"/>
  <c r="I1659" i="1"/>
  <c r="E70" i="34"/>
  <c r="C125" i="31"/>
  <c r="E76" i="34"/>
  <c r="G76" i="34" s="1"/>
  <c r="H2042" i="1"/>
  <c r="P2042" i="1"/>
  <c r="C2042" i="1"/>
  <c r="E98" i="35"/>
  <c r="G98" i="35" s="1"/>
  <c r="G2272" i="1"/>
  <c r="H2273" i="1"/>
  <c r="P2273" i="1"/>
  <c r="G185" i="23"/>
  <c r="G182" i="23"/>
  <c r="H182" i="23"/>
  <c r="A182" i="23"/>
  <c r="G180" i="23"/>
  <c r="G176" i="23"/>
  <c r="H176" i="23"/>
  <c r="A176" i="23"/>
  <c r="G184" i="23"/>
  <c r="G181" i="23"/>
  <c r="H181" i="23"/>
  <c r="A181" i="23"/>
  <c r="G179" i="23"/>
  <c r="G175" i="23"/>
  <c r="H175" i="23"/>
  <c r="A175" i="23"/>
  <c r="G135" i="23"/>
  <c r="H135" i="23"/>
  <c r="A135" i="23"/>
  <c r="G133" i="23"/>
  <c r="G131" i="23"/>
  <c r="H131" i="23"/>
  <c r="A131" i="23"/>
  <c r="G107" i="23"/>
  <c r="H107" i="23"/>
  <c r="A107" i="23"/>
  <c r="H106" i="23"/>
  <c r="A106" i="23"/>
  <c r="G122" i="23"/>
  <c r="H122" i="23"/>
  <c r="A122" i="23"/>
  <c r="H117" i="23"/>
  <c r="A117" i="23"/>
  <c r="G192" i="23"/>
  <c r="H192" i="23"/>
  <c r="A192" i="23"/>
  <c r="H128" i="23"/>
  <c r="A128" i="23"/>
  <c r="G191" i="23"/>
  <c r="H191" i="23"/>
  <c r="A191" i="23"/>
  <c r="H185" i="23"/>
  <c r="A185" i="23"/>
  <c r="H173" i="23"/>
  <c r="G126" i="35"/>
  <c r="H2050" i="1"/>
  <c r="P2050" i="1"/>
  <c r="C2050" i="1"/>
  <c r="I354" i="1"/>
  <c r="N354" i="1"/>
  <c r="J354" i="1"/>
  <c r="M354" i="1"/>
  <c r="O354" i="1"/>
  <c r="L354" i="1"/>
  <c r="K354" i="1"/>
  <c r="G119" i="35"/>
  <c r="K1779" i="1"/>
  <c r="C80" i="35"/>
  <c r="G215" i="42"/>
  <c r="D144" i="42"/>
  <c r="D134" i="42"/>
  <c r="C179" i="42"/>
  <c r="D80" i="34"/>
  <c r="G160" i="31"/>
  <c r="B269" i="42"/>
  <c r="D84" i="35"/>
  <c r="G224" i="42"/>
  <c r="B167" i="42"/>
  <c r="B185" i="31"/>
  <c r="G135" i="33"/>
  <c r="H1919" i="1"/>
  <c r="P1919" i="1"/>
  <c r="C1919" i="1"/>
  <c r="C144" i="31"/>
  <c r="G104" i="33"/>
  <c r="G136" i="33"/>
  <c r="G264" i="42"/>
  <c r="C79" i="34"/>
  <c r="C297" i="42"/>
  <c r="D271" i="42"/>
  <c r="H549" i="1"/>
  <c r="C549" i="1"/>
  <c r="J533" i="1"/>
  <c r="C135" i="42"/>
  <c r="D163" i="42"/>
  <c r="H1760" i="1"/>
  <c r="P1760" i="1"/>
  <c r="C1760" i="1"/>
  <c r="G273" i="42"/>
  <c r="E174" i="42"/>
  <c r="G174" i="42"/>
  <c r="H1748" i="1"/>
  <c r="P1748" i="1"/>
  <c r="C1748" i="1"/>
  <c r="D156" i="42"/>
  <c r="D121" i="42"/>
  <c r="G202" i="42"/>
  <c r="G262" i="42"/>
  <c r="D293" i="42"/>
  <c r="D289" i="42"/>
  <c r="G184" i="42"/>
  <c r="L795" i="1"/>
  <c r="H358" i="1"/>
  <c r="K361" i="1"/>
  <c r="K374" i="1"/>
  <c r="K377" i="1"/>
  <c r="K381" i="1"/>
  <c r="G129" i="42"/>
  <c r="H1459" i="23"/>
  <c r="G1479" i="23"/>
  <c r="G2585" i="23"/>
  <c r="G1589" i="23"/>
  <c r="H1589" i="23"/>
  <c r="A1589" i="23"/>
  <c r="H1581" i="23"/>
  <c r="A1581" i="23"/>
  <c r="A1582" i="23"/>
  <c r="G1494" i="23"/>
  <c r="H1494" i="23"/>
  <c r="A1494" i="23"/>
  <c r="H1492" i="23"/>
  <c r="G1554" i="23"/>
  <c r="H1554" i="23"/>
  <c r="A1554" i="23"/>
  <c r="H1553" i="23"/>
  <c r="A1553" i="23"/>
  <c r="H1862" i="1"/>
  <c r="P1862" i="1"/>
  <c r="H1859" i="1"/>
  <c r="P1859" i="1"/>
  <c r="E50" i="78"/>
  <c r="H2281" i="1"/>
  <c r="B99" i="31"/>
  <c r="G99" i="31"/>
  <c r="B105" i="31"/>
  <c r="C101" i="31"/>
  <c r="D103" i="31"/>
  <c r="D100" i="31"/>
  <c r="C100" i="31"/>
  <c r="D102" i="31"/>
  <c r="D99" i="31"/>
  <c r="C103" i="31"/>
  <c r="G2140" i="1"/>
  <c r="G1014" i="1"/>
  <c r="R785" i="1"/>
  <c r="Q785" i="1"/>
  <c r="E102" i="35"/>
  <c r="G102" i="35" s="1"/>
  <c r="R784" i="1"/>
  <c r="Q784" i="1"/>
  <c r="G82" i="34"/>
  <c r="E12" i="42"/>
  <c r="E33" i="33"/>
  <c r="G33" i="33" s="1"/>
  <c r="E10" i="42"/>
  <c r="D58" i="35"/>
  <c r="E15" i="42"/>
  <c r="D20" i="35"/>
  <c r="C18" i="35"/>
  <c r="D16" i="35"/>
  <c r="G38" i="34"/>
  <c r="B38" i="34"/>
  <c r="E22" i="33"/>
  <c r="B22" i="33" s="1"/>
  <c r="E19" i="33"/>
  <c r="B19" i="33" s="1"/>
  <c r="E70" i="33"/>
  <c r="B70" i="33" s="1"/>
  <c r="D11" i="34"/>
  <c r="E52" i="42"/>
  <c r="G52" i="42" s="1"/>
  <c r="C54" i="33"/>
  <c r="L766" i="1"/>
  <c r="G127" i="33"/>
  <c r="L797" i="1"/>
  <c r="G87" i="35"/>
  <c r="A372" i="23"/>
  <c r="A378" i="23"/>
  <c r="A376" i="23"/>
  <c r="J2305" i="1"/>
  <c r="H371" i="23"/>
  <c r="H369" i="23"/>
  <c r="G419" i="23"/>
  <c r="G1945" i="23"/>
  <c r="G574" i="23"/>
  <c r="G576" i="23"/>
  <c r="G2588" i="23"/>
  <c r="G2590" i="23"/>
  <c r="G2516" i="23"/>
  <c r="G2518" i="23"/>
  <c r="G188" i="23"/>
  <c r="H188" i="23"/>
  <c r="A188" i="23"/>
  <c r="H184" i="23"/>
  <c r="A184" i="23"/>
  <c r="G71" i="23"/>
  <c r="G2513" i="23"/>
  <c r="G1873" i="23"/>
  <c r="G1738" i="23"/>
  <c r="G1741" i="23"/>
  <c r="G515" i="23"/>
  <c r="G432" i="23"/>
  <c r="G433" i="23"/>
  <c r="G425" i="23"/>
  <c r="G428" i="23"/>
  <c r="G427" i="23"/>
  <c r="H392" i="23"/>
  <c r="G393" i="23"/>
  <c r="H393" i="23"/>
  <c r="H390" i="23"/>
  <c r="A390" i="23"/>
  <c r="A391" i="23"/>
  <c r="G394" i="23"/>
  <c r="H394" i="23"/>
  <c r="G395" i="23"/>
  <c r="G2571" i="23"/>
  <c r="G2568" i="23"/>
  <c r="G2569" i="23"/>
  <c r="G2559" i="23"/>
  <c r="E2567" i="23"/>
  <c r="G2557" i="23"/>
  <c r="G2163" i="23"/>
  <c r="G2164" i="23"/>
  <c r="G2162" i="23"/>
  <c r="G2151" i="23"/>
  <c r="G2149" i="23"/>
  <c r="G1930" i="23"/>
  <c r="G1931" i="23"/>
  <c r="G1932" i="23"/>
  <c r="G1926" i="23"/>
  <c r="G1918" i="23"/>
  <c r="G1933" i="23"/>
  <c r="G1916" i="23"/>
  <c r="G1461" i="23"/>
  <c r="H1461" i="23"/>
  <c r="A1461" i="23"/>
  <c r="H1479" i="23"/>
  <c r="A1479" i="23"/>
  <c r="G1475" i="23"/>
  <c r="H1475" i="23"/>
  <c r="A1475" i="23"/>
  <c r="G476" i="23"/>
  <c r="G1173" i="23"/>
  <c r="H1173" i="23"/>
  <c r="A1173" i="23"/>
  <c r="G2397" i="23"/>
  <c r="G465" i="23"/>
  <c r="G466" i="23"/>
  <c r="G1466" i="23"/>
  <c r="H1466" i="23"/>
  <c r="A1466" i="23"/>
  <c r="G839" i="23"/>
  <c r="G842" i="23"/>
  <c r="G1062" i="23"/>
  <c r="H1062" i="23"/>
  <c r="A1062" i="23"/>
  <c r="G1647" i="23"/>
  <c r="G41" i="23"/>
  <c r="G43" i="23"/>
  <c r="G969" i="23"/>
  <c r="H969" i="23"/>
  <c r="A969" i="23"/>
  <c r="G2523" i="23"/>
  <c r="G2528" i="23"/>
  <c r="H1259" i="23"/>
  <c r="A1259" i="23"/>
  <c r="G1270" i="23"/>
  <c r="G1752" i="23"/>
  <c r="G1756" i="23"/>
  <c r="G1893" i="23"/>
  <c r="G1602" i="23"/>
  <c r="H1602" i="23"/>
  <c r="A1602" i="23"/>
  <c r="G1604" i="23"/>
  <c r="H1604" i="23"/>
  <c r="A1604" i="23"/>
  <c r="G1600" i="23"/>
  <c r="G1603" i="23"/>
  <c r="H1603" i="23"/>
  <c r="A1603" i="23"/>
  <c r="G1594" i="23"/>
  <c r="H1594" i="23"/>
  <c r="A1594" i="23"/>
  <c r="G1583" i="23"/>
  <c r="H1583" i="23"/>
  <c r="A1583" i="23"/>
  <c r="G1587" i="23"/>
  <c r="H1587" i="23"/>
  <c r="A1587" i="23"/>
  <c r="G1593" i="23"/>
  <c r="H1593" i="23"/>
  <c r="A1593" i="23"/>
  <c r="G1597" i="23"/>
  <c r="H1597" i="23"/>
  <c r="A1597" i="23"/>
  <c r="H395" i="23"/>
  <c r="G396" i="23"/>
  <c r="G399" i="23"/>
  <c r="G445" i="23"/>
  <c r="H445" i="23"/>
  <c r="G1586" i="23"/>
  <c r="H1586" i="23"/>
  <c r="A1586" i="23"/>
  <c r="G1592" i="23"/>
  <c r="H1592" i="23"/>
  <c r="A1592" i="23"/>
  <c r="G1584" i="23"/>
  <c r="H1584" i="23"/>
  <c r="A1584" i="23"/>
  <c r="G223" i="23"/>
  <c r="G234" i="23"/>
  <c r="G222" i="23"/>
  <c r="G863" i="23"/>
  <c r="G866" i="23"/>
  <c r="G1066" i="23"/>
  <c r="G1069" i="23"/>
  <c r="H1069" i="23"/>
  <c r="A1069" i="23"/>
  <c r="G1645" i="23"/>
  <c r="G1676" i="23"/>
  <c r="G2601" i="23"/>
  <c r="G2123" i="23"/>
  <c r="G1760" i="23"/>
  <c r="G974" i="23"/>
  <c r="H974" i="23"/>
  <c r="A974" i="23"/>
  <c r="G2511" i="23"/>
  <c r="G1874" i="23"/>
  <c r="G1880" i="23"/>
  <c r="C368" i="23"/>
  <c r="C369" i="23"/>
  <c r="C451" i="23"/>
  <c r="G413" i="23"/>
  <c r="H408" i="23"/>
  <c r="A408" i="23"/>
  <c r="A409" i="23"/>
  <c r="H433" i="23"/>
  <c r="H423" i="23"/>
  <c r="A423" i="23"/>
  <c r="A424" i="23"/>
  <c r="G370" i="23"/>
  <c r="H368" i="23"/>
  <c r="K249" i="1"/>
  <c r="K358" i="1"/>
  <c r="E49" i="78"/>
  <c r="C1839" i="1"/>
  <c r="A908" i="23"/>
  <c r="L1448" i="1"/>
  <c r="E50" i="42"/>
  <c r="G50" i="42" s="1"/>
  <c r="G115" i="35"/>
  <c r="C2085" i="23"/>
  <c r="K1780" i="1"/>
  <c r="H2011" i="1"/>
  <c r="P2011" i="1"/>
  <c r="C2011" i="1"/>
  <c r="H1617" i="1"/>
  <c r="P1617" i="1"/>
  <c r="C1617" i="1"/>
  <c r="K1772" i="1"/>
  <c r="H1843" i="1"/>
  <c r="P1843" i="1"/>
  <c r="C1843" i="1"/>
  <c r="K1786" i="1"/>
  <c r="H2164" i="1"/>
  <c r="P2164" i="1"/>
  <c r="C2164" i="1"/>
  <c r="K1730" i="1"/>
  <c r="H1727" i="1"/>
  <c r="P1727" i="1"/>
  <c r="C1727" i="1"/>
  <c r="H177" i="1"/>
  <c r="H179" i="1"/>
  <c r="H178" i="1"/>
  <c r="H176" i="1"/>
  <c r="C176" i="1" s="1"/>
  <c r="C174" i="1"/>
  <c r="H175" i="1"/>
  <c r="K378" i="1"/>
  <c r="K384" i="1"/>
  <c r="G245" i="42"/>
  <c r="E263" i="42"/>
  <c r="K773" i="1"/>
  <c r="K776" i="1" s="1"/>
  <c r="K755" i="1"/>
  <c r="K814" i="1"/>
  <c r="K827" i="1" s="1"/>
  <c r="E72" i="42"/>
  <c r="G72" i="42" s="1"/>
  <c r="K906" i="1"/>
  <c r="K909" i="1"/>
  <c r="K748" i="1"/>
  <c r="K749" i="1" s="1"/>
  <c r="K383" i="1"/>
  <c r="K376" i="1"/>
  <c r="K382" i="1"/>
  <c r="G1035" i="23"/>
  <c r="H1035" i="23"/>
  <c r="A1035" i="23"/>
  <c r="B116" i="35"/>
  <c r="G627" i="23"/>
  <c r="G1094" i="23"/>
  <c r="G1099" i="23"/>
  <c r="H1099" i="23"/>
  <c r="G1037" i="23"/>
  <c r="H1037" i="23"/>
  <c r="A1037" i="23"/>
  <c r="G1089" i="23"/>
  <c r="H1089" i="23"/>
  <c r="A1089" i="23"/>
  <c r="G1093" i="23"/>
  <c r="G1085" i="23"/>
  <c r="G1086" i="23"/>
  <c r="G1087" i="23"/>
  <c r="H1087" i="23"/>
  <c r="G1925" i="23"/>
  <c r="G1472" i="23"/>
  <c r="H1472" i="23"/>
  <c r="A1472" i="23"/>
  <c r="G238" i="23"/>
  <c r="G243" i="23"/>
  <c r="G247" i="23"/>
  <c r="C206" i="23"/>
  <c r="C207" i="23"/>
  <c r="G527" i="23"/>
  <c r="G2128" i="23"/>
  <c r="G1283" i="23"/>
  <c r="G50" i="23"/>
  <c r="G199" i="23"/>
  <c r="G597" i="23"/>
  <c r="G2574" i="23"/>
  <c r="G1751" i="23"/>
  <c r="G1759" i="23"/>
  <c r="G1896" i="23"/>
  <c r="G1903" i="23"/>
  <c r="G1869" i="23"/>
  <c r="G1465" i="23"/>
  <c r="H1465" i="23"/>
  <c r="A1465" i="23"/>
  <c r="G534" i="23"/>
  <c r="G1036" i="23"/>
  <c r="H1036" i="23"/>
  <c r="A1036" i="23"/>
  <c r="G1038" i="23"/>
  <c r="G1039" i="23"/>
  <c r="H1039" i="23"/>
  <c r="A1039" i="23"/>
  <c r="G212" i="23"/>
  <c r="G214" i="23"/>
  <c r="G1979" i="23"/>
  <c r="G1951" i="23"/>
  <c r="G1433" i="23"/>
  <c r="G1310" i="23"/>
  <c r="H1310" i="23"/>
  <c r="A1310" i="23"/>
  <c r="G253" i="23"/>
  <c r="G119" i="23"/>
  <c r="A118" i="23"/>
  <c r="G1081" i="23"/>
  <c r="G1079" i="23"/>
  <c r="G1059" i="23"/>
  <c r="H1059" i="23"/>
  <c r="A1059" i="23"/>
  <c r="G1064" i="23"/>
  <c r="G1060" i="23"/>
  <c r="H1060" i="23"/>
  <c r="A1060" i="23"/>
  <c r="G1061" i="23"/>
  <c r="H1061" i="23"/>
  <c r="A1061" i="23"/>
  <c r="H1056" i="23"/>
  <c r="G1058" i="23"/>
  <c r="G1503" i="23"/>
  <c r="H1503" i="23"/>
  <c r="A1503" i="23"/>
  <c r="G1508" i="23"/>
  <c r="H1508" i="23"/>
  <c r="A1508" i="23"/>
  <c r="G1501" i="23"/>
  <c r="H1501" i="23"/>
  <c r="A1501" i="23"/>
  <c r="G1504" i="23"/>
  <c r="H1504" i="23"/>
  <c r="A1504" i="23"/>
  <c r="C525" i="23"/>
  <c r="C526" i="23"/>
  <c r="G592" i="23"/>
  <c r="G594" i="23"/>
  <c r="G1860" i="23"/>
  <c r="G1861" i="23"/>
  <c r="C2295" i="23"/>
  <c r="G2297" i="23"/>
  <c r="G2305" i="23"/>
  <c r="G1505" i="23"/>
  <c r="H1505" i="23"/>
  <c r="A1505" i="23"/>
  <c r="G1507" i="23"/>
  <c r="H1507" i="23"/>
  <c r="A1507" i="23"/>
  <c r="G1502" i="23"/>
  <c r="H1502" i="23"/>
  <c r="A1502" i="23"/>
  <c r="G556" i="23"/>
  <c r="G572" i="23"/>
  <c r="G573" i="23"/>
  <c r="G536" i="23"/>
  <c r="G263" i="23"/>
  <c r="G255" i="23"/>
  <c r="G257" i="23"/>
  <c r="G2430" i="23"/>
  <c r="G1476" i="23"/>
  <c r="G1462" i="23"/>
  <c r="H1462" i="23"/>
  <c r="A1462" i="23"/>
  <c r="G581" i="23"/>
  <c r="G583" i="23"/>
  <c r="C532" i="23"/>
  <c r="C537" i="23"/>
  <c r="C542" i="23"/>
  <c r="C548" i="23"/>
  <c r="G535" i="23"/>
  <c r="G1496" i="23"/>
  <c r="H1496" i="23"/>
  <c r="A1496" i="23"/>
  <c r="G1646" i="23"/>
  <c r="G1649" i="23"/>
  <c r="G1680" i="23"/>
  <c r="G1681" i="23"/>
  <c r="G2602" i="23"/>
  <c r="G2603" i="23"/>
  <c r="G2600" i="23"/>
  <c r="G2607" i="23"/>
  <c r="G2512" i="23"/>
  <c r="G2125" i="23"/>
  <c r="G1286" i="23"/>
  <c r="H1286" i="23"/>
  <c r="A1286" i="23"/>
  <c r="H1257" i="23"/>
  <c r="A1257" i="23"/>
  <c r="G1753" i="23"/>
  <c r="G49" i="23"/>
  <c r="G589" i="23"/>
  <c r="G2510" i="23"/>
  <c r="G2514" i="23"/>
  <c r="G2530" i="23"/>
  <c r="G1325" i="23"/>
  <c r="G1292" i="23"/>
  <c r="H1292" i="23"/>
  <c r="A1292" i="23"/>
  <c r="G1754" i="23"/>
  <c r="G598" i="23"/>
  <c r="G1899" i="23"/>
  <c r="G1867" i="23"/>
  <c r="G261" i="23"/>
  <c r="G254" i="23"/>
  <c r="G256" i="23"/>
  <c r="G262" i="23"/>
  <c r="G259" i="23"/>
  <c r="G260" i="23"/>
  <c r="G2424" i="23"/>
  <c r="G2425" i="23"/>
  <c r="G1432" i="23"/>
  <c r="H1432" i="23"/>
  <c r="A1432" i="23"/>
  <c r="G1385" i="23"/>
  <c r="G1387" i="23"/>
  <c r="H1387" i="23"/>
  <c r="A1387" i="23"/>
  <c r="G1392" i="23"/>
  <c r="H1392" i="23"/>
  <c r="A1392" i="23"/>
  <c r="G1426" i="23"/>
  <c r="G1410" i="23"/>
  <c r="G1382" i="23"/>
  <c r="G1688" i="23"/>
  <c r="G1689" i="23"/>
  <c r="G1690" i="23"/>
  <c r="G1962" i="23"/>
  <c r="G1960" i="23"/>
  <c r="G1956" i="23"/>
  <c r="G1975" i="23"/>
  <c r="G2008" i="23"/>
  <c r="G2013" i="23"/>
  <c r="G2034" i="23"/>
  <c r="G1952" i="23"/>
  <c r="G1927" i="23"/>
  <c r="G1928" i="23"/>
  <c r="G1929" i="23"/>
  <c r="G1924" i="23"/>
  <c r="G1919" i="23"/>
  <c r="G1911" i="23"/>
  <c r="G1908" i="23"/>
  <c r="G1913" i="23"/>
  <c r="G1843" i="23"/>
  <c r="G1834" i="23"/>
  <c r="C1834" i="23"/>
  <c r="G1886" i="23"/>
  <c r="G1980" i="23"/>
  <c r="G1986" i="23"/>
  <c r="G1305" i="23"/>
  <c r="H1305" i="23"/>
  <c r="A1305" i="23"/>
  <c r="G1308" i="23"/>
  <c r="H1308" i="23"/>
  <c r="A1308" i="23"/>
  <c r="G1297" i="23"/>
  <c r="G1262" i="23"/>
  <c r="H1262" i="23"/>
  <c r="A1262" i="23"/>
  <c r="G1264" i="23"/>
  <c r="H1264" i="23"/>
  <c r="A1264" i="23"/>
  <c r="G1263" i="23"/>
  <c r="H1263" i="23"/>
  <c r="A1263" i="23"/>
  <c r="G1169" i="23"/>
  <c r="H1169" i="23"/>
  <c r="A1169" i="23"/>
  <c r="G1166" i="23"/>
  <c r="H1166" i="23"/>
  <c r="A1166" i="23"/>
  <c r="G2384" i="23"/>
  <c r="G2386" i="23"/>
  <c r="G2320" i="23"/>
  <c r="G2323" i="23"/>
  <c r="G2296" i="23"/>
  <c r="G2298" i="23"/>
  <c r="G2301" i="23"/>
  <c r="G2577" i="23"/>
  <c r="G2576" i="23"/>
  <c r="G2560" i="23"/>
  <c r="G2565" i="23"/>
  <c r="G979" i="23"/>
  <c r="G980" i="23"/>
  <c r="H980" i="23"/>
  <c r="A980" i="23"/>
  <c r="H1077" i="23"/>
  <c r="H1104" i="23"/>
  <c r="A1104" i="23"/>
  <c r="A1105" i="23"/>
  <c r="G828" i="23"/>
  <c r="G833" i="23"/>
  <c r="G836" i="23"/>
  <c r="G877" i="23"/>
  <c r="G879" i="23"/>
  <c r="G826" i="23"/>
  <c r="G89" i="23"/>
  <c r="G82" i="23"/>
  <c r="G94" i="23"/>
  <c r="G90" i="23"/>
  <c r="G88" i="23"/>
  <c r="G98" i="23"/>
  <c r="G95" i="23"/>
  <c r="G85" i="23"/>
  <c r="H186" i="23"/>
  <c r="A186" i="23"/>
  <c r="G178" i="23"/>
  <c r="H178" i="23"/>
  <c r="A178" i="23"/>
  <c r="G187" i="23"/>
  <c r="G1721" i="1"/>
  <c r="G1109" i="23"/>
  <c r="H1109" i="23"/>
  <c r="A1109" i="23"/>
  <c r="G595" i="23"/>
  <c r="G607" i="23"/>
  <c r="G2423" i="23"/>
  <c r="G588" i="23"/>
  <c r="G1165" i="23"/>
  <c r="H1165" i="23"/>
  <c r="A1165" i="23"/>
  <c r="G1855" i="23"/>
  <c r="G1859" i="23"/>
  <c r="G1920" i="23"/>
  <c r="G1957" i="23"/>
  <c r="G1265" i="23"/>
  <c r="H1265" i="23"/>
  <c r="A1265" i="23"/>
  <c r="G1964" i="23"/>
  <c r="G1970" i="23"/>
  <c r="G1835" i="23"/>
  <c r="G1910" i="23"/>
  <c r="H1066" i="23"/>
  <c r="A1066" i="23"/>
  <c r="H906" i="23"/>
  <c r="G971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C198" i="23"/>
  <c r="G981" i="23"/>
  <c r="H981" i="23"/>
  <c r="A981" i="23"/>
  <c r="H975" i="23"/>
  <c r="A975" i="23"/>
  <c r="A976" i="23"/>
  <c r="G917" i="23"/>
  <c r="H917" i="23"/>
  <c r="A917" i="23"/>
  <c r="H916" i="23"/>
  <c r="A916" i="23"/>
  <c r="H1004" i="23"/>
  <c r="A1004" i="23"/>
  <c r="A1005" i="23"/>
  <c r="H907" i="23"/>
  <c r="G1781" i="1"/>
  <c r="CJ95" i="16"/>
  <c r="DH95" i="16"/>
  <c r="CK95" i="16"/>
  <c r="BR95" i="16"/>
  <c r="G1123" i="23"/>
  <c r="H1123" i="23"/>
  <c r="A1123" i="23"/>
  <c r="G1854" i="23"/>
  <c r="G1853" i="23"/>
  <c r="G1940" i="23"/>
  <c r="G1939" i="23"/>
  <c r="G77" i="23"/>
  <c r="G75" i="23"/>
  <c r="G78" i="23"/>
  <c r="G91" i="23"/>
  <c r="G1555" i="23"/>
  <c r="G1938" i="23"/>
  <c r="G76" i="23"/>
  <c r="G1126" i="23"/>
  <c r="H1126" i="23"/>
  <c r="A1126" i="23"/>
  <c r="G2095" i="23"/>
  <c r="G2096" i="23"/>
  <c r="C2094" i="23"/>
  <c r="G39" i="23"/>
  <c r="G40" i="23"/>
  <c r="G1164" i="23"/>
  <c r="H1164" i="23"/>
  <c r="A1164" i="23"/>
  <c r="G1168" i="23"/>
  <c r="H1168" i="23"/>
  <c r="A1168" i="23"/>
  <c r="G1281" i="23"/>
  <c r="H1281" i="23"/>
  <c r="A1281" i="23"/>
  <c r="G1266" i="23"/>
  <c r="H1266" i="23"/>
  <c r="A1266" i="23"/>
  <c r="G1309" i="23"/>
  <c r="H1309" i="23"/>
  <c r="A1309" i="23"/>
  <c r="G1686" i="23"/>
  <c r="G1396" i="23"/>
  <c r="H1396" i="23"/>
  <c r="A1396" i="23"/>
  <c r="G1532" i="23"/>
  <c r="G1442" i="23"/>
  <c r="H1442" i="23"/>
  <c r="A1442" i="23"/>
  <c r="A1443" i="23"/>
  <c r="G1518" i="23"/>
  <c r="H1518" i="23"/>
  <c r="A1518" i="23"/>
  <c r="A1519" i="23"/>
  <c r="G1389" i="23"/>
  <c r="H1389" i="23"/>
  <c r="A1389" i="23"/>
  <c r="G600" i="23"/>
  <c r="G591" i="23"/>
  <c r="G593" i="23"/>
  <c r="G605" i="23"/>
  <c r="G604" i="23"/>
  <c r="G2427" i="23"/>
  <c r="G2429" i="23"/>
  <c r="G596" i="23"/>
  <c r="G599" i="23"/>
  <c r="C1162" i="23"/>
  <c r="C1171" i="23"/>
  <c r="C1178" i="23"/>
  <c r="G1917" i="23"/>
  <c r="G1922" i="23"/>
  <c r="G1923" i="23"/>
  <c r="G1958" i="23"/>
  <c r="G1685" i="23"/>
  <c r="G1450" i="23"/>
  <c r="H1450" i="23"/>
  <c r="A1450" i="23"/>
  <c r="A1451" i="23"/>
  <c r="G1977" i="23"/>
  <c r="G1985" i="23"/>
  <c r="G1912" i="23"/>
  <c r="G2358" i="23"/>
  <c r="G2409" i="23"/>
  <c r="G2309" i="23"/>
  <c r="G2303" i="23"/>
  <c r="G2367" i="23"/>
  <c r="G2349" i="23"/>
  <c r="G2300" i="23"/>
  <c r="G2306" i="23"/>
  <c r="G412" i="23"/>
  <c r="G647" i="23"/>
  <c r="G654" i="23"/>
  <c r="G847" i="23"/>
  <c r="G854" i="23"/>
  <c r="G1252" i="23"/>
  <c r="H1252" i="23"/>
  <c r="A1252" i="23"/>
  <c r="G1251" i="23"/>
  <c r="H1251" i="23"/>
  <c r="A1251" i="23"/>
  <c r="G1937" i="23"/>
  <c r="G2591" i="23"/>
  <c r="G2234" i="23"/>
  <c r="G2238" i="23"/>
  <c r="G1118" i="23"/>
  <c r="H1118" i="23"/>
  <c r="A1118" i="23"/>
  <c r="H1094" i="23"/>
  <c r="G1121" i="23"/>
  <c r="H1121" i="23"/>
  <c r="A1121" i="23"/>
  <c r="G1720" i="23"/>
  <c r="G2177" i="23"/>
  <c r="G1014" i="23"/>
  <c r="H1014" i="23"/>
  <c r="A1014" i="23"/>
  <c r="G1103" i="23"/>
  <c r="H1103" i="23"/>
  <c r="A1103" i="23"/>
  <c r="G441" i="23"/>
  <c r="H441" i="23"/>
  <c r="G437" i="23"/>
  <c r="G438" i="23"/>
  <c r="G439" i="23"/>
  <c r="G426" i="23"/>
  <c r="H426" i="23"/>
  <c r="A426" i="23"/>
  <c r="G510" i="23"/>
  <c r="G512" i="23"/>
  <c r="G514" i="23"/>
  <c r="G516" i="23"/>
  <c r="G1872" i="23"/>
  <c r="G1870" i="23"/>
  <c r="G1868" i="23"/>
  <c r="G2002" i="23"/>
  <c r="G2005" i="23"/>
  <c r="G1901" i="23"/>
  <c r="G1900" i="23"/>
  <c r="G1902" i="23"/>
  <c r="G1895" i="23"/>
  <c r="G1892" i="23"/>
  <c r="G1890" i="23"/>
  <c r="G1023" i="23"/>
  <c r="H1023" i="23"/>
  <c r="A1023" i="23"/>
  <c r="A1024" i="23"/>
  <c r="G984" i="23"/>
  <c r="G912" i="23"/>
  <c r="H912" i="23"/>
  <c r="A912" i="23"/>
  <c r="G909" i="23"/>
  <c r="C902" i="23"/>
  <c r="G930" i="23"/>
  <c r="G945" i="23"/>
  <c r="G1016" i="23"/>
  <c r="G903" i="23"/>
  <c r="G904" i="23"/>
  <c r="G1621" i="23"/>
  <c r="G1723" i="23"/>
  <c r="G1725" i="23"/>
  <c r="G1761" i="23"/>
  <c r="G1765" i="23"/>
  <c r="G1691" i="23"/>
  <c r="G1701" i="23"/>
  <c r="G1702" i="23"/>
  <c r="G1703" i="23"/>
  <c r="G1658" i="23"/>
  <c r="G1661" i="23"/>
  <c r="G1665" i="23"/>
  <c r="G1669" i="23"/>
  <c r="G1628" i="23"/>
  <c r="G2205" i="23"/>
  <c r="G2078" i="23"/>
  <c r="G2219" i="23"/>
  <c r="G2130" i="23"/>
  <c r="G2071" i="23"/>
  <c r="G2491" i="23"/>
  <c r="G2485" i="23"/>
  <c r="G2609" i="23"/>
  <c r="G2613" i="23"/>
  <c r="G2614" i="23"/>
  <c r="G2537" i="23"/>
  <c r="G2540" i="23"/>
  <c r="G2618" i="23"/>
  <c r="G2546" i="23"/>
  <c r="G2549" i="23"/>
  <c r="G2497" i="23"/>
  <c r="G2498" i="23"/>
  <c r="G2489" i="23"/>
  <c r="C2483" i="23"/>
  <c r="G2494" i="23"/>
  <c r="G2484" i="23"/>
  <c r="H1141" i="23"/>
  <c r="A1141" i="23"/>
  <c r="G1140" i="23"/>
  <c r="H1140" i="23"/>
  <c r="A1140" i="23"/>
  <c r="G1227" i="23"/>
  <c r="G1148" i="23"/>
  <c r="H1200" i="23"/>
  <c r="A1200" i="23"/>
  <c r="G1210" i="23"/>
  <c r="G1218" i="23"/>
  <c r="H1218" i="23"/>
  <c r="A1218" i="23"/>
  <c r="A1219" i="23"/>
  <c r="G552" i="23"/>
  <c r="G475" i="23"/>
  <c r="C461" i="23"/>
  <c r="C462" i="23"/>
  <c r="G490" i="23"/>
  <c r="G519" i="23"/>
  <c r="G429" i="23"/>
  <c r="G442" i="23"/>
  <c r="H442" i="23"/>
  <c r="G436" i="23"/>
  <c r="H436" i="23"/>
  <c r="G440" i="23"/>
  <c r="H440" i="23"/>
  <c r="G63" i="23"/>
  <c r="G65" i="23"/>
  <c r="G54" i="23"/>
  <c r="G66" i="23"/>
  <c r="G67" i="23"/>
  <c r="G55" i="23"/>
  <c r="C106" i="23"/>
  <c r="H1468" i="1"/>
  <c r="P1468" i="1"/>
  <c r="C1468" i="1"/>
  <c r="E111" i="31"/>
  <c r="J1468" i="1"/>
  <c r="H1464" i="1"/>
  <c r="P1464" i="1"/>
  <c r="C1464" i="1"/>
  <c r="J1464" i="1"/>
  <c r="H1457" i="1"/>
  <c r="P1457" i="1"/>
  <c r="C1457" i="1"/>
  <c r="J1457" i="1"/>
  <c r="E93" i="31"/>
  <c r="B93" i="31"/>
  <c r="H2118" i="1"/>
  <c r="P2118" i="1"/>
  <c r="C2118" i="1"/>
  <c r="E71" i="34"/>
  <c r="G1551" i="1"/>
  <c r="E107" i="31"/>
  <c r="G107" i="31"/>
  <c r="G1568" i="1"/>
  <c r="H130" i="23"/>
  <c r="G410" i="23"/>
  <c r="G414" i="23"/>
  <c r="G626" i="23"/>
  <c r="G175" i="31"/>
  <c r="E68" i="42"/>
  <c r="B68" i="42"/>
  <c r="E19" i="34"/>
  <c r="E175" i="42"/>
  <c r="G175" i="42"/>
  <c r="B152" i="42"/>
  <c r="P1758" i="1"/>
  <c r="K1137" i="1"/>
  <c r="H1729" i="1"/>
  <c r="P1729" i="1"/>
  <c r="C1729" i="1"/>
  <c r="G120" i="35"/>
  <c r="J2311" i="1"/>
  <c r="J2300" i="1"/>
  <c r="J2286" i="1"/>
  <c r="G1782" i="1"/>
  <c r="E127" i="42"/>
  <c r="G1246" i="23"/>
  <c r="H1246" i="23"/>
  <c r="A1246" i="23"/>
  <c r="G1244" i="23"/>
  <c r="H1244" i="23"/>
  <c r="A1244" i="23"/>
  <c r="G1247" i="23"/>
  <c r="H1247" i="23"/>
  <c r="A1247" i="23"/>
  <c r="G1245" i="23"/>
  <c r="H1245" i="23"/>
  <c r="A1245" i="23"/>
  <c r="G982" i="23"/>
  <c r="H982" i="23"/>
  <c r="A982" i="23"/>
  <c r="G1648" i="23"/>
  <c r="G1677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2159" i="23"/>
  <c r="G252" i="23"/>
  <c r="G154" i="23"/>
  <c r="G1050" i="23"/>
  <c r="H1086" i="23"/>
  <c r="G1080" i="23"/>
  <c r="H1080" i="23"/>
  <c r="G56" i="23"/>
  <c r="G680" i="23"/>
  <c r="G692" i="23"/>
  <c r="G682" i="23"/>
  <c r="G684" i="23"/>
  <c r="G411" i="23"/>
  <c r="H411" i="23"/>
  <c r="G625" i="23"/>
  <c r="G639" i="23"/>
  <c r="G645" i="23"/>
  <c r="G628" i="23"/>
  <c r="G633" i="23"/>
  <c r="G636" i="23"/>
  <c r="C823" i="23"/>
  <c r="G815" i="23"/>
  <c r="G820" i="23"/>
  <c r="G373" i="23"/>
  <c r="G28" i="23"/>
  <c r="G480" i="23"/>
  <c r="G484" i="23"/>
  <c r="G482" i="23"/>
  <c r="G481" i="23"/>
  <c r="G485" i="23"/>
  <c r="G483" i="23"/>
  <c r="G2155" i="23"/>
  <c r="G2156" i="23"/>
  <c r="G1730" i="23"/>
  <c r="G683" i="23"/>
  <c r="G685" i="23"/>
  <c r="G690" i="23"/>
  <c r="G827" i="23"/>
  <c r="G868" i="23"/>
  <c r="G27" i="23"/>
  <c r="C27" i="23"/>
  <c r="G555" i="23"/>
  <c r="G2118" i="23"/>
  <c r="G1615" i="23"/>
  <c r="G2191" i="23"/>
  <c r="J2299" i="1"/>
  <c r="J2306" i="1"/>
  <c r="J2285" i="1"/>
  <c r="J2315" i="1"/>
  <c r="K1860" i="1"/>
  <c r="J2317" i="1"/>
  <c r="J2314" i="1"/>
  <c r="J2283" i="1"/>
  <c r="J2292" i="1"/>
  <c r="J2301" i="1"/>
  <c r="J2308" i="1"/>
  <c r="J2318" i="1"/>
  <c r="J2304" i="1"/>
  <c r="J2284" i="1"/>
  <c r="J2298" i="1"/>
  <c r="J2303" i="1"/>
  <c r="J2297" i="1"/>
  <c r="J2287" i="1"/>
  <c r="J2316" i="1"/>
  <c r="J2313" i="1"/>
  <c r="J2294" i="1"/>
  <c r="J2312" i="1"/>
  <c r="J2290" i="1"/>
  <c r="J2291" i="1"/>
  <c r="J2288" i="1"/>
  <c r="J2302" i="1"/>
  <c r="D84" i="34"/>
  <c r="C261" i="42"/>
  <c r="D215" i="42"/>
  <c r="G206" i="42"/>
  <c r="E118" i="35"/>
  <c r="G2104" i="1"/>
  <c r="K836" i="1"/>
  <c r="G1713" i="23"/>
  <c r="G1715" i="23"/>
  <c r="G1714" i="23"/>
  <c r="G1716" i="23"/>
  <c r="G1006" i="23"/>
  <c r="H1006" i="23"/>
  <c r="A1006" i="23"/>
  <c r="G1007" i="23"/>
  <c r="H1007" i="23"/>
  <c r="A1007" i="23"/>
  <c r="G1008" i="23"/>
  <c r="H1008" i="23"/>
  <c r="A1008" i="23"/>
  <c r="G1009" i="23"/>
  <c r="H1009" i="23"/>
  <c r="A1009" i="23"/>
  <c r="G602" i="23"/>
  <c r="G603" i="23"/>
  <c r="G590" i="23"/>
  <c r="G1995" i="23"/>
  <c r="G1996" i="23"/>
  <c r="G1998" i="23"/>
  <c r="G681" i="23"/>
  <c r="G679" i="23"/>
  <c r="G687" i="23"/>
  <c r="G691" i="23"/>
  <c r="H133" i="23"/>
  <c r="A133" i="23"/>
  <c r="H108" i="23"/>
  <c r="A108" i="23"/>
  <c r="G673" i="23"/>
  <c r="G1055" i="23"/>
  <c r="H1055" i="23"/>
  <c r="A1055" i="23"/>
  <c r="G925" i="23"/>
  <c r="H925" i="23"/>
  <c r="A925" i="23"/>
  <c r="H1098" i="23"/>
  <c r="G1082" i="23"/>
  <c r="H1079" i="23"/>
  <c r="G983" i="23"/>
  <c r="H983" i="23"/>
  <c r="A983" i="23"/>
  <c r="G1776" i="23"/>
  <c r="G2604" i="23"/>
  <c r="G59" i="23"/>
  <c r="G816" i="23"/>
  <c r="G874" i="23"/>
  <c r="G1046" i="23"/>
  <c r="H1093" i="23"/>
  <c r="G978" i="23"/>
  <c r="H978" i="23"/>
  <c r="A978" i="23"/>
  <c r="G1644" i="23"/>
  <c r="G2599" i="23"/>
  <c r="G58" i="23"/>
  <c r="C814" i="23"/>
  <c r="G2116" i="23"/>
  <c r="C1624" i="23"/>
  <c r="C1632" i="23"/>
  <c r="C1642" i="23"/>
  <c r="C1651" i="23"/>
  <c r="G1490" i="23"/>
  <c r="H1490" i="23"/>
  <c r="A1490" i="23"/>
  <c r="E159" i="42"/>
  <c r="G1763" i="1"/>
  <c r="G1884" i="1"/>
  <c r="Y1884" i="1"/>
  <c r="H1761" i="1"/>
  <c r="P1761" i="1"/>
  <c r="C1761" i="1"/>
  <c r="K1761" i="1"/>
  <c r="K1061" i="1"/>
  <c r="K730" i="1"/>
  <c r="K731" i="1" s="1"/>
  <c r="K393" i="1"/>
  <c r="H393" i="1"/>
  <c r="E9" i="121" s="1"/>
  <c r="I9" i="121" s="1"/>
  <c r="E32" i="42"/>
  <c r="E26" i="42"/>
  <c r="E23" i="42"/>
  <c r="E21" i="42"/>
  <c r="I234" i="1"/>
  <c r="I235" i="1" s="1"/>
  <c r="K1834" i="1"/>
  <c r="H1834" i="1"/>
  <c r="P1834" i="1"/>
  <c r="E225" i="42"/>
  <c r="G225" i="42"/>
  <c r="H1733" i="1"/>
  <c r="P1733" i="1"/>
  <c r="C1733" i="1"/>
  <c r="E135" i="42"/>
  <c r="K1733" i="1"/>
  <c r="K947" i="1"/>
  <c r="K839" i="1"/>
  <c r="K841" i="1" s="1"/>
  <c r="K1148" i="1"/>
  <c r="K1153" i="1" s="1"/>
  <c r="K482" i="1"/>
  <c r="K484" i="1"/>
  <c r="K445" i="1"/>
  <c r="K446" i="1" s="1"/>
  <c r="K1112" i="1"/>
  <c r="E96" i="42"/>
  <c r="B96" i="42"/>
  <c r="K428" i="1"/>
  <c r="K1101" i="1"/>
  <c r="K1108" i="1" s="1"/>
  <c r="E31" i="42"/>
  <c r="G31" i="42"/>
  <c r="K335" i="1"/>
  <c r="I291" i="1"/>
  <c r="I292" i="1" s="1"/>
  <c r="K274" i="1"/>
  <c r="K277" i="1"/>
  <c r="I274" i="1"/>
  <c r="G1720" i="1"/>
  <c r="D77" i="31"/>
  <c r="J1539" i="1"/>
  <c r="E176" i="31"/>
  <c r="G2090" i="23"/>
  <c r="G2091" i="23"/>
  <c r="G2093" i="23"/>
  <c r="G1636" i="23"/>
  <c r="G1633" i="23"/>
  <c r="H2046" i="1"/>
  <c r="P2046" i="1"/>
  <c r="C2046" i="1"/>
  <c r="G211" i="23"/>
  <c r="I1681" i="1"/>
  <c r="H2205" i="1"/>
  <c r="P2205" i="1"/>
  <c r="C2205" i="1"/>
  <c r="J2205" i="1"/>
  <c r="H1508" i="1"/>
  <c r="P1508" i="1"/>
  <c r="J1508" i="1"/>
  <c r="G1511" i="1"/>
  <c r="G125" i="23"/>
  <c r="H125" i="23"/>
  <c r="A125" i="23"/>
  <c r="H2148" i="1"/>
  <c r="N2069" i="1"/>
  <c r="G2107" i="1"/>
  <c r="K268" i="1"/>
  <c r="K245" i="1"/>
  <c r="G251" i="23"/>
  <c r="G61" i="23"/>
  <c r="G57" i="23"/>
  <c r="G258" i="23"/>
  <c r="G265" i="23"/>
  <c r="DJ184" i="16"/>
  <c r="K1576" i="1"/>
  <c r="G1576" i="1"/>
  <c r="G2564" i="23"/>
  <c r="G2563" i="23"/>
  <c r="G136" i="23"/>
  <c r="G149" i="23"/>
  <c r="C116" i="23"/>
  <c r="C117" i="23"/>
  <c r="E127" i="35"/>
  <c r="G127" i="35"/>
  <c r="G132" i="23"/>
  <c r="H132" i="23"/>
  <c r="A132" i="23"/>
  <c r="H180" i="23"/>
  <c r="A180" i="23"/>
  <c r="G693" i="23"/>
  <c r="G689" i="23"/>
  <c r="G686" i="23"/>
  <c r="G694" i="23"/>
  <c r="G60" i="23"/>
  <c r="C97" i="42"/>
  <c r="C623" i="23"/>
  <c r="G668" i="23"/>
  <c r="AY69" i="61"/>
  <c r="AC69" i="61"/>
  <c r="K184" i="16"/>
  <c r="GJ182" i="16"/>
  <c r="GJ184" i="16"/>
  <c r="EY182" i="16"/>
  <c r="EW182" i="16"/>
  <c r="EW184" i="16"/>
  <c r="EQ182" i="16"/>
  <c r="BZ182" i="16"/>
  <c r="BZ184" i="16"/>
  <c r="BS182" i="16"/>
  <c r="BS184" i="16"/>
  <c r="AF182" i="16"/>
  <c r="AF184" i="16"/>
  <c r="AD182" i="16"/>
  <c r="Z182" i="16"/>
  <c r="Z184" i="16"/>
  <c r="FJ95" i="16"/>
  <c r="EB95" i="16"/>
  <c r="EB184" i="16"/>
  <c r="D184" i="16"/>
  <c r="C47" i="34"/>
  <c r="D47" i="34"/>
  <c r="G81" i="23"/>
  <c r="G435" i="23"/>
  <c r="G434" i="23"/>
  <c r="C69" i="31"/>
  <c r="B133" i="33"/>
  <c r="AR69" i="61"/>
  <c r="BY182" i="16"/>
  <c r="FR182" i="16"/>
  <c r="FD182" i="16"/>
  <c r="FD184" i="16"/>
  <c r="DP182" i="16"/>
  <c r="BW182" i="16"/>
  <c r="BW184" i="16"/>
  <c r="AZ182" i="16"/>
  <c r="AZ184" i="16"/>
  <c r="AH182" i="16"/>
  <c r="AH184" i="16"/>
  <c r="AA182" i="16"/>
  <c r="U182" i="16"/>
  <c r="U184" i="16"/>
  <c r="GE95" i="16"/>
  <c r="GE184" i="16"/>
  <c r="EN95" i="16"/>
  <c r="EN184" i="16"/>
  <c r="DL95" i="16"/>
  <c r="DL184" i="16"/>
  <c r="CJ182" i="16"/>
  <c r="CJ184" i="16"/>
  <c r="J783" i="1"/>
  <c r="J842" i="1" s="1"/>
  <c r="C93" i="42"/>
  <c r="E93" i="42"/>
  <c r="BM184" i="16"/>
  <c r="AQ69" i="61"/>
  <c r="I184" i="16"/>
  <c r="EI182" i="16"/>
  <c r="EI184" i="16"/>
  <c r="BU182" i="16"/>
  <c r="BU184" i="16"/>
  <c r="AK182" i="16"/>
  <c r="AK184" i="16"/>
  <c r="FP182" i="16"/>
  <c r="FP184" i="16"/>
  <c r="BX182" i="16"/>
  <c r="AB182" i="16"/>
  <c r="AB184" i="16"/>
  <c r="V182" i="16"/>
  <c r="G200" i="31"/>
  <c r="D62" i="33"/>
  <c r="D53" i="33"/>
  <c r="E134" i="42"/>
  <c r="GB95" i="16"/>
  <c r="GB184" i="16"/>
  <c r="BG196" i="70"/>
  <c r="AO134" i="70"/>
  <c r="BE134" i="70"/>
  <c r="BJ134" i="70"/>
  <c r="CW134" i="70"/>
  <c r="AN229" i="70"/>
  <c r="G229" i="70"/>
  <c r="W134" i="70"/>
  <c r="BM134" i="70"/>
  <c r="CF134" i="70"/>
  <c r="CM134" i="70"/>
  <c r="E134" i="70"/>
  <c r="CI229" i="70"/>
  <c r="X229" i="70"/>
  <c r="AH229" i="70"/>
  <c r="BG150" i="70"/>
  <c r="BC134" i="70"/>
  <c r="BT134" i="70"/>
  <c r="FN95" i="16"/>
  <c r="FN184" i="16"/>
  <c r="GM95" i="16"/>
  <c r="GM184" i="16"/>
  <c r="BU229" i="70"/>
  <c r="F229" i="70"/>
  <c r="CN189" i="70"/>
  <c r="K229" i="70"/>
  <c r="Y134" i="70"/>
  <c r="CI134" i="70"/>
  <c r="GO95" i="16"/>
  <c r="GO184" i="16"/>
  <c r="EU95" i="16"/>
  <c r="EU184" i="16"/>
  <c r="EW95" i="16"/>
  <c r="GD95" i="16"/>
  <c r="FF95" i="16"/>
  <c r="FF184" i="16"/>
  <c r="FC95" i="16"/>
  <c r="FC182" i="16"/>
  <c r="FS95" i="16"/>
  <c r="FS184" i="16"/>
  <c r="EQ95" i="16"/>
  <c r="FW95" i="16"/>
  <c r="L276" i="1"/>
  <c r="K18" i="1"/>
  <c r="K20" i="1" s="1"/>
  <c r="V95" i="16"/>
  <c r="AA95" i="16"/>
  <c r="AI95" i="16"/>
  <c r="AQ95" i="16"/>
  <c r="AD95" i="16"/>
  <c r="AM95" i="16"/>
  <c r="AT95" i="16"/>
  <c r="CG95" i="16"/>
  <c r="CQ134" i="70"/>
  <c r="BZ134" i="70"/>
  <c r="C134" i="70"/>
  <c r="FR95" i="16"/>
  <c r="X182" i="16"/>
  <c r="M719" i="1"/>
  <c r="BB184" i="16"/>
  <c r="P95" i="16"/>
  <c r="R95" i="16"/>
  <c r="BC95" i="16"/>
  <c r="T95" i="16"/>
  <c r="CS95" i="16"/>
  <c r="CS182" i="16"/>
  <c r="BI95" i="16"/>
  <c r="G1461" i="1"/>
  <c r="I1619" i="1"/>
  <c r="H1960" i="1"/>
  <c r="L1960" i="1"/>
  <c r="G1994" i="1"/>
  <c r="G2135" i="1"/>
  <c r="BJ69" i="61"/>
  <c r="G2176" i="1"/>
  <c r="BI69" i="61"/>
  <c r="G2180" i="1"/>
  <c r="CU95" i="16"/>
  <c r="CM95" i="16"/>
  <c r="CL95" i="16"/>
  <c r="CL184" i="16"/>
  <c r="BX95" i="16"/>
  <c r="CB95" i="16"/>
  <c r="DP95" i="16"/>
  <c r="DQ95" i="16"/>
  <c r="DR95" i="16"/>
  <c r="DU95" i="16"/>
  <c r="EA95" i="16"/>
  <c r="EA184" i="16"/>
  <c r="G1542" i="1"/>
  <c r="G1467" i="1"/>
  <c r="H1654" i="1"/>
  <c r="P1654" i="1"/>
  <c r="C1654" i="1"/>
  <c r="H1669" i="1"/>
  <c r="P1669" i="1"/>
  <c r="C1669" i="1"/>
  <c r="N95" i="16"/>
  <c r="N184" i="16"/>
  <c r="CQ95" i="16"/>
  <c r="CQ184" i="16"/>
  <c r="J962" i="1"/>
  <c r="BJ95" i="16"/>
  <c r="BJ184" i="16"/>
  <c r="BT95" i="16"/>
  <c r="DF95" i="16"/>
  <c r="G1672" i="1"/>
  <c r="AP69" i="61"/>
  <c r="H2178" i="1"/>
  <c r="P2178" i="1"/>
  <c r="C2178" i="1"/>
  <c r="EG95" i="16"/>
  <c r="EG184" i="16"/>
  <c r="G2206" i="1"/>
  <c r="Y2206" i="1"/>
  <c r="G1175" i="23"/>
  <c r="H1175" i="23"/>
  <c r="A1175" i="23"/>
  <c r="S182" i="16"/>
  <c r="EH95" i="16"/>
  <c r="EH184" i="16"/>
  <c r="G2207" i="1"/>
  <c r="G848" i="1"/>
  <c r="E30" i="42"/>
  <c r="B30" i="42"/>
  <c r="F816" i="23"/>
  <c r="E816" i="23"/>
  <c r="D816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D31" i="90"/>
  <c r="E162" i="23"/>
  <c r="C31" i="90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680" i="23"/>
  <c r="D680" i="23"/>
  <c r="F819" i="23"/>
  <c r="E819" i="23"/>
  <c r="D81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D25" i="90"/>
  <c r="E1383" i="23"/>
  <c r="C25" i="90"/>
  <c r="D1383" i="23"/>
  <c r="F1381" i="23"/>
  <c r="D23" i="90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G266" i="23"/>
  <c r="G2214" i="1"/>
  <c r="P1713" i="1"/>
  <c r="P1512" i="1"/>
  <c r="C1512" i="1"/>
  <c r="P1538" i="1"/>
  <c r="C1538" i="1"/>
  <c r="P1871" i="1"/>
  <c r="C1871" i="1"/>
  <c r="P1681" i="1"/>
  <c r="C1681" i="1"/>
  <c r="P1513" i="1"/>
  <c r="C1513" i="1"/>
  <c r="P1988" i="1"/>
  <c r="C1988" i="1"/>
  <c r="P2024" i="1"/>
  <c r="C2024" i="1"/>
  <c r="P2191" i="1"/>
  <c r="C2191" i="1"/>
  <c r="P1941" i="1"/>
  <c r="C1941" i="1"/>
  <c r="P1929" i="1"/>
  <c r="C1929" i="1"/>
  <c r="P2031" i="1"/>
  <c r="C2031" i="1"/>
  <c r="P2040" i="1"/>
  <c r="C2040" i="1"/>
  <c r="P2081" i="1"/>
  <c r="C2081" i="1"/>
  <c r="P2034" i="1"/>
  <c r="C2034" i="1"/>
  <c r="P2025" i="1"/>
  <c r="C2025" i="1"/>
  <c r="P2051" i="1"/>
  <c r="C2051" i="1"/>
  <c r="P2067" i="1"/>
  <c r="C2067" i="1"/>
  <c r="P1860" i="1"/>
  <c r="P1857" i="1"/>
  <c r="C1857" i="1"/>
  <c r="P2233" i="1"/>
  <c r="P1606" i="1"/>
  <c r="C1606" i="1"/>
  <c r="P1599" i="1"/>
  <c r="C1599" i="1"/>
  <c r="P1749" i="1"/>
  <c r="C1749" i="1"/>
  <c r="P1640" i="1"/>
  <c r="C1640" i="1"/>
  <c r="P1766" i="1"/>
  <c r="C1766" i="1"/>
  <c r="P2187" i="1"/>
  <c r="C2187" i="1"/>
  <c r="P2160" i="1"/>
  <c r="C2160" i="1"/>
  <c r="P2151" i="1"/>
  <c r="C2151" i="1"/>
  <c r="P1634" i="1"/>
  <c r="C1634" i="1"/>
  <c r="P1501" i="1"/>
  <c r="C1501" i="1"/>
  <c r="P1770" i="1"/>
  <c r="C1770" i="1"/>
  <c r="P1933" i="1"/>
  <c r="C1933" i="1"/>
  <c r="P1499" i="1"/>
  <c r="C1499" i="1"/>
  <c r="P1604" i="1"/>
  <c r="C1604" i="1"/>
  <c r="P1613" i="1"/>
  <c r="C1613" i="1"/>
  <c r="P1946" i="1"/>
  <c r="C1946" i="1"/>
  <c r="P2163" i="1"/>
  <c r="C2163" i="1"/>
  <c r="P2150" i="1"/>
  <c r="C2150" i="1"/>
  <c r="P1788" i="1"/>
  <c r="C1788" i="1"/>
  <c r="P1740" i="1"/>
  <c r="C1740" i="1"/>
  <c r="P1505" i="1"/>
  <c r="C1505" i="1"/>
  <c r="P1870" i="1"/>
  <c r="C1870" i="1"/>
  <c r="P1737" i="1"/>
  <c r="C1737" i="1"/>
  <c r="P1732" i="1"/>
  <c r="C1732" i="1"/>
  <c r="P1550" i="1"/>
  <c r="C1550" i="1"/>
  <c r="P1506" i="1"/>
  <c r="C1506" i="1"/>
  <c r="P1725" i="1"/>
  <c r="C1725" i="1"/>
  <c r="P1751" i="1"/>
  <c r="C1751" i="1"/>
  <c r="P1774" i="1"/>
  <c r="C1774" i="1"/>
  <c r="P1872" i="1"/>
  <c r="C1872" i="1"/>
  <c r="P1595" i="1"/>
  <c r="C1595" i="1"/>
  <c r="P2027" i="1"/>
  <c r="C2027" i="1"/>
  <c r="P2043" i="1"/>
  <c r="C2043" i="1"/>
  <c r="P2032" i="1"/>
  <c r="C2032" i="1"/>
  <c r="P2084" i="1"/>
  <c r="C2084" i="1"/>
  <c r="P2026" i="1"/>
  <c r="C2026" i="1"/>
  <c r="P2080" i="1"/>
  <c r="C2080" i="1"/>
  <c r="P1726" i="1"/>
  <c r="C1726" i="1"/>
  <c r="P1631" i="1"/>
  <c r="C1631" i="1"/>
  <c r="P2220" i="1"/>
  <c r="C2220" i="1"/>
  <c r="P1664" i="1"/>
  <c r="C1664" i="1"/>
  <c r="P1652" i="1"/>
  <c r="C1652" i="1"/>
  <c r="P1639" i="1"/>
  <c r="C1639" i="1"/>
  <c r="P2126" i="1"/>
  <c r="C2126" i="1"/>
  <c r="P1918" i="1"/>
  <c r="P1975" i="1"/>
  <c r="C1975" i="1"/>
  <c r="P1714" i="1"/>
  <c r="C1714" i="1"/>
  <c r="P1777" i="1"/>
  <c r="C1777" i="1"/>
  <c r="P1771" i="1"/>
  <c r="C1771" i="1"/>
  <c r="P1498" i="1"/>
  <c r="C1498" i="1"/>
  <c r="P1943" i="1"/>
  <c r="C1943" i="1"/>
  <c r="P2152" i="1"/>
  <c r="C2152" i="1"/>
  <c r="P1646" i="1"/>
  <c r="C1646" i="1"/>
  <c r="P1618" i="1"/>
  <c r="C1618" i="1"/>
  <c r="P1649" i="1"/>
  <c r="C1649" i="1"/>
  <c r="P1602" i="1"/>
  <c r="C1602" i="1"/>
  <c r="P1624" i="1"/>
  <c r="C1624" i="1"/>
  <c r="P1744" i="1"/>
  <c r="C1744" i="1"/>
  <c r="P1752" i="1"/>
  <c r="C1752" i="1"/>
  <c r="P1873" i="1"/>
  <c r="C1873" i="1"/>
  <c r="P2008" i="1"/>
  <c r="C2008" i="1"/>
  <c r="P1753" i="1"/>
  <c r="C1753" i="1"/>
  <c r="P1719" i="1"/>
  <c r="C1719" i="1"/>
  <c r="P1717" i="1"/>
  <c r="C1717" i="1"/>
  <c r="P2049" i="1"/>
  <c r="C2049" i="1"/>
  <c r="P2083" i="1"/>
  <c r="C2083" i="1"/>
  <c r="P1668" i="1"/>
  <c r="C1668" i="1"/>
  <c r="P2158" i="1"/>
  <c r="C2158" i="1"/>
  <c r="P2181" i="1"/>
  <c r="C2181" i="1"/>
  <c r="P1930" i="1"/>
  <c r="P1954" i="1"/>
  <c r="P2179" i="1"/>
  <c r="C2179" i="1"/>
  <c r="P2173" i="1"/>
  <c r="C2173" i="1"/>
  <c r="P2172" i="1"/>
  <c r="C2172" i="1"/>
  <c r="P1638" i="1"/>
  <c r="C1638" i="1"/>
  <c r="P1632" i="1"/>
  <c r="C1632" i="1"/>
  <c r="P1497" i="1"/>
  <c r="C1497" i="1"/>
  <c r="P1503" i="1"/>
  <c r="C1503" i="1"/>
  <c r="P1514" i="1"/>
  <c r="C1514" i="1"/>
  <c r="P1515" i="1"/>
  <c r="C1515" i="1"/>
  <c r="P1516" i="1"/>
  <c r="C1516" i="1"/>
  <c r="P1517" i="1"/>
  <c r="C1517" i="1"/>
  <c r="P1518" i="1"/>
  <c r="C1518" i="1"/>
  <c r="P1519" i="1"/>
  <c r="C1519" i="1"/>
  <c r="P1520" i="1"/>
  <c r="C1520" i="1"/>
  <c r="P1521" i="1"/>
  <c r="C1521" i="1"/>
  <c r="P1522" i="1"/>
  <c r="C1522" i="1"/>
  <c r="P1523" i="1"/>
  <c r="C1523" i="1"/>
  <c r="P1524" i="1"/>
  <c r="C1524" i="1"/>
  <c r="P1525" i="1"/>
  <c r="C1525" i="1"/>
  <c r="P1526" i="1"/>
  <c r="C1526" i="1"/>
  <c r="P1527" i="1"/>
  <c r="C1527" i="1"/>
  <c r="P1528" i="1"/>
  <c r="C1528" i="1"/>
  <c r="P1529" i="1"/>
  <c r="C1529" i="1"/>
  <c r="P1530" i="1"/>
  <c r="C1530" i="1"/>
  <c r="P1531" i="1"/>
  <c r="C1531" i="1"/>
  <c r="P1537" i="1"/>
  <c r="C1537" i="1"/>
  <c r="P1543" i="1"/>
  <c r="C1543" i="1"/>
  <c r="P1546" i="1"/>
  <c r="C1546" i="1"/>
  <c r="P1558" i="1"/>
  <c r="C1558" i="1"/>
  <c r="P1609" i="1"/>
  <c r="C1609" i="1"/>
  <c r="P1614" i="1"/>
  <c r="C1614" i="1"/>
  <c r="P1619" i="1"/>
  <c r="C1619" i="1"/>
  <c r="P1622" i="1"/>
  <c r="C1622" i="1"/>
  <c r="P1630" i="1"/>
  <c r="C1630" i="1"/>
  <c r="P1636" i="1"/>
  <c r="C1636" i="1"/>
  <c r="P1644" i="1"/>
  <c r="C1644" i="1"/>
  <c r="P1648" i="1"/>
  <c r="C1648" i="1"/>
  <c r="P1650" i="1"/>
  <c r="C1650" i="1"/>
  <c r="P1655" i="1"/>
  <c r="C1655" i="1"/>
  <c r="P1656" i="1"/>
  <c r="C1656" i="1"/>
  <c r="P1657" i="1"/>
  <c r="C1657" i="1"/>
  <c r="P1658" i="1"/>
  <c r="C1658" i="1"/>
  <c r="P1659" i="1"/>
  <c r="C1659" i="1"/>
  <c r="P1661" i="1"/>
  <c r="C1661" i="1"/>
  <c r="P1662" i="1"/>
  <c r="C1662" i="1"/>
  <c r="P1665" i="1"/>
  <c r="C1665" i="1"/>
  <c r="P1666" i="1"/>
  <c r="C1666" i="1"/>
  <c r="P1670" i="1"/>
  <c r="C1670" i="1"/>
  <c r="P1671" i="1"/>
  <c r="C1671" i="1"/>
  <c r="P1684" i="1"/>
  <c r="C1684" i="1"/>
  <c r="P1610" i="1"/>
  <c r="C1610" i="1"/>
  <c r="P1736" i="1"/>
  <c r="C1736" i="1"/>
  <c r="P1739" i="1"/>
  <c r="C1739" i="1"/>
  <c r="P1742" i="1"/>
  <c r="C1742" i="1"/>
  <c r="P1750" i="1"/>
  <c r="C1750" i="1"/>
  <c r="P1754" i="1"/>
  <c r="C1754" i="1"/>
  <c r="P1765" i="1"/>
  <c r="C1765" i="1"/>
  <c r="P1768" i="1"/>
  <c r="C1768" i="1"/>
  <c r="P1769" i="1"/>
  <c r="C1769" i="1"/>
  <c r="P1775" i="1"/>
  <c r="C1775" i="1"/>
  <c r="P1776" i="1"/>
  <c r="C1776" i="1"/>
  <c r="P1784" i="1"/>
  <c r="C1784" i="1"/>
  <c r="P1789" i="1"/>
  <c r="C1789" i="1"/>
  <c r="P1790" i="1"/>
  <c r="C1790" i="1"/>
  <c r="P1795" i="1"/>
  <c r="C1795" i="1"/>
  <c r="P1796" i="1"/>
  <c r="C1796" i="1"/>
  <c r="P1797" i="1"/>
  <c r="C1797" i="1"/>
  <c r="P1798" i="1"/>
  <c r="C1798" i="1"/>
  <c r="P1799" i="1"/>
  <c r="C1799" i="1"/>
  <c r="P1800" i="1"/>
  <c r="C1800" i="1"/>
  <c r="P1801" i="1"/>
  <c r="C1801" i="1"/>
  <c r="P1803" i="1"/>
  <c r="C1803" i="1"/>
  <c r="P1804" i="1"/>
  <c r="C1804" i="1"/>
  <c r="P1805" i="1"/>
  <c r="C1805" i="1"/>
  <c r="P1806" i="1"/>
  <c r="C1806" i="1"/>
  <c r="P1807" i="1"/>
  <c r="C1807" i="1"/>
  <c r="P1808" i="1"/>
  <c r="C1808" i="1"/>
  <c r="P1809" i="1"/>
  <c r="C1809" i="1"/>
  <c r="P1810" i="1"/>
  <c r="C1810" i="1"/>
  <c r="P1811" i="1"/>
  <c r="C1811" i="1"/>
  <c r="P1813" i="1"/>
  <c r="C1813" i="1"/>
  <c r="P1814" i="1"/>
  <c r="C1814" i="1"/>
  <c r="P1815" i="1"/>
  <c r="C1815" i="1"/>
  <c r="P1816" i="1"/>
  <c r="C1816" i="1"/>
  <c r="P1817" i="1"/>
  <c r="C1817" i="1"/>
  <c r="P1818" i="1"/>
  <c r="C1818" i="1"/>
  <c r="P1819" i="1"/>
  <c r="C1819" i="1"/>
  <c r="P1820" i="1"/>
  <c r="C1820" i="1"/>
  <c r="P1821" i="1"/>
  <c r="C1821" i="1"/>
  <c r="P1822" i="1"/>
  <c r="C1822" i="1"/>
  <c r="P1823" i="1"/>
  <c r="C1823" i="1"/>
  <c r="P1824" i="1"/>
  <c r="C1824" i="1"/>
  <c r="P1825" i="1"/>
  <c r="C1825" i="1"/>
  <c r="P1826" i="1"/>
  <c r="C1826" i="1"/>
  <c r="P1827" i="1"/>
  <c r="C1827" i="1"/>
  <c r="P1828" i="1"/>
  <c r="C1828" i="1"/>
  <c r="P1829" i="1"/>
  <c r="C1829" i="1"/>
  <c r="P1830" i="1"/>
  <c r="C1830" i="1"/>
  <c r="P1831" i="1"/>
  <c r="C1831" i="1"/>
  <c r="P1833" i="1"/>
  <c r="C1833" i="1"/>
  <c r="P1835" i="1"/>
  <c r="C1835" i="1"/>
  <c r="P1836" i="1"/>
  <c r="C1836" i="1"/>
  <c r="P1837" i="1"/>
  <c r="P1847" i="1"/>
  <c r="C1847" i="1"/>
  <c r="P1848" i="1"/>
  <c r="C1848" i="1"/>
  <c r="P1849" i="1"/>
  <c r="C1849" i="1"/>
  <c r="P1850" i="1"/>
  <c r="C1850" i="1"/>
  <c r="P1851" i="1"/>
  <c r="C1851" i="1"/>
  <c r="P1852" i="1"/>
  <c r="C1852" i="1"/>
  <c r="P1853" i="1"/>
  <c r="C1853" i="1"/>
  <c r="P1854" i="1"/>
  <c r="C1854" i="1"/>
  <c r="P1855" i="1"/>
  <c r="C1855" i="1"/>
  <c r="P1856" i="1"/>
  <c r="C1856" i="1"/>
  <c r="P1962" i="1"/>
  <c r="C1962" i="1"/>
  <c r="P2017" i="1"/>
  <c r="C2017" i="1"/>
  <c r="P2018" i="1"/>
  <c r="C2018" i="1"/>
  <c r="P2019" i="1"/>
  <c r="C2019" i="1"/>
  <c r="P2020" i="1"/>
  <c r="C2020" i="1"/>
  <c r="P2021" i="1"/>
  <c r="C2021" i="1"/>
  <c r="P2022" i="1"/>
  <c r="C2022" i="1"/>
  <c r="P2070" i="1"/>
  <c r="C2070" i="1"/>
  <c r="P2071" i="1"/>
  <c r="C2071" i="1"/>
  <c r="P2072" i="1"/>
  <c r="C2072" i="1"/>
  <c r="P2073" i="1"/>
  <c r="C2073" i="1"/>
  <c r="P2074" i="1"/>
  <c r="C2074" i="1"/>
  <c r="P2075" i="1"/>
  <c r="C2075" i="1"/>
  <c r="P2076" i="1"/>
  <c r="C2076" i="1"/>
  <c r="P2077" i="1"/>
  <c r="C2077" i="1"/>
  <c r="P2078" i="1"/>
  <c r="C2078" i="1"/>
  <c r="P2079" i="1"/>
  <c r="C2079" i="1"/>
  <c r="P2090" i="1"/>
  <c r="C2090" i="1"/>
  <c r="P2093" i="1"/>
  <c r="C2093" i="1"/>
  <c r="P2124" i="1"/>
  <c r="C2124" i="1"/>
  <c r="P2159" i="1"/>
  <c r="C2159" i="1"/>
  <c r="P2161" i="1"/>
  <c r="C2161" i="1"/>
  <c r="P2162" i="1"/>
  <c r="C2162" i="1"/>
  <c r="P2171" i="1"/>
  <c r="C2171" i="1"/>
  <c r="P2174" i="1"/>
  <c r="C2174" i="1"/>
  <c r="P2182" i="1"/>
  <c r="C2182" i="1"/>
  <c r="P2183" i="1"/>
  <c r="C2183" i="1"/>
  <c r="P2184" i="1"/>
  <c r="C2184" i="1"/>
  <c r="P2185" i="1"/>
  <c r="C2185" i="1"/>
  <c r="P2196" i="1"/>
  <c r="C2196" i="1"/>
  <c r="P2197" i="1"/>
  <c r="C2197" i="1"/>
  <c r="P2198" i="1"/>
  <c r="C2198" i="1"/>
  <c r="P2199" i="1"/>
  <c r="C2199" i="1"/>
  <c r="P2200" i="1"/>
  <c r="C2200" i="1"/>
  <c r="P2201" i="1"/>
  <c r="C2201" i="1"/>
  <c r="P2202" i="1"/>
  <c r="C2202" i="1"/>
  <c r="P2210" i="1"/>
  <c r="C2210" i="1"/>
  <c r="P2216" i="1"/>
  <c r="C2216" i="1"/>
  <c r="P2217" i="1"/>
  <c r="C2217" i="1"/>
  <c r="P2218" i="1"/>
  <c r="C2218" i="1"/>
  <c r="P2219" i="1"/>
  <c r="C2219" i="1"/>
  <c r="P2221" i="1"/>
  <c r="C2221" i="1"/>
  <c r="P2223" i="1"/>
  <c r="C2223" i="1"/>
  <c r="P2224" i="1"/>
  <c r="C2224" i="1"/>
  <c r="P2227" i="1"/>
  <c r="P2228" i="1"/>
  <c r="P2229" i="1"/>
  <c r="P2230" i="1"/>
  <c r="P2231" i="1"/>
  <c r="P2232" i="1"/>
  <c r="P2239" i="1"/>
  <c r="P2240" i="1"/>
  <c r="P2241" i="1"/>
  <c r="P2242" i="1"/>
  <c r="P2245" i="1"/>
  <c r="P2246" i="1"/>
  <c r="P2274" i="1"/>
  <c r="P2275" i="1"/>
  <c r="P2277" i="1"/>
  <c r="P2279" i="1"/>
  <c r="P2280" i="1"/>
  <c r="P1841" i="1"/>
  <c r="C1841" i="1"/>
  <c r="P1786" i="1"/>
  <c r="C1786" i="1"/>
  <c r="P1772" i="1"/>
  <c r="C1772" i="1"/>
  <c r="P1731" i="1"/>
  <c r="C1731" i="1"/>
  <c r="P1730" i="1"/>
  <c r="C1730" i="1"/>
  <c r="P1724" i="1"/>
  <c r="C1724" i="1"/>
  <c r="P1715" i="1"/>
  <c r="C1715" i="1"/>
  <c r="P2053" i="1"/>
  <c r="C2053" i="1"/>
  <c r="M2123" i="1"/>
  <c r="C2123" i="1"/>
  <c r="L1982" i="1"/>
  <c r="C1982" i="1"/>
  <c r="L1961" i="1"/>
  <c r="C1961" i="1"/>
  <c r="L1957" i="1"/>
  <c r="C1957" i="1"/>
  <c r="L1979" i="1"/>
  <c r="C1979" i="1"/>
  <c r="L1958" i="1"/>
  <c r="C1958" i="1"/>
  <c r="L1956" i="1"/>
  <c r="C1956" i="1"/>
  <c r="L1931" i="1"/>
  <c r="C1931" i="1"/>
  <c r="L1942" i="1"/>
  <c r="C1942" i="1"/>
  <c r="L1947" i="1"/>
  <c r="C1947" i="1"/>
  <c r="L1920" i="1"/>
  <c r="C1920" i="1"/>
  <c r="L1980" i="1"/>
  <c r="C1980" i="1"/>
  <c r="M2128" i="1"/>
  <c r="C2128" i="1"/>
  <c r="L1973" i="1"/>
  <c r="C1973" i="1"/>
  <c r="L1974" i="1"/>
  <c r="C1974" i="1"/>
  <c r="L1969" i="1"/>
  <c r="C1969" i="1"/>
  <c r="L1981" i="1"/>
  <c r="C1981" i="1"/>
  <c r="L1967" i="1"/>
  <c r="C1967" i="1"/>
  <c r="L1971" i="1"/>
  <c r="C1971" i="1"/>
  <c r="L1948" i="1"/>
  <c r="C1948" i="1"/>
  <c r="L1940" i="1"/>
  <c r="C1940" i="1"/>
  <c r="L1938" i="1"/>
  <c r="C1938" i="1"/>
  <c r="L1944" i="1"/>
  <c r="C1944" i="1"/>
  <c r="L1977" i="1"/>
  <c r="C1977" i="1"/>
  <c r="L1964" i="1"/>
  <c r="C1964" i="1"/>
  <c r="L1986" i="1"/>
  <c r="C1986" i="1"/>
  <c r="L1987" i="1"/>
  <c r="C1987" i="1"/>
  <c r="M2117" i="1"/>
  <c r="C2117" i="1"/>
  <c r="M2120" i="1"/>
  <c r="C2120" i="1"/>
  <c r="M2125" i="1"/>
  <c r="C2125" i="1"/>
  <c r="M2127" i="1"/>
  <c r="C2127" i="1"/>
  <c r="M2129" i="1"/>
  <c r="C2129" i="1"/>
  <c r="M2130" i="1"/>
  <c r="C2130" i="1"/>
  <c r="C2212" i="1"/>
  <c r="C2213" i="1"/>
  <c r="C2222" i="1"/>
  <c r="K179" i="1"/>
  <c r="C2208" i="1"/>
  <c r="C1898" i="1"/>
  <c r="C1861" i="1"/>
  <c r="C1812" i="1"/>
  <c r="C1747" i="1"/>
  <c r="C1746" i="1"/>
  <c r="L1430" i="1"/>
  <c r="E20" i="34"/>
  <c r="G20" i="34" s="1"/>
  <c r="G2239" i="23"/>
  <c r="G1149" i="23"/>
  <c r="H1149" i="23"/>
  <c r="A1149" i="23"/>
  <c r="G1284" i="23"/>
  <c r="H1284" i="23"/>
  <c r="A1284" i="23"/>
  <c r="G1635" i="23"/>
  <c r="G2092" i="23"/>
  <c r="G216" i="23"/>
  <c r="G1570" i="23"/>
  <c r="H1570" i="23"/>
  <c r="A1570" i="23"/>
  <c r="G1580" i="23"/>
  <c r="H1580" i="23"/>
  <c r="A1580" i="23"/>
  <c r="G1559" i="23"/>
  <c r="H1559" i="23"/>
  <c r="A1559" i="23"/>
  <c r="G1567" i="23"/>
  <c r="H1567" i="23"/>
  <c r="A1567" i="23"/>
  <c r="G1558" i="23"/>
  <c r="H1558" i="23"/>
  <c r="A1558" i="23"/>
  <c r="G233" i="23"/>
  <c r="G225" i="23"/>
  <c r="G236" i="23"/>
  <c r="G237" i="23"/>
  <c r="G230" i="23"/>
  <c r="G2097" i="23"/>
  <c r="G564" i="23"/>
  <c r="G566" i="23"/>
  <c r="G567" i="23"/>
  <c r="G562" i="23"/>
  <c r="G565" i="23"/>
  <c r="G580" i="23"/>
  <c r="G577" i="23"/>
  <c r="G2106" i="23"/>
  <c r="G2105" i="23"/>
  <c r="G2141" i="23"/>
  <c r="G2144" i="23"/>
  <c r="C379" i="23"/>
  <c r="G2153" i="23"/>
  <c r="G2154" i="23"/>
  <c r="G1749" i="23"/>
  <c r="G1736" i="23"/>
  <c r="E40" i="33"/>
  <c r="G40" i="33" s="1"/>
  <c r="E21" i="33"/>
  <c r="G21" i="33" s="1"/>
  <c r="G2237" i="23"/>
  <c r="G2236" i="23"/>
  <c r="G2254" i="23"/>
  <c r="G1634" i="23"/>
  <c r="G245" i="23"/>
  <c r="G248" i="23"/>
  <c r="G1506" i="23"/>
  <c r="H1506" i="23"/>
  <c r="A1506" i="23"/>
  <c r="G585" i="23"/>
  <c r="G551" i="23"/>
  <c r="G609" i="23"/>
  <c r="G554" i="23"/>
  <c r="G553" i="23"/>
  <c r="G241" i="23"/>
  <c r="G240" i="23"/>
  <c r="G2102" i="23"/>
  <c r="G2104" i="23"/>
  <c r="G2103" i="23"/>
  <c r="G2107" i="23"/>
  <c r="G2145" i="23"/>
  <c r="G2140" i="23"/>
  <c r="G2143" i="23"/>
  <c r="G2146" i="23"/>
  <c r="G384" i="23"/>
  <c r="H384" i="23"/>
  <c r="A384" i="23"/>
  <c r="A385" i="23"/>
  <c r="G381" i="23"/>
  <c r="H381" i="23"/>
  <c r="G2161" i="23"/>
  <c r="G2158" i="23"/>
  <c r="G2152" i="23"/>
  <c r="G2157" i="23"/>
  <c r="G2150" i="23"/>
  <c r="G1732" i="23"/>
  <c r="G1731" i="23"/>
  <c r="G1733" i="23"/>
  <c r="G1737" i="23"/>
  <c r="G1982" i="23"/>
  <c r="G2428" i="23"/>
  <c r="G1454" i="23"/>
  <c r="H1454" i="23"/>
  <c r="A1454" i="23"/>
  <c r="G1876" i="23"/>
  <c r="G1989" i="23"/>
  <c r="G1993" i="23"/>
  <c r="G2126" i="23"/>
  <c r="G487" i="23"/>
  <c r="G124" i="23"/>
  <c r="C615" i="23"/>
  <c r="C616" i="23"/>
  <c r="C617" i="23"/>
  <c r="C618" i="23"/>
  <c r="C619" i="23"/>
  <c r="G1147" i="23"/>
  <c r="H1147" i="23"/>
  <c r="A1147" i="23"/>
  <c r="G1625" i="23"/>
  <c r="G1616" i="23"/>
  <c r="C1614" i="23"/>
  <c r="G1883" i="23"/>
  <c r="G1884" i="23"/>
  <c r="G2240" i="23"/>
  <c r="G2242" i="23"/>
  <c r="G2195" i="23"/>
  <c r="G2189" i="23"/>
  <c r="C2081" i="23"/>
  <c r="C2089" i="23"/>
  <c r="C2099" i="23"/>
  <c r="G1849" i="23"/>
  <c r="G1990" i="23"/>
  <c r="G1992" i="23"/>
  <c r="G1997" i="23"/>
  <c r="G2124" i="23"/>
  <c r="G2167" i="23"/>
  <c r="B507" i="23"/>
  <c r="G503" i="23"/>
  <c r="G518" i="23"/>
  <c r="G541" i="23"/>
  <c r="C288" i="23"/>
  <c r="C292" i="23"/>
  <c r="C290" i="23"/>
  <c r="C293" i="23"/>
  <c r="C287" i="23"/>
  <c r="G2184" i="23"/>
  <c r="G2183" i="23"/>
  <c r="G2181" i="23"/>
  <c r="G2188" i="23"/>
  <c r="G2194" i="23"/>
  <c r="G2190" i="23"/>
  <c r="G2192" i="23"/>
  <c r="G2082" i="23"/>
  <c r="G2426" i="23"/>
  <c r="G1157" i="23"/>
  <c r="H1157" i="23"/>
  <c r="A1157" i="23"/>
  <c r="G1287" i="23"/>
  <c r="H1287" i="23"/>
  <c r="A1287" i="23"/>
  <c r="G2086" i="23"/>
  <c r="G477" i="23"/>
  <c r="G1155" i="23"/>
  <c r="H1155" i="23"/>
  <c r="A1155" i="23"/>
  <c r="G1656" i="23"/>
  <c r="G1488" i="23"/>
  <c r="H1488" i="23"/>
  <c r="A1488" i="23"/>
  <c r="G126" i="23"/>
  <c r="H126" i="23"/>
  <c r="A126" i="23"/>
  <c r="G452" i="23"/>
  <c r="G486" i="23"/>
  <c r="G467" i="23"/>
  <c r="G495" i="23"/>
  <c r="G517" i="23"/>
  <c r="G1176" i="23"/>
  <c r="H1176" i="23"/>
  <c r="A1176" i="23"/>
  <c r="G1322" i="23"/>
  <c r="H1322" i="23"/>
  <c r="A1322" i="23"/>
  <c r="G1324" i="23"/>
  <c r="H1324" i="23"/>
  <c r="A1324" i="23"/>
  <c r="G488" i="23"/>
  <c r="L1160" i="1"/>
  <c r="F106" i="31"/>
  <c r="P199" i="16"/>
  <c r="BG286" i="70"/>
  <c r="BF274" i="70"/>
  <c r="BF307" i="70"/>
  <c r="CN248" i="70"/>
  <c r="CN307" i="70"/>
  <c r="BG248" i="70"/>
  <c r="CN209" i="70"/>
  <c r="CN229" i="70"/>
  <c r="BF209" i="70"/>
  <c r="BF182" i="70"/>
  <c r="BF169" i="70"/>
  <c r="BG160" i="70"/>
  <c r="BG229" i="70"/>
  <c r="M229" i="70"/>
  <c r="I229" i="70"/>
  <c r="AB134" i="70"/>
  <c r="AR134" i="70"/>
  <c r="CP134" i="70"/>
  <c r="E52" i="31"/>
  <c r="B52" i="31" s="1"/>
  <c r="E111" i="42"/>
  <c r="B111" i="42" s="1"/>
  <c r="E37" i="42"/>
  <c r="B37" i="42" s="1"/>
  <c r="E27" i="42"/>
  <c r="B27" i="42" s="1"/>
  <c r="F15" i="1"/>
  <c r="E15" i="1"/>
  <c r="D15" i="1"/>
  <c r="F16" i="1"/>
  <c r="E16" i="1"/>
  <c r="D16" i="1"/>
  <c r="F21" i="1"/>
  <c r="E21" i="1"/>
  <c r="D21" i="1"/>
  <c r="F22" i="1"/>
  <c r="X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302" i="42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B80" i="34"/>
  <c r="G80" i="34"/>
  <c r="B107" i="31"/>
  <c r="K1762" i="1"/>
  <c r="F1892" i="1"/>
  <c r="D1892" i="1"/>
  <c r="F1206" i="1"/>
  <c r="E1206" i="1"/>
  <c r="F1219" i="1"/>
  <c r="E1219" i="1"/>
  <c r="F1235" i="1"/>
  <c r="E1235" i="1"/>
  <c r="F1248" i="1"/>
  <c r="E1248" i="1"/>
  <c r="F1261" i="1"/>
  <c r="E1261" i="1"/>
  <c r="F1277" i="1"/>
  <c r="E1277" i="1"/>
  <c r="F1290" i="1"/>
  <c r="E1290" i="1"/>
  <c r="F1303" i="1"/>
  <c r="E1303" i="1"/>
  <c r="F1320" i="1"/>
  <c r="E1320" i="1"/>
  <c r="F1346" i="1"/>
  <c r="E1346" i="1"/>
  <c r="F1358" i="1"/>
  <c r="E1358" i="1"/>
  <c r="C717" i="23"/>
  <c r="C719" i="23"/>
  <c r="C721" i="23"/>
  <c r="C716" i="23"/>
  <c r="C718" i="23"/>
  <c r="C720" i="23"/>
  <c r="C815" i="23"/>
  <c r="C816" i="23"/>
  <c r="C817" i="23"/>
  <c r="C818" i="23"/>
  <c r="C819" i="23"/>
  <c r="C820" i="23"/>
  <c r="L1065" i="1"/>
  <c r="L1062" i="1"/>
  <c r="GN182" i="16"/>
  <c r="GN184" i="16"/>
  <c r="B182" i="16"/>
  <c r="FQ95" i="16"/>
  <c r="FQ182" i="16"/>
  <c r="GG95" i="16"/>
  <c r="FA95" i="16"/>
  <c r="FA184" i="16"/>
  <c r="EY95" i="16"/>
  <c r="EY184" i="16"/>
  <c r="ET95" i="16"/>
  <c r="ET184" i="16"/>
  <c r="B95" i="16"/>
  <c r="GD182" i="16"/>
  <c r="GD184" i="16"/>
  <c r="FY95" i="16"/>
  <c r="FY184" i="16"/>
  <c r="GC182" i="16"/>
  <c r="GC184" i="16"/>
  <c r="FB182" i="16"/>
  <c r="FB184" i="16"/>
  <c r="FV95" i="16"/>
  <c r="FW182" i="16"/>
  <c r="FW184" i="16"/>
  <c r="ER182" i="16"/>
  <c r="ER184" i="16"/>
  <c r="GG182" i="16"/>
  <c r="GG184" i="16"/>
  <c r="FK182" i="16"/>
  <c r="FK184" i="16"/>
  <c r="FI95" i="16"/>
  <c r="FI182" i="16"/>
  <c r="FH182" i="16"/>
  <c r="FH184" i="16"/>
  <c r="GA182" i="16"/>
  <c r="GA184" i="16"/>
  <c r="FG95" i="16"/>
  <c r="FG182" i="16"/>
  <c r="FJ182" i="16"/>
  <c r="FJ184" i="16"/>
  <c r="FV182" i="16"/>
  <c r="FV184" i="16"/>
  <c r="FU182" i="16"/>
  <c r="FU184" i="16"/>
  <c r="EP182" i="16"/>
  <c r="EP184" i="16"/>
  <c r="BR182" i="16"/>
  <c r="BQ182" i="16"/>
  <c r="AA184" i="16"/>
  <c r="AD184" i="16"/>
  <c r="AI184" i="16"/>
  <c r="AM184" i="16"/>
  <c r="AQ184" i="16"/>
  <c r="AT184" i="16"/>
  <c r="AY184" i="16"/>
  <c r="CE182" i="16"/>
  <c r="CE184" i="16"/>
  <c r="CG182" i="16"/>
  <c r="CG184" i="16"/>
  <c r="CH182" i="16"/>
  <c r="CH184" i="16"/>
  <c r="P184" i="16"/>
  <c r="Q95" i="16"/>
  <c r="R184" i="16"/>
  <c r="T184" i="16"/>
  <c r="W184" i="16"/>
  <c r="CP182" i="16"/>
  <c r="CP184" i="16"/>
  <c r="J872" i="1"/>
  <c r="J874" i="1" s="1"/>
  <c r="CU184" i="16"/>
  <c r="CV182" i="16"/>
  <c r="CV184" i="16"/>
  <c r="J896" i="1"/>
  <c r="CM184" i="16"/>
  <c r="CN182" i="16"/>
  <c r="CN184" i="16"/>
  <c r="CK182" i="16"/>
  <c r="CK184" i="16"/>
  <c r="CR182" i="16"/>
  <c r="CR184" i="16"/>
  <c r="CY182" i="16"/>
  <c r="CY184" i="16"/>
  <c r="CZ182" i="16"/>
  <c r="CZ184" i="16"/>
  <c r="DA95" i="16"/>
  <c r="DA182" i="16"/>
  <c r="CW182" i="16"/>
  <c r="CW184" i="16"/>
  <c r="DE182" i="16"/>
  <c r="DE184" i="16"/>
  <c r="BD182" i="16"/>
  <c r="BE182" i="16"/>
  <c r="BC182" i="16"/>
  <c r="BC184" i="16"/>
  <c r="BF95" i="16"/>
  <c r="BF182" i="16"/>
  <c r="BG182" i="16"/>
  <c r="BG184" i="16"/>
  <c r="J1124" i="1"/>
  <c r="J1130" i="1" s="1"/>
  <c r="BI182" i="16"/>
  <c r="BI184" i="16"/>
  <c r="BK95" i="16"/>
  <c r="BK182" i="16"/>
  <c r="BL182" i="16"/>
  <c r="BL184" i="16"/>
  <c r="BN182" i="16"/>
  <c r="BN184" i="16"/>
  <c r="BT184" i="16"/>
  <c r="BX184" i="16"/>
  <c r="BY95" i="16"/>
  <c r="CB184" i="16"/>
  <c r="DO95" i="16"/>
  <c r="G1482" i="1"/>
  <c r="DZ182" i="16"/>
  <c r="DZ184" i="16"/>
  <c r="G1541" i="1"/>
  <c r="DY182" i="16"/>
  <c r="DY184" i="16"/>
  <c r="G1540" i="1"/>
  <c r="BP182" i="16"/>
  <c r="BP184" i="16"/>
  <c r="E186" i="31"/>
  <c r="DG182" i="16"/>
  <c r="DG184" i="16"/>
  <c r="G1493" i="1"/>
  <c r="DF182" i="16"/>
  <c r="DF184" i="16"/>
  <c r="G1489" i="1"/>
  <c r="DH182" i="16"/>
  <c r="DH184" i="16"/>
  <c r="G1577" i="1"/>
  <c r="DN182" i="16"/>
  <c r="DN184" i="16"/>
  <c r="DM182" i="16"/>
  <c r="DM184" i="16"/>
  <c r="G1473" i="1"/>
  <c r="DK182" i="16"/>
  <c r="DK184" i="16"/>
  <c r="EM182" i="16"/>
  <c r="EM184" i="16"/>
  <c r="ED95" i="16"/>
  <c r="ED184" i="16"/>
  <c r="C2037" i="1"/>
  <c r="H2100" i="1"/>
  <c r="P2100" i="1"/>
  <c r="N1081" i="1"/>
  <c r="N1085" i="1" s="1"/>
  <c r="N2052" i="1"/>
  <c r="H2052" i="1"/>
  <c r="G124" i="35"/>
  <c r="E92" i="35"/>
  <c r="N2039" i="1"/>
  <c r="H2082" i="1"/>
  <c r="N2082" i="1"/>
  <c r="H2069" i="1"/>
  <c r="E34" i="34"/>
  <c r="G34" i="34" s="1"/>
  <c r="L1037" i="1"/>
  <c r="E82" i="42"/>
  <c r="G82" i="42"/>
  <c r="L76" i="1"/>
  <c r="E43" i="33"/>
  <c r="L93" i="1"/>
  <c r="K166" i="1"/>
  <c r="L1150" i="1"/>
  <c r="L1149" i="1"/>
  <c r="E35" i="34"/>
  <c r="G35" i="34"/>
  <c r="L1028" i="1"/>
  <c r="L1031" i="1"/>
  <c r="L857" i="1"/>
  <c r="L855" i="1"/>
  <c r="L784" i="1"/>
  <c r="L867" i="1"/>
  <c r="L864" i="1"/>
  <c r="L874" i="1"/>
  <c r="L876" i="1"/>
  <c r="L835" i="1"/>
  <c r="L836" i="1"/>
  <c r="L888" i="1"/>
  <c r="L889" i="1"/>
  <c r="L991" i="1"/>
  <c r="L989" i="1"/>
  <c r="L918" i="1"/>
  <c r="L917" i="1"/>
  <c r="L745" i="1"/>
  <c r="L746" i="1"/>
  <c r="L249" i="1"/>
  <c r="L250" i="1"/>
  <c r="L95" i="1"/>
  <c r="L77" i="1"/>
  <c r="L94" i="1"/>
  <c r="L80" i="1"/>
  <c r="L411" i="1"/>
  <c r="L412" i="1"/>
  <c r="L167" i="1"/>
  <c r="L227" i="1"/>
  <c r="L259" i="1"/>
  <c r="L56" i="1"/>
  <c r="L1419" i="1"/>
  <c r="L1421" i="1"/>
  <c r="L1019" i="1"/>
  <c r="L1063" i="1"/>
  <c r="L1021" i="1"/>
  <c r="L1375" i="1"/>
  <c r="L1376" i="1"/>
  <c r="L1384" i="1"/>
  <c r="L1383" i="1"/>
  <c r="E22" i="42"/>
  <c r="B22" i="42" s="1"/>
  <c r="E83" i="42"/>
  <c r="B83" i="42" s="1"/>
  <c r="E28" i="33"/>
  <c r="B28" i="33" s="1"/>
  <c r="E20" i="33"/>
  <c r="B20" i="33" s="1"/>
  <c r="E23" i="33"/>
  <c r="B23" i="33" s="1"/>
  <c r="E24" i="33"/>
  <c r="G24" i="33"/>
  <c r="E31" i="33"/>
  <c r="G31" i="33" s="1"/>
  <c r="E51" i="33"/>
  <c r="G51" i="33" s="1"/>
  <c r="E74" i="33"/>
  <c r="B74" i="33" s="1"/>
  <c r="E72" i="33"/>
  <c r="B72" i="33" s="1"/>
  <c r="E45" i="35"/>
  <c r="G45" i="35" s="1"/>
  <c r="L877" i="1"/>
  <c r="L328" i="1"/>
  <c r="E47" i="33"/>
  <c r="B47" i="33" s="1"/>
  <c r="L19" i="1"/>
  <c r="L207" i="1"/>
  <c r="L97" i="1"/>
  <c r="L858" i="1"/>
  <c r="L841" i="1"/>
  <c r="L891" i="1"/>
  <c r="E69" i="33"/>
  <c r="G69" i="33" s="1"/>
  <c r="L79" i="1"/>
  <c r="L235" i="1"/>
  <c r="L421" i="1"/>
  <c r="E41" i="34"/>
  <c r="G41" i="34"/>
  <c r="L875" i="1"/>
  <c r="L866" i="1"/>
  <c r="L988" i="1"/>
  <c r="E41" i="33"/>
  <c r="G41" i="33" s="1"/>
  <c r="E18" i="33"/>
  <c r="G18" i="33" s="1"/>
  <c r="L1066" i="1"/>
  <c r="L1420" i="1"/>
  <c r="L958" i="1"/>
  <c r="L154" i="1"/>
  <c r="E12" i="35"/>
  <c r="G12" i="35" s="1"/>
  <c r="E16" i="34"/>
  <c r="G16" i="34" s="1"/>
  <c r="E13" i="34"/>
  <c r="G13" i="34" s="1"/>
  <c r="E57" i="33"/>
  <c r="B57" i="33" s="1"/>
  <c r="L1178" i="1"/>
  <c r="L1180" i="1"/>
  <c r="G140" i="31"/>
  <c r="G95" i="31"/>
  <c r="G120" i="42"/>
  <c r="G72" i="34"/>
  <c r="C102" i="42"/>
  <c r="C73" i="31"/>
  <c r="E48" i="34"/>
  <c r="B48" i="34" s="1"/>
  <c r="K226" i="1"/>
  <c r="K225" i="1"/>
  <c r="E35" i="33"/>
  <c r="B35" i="33" s="1"/>
  <c r="L1138" i="1"/>
  <c r="L1402" i="1"/>
  <c r="L1144" i="1"/>
  <c r="L775" i="1"/>
  <c r="L1107" i="1"/>
  <c r="L998" i="1"/>
  <c r="L1123" i="1"/>
  <c r="L1122" i="1"/>
  <c r="K420" i="1"/>
  <c r="L1073" i="1"/>
  <c r="E73" i="42"/>
  <c r="G73" i="42" s="1"/>
  <c r="L922" i="1"/>
  <c r="L919" i="1"/>
  <c r="L1011" i="1"/>
  <c r="L1010" i="1"/>
  <c r="L723" i="1"/>
  <c r="L722" i="1"/>
  <c r="L30" i="1"/>
  <c r="L246" i="1"/>
  <c r="L1437" i="1"/>
  <c r="L1439" i="1"/>
  <c r="L1017" i="1"/>
  <c r="L1064" i="1"/>
  <c r="L1018" i="1"/>
  <c r="L1020" i="1"/>
  <c r="L1411" i="1"/>
  <c r="L1410" i="1"/>
  <c r="L512" i="1"/>
  <c r="L513" i="1"/>
  <c r="L514" i="1"/>
  <c r="K206" i="1"/>
  <c r="E60" i="35"/>
  <c r="G60" i="35"/>
  <c r="E52" i="34"/>
  <c r="G52" i="34" s="1"/>
  <c r="L1102" i="1"/>
  <c r="L1108" i="1"/>
  <c r="L1106" i="1"/>
  <c r="L1104" i="1"/>
  <c r="E56" i="33"/>
  <c r="G56" i="33" s="1"/>
  <c r="E39" i="34"/>
  <c r="B39" i="34" s="1"/>
  <c r="E36" i="34"/>
  <c r="E11" i="34"/>
  <c r="B11" i="34" s="1"/>
  <c r="L1038" i="1"/>
  <c r="L1039" i="1"/>
  <c r="L1041" i="1"/>
  <c r="L1001" i="1"/>
  <c r="L1002" i="1"/>
  <c r="L999" i="1"/>
  <c r="L981" i="1"/>
  <c r="L978" i="1"/>
  <c r="L979" i="1"/>
  <c r="L980" i="1"/>
  <c r="L774" i="1"/>
  <c r="L778" i="1"/>
  <c r="L777" i="1"/>
  <c r="L318" i="1"/>
  <c r="L320" i="1"/>
  <c r="L135" i="1"/>
  <c r="L136" i="1"/>
  <c r="L1187" i="1"/>
  <c r="L1191" i="1"/>
  <c r="L805" i="1"/>
  <c r="L804" i="1"/>
  <c r="L942" i="1"/>
  <c r="L937" i="1"/>
  <c r="E51" i="34"/>
  <c r="B51" i="34" s="1"/>
  <c r="E17" i="35"/>
  <c r="B17" i="35"/>
  <c r="L1139" i="1"/>
  <c r="L1142" i="1"/>
  <c r="L1140" i="1"/>
  <c r="L1103" i="1"/>
  <c r="E20" i="35"/>
  <c r="B20" i="35" s="1"/>
  <c r="E53" i="34"/>
  <c r="B53" i="34" s="1"/>
  <c r="E58" i="33"/>
  <c r="B58" i="33" s="1"/>
  <c r="E63" i="34"/>
  <c r="B63" i="34" s="1"/>
  <c r="L225" i="1"/>
  <c r="L226" i="1"/>
  <c r="E58" i="31"/>
  <c r="E44" i="33"/>
  <c r="E108" i="42"/>
  <c r="E66" i="42"/>
  <c r="B66" i="42" s="1"/>
  <c r="E57" i="42"/>
  <c r="K284" i="1"/>
  <c r="E44" i="31"/>
  <c r="G44" i="31" s="1"/>
  <c r="L1169" i="1"/>
  <c r="L1173" i="1"/>
  <c r="E61" i="33"/>
  <c r="G61" i="33" s="1"/>
  <c r="L1095" i="1"/>
  <c r="L1094" i="1"/>
  <c r="L1069" i="1"/>
  <c r="E59" i="34"/>
  <c r="G59" i="34" s="1"/>
  <c r="E27" i="34"/>
  <c r="G27" i="34" s="1"/>
  <c r="L1126" i="1"/>
  <c r="N2049" i="1"/>
  <c r="H2068" i="1"/>
  <c r="H2030" i="1"/>
  <c r="H2048" i="1"/>
  <c r="N2083" i="1"/>
  <c r="N2068" i="1"/>
  <c r="E40" i="34"/>
  <c r="B40" i="34" s="1"/>
  <c r="E37" i="35"/>
  <c r="G37" i="35"/>
  <c r="E64" i="33"/>
  <c r="B64" i="33" s="1"/>
  <c r="L1117" i="1"/>
  <c r="L1115" i="1"/>
  <c r="E54" i="42"/>
  <c r="B54" i="42" s="1"/>
  <c r="E69" i="42"/>
  <c r="E40" i="35"/>
  <c r="G40" i="35"/>
  <c r="E42" i="34"/>
  <c r="G42" i="34" s="1"/>
  <c r="E107" i="42"/>
  <c r="G107" i="42" s="1"/>
  <c r="E87" i="42"/>
  <c r="G87" i="42" s="1"/>
  <c r="E44" i="42"/>
  <c r="G44" i="42" s="1"/>
  <c r="K190" i="1"/>
  <c r="K189" i="1"/>
  <c r="E35" i="42"/>
  <c r="B35" i="42" s="1"/>
  <c r="E19" i="42"/>
  <c r="G19" i="42" s="1"/>
  <c r="E45" i="42"/>
  <c r="B45" i="42" s="1"/>
  <c r="E11" i="42"/>
  <c r="E14" i="33"/>
  <c r="G14" i="33"/>
  <c r="E66" i="33"/>
  <c r="B66" i="33" s="1"/>
  <c r="L787" i="1"/>
  <c r="L786" i="1"/>
  <c r="L853" i="1"/>
  <c r="L788" i="1"/>
  <c r="L856" i="1"/>
  <c r="L785" i="1"/>
  <c r="L815" i="1"/>
  <c r="L829" i="1"/>
  <c r="L1048" i="1"/>
  <c r="L1047" i="1"/>
  <c r="L899" i="1"/>
  <c r="L897" i="1"/>
  <c r="L910" i="1"/>
  <c r="L908" i="1"/>
  <c r="L165" i="1"/>
  <c r="L166" i="1"/>
  <c r="L214" i="1"/>
  <c r="L216" i="1"/>
  <c r="L493" i="1"/>
  <c r="L494" i="1"/>
  <c r="E29" i="42"/>
  <c r="G29" i="42"/>
  <c r="G22" i="33"/>
  <c r="L419" i="1"/>
  <c r="L327" i="1"/>
  <c r="L1152" i="1"/>
  <c r="L1086" i="1"/>
  <c r="L1030" i="1"/>
  <c r="L1392" i="1"/>
  <c r="L1446" i="1"/>
  <c r="L706" i="1"/>
  <c r="L909" i="1"/>
  <c r="L1189" i="1"/>
  <c r="L840" i="1"/>
  <c r="L842" i="1"/>
  <c r="L854" i="1"/>
  <c r="L1027" i="1"/>
  <c r="E19" i="35"/>
  <c r="L844" i="1"/>
  <c r="E70" i="42"/>
  <c r="L1029" i="1"/>
  <c r="E37" i="34"/>
  <c r="B37" i="34"/>
  <c r="L705" i="1"/>
  <c r="L843" i="1"/>
  <c r="L845" i="1"/>
  <c r="L941" i="1"/>
  <c r="E94" i="42"/>
  <c r="B94" i="42" s="1"/>
  <c r="L807" i="1"/>
  <c r="L828" i="1"/>
  <c r="E48" i="35"/>
  <c r="B48" i="35" s="1"/>
  <c r="L503" i="1"/>
  <c r="L816" i="1"/>
  <c r="E13" i="42"/>
  <c r="G13" i="42" s="1"/>
  <c r="E34" i="31"/>
  <c r="B34" i="31" s="1"/>
  <c r="E17" i="34"/>
  <c r="G17" i="34" s="1"/>
  <c r="E62" i="33"/>
  <c r="B62" i="33"/>
  <c r="L950" i="1"/>
  <c r="L951" i="1"/>
  <c r="L940" i="1"/>
  <c r="L732" i="1"/>
  <c r="L731" i="1"/>
  <c r="L285" i="1"/>
  <c r="L284" i="1"/>
  <c r="L127" i="1"/>
  <c r="L126" i="1"/>
  <c r="L294" i="1"/>
  <c r="L293" i="1"/>
  <c r="L472" i="1"/>
  <c r="L473" i="1"/>
  <c r="E60" i="42"/>
  <c r="E29" i="33"/>
  <c r="B29" i="33"/>
  <c r="E26" i="33"/>
  <c r="B26" i="33" s="1"/>
  <c r="E45" i="33"/>
  <c r="E76" i="33"/>
  <c r="G76" i="33" s="1"/>
  <c r="E75" i="33"/>
  <c r="G75" i="33"/>
  <c r="E53" i="33"/>
  <c r="B53" i="33" s="1"/>
  <c r="E47" i="35"/>
  <c r="G47" i="35"/>
  <c r="E43" i="34"/>
  <c r="E78" i="31"/>
  <c r="E67" i="31"/>
  <c r="B67" i="31"/>
  <c r="E45" i="31"/>
  <c r="K340" i="1"/>
  <c r="K342" i="1"/>
  <c r="K178" i="1"/>
  <c r="K176" i="1"/>
  <c r="K175" i="1"/>
  <c r="K341" i="1"/>
  <c r="K177" i="1"/>
  <c r="K344" i="1"/>
  <c r="L739" i="1"/>
  <c r="L738" i="1"/>
  <c r="E114" i="42"/>
  <c r="E89" i="42"/>
  <c r="E88" i="42"/>
  <c r="E65" i="42"/>
  <c r="B65" i="42"/>
  <c r="E47" i="42"/>
  <c r="B47" i="42" s="1"/>
  <c r="E36" i="42"/>
  <c r="B36" i="42" s="1"/>
  <c r="E25" i="42"/>
  <c r="E18" i="42"/>
  <c r="G18" i="42" s="1"/>
  <c r="E16" i="42"/>
  <c r="B16" i="42" s="1"/>
  <c r="E30" i="33"/>
  <c r="E42" i="33"/>
  <c r="G42" i="33" s="1"/>
  <c r="E16" i="33"/>
  <c r="E78" i="42"/>
  <c r="G78" i="42" s="1"/>
  <c r="L1403" i="1"/>
  <c r="L1394" i="1"/>
  <c r="L698" i="1"/>
  <c r="L907" i="1"/>
  <c r="L948" i="1"/>
  <c r="L911" i="1"/>
  <c r="L1195" i="1"/>
  <c r="E32" i="33"/>
  <c r="B32" i="33"/>
  <c r="L1428" i="1"/>
  <c r="L1055" i="1"/>
  <c r="L939" i="1"/>
  <c r="L938" i="1"/>
  <c r="L901" i="1"/>
  <c r="L900" i="1"/>
  <c r="L1049" i="1"/>
  <c r="E12" i="34"/>
  <c r="B12" i="34" s="1"/>
  <c r="E81" i="42"/>
  <c r="B81" i="42" s="1"/>
  <c r="E104" i="42"/>
  <c r="B104" i="42" s="1"/>
  <c r="H1686" i="1"/>
  <c r="E73" i="33"/>
  <c r="G73" i="33" s="1"/>
  <c r="E54" i="33"/>
  <c r="B54" i="33" s="1"/>
  <c r="E50" i="33"/>
  <c r="B50" i="33"/>
  <c r="L1367" i="1"/>
  <c r="E45" i="34"/>
  <c r="B45" i="34" s="1"/>
  <c r="L55" i="1"/>
  <c r="L471" i="1"/>
  <c r="L215" i="1"/>
  <c r="L292" i="1"/>
  <c r="L128" i="1"/>
  <c r="L484" i="1"/>
  <c r="E112" i="42"/>
  <c r="E22" i="35"/>
  <c r="B22" i="35"/>
  <c r="E25" i="33"/>
  <c r="K343" i="1"/>
  <c r="E59" i="42"/>
  <c r="G59" i="42" s="1"/>
  <c r="L303" i="1"/>
  <c r="E33" i="31"/>
  <c r="B33" i="31" s="1"/>
  <c r="E62" i="35"/>
  <c r="B62" i="35" s="1"/>
  <c r="E61" i="35"/>
  <c r="G61" i="35"/>
  <c r="E16" i="35"/>
  <c r="E23" i="34"/>
  <c r="G23" i="34" s="1"/>
  <c r="L1198" i="1"/>
  <c r="L1196" i="1"/>
  <c r="L1197" i="1"/>
  <c r="E30" i="34"/>
  <c r="G30" i="34"/>
  <c r="E21" i="34"/>
  <c r="B21" i="34" s="1"/>
  <c r="E31" i="34"/>
  <c r="B31" i="34" s="1"/>
  <c r="L1088" i="1"/>
  <c r="L1083" i="1"/>
  <c r="L1084" i="1"/>
  <c r="L1082" i="1"/>
  <c r="E59" i="33"/>
  <c r="L1163" i="1"/>
  <c r="L1158" i="1"/>
  <c r="E71" i="42"/>
  <c r="B71" i="42"/>
  <c r="E55" i="42"/>
  <c r="G55" i="42" s="1"/>
  <c r="E110" i="42"/>
  <c r="B110" i="42" s="1"/>
  <c r="E84" i="42"/>
  <c r="G84" i="42" s="1"/>
  <c r="E75" i="42"/>
  <c r="E14" i="42"/>
  <c r="E33" i="42"/>
  <c r="L1154" i="1"/>
  <c r="L1151" i="1"/>
  <c r="E61" i="34"/>
  <c r="E65" i="33"/>
  <c r="E13" i="35"/>
  <c r="E18" i="35"/>
  <c r="G18" i="35" s="1"/>
  <c r="L819" i="1"/>
  <c r="L827" i="1"/>
  <c r="L820" i="1"/>
  <c r="L809" i="1"/>
  <c r="L808" i="1"/>
  <c r="L806" i="1"/>
  <c r="L956" i="1"/>
  <c r="L955" i="1"/>
  <c r="L959" i="1"/>
  <c r="L990" i="1"/>
  <c r="L992" i="1"/>
  <c r="L621" i="1"/>
  <c r="L620" i="1"/>
  <c r="L47" i="1"/>
  <c r="L46" i="1"/>
  <c r="E62" i="34"/>
  <c r="G62" i="34" s="1"/>
  <c r="E14" i="35"/>
  <c r="E10" i="35"/>
  <c r="E36" i="35"/>
  <c r="E33" i="34"/>
  <c r="G33" i="34" s="1"/>
  <c r="L1080" i="1"/>
  <c r="L1136" i="1"/>
  <c r="L1135" i="1"/>
  <c r="L1114" i="1"/>
  <c r="L1118" i="1"/>
  <c r="L1113" i="1"/>
  <c r="E43" i="35"/>
  <c r="G43" i="35" s="1"/>
  <c r="E97" i="42"/>
  <c r="K432" i="1"/>
  <c r="E102" i="42"/>
  <c r="B102" i="42" s="1"/>
  <c r="E54" i="34"/>
  <c r="B54" i="34" s="1"/>
  <c r="E56" i="34"/>
  <c r="G56" i="34" s="1"/>
  <c r="G22" i="34"/>
  <c r="E17" i="33"/>
  <c r="E13" i="33"/>
  <c r="G13" i="33" s="1"/>
  <c r="L1153" i="1"/>
  <c r="L464" i="1"/>
  <c r="E65" i="34"/>
  <c r="G65" i="34" s="1"/>
  <c r="E12" i="33"/>
  <c r="B12" i="33" s="1"/>
  <c r="L110" i="1"/>
  <c r="L1159" i="1"/>
  <c r="L1116" i="1"/>
  <c r="L1134" i="1"/>
  <c r="L1079" i="1"/>
  <c r="L1087" i="1"/>
  <c r="E50" i="31"/>
  <c r="G50" i="31" s="1"/>
  <c r="L456" i="1"/>
  <c r="L454" i="1"/>
  <c r="L197" i="1"/>
  <c r="L199" i="1"/>
  <c r="L198" i="1"/>
  <c r="L310" i="1"/>
  <c r="L237" i="1"/>
  <c r="L20" i="1"/>
  <c r="L485" i="1"/>
  <c r="E48" i="33"/>
  <c r="E49" i="33"/>
  <c r="E71" i="33"/>
  <c r="L1009" i="1"/>
  <c r="L1008" i="1"/>
  <c r="L921" i="1"/>
  <c r="L920" i="1"/>
  <c r="L495" i="1"/>
  <c r="L408" i="1"/>
  <c r="L118" i="1"/>
  <c r="E47" i="34"/>
  <c r="L257" i="1"/>
  <c r="E113" i="42"/>
  <c r="E109" i="42"/>
  <c r="E76" i="42"/>
  <c r="K257" i="1"/>
  <c r="K258" i="1"/>
  <c r="E51" i="42"/>
  <c r="E41" i="35"/>
  <c r="L623" i="1"/>
  <c r="E38" i="33"/>
  <c r="B38" i="33" s="1"/>
  <c r="L692" i="1"/>
  <c r="L685" i="1"/>
  <c r="L524" i="1"/>
  <c r="L525" i="1"/>
  <c r="L1125" i="1"/>
  <c r="L684" i="1"/>
  <c r="E11" i="35"/>
  <c r="B11" i="35" s="1"/>
  <c r="L1072" i="1"/>
  <c r="E63" i="35"/>
  <c r="G63" i="35" s="1"/>
  <c r="L691" i="1"/>
  <c r="L1130" i="1"/>
  <c r="L1127" i="1"/>
  <c r="E66" i="34"/>
  <c r="B66" i="34" s="1"/>
  <c r="E24" i="34"/>
  <c r="B24" i="34" s="1"/>
  <c r="E15" i="35"/>
  <c r="G15" i="35" s="1"/>
  <c r="L1070" i="1"/>
  <c r="L1074" i="1"/>
  <c r="E60" i="33"/>
  <c r="E21" i="35"/>
  <c r="G21" i="35" s="1"/>
  <c r="L1171" i="1"/>
  <c r="L1172" i="1"/>
  <c r="L1168" i="1"/>
  <c r="L1167" i="1"/>
  <c r="E63" i="33"/>
  <c r="G63" i="33" s="1"/>
  <c r="L1098" i="1"/>
  <c r="L1096" i="1"/>
  <c r="L1093" i="1"/>
  <c r="L1179" i="1"/>
  <c r="L1183" i="1"/>
  <c r="E15" i="33"/>
  <c r="E15" i="34"/>
  <c r="L1188" i="1"/>
  <c r="E68" i="33"/>
  <c r="L38" i="1"/>
  <c r="L78" i="1"/>
  <c r="L304" i="1"/>
  <c r="E64" i="34"/>
  <c r="B64" i="34" s="1"/>
  <c r="L756" i="1"/>
  <c r="L68" i="1"/>
  <c r="L309" i="1"/>
  <c r="E24" i="35"/>
  <c r="G24" i="35" s="1"/>
  <c r="E28" i="34"/>
  <c r="G28" i="34" s="1"/>
  <c r="E60" i="34"/>
  <c r="G60" i="34" s="1"/>
  <c r="L624" i="1"/>
  <c r="E23" i="35"/>
  <c r="G23" i="35" s="1"/>
  <c r="L144" i="1"/>
  <c r="E49" i="42"/>
  <c r="B49" i="42" s="1"/>
  <c r="G85" i="42"/>
  <c r="L602" i="1"/>
  <c r="L600" i="1"/>
  <c r="L716" i="1"/>
  <c r="L622" i="1"/>
  <c r="E46" i="35"/>
  <c r="G27" i="33"/>
  <c r="E103" i="42"/>
  <c r="G103" i="42" s="1"/>
  <c r="B80" i="42"/>
  <c r="G25" i="34"/>
  <c r="B52" i="33"/>
  <c r="G38" i="42"/>
  <c r="E65" i="35"/>
  <c r="G65" i="35" s="1"/>
  <c r="L245" i="1"/>
  <c r="L750" i="1"/>
  <c r="L407" i="1"/>
  <c r="E105" i="42"/>
  <c r="E46" i="42"/>
  <c r="G101" i="42"/>
  <c r="B101" i="42"/>
  <c r="G70" i="33"/>
  <c r="E106" i="42"/>
  <c r="B106" i="42" s="1"/>
  <c r="L641" i="1"/>
  <c r="L642" i="1"/>
  <c r="E37" i="33"/>
  <c r="L757" i="1"/>
  <c r="L28" i="1"/>
  <c r="B17" i="42"/>
  <c r="G32" i="34"/>
  <c r="B32" i="34"/>
  <c r="L719" i="1"/>
  <c r="L718" i="1"/>
  <c r="L447" i="1"/>
  <c r="L446" i="1"/>
  <c r="G19" i="33"/>
  <c r="L189" i="1"/>
  <c r="L267" i="1"/>
  <c r="E9" i="35"/>
  <c r="B3" i="79"/>
  <c r="C3" i="79"/>
  <c r="C2039" i="1"/>
  <c r="M67" i="1"/>
  <c r="X184" i="16"/>
  <c r="J887" i="1"/>
  <c r="J890" i="1" s="1"/>
  <c r="J906" i="1"/>
  <c r="J910" i="1" s="1"/>
  <c r="J927" i="1"/>
  <c r="J931" i="1" s="1"/>
  <c r="J977" i="1"/>
  <c r="J980" i="1" s="1"/>
  <c r="J1026" i="1"/>
  <c r="J1031" i="1" s="1"/>
  <c r="J1092" i="1"/>
  <c r="J1096" i="1" s="1"/>
  <c r="DO184" i="16"/>
  <c r="G1532" i="1"/>
  <c r="DP184" i="16"/>
  <c r="G1533" i="1"/>
  <c r="DQ184" i="16"/>
  <c r="G1534" i="1"/>
  <c r="DR184" i="16"/>
  <c r="G1535" i="1"/>
  <c r="DS184" i="16"/>
  <c r="G1536" i="1"/>
  <c r="DU184" i="16"/>
  <c r="S184" i="16"/>
  <c r="M697" i="1"/>
  <c r="G2122" i="1"/>
  <c r="C272" i="23"/>
  <c r="G309" i="23"/>
  <c r="G344" i="23"/>
  <c r="G298" i="23"/>
  <c r="G342" i="23"/>
  <c r="G297" i="23"/>
  <c r="N2038" i="1"/>
  <c r="E95" i="35"/>
  <c r="G95" i="35" s="1"/>
  <c r="H1672" i="1"/>
  <c r="I1672" i="1"/>
  <c r="G1709" i="1"/>
  <c r="G2044" i="1"/>
  <c r="G2065" i="1"/>
  <c r="N591" i="1"/>
  <c r="G2029" i="1"/>
  <c r="G2045" i="1"/>
  <c r="N2085" i="1"/>
  <c r="H2085" i="1"/>
  <c r="G2086" i="1"/>
  <c r="G2103" i="1"/>
  <c r="G2009" i="1"/>
  <c r="E153" i="42"/>
  <c r="H1539" i="1"/>
  <c r="P1539" i="1"/>
  <c r="C1539" i="1"/>
  <c r="G96" i="35"/>
  <c r="B140" i="33"/>
  <c r="G140" i="33"/>
  <c r="G1474" i="1"/>
  <c r="G1475" i="1"/>
  <c r="G1490" i="1"/>
  <c r="G1492" i="1"/>
  <c r="G1496" i="1"/>
  <c r="G1494" i="1"/>
  <c r="G1484" i="1"/>
  <c r="H2180" i="1"/>
  <c r="P2180" i="1"/>
  <c r="C2180" i="1"/>
  <c r="H2176" i="1"/>
  <c r="P2176" i="1"/>
  <c r="C2176" i="1"/>
  <c r="G2190" i="1"/>
  <c r="H2177" i="1"/>
  <c r="P2177" i="1"/>
  <c r="C2177" i="1"/>
  <c r="H2175" i="1"/>
  <c r="P2175" i="1"/>
  <c r="C2175" i="1"/>
  <c r="H1577" i="1"/>
  <c r="P1577" i="1"/>
  <c r="C2214" i="1"/>
  <c r="G847" i="1"/>
  <c r="H1994" i="1"/>
  <c r="P1994" i="1"/>
  <c r="C1994" i="1"/>
  <c r="Y1994" i="1"/>
  <c r="G1783" i="1"/>
  <c r="H1781" i="1"/>
  <c r="P1781" i="1"/>
  <c r="C1781" i="1"/>
  <c r="K1721" i="1"/>
  <c r="G1013" i="1"/>
  <c r="C2272" i="1"/>
  <c r="Y2272" i="1"/>
  <c r="G879" i="1"/>
  <c r="H2189" i="1"/>
  <c r="P2189" i="1"/>
  <c r="C2189" i="1"/>
  <c r="Y2189" i="1"/>
  <c r="I1628" i="1"/>
  <c r="G1703" i="1"/>
  <c r="H1598" i="1"/>
  <c r="P1598" i="1"/>
  <c r="C1598" i="1"/>
  <c r="R792" i="1"/>
  <c r="G822" i="1"/>
  <c r="G860" i="1"/>
  <c r="G1983" i="1"/>
  <c r="H2153" i="1"/>
  <c r="P2153" i="1"/>
  <c r="C2153" i="1"/>
  <c r="H1990" i="1"/>
  <c r="P1990" i="1"/>
  <c r="C1990" i="1"/>
  <c r="Y1990" i="1"/>
  <c r="G1984" i="1"/>
  <c r="H1603" i="1"/>
  <c r="P1603" i="1"/>
  <c r="C1603" i="1"/>
  <c r="H1605" i="1"/>
  <c r="P1605" i="1"/>
  <c r="C1605" i="1"/>
  <c r="I1675" i="1"/>
  <c r="J1456" i="1"/>
  <c r="E94" i="31"/>
  <c r="J1469" i="1"/>
  <c r="G984" i="1"/>
  <c r="H2170" i="1"/>
  <c r="P2170" i="1"/>
  <c r="C2170" i="1"/>
  <c r="H2166" i="1"/>
  <c r="P2166" i="1"/>
  <c r="C2166" i="1"/>
  <c r="H2131" i="1"/>
  <c r="P2131" i="1"/>
  <c r="C2131" i="1"/>
  <c r="H1653" i="1"/>
  <c r="P1653" i="1"/>
  <c r="C1653" i="1"/>
  <c r="H2014" i="1"/>
  <c r="P2014" i="1"/>
  <c r="C2014" i="1"/>
  <c r="Y2014" i="1"/>
  <c r="G994" i="1"/>
  <c r="H2190" i="1"/>
  <c r="P2190" i="1"/>
  <c r="C2190" i="1"/>
  <c r="Y2190" i="1"/>
  <c r="H2149" i="1"/>
  <c r="P2149" i="1"/>
  <c r="C2149" i="1"/>
  <c r="N2010" i="1"/>
  <c r="Y2010" i="1"/>
  <c r="H2186" i="1"/>
  <c r="P2186" i="1"/>
  <c r="C2186" i="1"/>
  <c r="H1995" i="1"/>
  <c r="P1995" i="1"/>
  <c r="C1995" i="1"/>
  <c r="H2194" i="1"/>
  <c r="P2194" i="1"/>
  <c r="C2194" i="1"/>
  <c r="Y2194" i="1"/>
  <c r="G151" i="1"/>
  <c r="G124" i="1"/>
  <c r="G1985" i="1"/>
  <c r="G1685" i="1"/>
  <c r="G1704" i="1"/>
  <c r="G2133" i="1"/>
  <c r="E69" i="35"/>
  <c r="B69" i="35" s="1"/>
  <c r="G2088" i="1"/>
  <c r="K1923" i="1"/>
  <c r="G1925" i="1"/>
  <c r="M2121" i="1"/>
  <c r="H1576" i="1"/>
  <c r="P1576" i="1"/>
  <c r="H1762" i="1"/>
  <c r="P1762" i="1"/>
  <c r="C1762" i="1"/>
  <c r="E229" i="42"/>
  <c r="N661" i="1"/>
  <c r="H2002" i="1"/>
  <c r="P2002" i="1"/>
  <c r="C2002" i="1"/>
  <c r="Y2002" i="1"/>
  <c r="E115" i="33"/>
  <c r="G115" i="33"/>
  <c r="H1996" i="1"/>
  <c r="P1996" i="1"/>
  <c r="C1996" i="1"/>
  <c r="H1621" i="1"/>
  <c r="P1621" i="1"/>
  <c r="C1621" i="1"/>
  <c r="H1759" i="1"/>
  <c r="P1759" i="1"/>
  <c r="C1759" i="1"/>
  <c r="H1779" i="1"/>
  <c r="P1779" i="1"/>
  <c r="C1779" i="1"/>
  <c r="H1888" i="1"/>
  <c r="P1888" i="1"/>
  <c r="C1888" i="1"/>
  <c r="I1616" i="1"/>
  <c r="I1617" i="1"/>
  <c r="H1780" i="1"/>
  <c r="P1780" i="1"/>
  <c r="H1616" i="1"/>
  <c r="P1616" i="1"/>
  <c r="C1616" i="1"/>
  <c r="L1937" i="1"/>
  <c r="P1945" i="1"/>
  <c r="L1914" i="1"/>
  <c r="G2167" i="1"/>
  <c r="G2188" i="1"/>
  <c r="B110" i="35"/>
  <c r="C2484" i="23"/>
  <c r="G1883" i="1"/>
  <c r="K1759" i="1"/>
  <c r="G1882" i="1"/>
  <c r="B179" i="42"/>
  <c r="B68" i="34"/>
  <c r="H2010" i="1"/>
  <c r="P2010" i="1"/>
  <c r="C2010" i="1"/>
  <c r="H1597" i="1"/>
  <c r="P1597" i="1"/>
  <c r="C1597" i="1"/>
  <c r="I1597" i="1"/>
  <c r="I1682" i="1"/>
  <c r="H1682" i="1"/>
  <c r="P1682" i="1"/>
  <c r="C1682" i="1"/>
  <c r="P1922" i="1"/>
  <c r="I1598" i="1"/>
  <c r="J1458" i="1"/>
  <c r="G138" i="42"/>
  <c r="G139" i="42" s="1"/>
  <c r="G140" i="42" s="1"/>
  <c r="B138" i="42"/>
  <c r="E139" i="42"/>
  <c r="E140" i="42" s="1"/>
  <c r="P1939" i="1"/>
  <c r="C1939" i="1"/>
  <c r="I1653" i="1"/>
  <c r="B76" i="34"/>
  <c r="E72" i="35"/>
  <c r="G72" i="35" s="1"/>
  <c r="N2014" i="1"/>
  <c r="E76" i="35"/>
  <c r="G76" i="35" s="1"/>
  <c r="B76" i="35"/>
  <c r="E117" i="35"/>
  <c r="B117" i="35" s="1"/>
  <c r="B70" i="35"/>
  <c r="G2211" i="1"/>
  <c r="Y2211" i="1"/>
  <c r="E204" i="31"/>
  <c r="G204" i="31"/>
  <c r="BK184" i="16"/>
  <c r="BF184" i="16"/>
  <c r="E181" i="31"/>
  <c r="H1544" i="1"/>
  <c r="P1544" i="1"/>
  <c r="C1544" i="1"/>
  <c r="J1544" i="1"/>
  <c r="O18" i="1"/>
  <c r="O20" i="1" s="1"/>
  <c r="O27" i="1"/>
  <c r="O29" i="1" s="1"/>
  <c r="O152" i="1"/>
  <c r="O92" i="1"/>
  <c r="O63" i="1"/>
  <c r="O14" i="1"/>
  <c r="O109" i="1"/>
  <c r="O111" i="1" s="1"/>
  <c r="O67" i="1"/>
  <c r="O68" i="1" s="1"/>
  <c r="O156" i="1"/>
  <c r="O157" i="1" s="1"/>
  <c r="O158" i="1" s="1"/>
  <c r="AO184" i="16"/>
  <c r="AL184" i="16"/>
  <c r="GF184" i="16"/>
  <c r="C72" i="61"/>
  <c r="C71" i="61"/>
  <c r="M572" i="1"/>
  <c r="M592" i="1"/>
  <c r="M573" i="1"/>
  <c r="M574" i="1"/>
  <c r="M584" i="1"/>
  <c r="M594" i="1"/>
  <c r="M582" i="1"/>
  <c r="M593" i="1"/>
  <c r="J244" i="1"/>
  <c r="J249" i="1" s="1"/>
  <c r="EC184" i="16"/>
  <c r="G2154" i="1"/>
  <c r="H2157" i="1"/>
  <c r="P2157" i="1"/>
  <c r="C2157" i="1"/>
  <c r="O599" i="1"/>
  <c r="O602" i="1" s="1"/>
  <c r="O581" i="1"/>
  <c r="O563" i="1"/>
  <c r="O564" i="1" s="1"/>
  <c r="O591" i="1"/>
  <c r="O571" i="1"/>
  <c r="O572" i="1" s="1"/>
  <c r="Y184" i="16"/>
  <c r="J75" i="1"/>
  <c r="AR184" i="16"/>
  <c r="CO184" i="16"/>
  <c r="H1608" i="1"/>
  <c r="P1608" i="1"/>
  <c r="C1608" i="1"/>
  <c r="I1608" i="1"/>
  <c r="B121" i="35"/>
  <c r="G2001" i="1"/>
  <c r="G1992" i="1"/>
  <c r="E68" i="74"/>
  <c r="E30" i="90"/>
  <c r="G1230" i="23"/>
  <c r="H1628" i="1"/>
  <c r="P1628" i="1"/>
  <c r="C1628" i="1"/>
  <c r="J10" i="109"/>
  <c r="G13" i="113"/>
  <c r="G14" i="113"/>
  <c r="G12" i="113"/>
  <c r="G64" i="23"/>
  <c r="E151" i="42"/>
  <c r="G151" i="42" s="1"/>
  <c r="E166" i="42"/>
  <c r="B101" i="31"/>
  <c r="M2115" i="1"/>
  <c r="L1965" i="1"/>
  <c r="L1915" i="1"/>
  <c r="L1970" i="1"/>
  <c r="L1972" i="1"/>
  <c r="L1955" i="1"/>
  <c r="G133" i="42"/>
  <c r="B163" i="42"/>
  <c r="H1458" i="1"/>
  <c r="P1458" i="1"/>
  <c r="C1458" i="1"/>
  <c r="I1621" i="1"/>
  <c r="G163" i="42"/>
  <c r="G164" i="42" s="1"/>
  <c r="G165" i="42"/>
  <c r="G166" i="42" s="1"/>
  <c r="E150" i="42"/>
  <c r="G150" i="42" s="1"/>
  <c r="G156" i="42"/>
  <c r="G157" i="42"/>
  <c r="G158" i="42" s="1"/>
  <c r="B128" i="42"/>
  <c r="G105" i="35"/>
  <c r="A1254" i="23"/>
  <c r="A1255" i="23"/>
  <c r="F31" i="90"/>
  <c r="A1162" i="23"/>
  <c r="A1163" i="23"/>
  <c r="F65" i="74"/>
  <c r="F27" i="90"/>
  <c r="C23" i="90"/>
  <c r="A1139" i="23"/>
  <c r="F64" i="74"/>
  <c r="F26" i="90"/>
  <c r="A1138" i="23"/>
  <c r="F63" i="74"/>
  <c r="F25" i="90"/>
  <c r="H1325" i="23"/>
  <c r="A1325" i="23"/>
  <c r="A1326" i="23"/>
  <c r="G1328" i="23"/>
  <c r="H1227" i="23"/>
  <c r="G1216" i="23"/>
  <c r="H1216" i="23"/>
  <c r="A1216" i="23"/>
  <c r="H1210" i="23"/>
  <c r="A1210" i="23"/>
  <c r="A1211" i="23"/>
  <c r="C1148" i="23"/>
  <c r="H1148" i="23"/>
  <c r="A1148" i="23"/>
  <c r="H1199" i="23"/>
  <c r="A1199" i="23"/>
  <c r="H1135" i="23"/>
  <c r="A1135" i="23"/>
  <c r="G1314" i="23"/>
  <c r="H1314" i="23"/>
  <c r="A1314" i="23"/>
  <c r="H1295" i="23"/>
  <c r="G1298" i="23"/>
  <c r="H1298" i="23"/>
  <c r="A1298" i="23"/>
  <c r="H1297" i="23"/>
  <c r="A1297" i="23"/>
  <c r="G1291" i="23"/>
  <c r="H1291" i="23"/>
  <c r="A1291" i="23"/>
  <c r="H1283" i="23"/>
  <c r="A1283" i="23"/>
  <c r="G1274" i="23"/>
  <c r="H1274" i="23"/>
  <c r="A1274" i="23"/>
  <c r="H1270" i="23"/>
  <c r="A1270" i="23"/>
  <c r="A1271" i="23"/>
  <c r="J67" i="109"/>
  <c r="C122" i="23"/>
  <c r="C128" i="23"/>
  <c r="G127" i="23"/>
  <c r="H127" i="23"/>
  <c r="A127" i="23"/>
  <c r="G246" i="23"/>
  <c r="C107" i="23"/>
  <c r="G2596" i="23"/>
  <c r="J69" i="109"/>
  <c r="J70" i="109"/>
  <c r="M2119" i="1"/>
  <c r="L1932" i="1"/>
  <c r="G146" i="31"/>
  <c r="M2131" i="1"/>
  <c r="H1456" i="1"/>
  <c r="P1456" i="1"/>
  <c r="C1456" i="1"/>
  <c r="H1469" i="1"/>
  <c r="P1469" i="1"/>
  <c r="C1469" i="1"/>
  <c r="I1603" i="1"/>
  <c r="L1966" i="1"/>
  <c r="L1921" i="1"/>
  <c r="P356" i="1"/>
  <c r="P361" i="1"/>
  <c r="G77" i="34"/>
  <c r="E136" i="35"/>
  <c r="G136" i="35" s="1"/>
  <c r="G791" i="1"/>
  <c r="H382" i="1"/>
  <c r="C382" i="1"/>
  <c r="H357" i="1"/>
  <c r="L661" i="1"/>
  <c r="G107" i="35"/>
  <c r="H1949" i="1"/>
  <c r="G2593" i="23"/>
  <c r="G2595" i="23"/>
  <c r="A130" i="23"/>
  <c r="J9" i="109"/>
  <c r="G184" i="31"/>
  <c r="B233" i="42"/>
  <c r="G233" i="42"/>
  <c r="B121" i="42"/>
  <c r="G121" i="42"/>
  <c r="E83" i="34"/>
  <c r="L1968" i="1"/>
  <c r="L1927" i="1"/>
  <c r="L1919" i="1"/>
  <c r="E112" i="31"/>
  <c r="G112" i="31"/>
  <c r="K661" i="1"/>
  <c r="G126" i="42"/>
  <c r="G137" i="35"/>
  <c r="G1950" i="1"/>
  <c r="Y1950" i="1"/>
  <c r="G231" i="42"/>
  <c r="B231" i="42"/>
  <c r="G131" i="42"/>
  <c r="B131" i="42"/>
  <c r="B117" i="42"/>
  <c r="G117" i="42"/>
  <c r="J1549" i="1"/>
  <c r="H1549" i="1"/>
  <c r="P1549" i="1"/>
  <c r="H1984" i="1"/>
  <c r="E148" i="33"/>
  <c r="G148" i="33"/>
  <c r="I1641" i="1"/>
  <c r="H1641" i="1"/>
  <c r="P1641" i="1"/>
  <c r="C1641" i="1"/>
  <c r="H1643" i="1"/>
  <c r="P1643" i="1"/>
  <c r="C1643" i="1"/>
  <c r="I1643" i="1"/>
  <c r="E83" i="33"/>
  <c r="G83" i="33"/>
  <c r="H1917" i="1"/>
  <c r="G230" i="42"/>
  <c r="B230" i="42"/>
  <c r="G81" i="34"/>
  <c r="G73" i="35"/>
  <c r="B73" i="35"/>
  <c r="G2193" i="1"/>
  <c r="H2168" i="1"/>
  <c r="P2168" i="1"/>
  <c r="C2168" i="1"/>
  <c r="H2116" i="1"/>
  <c r="G2145" i="1"/>
  <c r="H1912" i="1"/>
  <c r="K1912" i="1"/>
  <c r="E78" i="33"/>
  <c r="G2003" i="1"/>
  <c r="E82" i="33"/>
  <c r="G82" i="33"/>
  <c r="H1916" i="1"/>
  <c r="E102" i="33"/>
  <c r="G102" i="33"/>
  <c r="H1936" i="1"/>
  <c r="H1976" i="1"/>
  <c r="E142" i="33"/>
  <c r="G131" i="33"/>
  <c r="B131" i="33"/>
  <c r="H1923" i="1"/>
  <c r="E89" i="33"/>
  <c r="G89" i="33"/>
  <c r="I1594" i="1"/>
  <c r="H1594" i="1"/>
  <c r="P1594" i="1"/>
  <c r="C1594" i="1"/>
  <c r="H1596" i="1"/>
  <c r="P1596" i="1"/>
  <c r="C1596" i="1"/>
  <c r="I1596" i="1"/>
  <c r="H1601" i="1"/>
  <c r="P1601" i="1"/>
  <c r="C1601" i="1"/>
  <c r="I1601" i="1"/>
  <c r="I1620" i="1"/>
  <c r="H1620" i="1"/>
  <c r="P1620" i="1"/>
  <c r="C1620" i="1"/>
  <c r="H1629" i="1"/>
  <c r="P1629" i="1"/>
  <c r="C1629" i="1"/>
  <c r="I1629" i="1"/>
  <c r="H1683" i="1"/>
  <c r="P1683" i="1"/>
  <c r="C1683" i="1"/>
  <c r="I1683" i="1"/>
  <c r="E189" i="31"/>
  <c r="H1552" i="1"/>
  <c r="P1552" i="1"/>
  <c r="C1552" i="1"/>
  <c r="G77" i="35"/>
  <c r="B77" i="35"/>
  <c r="G119" i="42"/>
  <c r="B119" i="42"/>
  <c r="P1963" i="1"/>
  <c r="C1963" i="1"/>
  <c r="P1934" i="1"/>
  <c r="E142" i="42"/>
  <c r="E143" i="42"/>
  <c r="E92" i="31"/>
  <c r="G92" i="31" s="1"/>
  <c r="I1605" i="1"/>
  <c r="M661" i="1"/>
  <c r="H1675" i="1"/>
  <c r="P1675" i="1"/>
  <c r="C1675" i="1"/>
  <c r="G1993" i="1"/>
  <c r="H2091" i="1"/>
  <c r="P2091" i="1"/>
  <c r="C2091" i="1"/>
  <c r="J1552" i="1"/>
  <c r="G141" i="42"/>
  <c r="G142" i="42" s="1"/>
  <c r="G143" i="42" s="1"/>
  <c r="G123" i="35"/>
  <c r="G99" i="35"/>
  <c r="G1952" i="1"/>
  <c r="B132" i="42"/>
  <c r="I1600" i="1"/>
  <c r="H1600" i="1"/>
  <c r="P1600" i="1"/>
  <c r="C1600" i="1"/>
  <c r="E94" i="33"/>
  <c r="G94" i="33"/>
  <c r="H1928" i="1"/>
  <c r="H1989" i="1"/>
  <c r="P1989" i="1"/>
  <c r="C1989" i="1"/>
  <c r="H1555" i="1"/>
  <c r="P1555" i="1"/>
  <c r="C1555" i="1"/>
  <c r="J1555" i="1"/>
  <c r="E192" i="31"/>
  <c r="G232" i="42"/>
  <c r="G98" i="31"/>
  <c r="B98" i="31"/>
  <c r="H2007" i="1"/>
  <c r="P2007" i="1"/>
  <c r="C2007" i="1"/>
  <c r="N2007" i="1"/>
  <c r="G234" i="42"/>
  <c r="H1913" i="1"/>
  <c r="E79" i="33"/>
  <c r="B81" i="33"/>
  <c r="G81" i="33"/>
  <c r="H1935" i="1"/>
  <c r="E101" i="33"/>
  <c r="G101" i="33"/>
  <c r="B100" i="33"/>
  <c r="G100" i="33"/>
  <c r="B126" i="33"/>
  <c r="G126" i="33"/>
  <c r="B134" i="33"/>
  <c r="G134" i="33"/>
  <c r="K1924" i="1"/>
  <c r="E90" i="33"/>
  <c r="G90" i="33"/>
  <c r="H1924" i="1"/>
  <c r="E92" i="33"/>
  <c r="G92" i="33"/>
  <c r="K1926" i="1"/>
  <c r="H1926" i="1"/>
  <c r="I1677" i="1"/>
  <c r="H1677" i="1"/>
  <c r="P1677" i="1"/>
  <c r="C1677" i="1"/>
  <c r="I1679" i="1"/>
  <c r="H1679" i="1"/>
  <c r="P1679" i="1"/>
  <c r="C1679" i="1"/>
  <c r="H1674" i="1"/>
  <c r="P1674" i="1"/>
  <c r="C1674" i="1"/>
  <c r="I1674" i="1"/>
  <c r="I1627" i="1"/>
  <c r="H1627" i="1"/>
  <c r="P1627" i="1"/>
  <c r="C1627" i="1"/>
  <c r="H1556" i="1"/>
  <c r="P1556" i="1"/>
  <c r="C1556" i="1"/>
  <c r="J1556" i="1"/>
  <c r="E193" i="31"/>
  <c r="H1554" i="1"/>
  <c r="P1554" i="1"/>
  <c r="C1554" i="1"/>
  <c r="E191" i="31"/>
  <c r="J1554" i="1"/>
  <c r="J1460" i="1"/>
  <c r="H1460" i="1"/>
  <c r="P1460" i="1"/>
  <c r="C1460" i="1"/>
  <c r="E96" i="31"/>
  <c r="J1465" i="1"/>
  <c r="H1465" i="1"/>
  <c r="P1465" i="1"/>
  <c r="C1465" i="1"/>
  <c r="E108" i="31"/>
  <c r="H1553" i="1"/>
  <c r="P1553" i="1"/>
  <c r="C1553" i="1"/>
  <c r="E190" i="31"/>
  <c r="J1553" i="1"/>
  <c r="B89" i="35"/>
  <c r="G89" i="35"/>
  <c r="B81" i="35"/>
  <c r="G81" i="35"/>
  <c r="B79" i="35"/>
  <c r="G79" i="35"/>
  <c r="E69" i="34"/>
  <c r="B74" i="34"/>
  <c r="B70" i="34"/>
  <c r="G70" i="34"/>
  <c r="G1713" i="1"/>
  <c r="H372" i="1"/>
  <c r="G578" i="23"/>
  <c r="G2522" i="23"/>
  <c r="G1740" i="23"/>
  <c r="G1742" i="23"/>
  <c r="G159" i="23"/>
  <c r="G167" i="23"/>
  <c r="H167" i="23"/>
  <c r="A167" i="23"/>
  <c r="G157" i="23"/>
  <c r="H165" i="23"/>
  <c r="A165" i="23"/>
  <c r="G158" i="23"/>
  <c r="H158" i="23"/>
  <c r="A158" i="23"/>
  <c r="G148" i="23"/>
  <c r="G146" i="23"/>
  <c r="G144" i="23"/>
  <c r="G147" i="23"/>
  <c r="G145" i="23"/>
  <c r="G140" i="23"/>
  <c r="G139" i="23"/>
  <c r="H136" i="23"/>
  <c r="A136" i="23"/>
  <c r="H124" i="23"/>
  <c r="A124" i="23"/>
  <c r="A123" i="23"/>
  <c r="H154" i="23"/>
  <c r="A154" i="23"/>
  <c r="G189" i="23"/>
  <c r="H189" i="23"/>
  <c r="A189" i="23"/>
  <c r="H187" i="23"/>
  <c r="A187" i="23"/>
  <c r="G120" i="23"/>
  <c r="H120" i="23"/>
  <c r="A120" i="23"/>
  <c r="H119" i="23"/>
  <c r="A119" i="23"/>
  <c r="G190" i="23"/>
  <c r="H190" i="23"/>
  <c r="A190" i="23"/>
  <c r="H179" i="23"/>
  <c r="A179" i="23"/>
  <c r="G1032" i="23"/>
  <c r="H1032" i="23"/>
  <c r="A1032" i="23"/>
  <c r="G232" i="23"/>
  <c r="C41" i="23"/>
  <c r="C47" i="23"/>
  <c r="C52" i="23"/>
  <c r="C68" i="23"/>
  <c r="C73" i="23"/>
  <c r="C79" i="23"/>
  <c r="C100" i="23"/>
  <c r="G2594" i="23"/>
  <c r="G2592" i="23"/>
  <c r="G1744" i="23"/>
  <c r="G1746" i="23"/>
  <c r="A377" i="23"/>
  <c r="G579" i="23"/>
  <c r="G2520" i="23"/>
  <c r="G2521" i="23"/>
  <c r="G2519" i="23"/>
  <c r="K1063" i="1"/>
  <c r="M2118" i="1"/>
  <c r="H385" i="1"/>
  <c r="C385" i="1"/>
  <c r="H365" i="1"/>
  <c r="H364" i="1"/>
  <c r="H379" i="1"/>
  <c r="C379" i="1"/>
  <c r="H374" i="1"/>
  <c r="C374" i="1"/>
  <c r="H388" i="1"/>
  <c r="C388" i="1"/>
  <c r="H369" i="1"/>
  <c r="H361" i="1"/>
  <c r="H368" i="1"/>
  <c r="H360" i="1"/>
  <c r="H377" i="1"/>
  <c r="C377" i="1"/>
  <c r="H376" i="1"/>
  <c r="C376" i="1"/>
  <c r="H390" i="1"/>
  <c r="C390" i="1"/>
  <c r="H387" i="1"/>
  <c r="C387" i="1"/>
  <c r="H384" i="1"/>
  <c r="C384" i="1"/>
  <c r="H371" i="1"/>
  <c r="H367" i="1"/>
  <c r="H363" i="1"/>
  <c r="H359" i="1"/>
  <c r="H370" i="1"/>
  <c r="H366" i="1"/>
  <c r="H362" i="1"/>
  <c r="H1426" i="23"/>
  <c r="H1555" i="23"/>
  <c r="G1419" i="23"/>
  <c r="G1421" i="23"/>
  <c r="A1492" i="23"/>
  <c r="A1493" i="23"/>
  <c r="A1459" i="23"/>
  <c r="A1460" i="23"/>
  <c r="H1385" i="23"/>
  <c r="H1382" i="23"/>
  <c r="G950" i="23"/>
  <c r="H950" i="23"/>
  <c r="A950" i="23"/>
  <c r="H1532" i="23"/>
  <c r="G1543" i="23"/>
  <c r="G1542" i="23"/>
  <c r="G46" i="23"/>
  <c r="G44" i="23"/>
  <c r="G1275" i="23"/>
  <c r="H1275" i="23"/>
  <c r="A1275" i="23"/>
  <c r="G2529" i="23"/>
  <c r="C527" i="23"/>
  <c r="C528" i="23"/>
  <c r="C529" i="23"/>
  <c r="G45" i="23"/>
  <c r="G1278" i="23"/>
  <c r="H1278" i="23"/>
  <c r="A1278" i="23"/>
  <c r="G1743" i="23"/>
  <c r="G1745" i="23"/>
  <c r="H1410" i="23"/>
  <c r="G1601" i="23"/>
  <c r="H1601" i="23"/>
  <c r="A1601" i="23"/>
  <c r="H1600" i="23"/>
  <c r="A1600" i="23"/>
  <c r="G1477" i="23"/>
  <c r="H1477" i="23"/>
  <c r="A1477" i="23"/>
  <c r="H1476" i="23"/>
  <c r="A1476" i="23"/>
  <c r="G1440" i="23"/>
  <c r="H1440" i="23"/>
  <c r="A1440" i="23"/>
  <c r="H1433" i="23"/>
  <c r="G1478" i="23"/>
  <c r="H1478" i="23"/>
  <c r="A1478" i="23"/>
  <c r="H1463" i="23"/>
  <c r="A1463" i="23"/>
  <c r="G1026" i="23"/>
  <c r="H1026" i="23"/>
  <c r="A1026" i="23"/>
  <c r="G1063" i="23"/>
  <c r="H1063" i="23"/>
  <c r="A1063" i="23"/>
  <c r="G2527" i="23"/>
  <c r="D154" i="115"/>
  <c r="J52" i="109"/>
  <c r="D184" i="115"/>
  <c r="D180" i="115"/>
  <c r="D176" i="115"/>
  <c r="D172" i="115"/>
  <c r="D168" i="115"/>
  <c r="D160" i="115"/>
  <c r="D156" i="115"/>
  <c r="D185" i="115"/>
  <c r="D181" i="115"/>
  <c r="D177" i="115"/>
  <c r="D169" i="115"/>
  <c r="D165" i="115"/>
  <c r="D157" i="115"/>
  <c r="J42" i="109"/>
  <c r="J38" i="109"/>
  <c r="D170" i="115"/>
  <c r="D162" i="115"/>
  <c r="J39" i="109"/>
  <c r="D179" i="115"/>
  <c r="D175" i="115"/>
  <c r="D171" i="115"/>
  <c r="D167" i="115"/>
  <c r="D163" i="115"/>
  <c r="D159" i="115"/>
  <c r="C1862" i="1"/>
  <c r="K430" i="1"/>
  <c r="H428" i="1"/>
  <c r="E10" i="121" s="1"/>
  <c r="I10" i="121" s="1"/>
  <c r="H785" i="1"/>
  <c r="H841" i="1"/>
  <c r="P370" i="1"/>
  <c r="P359" i="1"/>
  <c r="J58" i="109"/>
  <c r="D204" i="115"/>
  <c r="D198" i="115"/>
  <c r="J59" i="109"/>
  <c r="J53" i="109"/>
  <c r="D194" i="115"/>
  <c r="D210" i="115"/>
  <c r="D206" i="115"/>
  <c r="D200" i="115"/>
  <c r="J65" i="109"/>
  <c r="D205" i="115"/>
  <c r="J55" i="109"/>
  <c r="G15" i="42"/>
  <c r="B15" i="42"/>
  <c r="G10" i="42"/>
  <c r="B10" i="42"/>
  <c r="B12" i="42"/>
  <c r="G12" i="42"/>
  <c r="K1064" i="1"/>
  <c r="K1066" i="1"/>
  <c r="D201" i="115"/>
  <c r="C1930" i="1"/>
  <c r="C1934" i="1"/>
  <c r="C1922" i="1"/>
  <c r="C1954" i="1"/>
  <c r="D195" i="115"/>
  <c r="C1918" i="1"/>
  <c r="C1945" i="1"/>
  <c r="E63" i="42"/>
  <c r="B63" i="42" s="1"/>
  <c r="A440" i="23"/>
  <c r="A442" i="23"/>
  <c r="A441" i="23"/>
  <c r="A394" i="23"/>
  <c r="A393" i="23"/>
  <c r="P20" i="78"/>
  <c r="P11" i="78"/>
  <c r="P19" i="78"/>
  <c r="P6" i="78"/>
  <c r="A381" i="23"/>
  <c r="G2606" i="23"/>
  <c r="G242" i="23"/>
  <c r="A411" i="23"/>
  <c r="A436" i="23"/>
  <c r="A433" i="23"/>
  <c r="A445" i="23"/>
  <c r="A395" i="23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C393" i="1"/>
  <c r="I9" i="107"/>
  <c r="G657" i="23"/>
  <c r="G652" i="23"/>
  <c r="G561" i="23"/>
  <c r="D49" i="74"/>
  <c r="D18" i="90" s="1"/>
  <c r="D51" i="74"/>
  <c r="D20" i="90" s="1"/>
  <c r="D53" i="74"/>
  <c r="D22" i="90" s="1"/>
  <c r="D55" i="74"/>
  <c r="D57" i="74"/>
  <c r="D59" i="74"/>
  <c r="D50" i="74"/>
  <c r="D19" i="90" s="1"/>
  <c r="D52" i="74"/>
  <c r="D21" i="90" s="1"/>
  <c r="D54" i="74"/>
  <c r="D56" i="74"/>
  <c r="D58" i="74"/>
  <c r="H410" i="23"/>
  <c r="H427" i="23"/>
  <c r="A369" i="23"/>
  <c r="A371" i="23"/>
  <c r="A368" i="23"/>
  <c r="A392" i="23"/>
  <c r="G229" i="42"/>
  <c r="P2147" i="1"/>
  <c r="C2147" i="1"/>
  <c r="G987" i="23"/>
  <c r="H987" i="23"/>
  <c r="A987" i="23"/>
  <c r="G935" i="23"/>
  <c r="H935" i="23"/>
  <c r="A935" i="23"/>
  <c r="C556" i="23"/>
  <c r="C574" i="23"/>
  <c r="C581" i="23"/>
  <c r="C586" i="23"/>
  <c r="C609" i="23"/>
  <c r="G1710" i="23"/>
  <c r="G1667" i="23"/>
  <c r="G932" i="23"/>
  <c r="H932" i="23"/>
  <c r="A932" i="23"/>
  <c r="G217" i="23"/>
  <c r="G231" i="23"/>
  <c r="G215" i="23"/>
  <c r="G226" i="23"/>
  <c r="G235" i="23"/>
  <c r="G838" i="23"/>
  <c r="H370" i="23"/>
  <c r="G420" i="23"/>
  <c r="G1763" i="23"/>
  <c r="H414" i="23"/>
  <c r="A414" i="23"/>
  <c r="A415" i="23"/>
  <c r="G416" i="23"/>
  <c r="H412" i="23"/>
  <c r="H419" i="23"/>
  <c r="G558" i="23"/>
  <c r="H413" i="23"/>
  <c r="H420" i="23"/>
  <c r="G418" i="23"/>
  <c r="H418" i="23"/>
  <c r="H396" i="23"/>
  <c r="A396" i="23"/>
  <c r="A397" i="23"/>
  <c r="G406" i="23"/>
  <c r="G407" i="23"/>
  <c r="H407" i="23"/>
  <c r="G402" i="23"/>
  <c r="H402" i="23"/>
  <c r="G403" i="23"/>
  <c r="H403" i="23"/>
  <c r="G1670" i="23"/>
  <c r="G856" i="23"/>
  <c r="I1685" i="1"/>
  <c r="G570" i="23"/>
  <c r="G2545" i="23"/>
  <c r="G934" i="23"/>
  <c r="H934" i="23"/>
  <c r="A934" i="23"/>
  <c r="G121" i="23"/>
  <c r="H121" i="23"/>
  <c r="A121" i="23"/>
  <c r="G2006" i="23"/>
  <c r="G2007" i="23"/>
  <c r="G858" i="23"/>
  <c r="G229" i="23"/>
  <c r="G228" i="23"/>
  <c r="G918" i="23"/>
  <c r="H918" i="23"/>
  <c r="A918" i="23"/>
  <c r="G227" i="23"/>
  <c r="G2570" i="23"/>
  <c r="G843" i="23"/>
  <c r="G845" i="23"/>
  <c r="C370" i="23"/>
  <c r="C371" i="23"/>
  <c r="C372" i="23"/>
  <c r="C373" i="23"/>
  <c r="G2612" i="23"/>
  <c r="G861" i="23"/>
  <c r="G862" i="23"/>
  <c r="G857" i="23"/>
  <c r="G568" i="23"/>
  <c r="G560" i="23"/>
  <c r="G1968" i="23"/>
  <c r="G881" i="23"/>
  <c r="C1835" i="23"/>
  <c r="C1836" i="23"/>
  <c r="C1841" i="23"/>
  <c r="C1842" i="23"/>
  <c r="C1843" i="23"/>
  <c r="C1844" i="23"/>
  <c r="G401" i="23"/>
  <c r="H401" i="23"/>
  <c r="G2526" i="23"/>
  <c r="G1273" i="23"/>
  <c r="H1273" i="23"/>
  <c r="A1273" i="23"/>
  <c r="G2525" i="23"/>
  <c r="G1272" i="23"/>
  <c r="H1272" i="23"/>
  <c r="A1272" i="23"/>
  <c r="G1276" i="23"/>
  <c r="G2024" i="23"/>
  <c r="G1437" i="23"/>
  <c r="H1437" i="23"/>
  <c r="A1437" i="23"/>
  <c r="G844" i="23"/>
  <c r="G841" i="23"/>
  <c r="G2605" i="23"/>
  <c r="C2296" i="23"/>
  <c r="C2485" i="23"/>
  <c r="C2486" i="23"/>
  <c r="C2487" i="23"/>
  <c r="C2488" i="23"/>
  <c r="C2489" i="23"/>
  <c r="C2491" i="23"/>
  <c r="G2383" i="23"/>
  <c r="G2380" i="23"/>
  <c r="G2381" i="23"/>
  <c r="G2369" i="23"/>
  <c r="G2371" i="23"/>
  <c r="C2297" i="23"/>
  <c r="C2298" i="23"/>
  <c r="G99" i="23"/>
  <c r="G1771" i="23"/>
  <c r="G1774" i="23"/>
  <c r="G156" i="23"/>
  <c r="G835" i="23"/>
  <c r="C828" i="23"/>
  <c r="C833" i="23"/>
  <c r="C839" i="23"/>
  <c r="C847" i="23"/>
  <c r="C863" i="23"/>
  <c r="C868" i="23"/>
  <c r="C877" i="23"/>
  <c r="G2325" i="23"/>
  <c r="G1706" i="23"/>
  <c r="G1707" i="23"/>
  <c r="G1708" i="23"/>
  <c r="C1615" i="23"/>
  <c r="C1616" i="23"/>
  <c r="C1617" i="23"/>
  <c r="C1618" i="23"/>
  <c r="C1619" i="23"/>
  <c r="C1620" i="23"/>
  <c r="C1621" i="23"/>
  <c r="G1557" i="23"/>
  <c r="G1563" i="23"/>
  <c r="H1563" i="23"/>
  <c r="A1563" i="23"/>
  <c r="G400" i="23"/>
  <c r="H400" i="23"/>
  <c r="G398" i="23"/>
  <c r="G896" i="23"/>
  <c r="G846" i="23"/>
  <c r="G695" i="23"/>
  <c r="G830" i="23"/>
  <c r="G2011" i="23"/>
  <c r="G1877" i="23"/>
  <c r="G1878" i="23"/>
  <c r="G1879" i="23"/>
  <c r="G1238" i="23"/>
  <c r="H1238" i="23"/>
  <c r="A1238" i="23"/>
  <c r="G867" i="23"/>
  <c r="G865" i="23"/>
  <c r="E177" i="42"/>
  <c r="G177" i="42"/>
  <c r="E178" i="42"/>
  <c r="G178" i="42"/>
  <c r="C1859" i="1"/>
  <c r="B67" i="33"/>
  <c r="B60" i="33"/>
  <c r="B80" i="33"/>
  <c r="B43" i="33"/>
  <c r="C1860" i="1"/>
  <c r="H434" i="23"/>
  <c r="A434" i="23"/>
  <c r="H435" i="23"/>
  <c r="A435" i="23"/>
  <c r="G374" i="23"/>
  <c r="H373" i="23"/>
  <c r="G431" i="23"/>
  <c r="H431" i="23"/>
  <c r="A431" i="23"/>
  <c r="H429" i="23"/>
  <c r="A429" i="23"/>
  <c r="H437" i="23"/>
  <c r="G405" i="23"/>
  <c r="H405" i="23"/>
  <c r="H399" i="23"/>
  <c r="G430" i="23"/>
  <c r="H430" i="23"/>
  <c r="H428" i="23"/>
  <c r="G444" i="23"/>
  <c r="H444" i="23"/>
  <c r="A444" i="23"/>
  <c r="H425" i="23"/>
  <c r="H1064" i="23"/>
  <c r="G443" i="23"/>
  <c r="H443" i="23"/>
  <c r="H432" i="23"/>
  <c r="C212" i="23"/>
  <c r="C218" i="23"/>
  <c r="C223" i="23"/>
  <c r="C238" i="23"/>
  <c r="C243" i="23"/>
  <c r="C249" i="23"/>
  <c r="C267" i="23"/>
  <c r="E150" i="115"/>
  <c r="P339" i="1"/>
  <c r="F7" i="121" s="1"/>
  <c r="P340" i="1"/>
  <c r="G1574" i="23"/>
  <c r="H1574" i="23"/>
  <c r="A1574" i="23"/>
  <c r="H1840" i="1"/>
  <c r="P1840" i="1"/>
  <c r="C1840" i="1"/>
  <c r="G2502" i="23"/>
  <c r="G2615" i="23"/>
  <c r="G2617" i="23"/>
  <c r="G1029" i="23"/>
  <c r="H1029" i="23"/>
  <c r="A1029" i="23"/>
  <c r="G889" i="23"/>
  <c r="G584" i="23"/>
  <c r="G891" i="23"/>
  <c r="G892" i="23"/>
  <c r="G1566" i="23"/>
  <c r="H1566" i="23"/>
  <c r="A1566" i="23"/>
  <c r="H1783" i="1"/>
  <c r="P1783" i="1"/>
  <c r="C1783" i="1"/>
  <c r="G661" i="23"/>
  <c r="G662" i="23"/>
  <c r="G2548" i="23"/>
  <c r="G1699" i="23"/>
  <c r="G1700" i="23"/>
  <c r="G888" i="23"/>
  <c r="G1560" i="23"/>
  <c r="G2542" i="23"/>
  <c r="G1021" i="23"/>
  <c r="H1021" i="23"/>
  <c r="G882" i="23"/>
  <c r="G884" i="23"/>
  <c r="G2387" i="23"/>
  <c r="G956" i="23"/>
  <c r="H956" i="23"/>
  <c r="A956" i="23"/>
  <c r="G952" i="23"/>
  <c r="G954" i="23"/>
  <c r="H954" i="23"/>
  <c r="D151" i="115"/>
  <c r="A1077" i="23"/>
  <c r="A1078" i="23"/>
  <c r="A1056" i="23"/>
  <c r="A1057" i="23"/>
  <c r="E52" i="78"/>
  <c r="O52" i="78" s="1"/>
  <c r="A1093" i="23"/>
  <c r="E76" i="78"/>
  <c r="G919" i="23"/>
  <c r="H919" i="23"/>
  <c r="A919" i="23"/>
  <c r="A1087" i="23"/>
  <c r="G630" i="23"/>
  <c r="G632" i="23"/>
  <c r="G1214" i="23"/>
  <c r="H1214" i="23"/>
  <c r="A1214" i="23"/>
  <c r="G2553" i="23"/>
  <c r="G1705" i="23"/>
  <c r="A1080" i="23"/>
  <c r="G880" i="23"/>
  <c r="G895" i="23"/>
  <c r="G883" i="23"/>
  <c r="G885" i="23"/>
  <c r="G890" i="23"/>
  <c r="H1137" i="23"/>
  <c r="G893" i="23"/>
  <c r="G1969" i="23"/>
  <c r="G1971" i="23"/>
  <c r="G2388" i="23"/>
  <c r="G2389" i="23"/>
  <c r="G887" i="23"/>
  <c r="G894" i="23"/>
  <c r="G886" i="23"/>
  <c r="A907" i="23"/>
  <c r="C199" i="23"/>
  <c r="C200" i="23"/>
  <c r="C201" i="23"/>
  <c r="C202" i="23"/>
  <c r="C203" i="23"/>
  <c r="G1040" i="23"/>
  <c r="H1040" i="23"/>
  <c r="A1040" i="23"/>
  <c r="E54" i="78"/>
  <c r="D50" i="79" s="1"/>
  <c r="E55" i="78"/>
  <c r="O55" i="78" s="1"/>
  <c r="A1099" i="23"/>
  <c r="E80" i="78"/>
  <c r="A1079" i="23"/>
  <c r="A1098" i="23"/>
  <c r="E79" i="78"/>
  <c r="A1086" i="23"/>
  <c r="A1094" i="23"/>
  <c r="A906" i="23"/>
  <c r="E62" i="42"/>
  <c r="G62" i="42" s="1"/>
  <c r="C1834" i="1"/>
  <c r="C1832" i="1"/>
  <c r="E47" i="78"/>
  <c r="D43" i="79" s="1"/>
  <c r="G997" i="23"/>
  <c r="G998" i="23"/>
  <c r="H998" i="23"/>
  <c r="A998" i="23"/>
  <c r="K1840" i="1"/>
  <c r="E176" i="42"/>
  <c r="G176" i="42"/>
  <c r="G68" i="42"/>
  <c r="B11" i="42"/>
  <c r="H347" i="1"/>
  <c r="C347" i="1" s="1"/>
  <c r="H349" i="1"/>
  <c r="C349" i="1"/>
  <c r="H351" i="1"/>
  <c r="C351" i="1" s="1"/>
  <c r="H353" i="1"/>
  <c r="C353" i="1"/>
  <c r="H348" i="1"/>
  <c r="C348" i="1" s="1"/>
  <c r="H350" i="1"/>
  <c r="C350" i="1"/>
  <c r="H352" i="1"/>
  <c r="C352" i="1" s="1"/>
  <c r="H354" i="1"/>
  <c r="C354" i="1"/>
  <c r="P2148" i="1"/>
  <c r="C2148" i="1"/>
  <c r="H340" i="1"/>
  <c r="K1781" i="1"/>
  <c r="G263" i="42"/>
  <c r="E67" i="42"/>
  <c r="B67" i="42" s="1"/>
  <c r="B72" i="42"/>
  <c r="K908" i="1"/>
  <c r="K911" i="1"/>
  <c r="K907" i="1"/>
  <c r="K910" i="1"/>
  <c r="G2335" i="23"/>
  <c r="G2012" i="23"/>
  <c r="G2030" i="23"/>
  <c r="G2022" i="23"/>
  <c r="G2031" i="23"/>
  <c r="G2026" i="23"/>
  <c r="G2027" i="23"/>
  <c r="G2015" i="23"/>
  <c r="G2018" i="23"/>
  <c r="G1120" i="23"/>
  <c r="H1120" i="23"/>
  <c r="A1120" i="23"/>
  <c r="G1065" i="23"/>
  <c r="G1102" i="23"/>
  <c r="H1102" i="23"/>
  <c r="A1102" i="23"/>
  <c r="G2501" i="23"/>
  <c r="G1020" i="23"/>
  <c r="H1020" i="23"/>
  <c r="A1020" i="23"/>
  <c r="G1027" i="23"/>
  <c r="H1027" i="23"/>
  <c r="A1027" i="23"/>
  <c r="G696" i="23"/>
  <c r="G651" i="23"/>
  <c r="G1028" i="23"/>
  <c r="H1028" i="23"/>
  <c r="A1028" i="23"/>
  <c r="G656" i="23"/>
  <c r="G1766" i="23"/>
  <c r="G653" i="23"/>
  <c r="G920" i="23"/>
  <c r="H920" i="23"/>
  <c r="A920" i="23"/>
  <c r="G663" i="23"/>
  <c r="G665" i="23"/>
  <c r="G1090" i="23"/>
  <c r="G1092" i="23"/>
  <c r="G1088" i="23"/>
  <c r="H1088" i="23"/>
  <c r="A1088" i="23"/>
  <c r="G2554" i="23"/>
  <c r="G1693" i="23"/>
  <c r="G608" i="23"/>
  <c r="H1058" i="23"/>
  <c r="G1070" i="23"/>
  <c r="H1070" i="23"/>
  <c r="A1070" i="23"/>
  <c r="G1435" i="23"/>
  <c r="H1435" i="23"/>
  <c r="A1435" i="23"/>
  <c r="G1438" i="23"/>
  <c r="H1438" i="23"/>
  <c r="A1438" i="23"/>
  <c r="G1436" i="23"/>
  <c r="H1436" i="23"/>
  <c r="A1436" i="23"/>
  <c r="G1441" i="23"/>
  <c r="H1441" i="23"/>
  <c r="A1441" i="23"/>
  <c r="H1016" i="23"/>
  <c r="G1019" i="23"/>
  <c r="H1019" i="23"/>
  <c r="G1864" i="23"/>
  <c r="C1860" i="23"/>
  <c r="G1001" i="23"/>
  <c r="G1000" i="23"/>
  <c r="C28" i="23"/>
  <c r="C29" i="23"/>
  <c r="C30" i="23"/>
  <c r="C31" i="23"/>
  <c r="C32" i="23"/>
  <c r="G1022" i="23"/>
  <c r="H1022" i="23"/>
  <c r="G837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G1031" i="23"/>
  <c r="H1031" i="23"/>
  <c r="A1031" i="23"/>
  <c r="G563" i="23"/>
  <c r="G559" i="23"/>
  <c r="G571" i="23"/>
  <c r="G1113" i="23"/>
  <c r="H1113" i="23"/>
  <c r="A1113" i="23"/>
  <c r="G1112" i="23"/>
  <c r="H1112" i="23"/>
  <c r="A1112" i="23"/>
  <c r="G2028" i="23"/>
  <c r="G2029" i="23"/>
  <c r="G2014" i="23"/>
  <c r="G2017" i="23"/>
  <c r="G2032" i="23"/>
  <c r="G2023" i="23"/>
  <c r="G2016" i="23"/>
  <c r="G2019" i="23"/>
  <c r="G2025" i="23"/>
  <c r="G2036" i="23"/>
  <c r="G2059" i="23"/>
  <c r="G2010" i="23"/>
  <c r="G1125" i="23"/>
  <c r="H1125" i="23"/>
  <c r="A1125" i="23"/>
  <c r="G1110" i="23"/>
  <c r="H1110" i="23"/>
  <c r="A1110" i="23"/>
  <c r="G1117" i="23"/>
  <c r="H1117" i="23"/>
  <c r="A1117" i="23"/>
  <c r="G1961" i="23"/>
  <c r="H979" i="23"/>
  <c r="A979" i="23"/>
  <c r="G2432" i="23"/>
  <c r="G2433" i="23"/>
  <c r="G989" i="23"/>
  <c r="H989" i="23"/>
  <c r="A989" i="23"/>
  <c r="G999" i="23"/>
  <c r="H999" i="23"/>
  <c r="A999" i="23"/>
  <c r="G995" i="23"/>
  <c r="H995" i="23"/>
  <c r="A995" i="23"/>
  <c r="G996" i="23"/>
  <c r="H996" i="23"/>
  <c r="A996" i="23"/>
  <c r="G994" i="23"/>
  <c r="H994" i="23"/>
  <c r="A994" i="23"/>
  <c r="G992" i="23"/>
  <c r="G993" i="23"/>
  <c r="G991" i="23"/>
  <c r="H991" i="23"/>
  <c r="H1335" i="23"/>
  <c r="A1335" i="23"/>
  <c r="G1345" i="23"/>
  <c r="H1345" i="23"/>
  <c r="A1345" i="23"/>
  <c r="H1328" i="23"/>
  <c r="G1329" i="23"/>
  <c r="G1333" i="23"/>
  <c r="H1333" i="23"/>
  <c r="A1333" i="23"/>
  <c r="H1344" i="23"/>
  <c r="A1344" i="23"/>
  <c r="H1339" i="23"/>
  <c r="A1339" i="23"/>
  <c r="H1347" i="23"/>
  <c r="A1347" i="23"/>
  <c r="G1336" i="23"/>
  <c r="H1336" i="23"/>
  <c r="A1336" i="23"/>
  <c r="H1334" i="23"/>
  <c r="A1334" i="23"/>
  <c r="G1327" i="23"/>
  <c r="E33" i="90"/>
  <c r="G1330" i="23"/>
  <c r="G2536" i="23"/>
  <c r="G2532" i="23"/>
  <c r="G2535" i="23"/>
  <c r="G2534" i="23"/>
  <c r="G2533" i="23"/>
  <c r="G986" i="23"/>
  <c r="H986" i="23"/>
  <c r="G988" i="23"/>
  <c r="H988" i="23"/>
  <c r="H945" i="23"/>
  <c r="G957" i="23"/>
  <c r="H957" i="23"/>
  <c r="A957" i="23"/>
  <c r="G955" i="23"/>
  <c r="H955" i="23"/>
  <c r="G2299" i="23"/>
  <c r="G2327" i="23"/>
  <c r="G2326" i="23"/>
  <c r="G2322" i="23"/>
  <c r="G2342" i="23"/>
  <c r="G2328" i="23"/>
  <c r="G2324" i="23"/>
  <c r="G1267" i="23"/>
  <c r="H1267" i="23"/>
  <c r="A1267" i="23"/>
  <c r="G1312" i="23"/>
  <c r="H1312" i="23"/>
  <c r="A1312" i="23"/>
  <c r="G1311" i="23"/>
  <c r="H1311" i="23"/>
  <c r="A1311" i="23"/>
  <c r="G2021" i="23"/>
  <c r="G2035" i="23"/>
  <c r="G1431" i="23"/>
  <c r="H1431" i="23"/>
  <c r="A1431" i="23"/>
  <c r="C1382" i="23"/>
  <c r="G1384" i="23"/>
  <c r="G1383" i="23"/>
  <c r="G2302" i="23"/>
  <c r="G1313" i="23"/>
  <c r="H1313" i="23"/>
  <c r="A1313" i="23"/>
  <c r="G1306" i="23"/>
  <c r="H1306" i="23"/>
  <c r="A1306" i="23"/>
  <c r="G1307" i="23"/>
  <c r="H1307" i="23"/>
  <c r="A1307" i="23"/>
  <c r="G1983" i="23"/>
  <c r="G1976" i="23"/>
  <c r="G1984" i="23"/>
  <c r="G1418" i="23"/>
  <c r="H1418" i="23"/>
  <c r="A1418" i="23"/>
  <c r="G1412" i="23"/>
  <c r="H1412" i="23"/>
  <c r="A1412" i="23"/>
  <c r="G1415" i="23"/>
  <c r="H1415" i="23"/>
  <c r="A1415" i="23"/>
  <c r="G1414" i="23"/>
  <c r="H1414" i="23"/>
  <c r="A1414" i="23"/>
  <c r="G1413" i="23"/>
  <c r="H1413" i="23"/>
  <c r="A1413" i="23"/>
  <c r="G1416" i="23"/>
  <c r="H1416" i="23"/>
  <c r="A1416" i="23"/>
  <c r="G1417" i="23"/>
  <c r="H1417" i="23"/>
  <c r="A1417" i="23"/>
  <c r="C1392" i="23"/>
  <c r="G1393" i="23"/>
  <c r="H1393" i="23"/>
  <c r="A1393" i="23"/>
  <c r="G1400" i="23"/>
  <c r="H1400" i="23"/>
  <c r="A1400" i="23"/>
  <c r="G93" i="31"/>
  <c r="H1721" i="1"/>
  <c r="P1721" i="1"/>
  <c r="E123" i="42"/>
  <c r="G123" i="42" s="1"/>
  <c r="G1967" i="23"/>
  <c r="G1966" i="23"/>
  <c r="G1972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1862" i="23"/>
  <c r="G1863" i="23"/>
  <c r="G1083" i="23"/>
  <c r="H1083" i="23"/>
  <c r="H1081" i="23"/>
  <c r="G1084" i="23"/>
  <c r="H1084" i="23"/>
  <c r="H1082" i="23"/>
  <c r="G1051" i="23"/>
  <c r="H1051" i="23"/>
  <c r="A1051" i="23"/>
  <c r="H1050" i="23"/>
  <c r="A1050" i="23"/>
  <c r="H904" i="23"/>
  <c r="H1002" i="23"/>
  <c r="A1002" i="23"/>
  <c r="G1054" i="23"/>
  <c r="H1054" i="23"/>
  <c r="A1054" i="23"/>
  <c r="H1046" i="23"/>
  <c r="A1046" i="23"/>
  <c r="C903" i="23"/>
  <c r="C904" i="23"/>
  <c r="H903" i="23"/>
  <c r="P8" i="78"/>
  <c r="H1071" i="23"/>
  <c r="H930" i="23"/>
  <c r="H909" i="23"/>
  <c r="H984" i="23"/>
  <c r="P1960" i="1"/>
  <c r="C1960" i="1"/>
  <c r="G643" i="23"/>
  <c r="H1101" i="23"/>
  <c r="A1101" i="23"/>
  <c r="G655" i="23"/>
  <c r="G659" i="23"/>
  <c r="G649" i="23"/>
  <c r="G650" i="23"/>
  <c r="G660" i="23"/>
  <c r="G658" i="23"/>
  <c r="G2357" i="23"/>
  <c r="G2354" i="23"/>
  <c r="G2353" i="23"/>
  <c r="G2356" i="23"/>
  <c r="G2351" i="23"/>
  <c r="G2355" i="23"/>
  <c r="G2352" i="23"/>
  <c r="G2413" i="23"/>
  <c r="G2412" i="23"/>
  <c r="G2419" i="23"/>
  <c r="G2411" i="23"/>
  <c r="G2434" i="23"/>
  <c r="G2436" i="23"/>
  <c r="G2400" i="23"/>
  <c r="G2416" i="23"/>
  <c r="G2414" i="23"/>
  <c r="G2415" i="23"/>
  <c r="G2420" i="23"/>
  <c r="G1456" i="23"/>
  <c r="H1456" i="23"/>
  <c r="A1456" i="23"/>
  <c r="G1458" i="23"/>
  <c r="H1458" i="23"/>
  <c r="A1458" i="23"/>
  <c r="G1455" i="23"/>
  <c r="H1455" i="23"/>
  <c r="A1455" i="23"/>
  <c r="G1457" i="23"/>
  <c r="H1457" i="23"/>
  <c r="A1457" i="23"/>
  <c r="G1453" i="23"/>
  <c r="H1453" i="23"/>
  <c r="A1453" i="23"/>
  <c r="G1452" i="23"/>
  <c r="H1452" i="23"/>
  <c r="A1452" i="23"/>
  <c r="G1525" i="23"/>
  <c r="H1525" i="23"/>
  <c r="A1525" i="23"/>
  <c r="G1522" i="23"/>
  <c r="G1524" i="23"/>
  <c r="H1524" i="23"/>
  <c r="A1524" i="23"/>
  <c r="G1531" i="23"/>
  <c r="H1531" i="23"/>
  <c r="A1531" i="23"/>
  <c r="G1526" i="23"/>
  <c r="H1526" i="23"/>
  <c r="A1526" i="23"/>
  <c r="G1523" i="23"/>
  <c r="H1523" i="23"/>
  <c r="A1523" i="23"/>
  <c r="G1520" i="23"/>
  <c r="H1520" i="23"/>
  <c r="A1520" i="23"/>
  <c r="G1509" i="23"/>
  <c r="H1509" i="23"/>
  <c r="A1509" i="23"/>
  <c r="A1510" i="23"/>
  <c r="G1534" i="23"/>
  <c r="H1534" i="23"/>
  <c r="A1534" i="23"/>
  <c r="G1538" i="23"/>
  <c r="H1542" i="23"/>
  <c r="A1542" i="23"/>
  <c r="G1536" i="23"/>
  <c r="H1536" i="23"/>
  <c r="A1536" i="23"/>
  <c r="G1535" i="23"/>
  <c r="H1535" i="23"/>
  <c r="A1535" i="23"/>
  <c r="G1537" i="23"/>
  <c r="H1537" i="23"/>
  <c r="A1537" i="23"/>
  <c r="G849" i="23"/>
  <c r="G855" i="23"/>
  <c r="G852" i="23"/>
  <c r="G859" i="23"/>
  <c r="G853" i="23"/>
  <c r="G850" i="23"/>
  <c r="G860" i="23"/>
  <c r="G851" i="23"/>
  <c r="G2377" i="23"/>
  <c r="G2372" i="23"/>
  <c r="G2374" i="23"/>
  <c r="G2376" i="23"/>
  <c r="G2375" i="23"/>
  <c r="G2370" i="23"/>
  <c r="G2373" i="23"/>
  <c r="G2315" i="23"/>
  <c r="G2314" i="23"/>
  <c r="G2310" i="23"/>
  <c r="G2313" i="23"/>
  <c r="C2309" i="23"/>
  <c r="G2363" i="23"/>
  <c r="G2360" i="23"/>
  <c r="G2364" i="23"/>
  <c r="G2361" i="23"/>
  <c r="G2366" i="23"/>
  <c r="G2365" i="23"/>
  <c r="G2362" i="23"/>
  <c r="G1447" i="23"/>
  <c r="H1447" i="23"/>
  <c r="A1447" i="23"/>
  <c r="G1445" i="23"/>
  <c r="H1445" i="23"/>
  <c r="A1445" i="23"/>
  <c r="G1444" i="23"/>
  <c r="H1444" i="23"/>
  <c r="A1444" i="23"/>
  <c r="G1446" i="23"/>
  <c r="H1446" i="23"/>
  <c r="A1446" i="23"/>
  <c r="G1449" i="23"/>
  <c r="H1449" i="23"/>
  <c r="A1449" i="23"/>
  <c r="G1448" i="23"/>
  <c r="H1448" i="23"/>
  <c r="A1448" i="23"/>
  <c r="G1405" i="23"/>
  <c r="H1405" i="23"/>
  <c r="A1405" i="23"/>
  <c r="C1396" i="23"/>
  <c r="G1397" i="23"/>
  <c r="H1397" i="23"/>
  <c r="A1397" i="23"/>
  <c r="G1282" i="23"/>
  <c r="G1289" i="23"/>
  <c r="H1289" i="23"/>
  <c r="A1289" i="23"/>
  <c r="C628" i="23"/>
  <c r="C633" i="23"/>
  <c r="C639" i="23"/>
  <c r="C647" i="23"/>
  <c r="G1696" i="23"/>
  <c r="G2541" i="23"/>
  <c r="H157" i="23"/>
  <c r="A157" i="23"/>
  <c r="G905" i="23"/>
  <c r="G933" i="23"/>
  <c r="H933" i="23"/>
  <c r="H997" i="23"/>
  <c r="A997" i="23"/>
  <c r="G638" i="23"/>
  <c r="G937" i="23"/>
  <c r="H937" i="23"/>
  <c r="G990" i="23"/>
  <c r="H990" i="23"/>
  <c r="G958" i="23"/>
  <c r="G961" i="23"/>
  <c r="H961" i="23"/>
  <c r="G2550" i="23"/>
  <c r="G1697" i="23"/>
  <c r="G1694" i="23"/>
  <c r="G1782" i="23"/>
  <c r="G1796" i="23"/>
  <c r="G1797" i="23"/>
  <c r="G1223" i="23"/>
  <c r="H1223" i="23"/>
  <c r="A1223" i="23"/>
  <c r="G1222" i="23"/>
  <c r="H1222" i="23"/>
  <c r="A1222" i="23"/>
  <c r="G1221" i="23"/>
  <c r="H1221" i="23"/>
  <c r="A1221" i="23"/>
  <c r="G1220" i="23"/>
  <c r="H1220" i="23"/>
  <c r="A1220" i="23"/>
  <c r="G1226" i="23"/>
  <c r="H1226" i="23"/>
  <c r="A1226" i="23"/>
  <c r="G1224" i="23"/>
  <c r="H1224" i="23"/>
  <c r="A1224" i="23"/>
  <c r="G1225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C2497" i="23"/>
  <c r="G2503" i="23"/>
  <c r="G2620" i="23"/>
  <c r="G2621" i="23"/>
  <c r="G2611" i="23"/>
  <c r="G2622" i="23"/>
  <c r="G2137" i="23"/>
  <c r="G2135" i="23"/>
  <c r="G2136" i="23"/>
  <c r="G2133" i="23"/>
  <c r="G2134" i="23"/>
  <c r="G2132" i="23"/>
  <c r="G1637" i="23"/>
  <c r="C1628" i="23"/>
  <c r="G1629" i="23"/>
  <c r="G1662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G1764" i="23"/>
  <c r="G1767" i="23"/>
  <c r="G1018" i="23"/>
  <c r="H1018" i="23"/>
  <c r="G913" i="23"/>
  <c r="H913" i="23"/>
  <c r="A913" i="23"/>
  <c r="C912" i="23"/>
  <c r="G1025" i="23"/>
  <c r="G1044" i="23"/>
  <c r="G1217" i="23"/>
  <c r="H1217" i="23"/>
  <c r="A1217" i="23"/>
  <c r="G1212" i="23"/>
  <c r="H1212" i="23"/>
  <c r="A1212" i="23"/>
  <c r="G1215" i="23"/>
  <c r="H1215" i="23"/>
  <c r="A1215" i="23"/>
  <c r="G1213" i="23"/>
  <c r="H1213" i="23"/>
  <c r="A1213" i="23"/>
  <c r="H1185" i="23"/>
  <c r="A1185" i="23"/>
  <c r="A1186" i="23"/>
  <c r="H1191" i="23"/>
  <c r="A1191" i="23"/>
  <c r="G1136" i="23"/>
  <c r="H1136" i="23"/>
  <c r="A1136" i="23"/>
  <c r="C1135" i="23"/>
  <c r="G2490" i="23"/>
  <c r="G2551" i="23"/>
  <c r="G2552" i="23"/>
  <c r="G2543" i="23"/>
  <c r="G2544" i="23"/>
  <c r="G2539" i="23"/>
  <c r="G2072" i="23"/>
  <c r="G2119" i="23"/>
  <c r="G2073" i="23"/>
  <c r="C2071" i="23"/>
  <c r="G2222" i="23"/>
  <c r="G2227" i="23"/>
  <c r="G2228" i="23"/>
  <c r="G2230" i="23"/>
  <c r="G2225" i="23"/>
  <c r="G2226" i="23"/>
  <c r="G2223" i="23"/>
  <c r="G2229" i="23"/>
  <c r="G2232" i="23"/>
  <c r="G2221" i="23"/>
  <c r="G2224" i="23"/>
  <c r="G2211" i="23"/>
  <c r="G2196" i="23"/>
  <c r="G2218" i="23"/>
  <c r="G2212" i="23"/>
  <c r="G2210" i="23"/>
  <c r="G2213" i="23"/>
  <c r="G2209" i="23"/>
  <c r="G2217" i="23"/>
  <c r="G1672" i="23"/>
  <c r="G1668" i="23"/>
  <c r="G1673" i="23"/>
  <c r="G1704" i="23"/>
  <c r="G1698" i="23"/>
  <c r="G1727" i="23"/>
  <c r="G936" i="23"/>
  <c r="H936" i="23"/>
  <c r="G938" i="23"/>
  <c r="H938" i="23"/>
  <c r="A938" i="23"/>
  <c r="A939" i="23"/>
  <c r="G2004" i="23"/>
  <c r="G2207" i="23"/>
  <c r="G642" i="23"/>
  <c r="G644" i="23"/>
  <c r="G492" i="23"/>
  <c r="G493" i="23"/>
  <c r="G494" i="23"/>
  <c r="G151" i="23"/>
  <c r="H151" i="23"/>
  <c r="A151" i="23"/>
  <c r="G138" i="23"/>
  <c r="H138" i="23"/>
  <c r="A138" i="23"/>
  <c r="C108" i="23"/>
  <c r="C109" i="23"/>
  <c r="C110" i="23"/>
  <c r="C111" i="23"/>
  <c r="C112" i="23"/>
  <c r="C113" i="23"/>
  <c r="H1551" i="1"/>
  <c r="P1551" i="1"/>
  <c r="C1551" i="1"/>
  <c r="E188" i="31"/>
  <c r="J1551" i="1"/>
  <c r="G71" i="34"/>
  <c r="B71" i="34"/>
  <c r="B111" i="31"/>
  <c r="G111" i="31"/>
  <c r="H421" i="23"/>
  <c r="G417" i="23"/>
  <c r="H417" i="23"/>
  <c r="K429" i="1"/>
  <c r="B20" i="34"/>
  <c r="K433" i="1"/>
  <c r="E24" i="42"/>
  <c r="G24" i="42" s="1"/>
  <c r="K431" i="1"/>
  <c r="E100" i="42"/>
  <c r="B100" i="42" s="1"/>
  <c r="K483" i="1"/>
  <c r="C1778" i="1"/>
  <c r="C1758" i="1"/>
  <c r="G96" i="42"/>
  <c r="E99" i="42"/>
  <c r="G19" i="34"/>
  <c r="B19" i="34"/>
  <c r="L277" i="1"/>
  <c r="K447" i="1"/>
  <c r="E95" i="42"/>
  <c r="G95" i="42"/>
  <c r="P927" i="1"/>
  <c r="K395" i="1"/>
  <c r="L275" i="1"/>
  <c r="K275" i="1"/>
  <c r="K276" i="1"/>
  <c r="E43" i="42"/>
  <c r="G43" i="42" s="1"/>
  <c r="K396" i="1"/>
  <c r="E40" i="42"/>
  <c r="E28" i="42"/>
  <c r="G127" i="42"/>
  <c r="B127" i="42"/>
  <c r="H159" i="23"/>
  <c r="A159" i="23"/>
  <c r="G637" i="23"/>
  <c r="G635" i="23"/>
  <c r="G2500" i="23"/>
  <c r="G2499" i="23"/>
  <c r="G646" i="23"/>
  <c r="G641" i="23"/>
  <c r="G872" i="23"/>
  <c r="G870" i="23"/>
  <c r="G876" i="23"/>
  <c r="G871" i="23"/>
  <c r="G118" i="35"/>
  <c r="B118" i="35"/>
  <c r="G929" i="23"/>
  <c r="H929" i="23"/>
  <c r="A929" i="23"/>
  <c r="C925" i="23"/>
  <c r="G926" i="23"/>
  <c r="H926" i="23"/>
  <c r="A926" i="23"/>
  <c r="G1779" i="23"/>
  <c r="G1780" i="23"/>
  <c r="G1781" i="23"/>
  <c r="G1778" i="23"/>
  <c r="H396" i="1"/>
  <c r="C396" i="1"/>
  <c r="G39" i="34"/>
  <c r="E80" i="31"/>
  <c r="G80" i="31" s="1"/>
  <c r="E39" i="42"/>
  <c r="G39" i="42" s="1"/>
  <c r="E61" i="42"/>
  <c r="G61" i="42" s="1"/>
  <c r="G30" i="42"/>
  <c r="E79" i="42"/>
  <c r="E74" i="42"/>
  <c r="K394" i="1"/>
  <c r="H1734" i="1"/>
  <c r="P1734" i="1"/>
  <c r="E44" i="78"/>
  <c r="D40" i="79" s="1"/>
  <c r="K1734" i="1"/>
  <c r="E136" i="42"/>
  <c r="E137" i="42" s="1"/>
  <c r="G135" i="42"/>
  <c r="G136" i="42"/>
  <c r="G137" i="42" s="1"/>
  <c r="K1859" i="1"/>
  <c r="E247" i="42"/>
  <c r="G247" i="42"/>
  <c r="E20" i="42"/>
  <c r="G20" i="42" s="1"/>
  <c r="G21" i="42"/>
  <c r="B21" i="42"/>
  <c r="B26" i="42"/>
  <c r="G26" i="42"/>
  <c r="G32" i="42"/>
  <c r="K1062" i="1"/>
  <c r="K1065" i="1"/>
  <c r="H1764" i="1"/>
  <c r="P1764" i="1"/>
  <c r="C1764" i="1"/>
  <c r="K1764" i="1"/>
  <c r="E162" i="42"/>
  <c r="G159" i="42"/>
  <c r="G160" i="42"/>
  <c r="G161" i="42"/>
  <c r="G162" i="42" s="1"/>
  <c r="E160" i="42"/>
  <c r="B159" i="42"/>
  <c r="K1720" i="1"/>
  <c r="E122" i="42"/>
  <c r="B125" i="42"/>
  <c r="H1720" i="1"/>
  <c r="P1720" i="1"/>
  <c r="H1735" i="1"/>
  <c r="P1735" i="1"/>
  <c r="K1735" i="1"/>
  <c r="K407" i="1"/>
  <c r="K153" i="1"/>
  <c r="G23" i="42"/>
  <c r="B23" i="42"/>
  <c r="E77" i="42"/>
  <c r="E161" i="42"/>
  <c r="H1763" i="1"/>
  <c r="P1763" i="1"/>
  <c r="C1763" i="1"/>
  <c r="K1763" i="1"/>
  <c r="J1542" i="1"/>
  <c r="H1542" i="1"/>
  <c r="P1542" i="1"/>
  <c r="C1542" i="1"/>
  <c r="E179" i="31"/>
  <c r="DA184" i="16"/>
  <c r="FG184" i="16"/>
  <c r="FI184" i="16"/>
  <c r="FQ184" i="16"/>
  <c r="H2133" i="1"/>
  <c r="E85" i="34"/>
  <c r="B85" i="34" s="1"/>
  <c r="E97" i="31"/>
  <c r="H1461" i="1"/>
  <c r="P1461" i="1"/>
  <c r="C1461" i="1"/>
  <c r="J1461" i="1"/>
  <c r="J453" i="1"/>
  <c r="J410" i="1"/>
  <c r="J412" i="1" s="1"/>
  <c r="G671" i="23"/>
  <c r="G670" i="23"/>
  <c r="G676" i="23"/>
  <c r="G672" i="23"/>
  <c r="H144" i="23"/>
  <c r="A144" i="23"/>
  <c r="G141" i="23"/>
  <c r="H141" i="23"/>
  <c r="A141" i="23"/>
  <c r="H148" i="23"/>
  <c r="A148" i="23"/>
  <c r="G142" i="23"/>
  <c r="G143" i="23"/>
  <c r="H149" i="23"/>
  <c r="A149" i="23"/>
  <c r="H140" i="23"/>
  <c r="A140" i="23"/>
  <c r="H147" i="23"/>
  <c r="A147" i="23"/>
  <c r="C136" i="23"/>
  <c r="C154" i="23"/>
  <c r="C160" i="23"/>
  <c r="C173" i="23"/>
  <c r="C192" i="23"/>
  <c r="H145" i="23"/>
  <c r="A145" i="23"/>
  <c r="H146" i="23"/>
  <c r="A146" i="23"/>
  <c r="G172" i="23"/>
  <c r="H172" i="23"/>
  <c r="A172" i="23"/>
  <c r="G169" i="23"/>
  <c r="G163" i="23"/>
  <c r="G168" i="23"/>
  <c r="H168" i="23"/>
  <c r="A168" i="23"/>
  <c r="J1510" i="1"/>
  <c r="H1510" i="1"/>
  <c r="P1510" i="1"/>
  <c r="B176" i="31"/>
  <c r="G176" i="31"/>
  <c r="H2206" i="1"/>
  <c r="J2206" i="1"/>
  <c r="J307" i="1"/>
  <c r="J266" i="1"/>
  <c r="J267" i="1" s="1"/>
  <c r="FC184" i="16"/>
  <c r="EQ184" i="16"/>
  <c r="G951" i="23"/>
  <c r="H951" i="23"/>
  <c r="A951" i="23"/>
  <c r="G949" i="23"/>
  <c r="H949" i="23"/>
  <c r="G948" i="23"/>
  <c r="H948" i="23"/>
  <c r="G947" i="23"/>
  <c r="H947" i="23"/>
  <c r="G1075" i="23"/>
  <c r="H1096" i="23"/>
  <c r="G1074" i="23"/>
  <c r="G1073" i="23"/>
  <c r="H1073" i="23"/>
  <c r="J1511" i="1"/>
  <c r="H1511" i="1"/>
  <c r="P1511" i="1"/>
  <c r="H2207" i="1"/>
  <c r="J2207" i="1"/>
  <c r="J1157" i="1"/>
  <c r="J1159" i="1" s="1"/>
  <c r="CS184" i="16"/>
  <c r="J224" i="1"/>
  <c r="J226" i="1" s="1"/>
  <c r="J164" i="1"/>
  <c r="J134" i="1"/>
  <c r="J135" i="1" s="1"/>
  <c r="J326" i="1"/>
  <c r="J328" i="1" s="1"/>
  <c r="J470" i="1"/>
  <c r="J471" i="1" s="1"/>
  <c r="J335" i="1"/>
  <c r="J213" i="1"/>
  <c r="J216" i="1" s="1"/>
  <c r="J445" i="1"/>
  <c r="J446" i="1" s="1"/>
  <c r="J63" i="1"/>
  <c r="J69" i="1" s="1"/>
  <c r="J142" i="1"/>
  <c r="J418" i="1"/>
  <c r="J462" i="1"/>
  <c r="J463" i="1" s="1"/>
  <c r="J317" i="1"/>
  <c r="J45" i="1"/>
  <c r="J47" i="1" s="1"/>
  <c r="J53" i="1"/>
  <c r="J283" i="1"/>
  <c r="J302" i="1"/>
  <c r="J308" i="1" s="1"/>
  <c r="J156" i="1"/>
  <c r="J157" i="1" s="1"/>
  <c r="J158" i="1" s="1"/>
  <c r="J117" i="1"/>
  <c r="J256" i="1"/>
  <c r="J257" i="1" s="1"/>
  <c r="J67" i="1"/>
  <c r="J196" i="1"/>
  <c r="J199" i="1" s="1"/>
  <c r="J502" i="1"/>
  <c r="J205" i="1"/>
  <c r="J492" i="1"/>
  <c r="J493" i="1" s="1"/>
  <c r="J152" i="1"/>
  <c r="J109" i="1"/>
  <c r="J110" i="1" s="1"/>
  <c r="J248" i="1"/>
  <c r="J18" i="1"/>
  <c r="J20" i="1" s="1"/>
  <c r="J27" i="1"/>
  <c r="J28" i="1" s="1"/>
  <c r="J510" i="1"/>
  <c r="J188" i="1"/>
  <c r="J189" i="1" s="1"/>
  <c r="J291" i="1"/>
  <c r="J293" i="1" s="1"/>
  <c r="J37" i="1"/>
  <c r="J39" i="1" s="1"/>
  <c r="J406" i="1"/>
  <c r="J523" i="1"/>
  <c r="J525" i="1" s="1"/>
  <c r="J274" i="1"/>
  <c r="J125" i="1"/>
  <c r="J126" i="1" s="1"/>
  <c r="B93" i="42"/>
  <c r="G93" i="42"/>
  <c r="H2211" i="1"/>
  <c r="J2211" i="1"/>
  <c r="J1467" i="1"/>
  <c r="H1467" i="1"/>
  <c r="P1467" i="1"/>
  <c r="C1467" i="1"/>
  <c r="E110" i="31"/>
  <c r="J936" i="1"/>
  <c r="J940" i="1" s="1"/>
  <c r="G134" i="42"/>
  <c r="B134" i="42"/>
  <c r="V184" i="16"/>
  <c r="FR184" i="16"/>
  <c r="J482" i="1"/>
  <c r="J484" i="1" s="1"/>
  <c r="H1509" i="1"/>
  <c r="P1509" i="1"/>
  <c r="J1509" i="1"/>
  <c r="D40" i="74"/>
  <c r="D9" i="90" s="1"/>
  <c r="F507" i="23"/>
  <c r="E507" i="23"/>
  <c r="D507" i="23"/>
  <c r="P2085" i="1"/>
  <c r="C2085" i="1"/>
  <c r="P1672" i="1"/>
  <c r="C1672" i="1"/>
  <c r="P2038" i="1"/>
  <c r="C2038" i="1"/>
  <c r="P2048" i="1"/>
  <c r="P2030" i="1"/>
  <c r="C2030" i="1"/>
  <c r="P2068" i="1"/>
  <c r="C2068" i="1"/>
  <c r="P2069" i="1"/>
  <c r="P2082" i="1"/>
  <c r="C2082" i="1"/>
  <c r="P2052" i="1"/>
  <c r="C2052" i="1"/>
  <c r="P2281" i="1"/>
  <c r="P1686" i="1"/>
  <c r="C1686" i="1"/>
  <c r="C627" i="1"/>
  <c r="C2100" i="1"/>
  <c r="C356" i="1"/>
  <c r="H2312" i="1"/>
  <c r="P2312" i="1"/>
  <c r="H2291" i="1"/>
  <c r="P2291" i="1"/>
  <c r="H2287" i="1"/>
  <c r="P2287" i="1"/>
  <c r="H2285" i="1"/>
  <c r="P2285" i="1"/>
  <c r="H2284" i="1"/>
  <c r="P2284" i="1"/>
  <c r="H2308" i="1"/>
  <c r="P2308" i="1"/>
  <c r="H2315" i="1"/>
  <c r="P2315" i="1"/>
  <c r="H2321" i="1"/>
  <c r="H2314" i="1"/>
  <c r="P2314" i="1"/>
  <c r="H2311" i="1"/>
  <c r="P2311" i="1"/>
  <c r="H2289" i="1"/>
  <c r="P2289" i="1"/>
  <c r="H2286" i="1"/>
  <c r="P2286" i="1"/>
  <c r="H2306" i="1"/>
  <c r="P2306" i="1"/>
  <c r="H2318" i="1"/>
  <c r="P2318" i="1"/>
  <c r="H2320" i="1"/>
  <c r="H2302" i="1"/>
  <c r="P2302" i="1"/>
  <c r="H2317" i="1"/>
  <c r="P2317" i="1"/>
  <c r="H2305" i="1"/>
  <c r="P2305" i="1"/>
  <c r="H2303" i="1"/>
  <c r="P2303" i="1"/>
  <c r="H2299" i="1"/>
  <c r="P2299" i="1"/>
  <c r="H2307" i="1"/>
  <c r="H2295" i="1"/>
  <c r="H2293" i="1"/>
  <c r="H2297" i="1"/>
  <c r="P2297" i="1"/>
  <c r="H2290" i="1"/>
  <c r="P2290" i="1"/>
  <c r="H2304" i="1"/>
  <c r="P2304" i="1"/>
  <c r="H2294" i="1"/>
  <c r="P2294" i="1"/>
  <c r="H2316" i="1"/>
  <c r="P2316" i="1"/>
  <c r="H2288" i="1"/>
  <c r="P2288" i="1"/>
  <c r="H2301" i="1"/>
  <c r="P2301" i="1"/>
  <c r="H2300" i="1"/>
  <c r="P2300" i="1"/>
  <c r="H2313" i="1"/>
  <c r="P2313" i="1"/>
  <c r="H2283" i="1"/>
  <c r="P2283" i="1"/>
  <c r="H2292" i="1"/>
  <c r="P2292" i="1"/>
  <c r="H2298" i="1"/>
  <c r="P2298" i="1"/>
  <c r="H2309" i="1"/>
  <c r="H2319" i="1"/>
  <c r="H395" i="1"/>
  <c r="C395" i="1" s="1"/>
  <c r="D36" i="74"/>
  <c r="D5" i="90" s="1"/>
  <c r="D37" i="74"/>
  <c r="D6" i="90" s="1"/>
  <c r="D38" i="74"/>
  <c r="D7" i="90" s="1"/>
  <c r="D39" i="74"/>
  <c r="D8" i="90" s="1"/>
  <c r="D41" i="74"/>
  <c r="D10" i="90" s="1"/>
  <c r="D42" i="74"/>
  <c r="D11" i="90" s="1"/>
  <c r="D44" i="74"/>
  <c r="D13" i="90" s="1"/>
  <c r="D45" i="74"/>
  <c r="D14" i="90" s="1"/>
  <c r="D46" i="74"/>
  <c r="D15" i="90" s="1"/>
  <c r="D47" i="74"/>
  <c r="D16" i="90" s="1"/>
  <c r="D48" i="74"/>
  <c r="D17" i="90" s="1"/>
  <c r="D35" i="74"/>
  <c r="D4" i="90" s="1"/>
  <c r="B44" i="31"/>
  <c r="G47" i="33"/>
  <c r="B41" i="33"/>
  <c r="B60" i="35"/>
  <c r="G94" i="42"/>
  <c r="B40" i="33"/>
  <c r="B34" i="34"/>
  <c r="B31" i="42"/>
  <c r="B24" i="33"/>
  <c r="B69" i="33"/>
  <c r="B21" i="33"/>
  <c r="G111" i="42"/>
  <c r="G43" i="33"/>
  <c r="B82" i="42"/>
  <c r="B56" i="33"/>
  <c r="B45" i="35"/>
  <c r="G51" i="34"/>
  <c r="G1750" i="23"/>
  <c r="G1757" i="23"/>
  <c r="G569" i="23"/>
  <c r="G1571" i="23"/>
  <c r="H1571" i="23"/>
  <c r="A1571" i="23"/>
  <c r="G2165" i="23"/>
  <c r="G1561" i="23"/>
  <c r="H1561" i="23"/>
  <c r="A1561" i="23"/>
  <c r="G1151" i="23"/>
  <c r="H1151" i="23"/>
  <c r="A1151" i="23"/>
  <c r="G1150" i="23"/>
  <c r="H1150" i="23"/>
  <c r="A1150" i="23"/>
  <c r="G83" i="42"/>
  <c r="G72" i="33"/>
  <c r="B52" i="34"/>
  <c r="G57" i="33"/>
  <c r="G28" i="33"/>
  <c r="G27" i="42"/>
  <c r="B35" i="34"/>
  <c r="G48" i="34"/>
  <c r="G2001" i="23"/>
  <c r="G383" i="23"/>
  <c r="H383" i="23"/>
  <c r="A383" i="23"/>
  <c r="G382" i="23"/>
  <c r="H382" i="23"/>
  <c r="G2109" i="23"/>
  <c r="G2110" i="23"/>
  <c r="G2113" i="23"/>
  <c r="G2111" i="23"/>
  <c r="C2107" i="23"/>
  <c r="C2114" i="23"/>
  <c r="C2121" i="23"/>
  <c r="C2130" i="23"/>
  <c r="C2138" i="23"/>
  <c r="C2147" i="23"/>
  <c r="C2167" i="23"/>
  <c r="C2173" i="23"/>
  <c r="C2179" i="23"/>
  <c r="C2186" i="23"/>
  <c r="G1994" i="23"/>
  <c r="G1735" i="23"/>
  <c r="G386" i="23"/>
  <c r="H386" i="23"/>
  <c r="G388" i="23"/>
  <c r="H388" i="23"/>
  <c r="C384" i="23"/>
  <c r="C390" i="23"/>
  <c r="C396" i="23"/>
  <c r="C408" i="23"/>
  <c r="C414" i="23"/>
  <c r="C423" i="23"/>
  <c r="C445" i="23"/>
  <c r="G389" i="23"/>
  <c r="H389" i="23"/>
  <c r="G387" i="23"/>
  <c r="H387" i="23"/>
  <c r="A387" i="23"/>
  <c r="G2255" i="23"/>
  <c r="G2264" i="23"/>
  <c r="G2253" i="23"/>
  <c r="G2251" i="23"/>
  <c r="G2250" i="23"/>
  <c r="G2245" i="23"/>
  <c r="G2249" i="23"/>
  <c r="G2243" i="23"/>
  <c r="G1626" i="23"/>
  <c r="G1627" i="23"/>
  <c r="G2172" i="23"/>
  <c r="G2169" i="23"/>
  <c r="G2171" i="23"/>
  <c r="G2170" i="23"/>
  <c r="G2000" i="23"/>
  <c r="G489" i="23"/>
  <c r="G497" i="23"/>
  <c r="G498" i="23"/>
  <c r="G499" i="23"/>
  <c r="G453" i="23"/>
  <c r="C452" i="23"/>
  <c r="G1288" i="23"/>
  <c r="H1288" i="23"/>
  <c r="A1288" i="23"/>
  <c r="G472" i="23"/>
  <c r="G469" i="23"/>
  <c r="G471" i="23"/>
  <c r="G470" i="23"/>
  <c r="C467" i="23"/>
  <c r="C473" i="23"/>
  <c r="C478" i="23"/>
  <c r="C490" i="23"/>
  <c r="C495" i="23"/>
  <c r="C501" i="23"/>
  <c r="C519" i="23"/>
  <c r="G2087" i="23"/>
  <c r="G2088" i="23"/>
  <c r="G1158" i="23"/>
  <c r="H1158" i="23"/>
  <c r="A1158" i="23"/>
  <c r="C1157" i="23"/>
  <c r="G1161" i="23"/>
  <c r="H1161" i="23"/>
  <c r="A1161" i="23"/>
  <c r="G2084" i="23"/>
  <c r="G2083" i="23"/>
  <c r="G2193" i="23"/>
  <c r="C294" i="23"/>
  <c r="C289" i="23"/>
  <c r="C291" i="23"/>
  <c r="G11" i="34"/>
  <c r="B27" i="34"/>
  <c r="G17" i="35"/>
  <c r="G22" i="42"/>
  <c r="B51" i="33"/>
  <c r="G63" i="42"/>
  <c r="G74" i="33"/>
  <c r="B16" i="34"/>
  <c r="G23" i="33"/>
  <c r="B41" i="34"/>
  <c r="G12" i="34"/>
  <c r="G53" i="33"/>
  <c r="G52" i="31"/>
  <c r="G37" i="42"/>
  <c r="B19" i="42"/>
  <c r="G11" i="42"/>
  <c r="G37" i="34"/>
  <c r="B61" i="33"/>
  <c r="G20" i="33"/>
  <c r="B12" i="35"/>
  <c r="G54" i="42"/>
  <c r="G48" i="35"/>
  <c r="G20" i="35"/>
  <c r="G35" i="33"/>
  <c r="B59" i="34"/>
  <c r="E51" i="31"/>
  <c r="G51" i="31" s="1"/>
  <c r="BF229" i="70"/>
  <c r="BG307" i="70"/>
  <c r="I1686" i="1"/>
  <c r="B47" i="35"/>
  <c r="B70" i="42"/>
  <c r="B69" i="42"/>
  <c r="G2204" i="1"/>
  <c r="E197" i="31"/>
  <c r="H1470" i="1"/>
  <c r="E113" i="31"/>
  <c r="E114" i="31" s="1"/>
  <c r="G114" i="31" s="1"/>
  <c r="J1470" i="1"/>
  <c r="H1473" i="1"/>
  <c r="E116" i="31"/>
  <c r="B116" i="31" s="1"/>
  <c r="G1476" i="1"/>
  <c r="J1473" i="1"/>
  <c r="H1477" i="1"/>
  <c r="G1478" i="1"/>
  <c r="E120" i="31"/>
  <c r="G120" i="31" s="1"/>
  <c r="G1481" i="1"/>
  <c r="J1477" i="1"/>
  <c r="H1486" i="1"/>
  <c r="P1486" i="1"/>
  <c r="D191" i="115"/>
  <c r="J1486" i="1"/>
  <c r="E129" i="31"/>
  <c r="G129" i="31" s="1"/>
  <c r="J1489" i="1"/>
  <c r="G1491" i="1"/>
  <c r="E132" i="31"/>
  <c r="H1489" i="1"/>
  <c r="H1493" i="1"/>
  <c r="J1493" i="1"/>
  <c r="G1495" i="1"/>
  <c r="E136" i="31"/>
  <c r="G136" i="31" s="1"/>
  <c r="E177" i="31"/>
  <c r="J1540" i="1"/>
  <c r="H1540" i="1"/>
  <c r="G1545" i="1"/>
  <c r="E178" i="31"/>
  <c r="J1541" i="1"/>
  <c r="H1541" i="1"/>
  <c r="BY184" i="16"/>
  <c r="J1400" i="1"/>
  <c r="J1403" i="1" s="1"/>
  <c r="J1366" i="1"/>
  <c r="J1368" i="1" s="1"/>
  <c r="J1374" i="1"/>
  <c r="J1375" i="1" s="1"/>
  <c r="J1436" i="1"/>
  <c r="J1439" i="1" s="1"/>
  <c r="J1382" i="1"/>
  <c r="J1383" i="1" s="1"/>
  <c r="J1418" i="1"/>
  <c r="J1427" i="1"/>
  <c r="J1409" i="1"/>
  <c r="J1412" i="1" s="1"/>
  <c r="J1445" i="1"/>
  <c r="J1448" i="1" s="1"/>
  <c r="J1391" i="1"/>
  <c r="J1394" i="1" s="1"/>
  <c r="J1186" i="1"/>
  <c r="J1177" i="1"/>
  <c r="J1166" i="1"/>
  <c r="J1167" i="1" s="1"/>
  <c r="J1148" i="1"/>
  <c r="J1154" i="1" s="1"/>
  <c r="J1112" i="1"/>
  <c r="J1117" i="1" s="1"/>
  <c r="J1101" i="1"/>
  <c r="J1102" i="1" s="1"/>
  <c r="BE184" i="16"/>
  <c r="J1081" i="1"/>
  <c r="J1082" i="1" s="1"/>
  <c r="BD184" i="16"/>
  <c r="J1068" i="1"/>
  <c r="J1072" i="1" s="1"/>
  <c r="J1054" i="1"/>
  <c r="J1016" i="1"/>
  <c r="J1017" i="1" s="1"/>
  <c r="J1007" i="1"/>
  <c r="J1009" i="1" s="1"/>
  <c r="J997" i="1"/>
  <c r="J969" i="1"/>
  <c r="J916" i="1"/>
  <c r="Q184" i="16"/>
  <c r="J690" i="1"/>
  <c r="J704" i="1"/>
  <c r="J744" i="1"/>
  <c r="J711" i="1"/>
  <c r="J737" i="1"/>
  <c r="J748" i="1"/>
  <c r="J750" i="1" s="1"/>
  <c r="J715" i="1"/>
  <c r="J717" i="1" s="1"/>
  <c r="J697" i="1"/>
  <c r="J698" i="1" s="1"/>
  <c r="J755" i="1"/>
  <c r="J728" i="1"/>
  <c r="J721" i="1"/>
  <c r="J683" i="1"/>
  <c r="J730" i="1"/>
  <c r="J746" i="1" s="1"/>
  <c r="J650" i="1"/>
  <c r="J660" i="1" s="1"/>
  <c r="J640" i="1"/>
  <c r="J641" i="1" s="1"/>
  <c r="J630" i="1"/>
  <c r="BQ184" i="16"/>
  <c r="BR184" i="16"/>
  <c r="N2087" i="1"/>
  <c r="N188" i="1"/>
  <c r="N190" i="1" s="1"/>
  <c r="N196" i="1"/>
  <c r="N198" i="1" s="1"/>
  <c r="N205" i="1"/>
  <c r="N224" i="1"/>
  <c r="N226" i="1" s="1"/>
  <c r="N234" i="1"/>
  <c r="N213" i="1"/>
  <c r="N215" i="1" s="1"/>
  <c r="N248" i="1"/>
  <c r="N256" i="1"/>
  <c r="N266" i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37" i="1"/>
  <c r="N1138" i="1" s="1"/>
  <c r="N1186" i="1"/>
  <c r="N1194" i="1"/>
  <c r="N1366" i="1"/>
  <c r="N1367" i="1" s="1"/>
  <c r="N1374" i="1"/>
  <c r="N1376" i="1" s="1"/>
  <c r="N1382" i="1"/>
  <c r="N1383" i="1" s="1"/>
  <c r="B92" i="35"/>
  <c r="G92" i="35"/>
  <c r="G53" i="34"/>
  <c r="H394" i="1"/>
  <c r="C394" i="1" s="1"/>
  <c r="B13" i="34"/>
  <c r="B31" i="33"/>
  <c r="G58" i="33"/>
  <c r="B14" i="33"/>
  <c r="B18" i="33"/>
  <c r="B44" i="42"/>
  <c r="B30" i="34"/>
  <c r="G16" i="42"/>
  <c r="G62" i="33"/>
  <c r="G35" i="42"/>
  <c r="B59" i="42"/>
  <c r="B73" i="42"/>
  <c r="G63" i="34"/>
  <c r="G66" i="42"/>
  <c r="B28" i="42"/>
  <c r="B44" i="33"/>
  <c r="G44" i="33"/>
  <c r="G58" i="31"/>
  <c r="B58" i="31"/>
  <c r="G57" i="42"/>
  <c r="B57" i="42"/>
  <c r="G108" i="42"/>
  <c r="G36" i="34"/>
  <c r="B36" i="34"/>
  <c r="G16" i="35"/>
  <c r="B16" i="35"/>
  <c r="B16" i="33"/>
  <c r="G16" i="33"/>
  <c r="B30" i="33"/>
  <c r="G30" i="33"/>
  <c r="B78" i="31"/>
  <c r="G78" i="31"/>
  <c r="G43" i="34"/>
  <c r="B43" i="34"/>
  <c r="G19" i="35"/>
  <c r="B19" i="35"/>
  <c r="B87" i="42"/>
  <c r="B18" i="42"/>
  <c r="G45" i="42"/>
  <c r="G40" i="34"/>
  <c r="G64" i="33"/>
  <c r="G67" i="31"/>
  <c r="G31" i="34"/>
  <c r="G54" i="33"/>
  <c r="B75" i="33"/>
  <c r="G66" i="33"/>
  <c r="B13" i="42"/>
  <c r="B37" i="35"/>
  <c r="G26" i="33"/>
  <c r="G29" i="33"/>
  <c r="B23" i="34"/>
  <c r="G69" i="42"/>
  <c r="G34" i="31"/>
  <c r="G70" i="42"/>
  <c r="B42" i="34"/>
  <c r="B29" i="42"/>
  <c r="B13" i="33"/>
  <c r="G71" i="42"/>
  <c r="G21" i="34"/>
  <c r="B62" i="34"/>
  <c r="G50" i="33"/>
  <c r="B39" i="42"/>
  <c r="B61" i="35"/>
  <c r="B78" i="42"/>
  <c r="B17" i="34"/>
  <c r="B33" i="34"/>
  <c r="G65" i="42"/>
  <c r="G12" i="33"/>
  <c r="B25" i="33"/>
  <c r="G25" i="33"/>
  <c r="B25" i="42"/>
  <c r="G25" i="42"/>
  <c r="G88" i="42"/>
  <c r="B88" i="42"/>
  <c r="G89" i="42"/>
  <c r="B89" i="42"/>
  <c r="G114" i="42"/>
  <c r="B114" i="42"/>
  <c r="H342" i="1"/>
  <c r="C178" i="1"/>
  <c r="C179" i="1"/>
  <c r="C175" i="1"/>
  <c r="C177" i="1"/>
  <c r="H344" i="1"/>
  <c r="C344" i="1" s="1"/>
  <c r="H341" i="1"/>
  <c r="H343" i="1"/>
  <c r="C343" i="1" s="1"/>
  <c r="G45" i="31"/>
  <c r="B45" i="31"/>
  <c r="B45" i="33"/>
  <c r="G45" i="33"/>
  <c r="B42" i="33"/>
  <c r="G32" i="33"/>
  <c r="G36" i="42"/>
  <c r="G104" i="42"/>
  <c r="G81" i="42"/>
  <c r="G45" i="34"/>
  <c r="B73" i="33"/>
  <c r="G47" i="42"/>
  <c r="G22" i="35"/>
  <c r="B76" i="33"/>
  <c r="B112" i="42"/>
  <c r="G112" i="42"/>
  <c r="G60" i="42"/>
  <c r="B60" i="42"/>
  <c r="G60" i="33"/>
  <c r="B56" i="34"/>
  <c r="B21" i="35"/>
  <c r="B65" i="34"/>
  <c r="G110" i="42"/>
  <c r="G38" i="33"/>
  <c r="G102" i="42"/>
  <c r="G54" i="34"/>
  <c r="G62" i="35"/>
  <c r="B55" i="42"/>
  <c r="G66" i="34"/>
  <c r="B50" i="31"/>
  <c r="G11" i="35"/>
  <c r="G64" i="34"/>
  <c r="G24" i="34"/>
  <c r="B63" i="35"/>
  <c r="B84" i="42"/>
  <c r="B15" i="35"/>
  <c r="B18" i="35"/>
  <c r="G97" i="42"/>
  <c r="G33" i="31"/>
  <c r="C835" i="1"/>
  <c r="G49" i="42"/>
  <c r="B103" i="42"/>
  <c r="B63" i="33"/>
  <c r="B28" i="34"/>
  <c r="B46" i="35"/>
  <c r="G46" i="35"/>
  <c r="G17" i="33"/>
  <c r="B17" i="33"/>
  <c r="B36" i="35"/>
  <c r="G36" i="35"/>
  <c r="G10" i="35"/>
  <c r="B10" i="35"/>
  <c r="B33" i="42"/>
  <c r="G33" i="42"/>
  <c r="C836" i="1"/>
  <c r="B59" i="33"/>
  <c r="G59" i="33"/>
  <c r="G14" i="35"/>
  <c r="B14" i="35"/>
  <c r="B61" i="34"/>
  <c r="G61" i="34"/>
  <c r="G14" i="42"/>
  <c r="B14" i="42"/>
  <c r="B41" i="35"/>
  <c r="G41" i="35"/>
  <c r="B51" i="42"/>
  <c r="G51" i="42"/>
  <c r="G76" i="42"/>
  <c r="B76" i="42"/>
  <c r="G109" i="42"/>
  <c r="B109" i="42"/>
  <c r="B113" i="42"/>
  <c r="G113" i="42"/>
  <c r="B47" i="34"/>
  <c r="G47" i="34"/>
  <c r="B71" i="33"/>
  <c r="G71" i="33"/>
  <c r="B49" i="33"/>
  <c r="G49" i="33"/>
  <c r="B48" i="33"/>
  <c r="G48" i="33"/>
  <c r="G13" i="35"/>
  <c r="B13" i="35"/>
  <c r="B65" i="33"/>
  <c r="G65" i="33"/>
  <c r="G75" i="42"/>
  <c r="B75" i="42"/>
  <c r="B15" i="34"/>
  <c r="G15" i="34"/>
  <c r="G68" i="33"/>
  <c r="B68" i="33"/>
  <c r="B80" i="31"/>
  <c r="G15" i="33"/>
  <c r="B15" i="33"/>
  <c r="B23" i="35"/>
  <c r="B60" i="34"/>
  <c r="B65" i="35"/>
  <c r="B24" i="35"/>
  <c r="G106" i="42"/>
  <c r="B105" i="42"/>
  <c r="G105" i="42"/>
  <c r="G46" i="42"/>
  <c r="B46" i="42"/>
  <c r="B37" i="33"/>
  <c r="G37" i="33"/>
  <c r="G9" i="35"/>
  <c r="B9" i="35"/>
  <c r="E90" i="35"/>
  <c r="G90" i="35" s="1"/>
  <c r="N2033" i="1"/>
  <c r="G340" i="23"/>
  <c r="C273" i="23"/>
  <c r="G303" i="23"/>
  <c r="G300" i="23"/>
  <c r="G346" i="23"/>
  <c r="G353" i="23"/>
  <c r="G358" i="23"/>
  <c r="G357" i="23"/>
  <c r="G356" i="23"/>
  <c r="G355" i="23"/>
  <c r="G354" i="23"/>
  <c r="G349" i="23"/>
  <c r="G348" i="23"/>
  <c r="G347" i="23"/>
  <c r="G359" i="23"/>
  <c r="G362" i="23"/>
  <c r="G314" i="23"/>
  <c r="G311" i="23"/>
  <c r="G330" i="23"/>
  <c r="G312" i="23"/>
  <c r="C297" i="23"/>
  <c r="C298" i="23"/>
  <c r="G313" i="23"/>
  <c r="H2122" i="1"/>
  <c r="P2122" i="1"/>
  <c r="G2138" i="1"/>
  <c r="E75" i="34"/>
  <c r="G2144" i="1"/>
  <c r="M698" i="1"/>
  <c r="M699" i="1"/>
  <c r="M705" i="1"/>
  <c r="M706" i="1"/>
  <c r="E46" i="34"/>
  <c r="G46" i="34" s="1"/>
  <c r="G2114" i="1"/>
  <c r="G186" i="31"/>
  <c r="E173" i="31"/>
  <c r="J1536" i="1"/>
  <c r="H1536" i="1"/>
  <c r="E172" i="31"/>
  <c r="H1535" i="1"/>
  <c r="P1535" i="1"/>
  <c r="J1535" i="1"/>
  <c r="J1534" i="1"/>
  <c r="H1534" i="1"/>
  <c r="P1534" i="1"/>
  <c r="H1533" i="1"/>
  <c r="P1533" i="1"/>
  <c r="J1533" i="1"/>
  <c r="J1532" i="1"/>
  <c r="H1532" i="1"/>
  <c r="P1532" i="1"/>
  <c r="E125" i="31"/>
  <c r="G1485" i="1"/>
  <c r="G1483" i="1"/>
  <c r="J1482" i="1"/>
  <c r="H1482" i="1"/>
  <c r="E69" i="31"/>
  <c r="B69" i="31" s="1"/>
  <c r="E65" i="31"/>
  <c r="E61" i="31"/>
  <c r="G61" i="31" s="1"/>
  <c r="E48" i="31"/>
  <c r="B48" i="31" s="1"/>
  <c r="E46" i="31"/>
  <c r="E57" i="31"/>
  <c r="E56" i="31"/>
  <c r="B56" i="31" s="1"/>
  <c r="E53" i="31"/>
  <c r="G53" i="31" s="1"/>
  <c r="E18" i="34"/>
  <c r="M69" i="1"/>
  <c r="M68" i="1"/>
  <c r="C620" i="23"/>
  <c r="N2065" i="1"/>
  <c r="H2065" i="1"/>
  <c r="E130" i="35"/>
  <c r="H2066" i="1"/>
  <c r="E131" i="35"/>
  <c r="N2066" i="1"/>
  <c r="H2044" i="1"/>
  <c r="N2044" i="1"/>
  <c r="E100" i="35"/>
  <c r="N2009" i="1"/>
  <c r="H2009" i="1"/>
  <c r="E71" i="35"/>
  <c r="G71" i="35" s="1"/>
  <c r="E129" i="35"/>
  <c r="H2086" i="1"/>
  <c r="N2086" i="1"/>
  <c r="H2045" i="1"/>
  <c r="N2045" i="1"/>
  <c r="E101" i="35"/>
  <c r="E88" i="35"/>
  <c r="H2029" i="1"/>
  <c r="P2029" i="1"/>
  <c r="N2029" i="1"/>
  <c r="E42" i="35"/>
  <c r="E155" i="42"/>
  <c r="E154" i="42"/>
  <c r="G2203" i="1"/>
  <c r="Y2203" i="1"/>
  <c r="G1480" i="1"/>
  <c r="C1713" i="1"/>
  <c r="E118" i="33"/>
  <c r="G118" i="33"/>
  <c r="H1993" i="1"/>
  <c r="P1993" i="1"/>
  <c r="C1993" i="1"/>
  <c r="H2193" i="1"/>
  <c r="P2193" i="1"/>
  <c r="C2193" i="1"/>
  <c r="Y2193" i="1"/>
  <c r="R791" i="1"/>
  <c r="H1992" i="1"/>
  <c r="P1992" i="1"/>
  <c r="C1992" i="1"/>
  <c r="H2001" i="1"/>
  <c r="P2001" i="1"/>
  <c r="C2001" i="1"/>
  <c r="H1882" i="1"/>
  <c r="P1882" i="1"/>
  <c r="C1882" i="1"/>
  <c r="H2188" i="1"/>
  <c r="P2188" i="1"/>
  <c r="C2188" i="1"/>
  <c r="Y2188" i="1"/>
  <c r="H2167" i="1"/>
  <c r="P2167" i="1"/>
  <c r="C2167" i="1"/>
  <c r="Y2167" i="1"/>
  <c r="K1783" i="1"/>
  <c r="C361" i="1"/>
  <c r="G1951" i="1"/>
  <c r="G1953" i="1"/>
  <c r="B126" i="42"/>
  <c r="B133" i="42"/>
  <c r="B79" i="34"/>
  <c r="B82" i="34"/>
  <c r="B81" i="34"/>
  <c r="B78" i="34"/>
  <c r="E46" i="78"/>
  <c r="C1780" i="1"/>
  <c r="H1685" i="1"/>
  <c r="P1685" i="1"/>
  <c r="C1685" i="1"/>
  <c r="H1997" i="1"/>
  <c r="P1997" i="1"/>
  <c r="C1997" i="1"/>
  <c r="N2091" i="1"/>
  <c r="P360" i="1"/>
  <c r="C360" i="1"/>
  <c r="P368" i="1"/>
  <c r="C368" i="1"/>
  <c r="P362" i="1"/>
  <c r="C362" i="1"/>
  <c r="P371" i="1"/>
  <c r="P367" i="1"/>
  <c r="P366" i="1"/>
  <c r="P365" i="1"/>
  <c r="C365" i="1"/>
  <c r="C371" i="1"/>
  <c r="P357" i="1"/>
  <c r="D65" i="115"/>
  <c r="C65" i="115" s="1"/>
  <c r="P372" i="1"/>
  <c r="C372" i="1"/>
  <c r="P358" i="1"/>
  <c r="C358" i="1"/>
  <c r="P363" i="1"/>
  <c r="C363" i="1"/>
  <c r="P364" i="1"/>
  <c r="C364" i="1"/>
  <c r="P369" i="1"/>
  <c r="C369" i="1"/>
  <c r="G17" i="114"/>
  <c r="D17" i="114" s="1"/>
  <c r="C250" i="115" s="1"/>
  <c r="G12" i="114"/>
  <c r="D12" i="114" s="1"/>
  <c r="B112" i="31"/>
  <c r="B92" i="31"/>
  <c r="H1952" i="1"/>
  <c r="B72" i="35"/>
  <c r="G117" i="35"/>
  <c r="H2087" i="1"/>
  <c r="J16" i="109"/>
  <c r="J95" i="1"/>
  <c r="J80" i="1"/>
  <c r="J97" i="1"/>
  <c r="J79" i="1"/>
  <c r="J77" i="1"/>
  <c r="J78" i="1"/>
  <c r="J96" i="1"/>
  <c r="J76" i="1"/>
  <c r="J93" i="1"/>
  <c r="J94" i="1"/>
  <c r="H2154" i="1"/>
  <c r="P2154" i="1"/>
  <c r="C2154" i="1"/>
  <c r="G2192" i="1"/>
  <c r="B181" i="31"/>
  <c r="G181" i="31"/>
  <c r="A1328" i="23"/>
  <c r="F34" i="90"/>
  <c r="H34" i="90"/>
  <c r="A1295" i="23"/>
  <c r="F70" i="74"/>
  <c r="F32" i="90"/>
  <c r="G1349" i="23"/>
  <c r="H1349" i="23"/>
  <c r="A1349" i="23"/>
  <c r="A1227" i="23"/>
  <c r="A1228" i="23"/>
  <c r="F68" i="74"/>
  <c r="F30" i="90"/>
  <c r="A1137" i="23"/>
  <c r="F62" i="74"/>
  <c r="F24" i="90"/>
  <c r="H1327" i="23"/>
  <c r="G1348" i="23"/>
  <c r="H1348" i="23"/>
  <c r="A1348" i="23"/>
  <c r="H433" i="1"/>
  <c r="C433" i="1"/>
  <c r="H440" i="1"/>
  <c r="C440" i="1" s="1"/>
  <c r="G1290" i="23"/>
  <c r="H1290" i="23"/>
  <c r="A1290" i="23"/>
  <c r="H1282" i="23"/>
  <c r="A1282" i="23"/>
  <c r="G1332" i="23"/>
  <c r="H1332" i="23"/>
  <c r="A1332" i="23"/>
  <c r="H1330" i="23"/>
  <c r="A1330" i="23"/>
  <c r="G1331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G1239" i="23"/>
  <c r="H1239" i="23"/>
  <c r="A1239" i="23"/>
  <c r="H1230" i="23"/>
  <c r="A1230" i="23"/>
  <c r="G1277" i="23"/>
  <c r="H1277" i="23"/>
  <c r="A1277" i="23"/>
  <c r="H1276" i="23"/>
  <c r="A1276" i="23"/>
  <c r="C2069" i="1"/>
  <c r="J68" i="109"/>
  <c r="P1949" i="1"/>
  <c r="C1949" i="1"/>
  <c r="L1949" i="1"/>
  <c r="H429" i="1"/>
  <c r="C429" i="1" s="1"/>
  <c r="H444" i="1"/>
  <c r="C444" i="1" s="1"/>
  <c r="C428" i="1"/>
  <c r="H1950" i="1"/>
  <c r="L1950" i="1"/>
  <c r="J36" i="109"/>
  <c r="E116" i="33"/>
  <c r="G116" i="33"/>
  <c r="G83" i="34"/>
  <c r="B83" i="34"/>
  <c r="B96" i="31"/>
  <c r="G96" i="31"/>
  <c r="G191" i="31"/>
  <c r="B191" i="31"/>
  <c r="B193" i="31"/>
  <c r="G193" i="31"/>
  <c r="P1926" i="1"/>
  <c r="C1926" i="1"/>
  <c r="L1926" i="1"/>
  <c r="E147" i="33"/>
  <c r="G147" i="33"/>
  <c r="H1983" i="1"/>
  <c r="P1913" i="1"/>
  <c r="C1913" i="1"/>
  <c r="L1913" i="1"/>
  <c r="G192" i="31"/>
  <c r="G189" i="31"/>
  <c r="B189" i="31"/>
  <c r="P1923" i="1"/>
  <c r="C1923" i="1"/>
  <c r="L1923" i="1"/>
  <c r="B142" i="33"/>
  <c r="G142" i="33"/>
  <c r="P1936" i="1"/>
  <c r="C1936" i="1"/>
  <c r="L1936" i="1"/>
  <c r="P1916" i="1"/>
  <c r="C1916" i="1"/>
  <c r="L1916" i="1"/>
  <c r="H2003" i="1"/>
  <c r="P2003" i="1"/>
  <c r="C2003" i="1"/>
  <c r="G2004" i="1"/>
  <c r="G2000" i="1"/>
  <c r="G2142" i="1"/>
  <c r="G2146" i="1"/>
  <c r="P1917" i="1"/>
  <c r="C1917" i="1"/>
  <c r="L1917" i="1"/>
  <c r="G69" i="34"/>
  <c r="B69" i="34"/>
  <c r="G190" i="31"/>
  <c r="G108" i="31"/>
  <c r="H1676" i="1"/>
  <c r="P1676" i="1"/>
  <c r="C1676" i="1"/>
  <c r="I1676" i="1"/>
  <c r="P1924" i="1"/>
  <c r="C1924" i="1"/>
  <c r="L1924" i="1"/>
  <c r="P1935" i="1"/>
  <c r="C1935" i="1"/>
  <c r="L1935" i="1"/>
  <c r="G79" i="33"/>
  <c r="B79" i="33"/>
  <c r="E133" i="35"/>
  <c r="G133" i="35" s="1"/>
  <c r="H2088" i="1"/>
  <c r="P2088" i="1"/>
  <c r="C2088" i="1"/>
  <c r="N2088" i="1"/>
  <c r="H1985" i="1"/>
  <c r="E149" i="33"/>
  <c r="G149" i="33"/>
  <c r="P1928" i="1"/>
  <c r="C1928" i="1"/>
  <c r="L1928" i="1"/>
  <c r="E91" i="33"/>
  <c r="G91" i="33"/>
  <c r="K1925" i="1"/>
  <c r="G1911" i="1"/>
  <c r="H1925" i="1"/>
  <c r="L1976" i="1"/>
  <c r="P1976" i="1"/>
  <c r="C1976" i="1"/>
  <c r="G78" i="33"/>
  <c r="B78" i="33"/>
  <c r="P1912" i="1"/>
  <c r="C1912" i="1"/>
  <c r="L1912" i="1"/>
  <c r="P2116" i="1"/>
  <c r="C2116" i="1"/>
  <c r="M2116" i="1"/>
  <c r="P1984" i="1"/>
  <c r="C1984" i="1"/>
  <c r="L1984" i="1"/>
  <c r="E132" i="35"/>
  <c r="G132" i="35"/>
  <c r="B87" i="35"/>
  <c r="B104" i="35"/>
  <c r="C366" i="1"/>
  <c r="H443" i="1"/>
  <c r="C443" i="1"/>
  <c r="H435" i="1"/>
  <c r="C435" i="1"/>
  <c r="H442" i="1"/>
  <c r="C442" i="1"/>
  <c r="H434" i="1"/>
  <c r="C434" i="1"/>
  <c r="H786" i="1"/>
  <c r="H790" i="1"/>
  <c r="B111" i="35"/>
  <c r="H788" i="1"/>
  <c r="H163" i="23"/>
  <c r="A163" i="23"/>
  <c r="G166" i="23"/>
  <c r="H166" i="23"/>
  <c r="A166" i="23"/>
  <c r="H156" i="23"/>
  <c r="A156" i="23"/>
  <c r="G164" i="23"/>
  <c r="H164" i="23"/>
  <c r="A164" i="23"/>
  <c r="G1423" i="23"/>
  <c r="G150" i="23"/>
  <c r="H150" i="23"/>
  <c r="A150" i="23"/>
  <c r="H139" i="23"/>
  <c r="A139" i="23"/>
  <c r="G170" i="23"/>
  <c r="H169" i="23"/>
  <c r="A169" i="23"/>
  <c r="H143" i="23"/>
  <c r="A143" i="23"/>
  <c r="H142" i="23"/>
  <c r="A142" i="23"/>
  <c r="G153" i="23"/>
  <c r="H153" i="23"/>
  <c r="A153" i="23"/>
  <c r="H152" i="23"/>
  <c r="A152" i="23"/>
  <c r="C370" i="1"/>
  <c r="C367" i="1"/>
  <c r="A1532" i="23"/>
  <c r="A1533" i="23"/>
  <c r="J73" i="74"/>
  <c r="A1555" i="23"/>
  <c r="A1556" i="23"/>
  <c r="A1433" i="23"/>
  <c r="A1434" i="23"/>
  <c r="J70" i="74"/>
  <c r="A1410" i="23"/>
  <c r="A1411" i="23"/>
  <c r="J67" i="74"/>
  <c r="J74" i="74"/>
  <c r="A1426" i="23"/>
  <c r="A1427" i="23"/>
  <c r="J69" i="74"/>
  <c r="D173" i="115"/>
  <c r="H1384" i="23"/>
  <c r="A1382" i="23"/>
  <c r="A1385" i="23"/>
  <c r="H1557" i="23"/>
  <c r="A1557" i="23"/>
  <c r="G1578" i="23"/>
  <c r="H1578" i="23"/>
  <c r="A1578" i="23"/>
  <c r="G2616" i="23"/>
  <c r="C896" i="23"/>
  <c r="G1420" i="23"/>
  <c r="H1420" i="23"/>
  <c r="H1419" i="23"/>
  <c r="H1421" i="23"/>
  <c r="A1421" i="23"/>
  <c r="G1425" i="23"/>
  <c r="H1425" i="23"/>
  <c r="A1425" i="23"/>
  <c r="H1423" i="23"/>
  <c r="A1423" i="23"/>
  <c r="G1539" i="23"/>
  <c r="H1539" i="23"/>
  <c r="A1539" i="23"/>
  <c r="H1538" i="23"/>
  <c r="A1538" i="23"/>
  <c r="G1530" i="23"/>
  <c r="H1530" i="23"/>
  <c r="A1530" i="23"/>
  <c r="H1522" i="23"/>
  <c r="A1522" i="23"/>
  <c r="C1383" i="23"/>
  <c r="H1383" i="23"/>
  <c r="G1562" i="23"/>
  <c r="H1562" i="23"/>
  <c r="A1562" i="23"/>
  <c r="H1560" i="23"/>
  <c r="A1560" i="23"/>
  <c r="G966" i="23"/>
  <c r="H966" i="23"/>
  <c r="A966" i="23"/>
  <c r="H66" i="74"/>
  <c r="H406" i="23"/>
  <c r="A406" i="23"/>
  <c r="G1775" i="23"/>
  <c r="H65" i="74"/>
  <c r="G66" i="74"/>
  <c r="C1837" i="23"/>
  <c r="C1838" i="23"/>
  <c r="C1839" i="23"/>
  <c r="C1840" i="23"/>
  <c r="H1794" i="1"/>
  <c r="P1794" i="1"/>
  <c r="C1794" i="1"/>
  <c r="H844" i="1"/>
  <c r="C1549" i="1"/>
  <c r="P1177" i="1"/>
  <c r="A402" i="23"/>
  <c r="A389" i="23"/>
  <c r="A388" i="23"/>
  <c r="A382" i="23"/>
  <c r="A421" i="23"/>
  <c r="A407" i="23"/>
  <c r="A443" i="23"/>
  <c r="P14" i="78"/>
  <c r="A428" i="23"/>
  <c r="A437" i="23"/>
  <c r="C374" i="23"/>
  <c r="A401" i="23"/>
  <c r="A403" i="23"/>
  <c r="A418" i="23"/>
  <c r="A413" i="23"/>
  <c r="A419" i="23"/>
  <c r="P17" i="78"/>
  <c r="A386" i="23"/>
  <c r="A417" i="23"/>
  <c r="A432" i="23"/>
  <c r="A430" i="23"/>
  <c r="A405" i="23"/>
  <c r="A373" i="23"/>
  <c r="A400" i="23"/>
  <c r="A420" i="23"/>
  <c r="A412" i="23"/>
  <c r="P15" i="78"/>
  <c r="P7" i="78"/>
  <c r="P10" i="78"/>
  <c r="C2048" i="1"/>
  <c r="G100" i="42"/>
  <c r="D64" i="115"/>
  <c r="C64" i="115" s="1"/>
  <c r="F7" i="107"/>
  <c r="D113" i="115" s="1"/>
  <c r="C748" i="1"/>
  <c r="B20" i="42"/>
  <c r="G963" i="23"/>
  <c r="H963" i="23"/>
  <c r="A963" i="23"/>
  <c r="H789" i="1"/>
  <c r="A399" i="23"/>
  <c r="A370" i="23"/>
  <c r="A425" i="23"/>
  <c r="A427" i="23"/>
  <c r="A410" i="23"/>
  <c r="C2490" i="23"/>
  <c r="C2492" i="23"/>
  <c r="C2493" i="23"/>
  <c r="C2494" i="23"/>
  <c r="C2299" i="23"/>
  <c r="C2300" i="23"/>
  <c r="C2301" i="23"/>
  <c r="C2303" i="23"/>
  <c r="G2233" i="23"/>
  <c r="C2072" i="23"/>
  <c r="C2073" i="23"/>
  <c r="C2074" i="23"/>
  <c r="C2075" i="23"/>
  <c r="C2076" i="23"/>
  <c r="C2077" i="23"/>
  <c r="C2078" i="23"/>
  <c r="G667" i="23"/>
  <c r="G666" i="23"/>
  <c r="G1798" i="23"/>
  <c r="G1799" i="23"/>
  <c r="G1800" i="23"/>
  <c r="G2337" i="23"/>
  <c r="G2053" i="23"/>
  <c r="A1064" i="23"/>
  <c r="G1527" i="23"/>
  <c r="H1527" i="23"/>
  <c r="A1527" i="23"/>
  <c r="C1384" i="23"/>
  <c r="C1385" i="23"/>
  <c r="C1386" i="23"/>
  <c r="C1387" i="23"/>
  <c r="C1388" i="23"/>
  <c r="C1389" i="23"/>
  <c r="H398" i="23"/>
  <c r="G404" i="23"/>
  <c r="H404" i="23"/>
  <c r="G831" i="23"/>
  <c r="G832" i="23"/>
  <c r="C1136" i="23"/>
  <c r="C1137" i="23"/>
  <c r="C1138" i="23"/>
  <c r="C1139" i="23"/>
  <c r="C1140" i="23"/>
  <c r="C1141" i="23"/>
  <c r="P1952" i="1"/>
  <c r="L1952" i="1"/>
  <c r="B88" i="33"/>
  <c r="G921" i="23"/>
  <c r="H921" i="23"/>
  <c r="A921" i="23"/>
  <c r="G631" i="23"/>
  <c r="G65" i="74"/>
  <c r="G422" i="23"/>
  <c r="H422" i="23"/>
  <c r="H416" i="23"/>
  <c r="H439" i="23"/>
  <c r="A439" i="23"/>
  <c r="H438" i="23"/>
  <c r="A438" i="23"/>
  <c r="G375" i="23"/>
  <c r="H375" i="23"/>
  <c r="A375" i="23"/>
  <c r="H374" i="23"/>
  <c r="A374" i="23"/>
  <c r="B62" i="42"/>
  <c r="G62" i="74"/>
  <c r="A909" i="23"/>
  <c r="G2033" i="23"/>
  <c r="E14" i="78"/>
  <c r="O14" i="78" s="1"/>
  <c r="H952" i="23"/>
  <c r="A952" i="23"/>
  <c r="A953" i="23"/>
  <c r="E72" i="78"/>
  <c r="B135" i="42"/>
  <c r="P342" i="1"/>
  <c r="C342" i="1" s="1"/>
  <c r="E83" i="78"/>
  <c r="E79" i="26" s="1"/>
  <c r="C339" i="1"/>
  <c r="C355" i="1"/>
  <c r="P341" i="1"/>
  <c r="C341" i="1" s="1"/>
  <c r="E82" i="78"/>
  <c r="E78" i="26" s="1"/>
  <c r="P346" i="1"/>
  <c r="C346" i="1"/>
  <c r="E10" i="78"/>
  <c r="D7" i="79" s="1"/>
  <c r="G7" i="79" s="1"/>
  <c r="E15" i="78"/>
  <c r="E11" i="26" s="1"/>
  <c r="E11" i="78"/>
  <c r="F7" i="111" s="1"/>
  <c r="I7" i="111" s="1"/>
  <c r="E16" i="78"/>
  <c r="F4" i="107"/>
  <c r="D110" i="115" s="1"/>
  <c r="C110" i="115" s="1"/>
  <c r="G2061" i="23"/>
  <c r="H784" i="1"/>
  <c r="H787" i="1"/>
  <c r="B95" i="42"/>
  <c r="H840" i="1"/>
  <c r="H842" i="1"/>
  <c r="H958" i="23"/>
  <c r="G2045" i="23"/>
  <c r="G2056" i="23"/>
  <c r="G2047" i="23"/>
  <c r="A984" i="23"/>
  <c r="A985" i="23"/>
  <c r="A930" i="23"/>
  <c r="A931" i="23"/>
  <c r="H62" i="74"/>
  <c r="A1016" i="23"/>
  <c r="A1017" i="23"/>
  <c r="G74" i="74"/>
  <c r="H74" i="74"/>
  <c r="G76" i="74"/>
  <c r="H76" i="74"/>
  <c r="A1071" i="23"/>
  <c r="A1072" i="23"/>
  <c r="A945" i="23"/>
  <c r="A946" i="23"/>
  <c r="A961" i="23"/>
  <c r="A1073" i="23"/>
  <c r="E63" i="78"/>
  <c r="O63" i="78" s="1"/>
  <c r="A1096" i="23"/>
  <c r="E77" i="78"/>
  <c r="A948" i="23"/>
  <c r="A1018" i="23"/>
  <c r="E22" i="78"/>
  <c r="A990" i="23"/>
  <c r="A933" i="23"/>
  <c r="E53" i="78"/>
  <c r="A1082" i="23"/>
  <c r="E68" i="78"/>
  <c r="A1081" i="23"/>
  <c r="E67" i="78"/>
  <c r="O67" i="78" s="1"/>
  <c r="A955" i="23"/>
  <c r="A986" i="23"/>
  <c r="E21" i="78"/>
  <c r="A1021" i="23"/>
  <c r="E61" i="78"/>
  <c r="O61" i="78" s="1"/>
  <c r="A1022" i="23"/>
  <c r="E62" i="78"/>
  <c r="A1019" i="23"/>
  <c r="E57" i="78"/>
  <c r="A947" i="23"/>
  <c r="A949" i="23"/>
  <c r="A936" i="23"/>
  <c r="A937" i="23"/>
  <c r="C663" i="23"/>
  <c r="C668" i="23"/>
  <c r="C677" i="23"/>
  <c r="C696" i="23"/>
  <c r="G2042" i="23"/>
  <c r="G2049" i="23"/>
  <c r="G2055" i="23"/>
  <c r="G2052" i="23"/>
  <c r="G2050" i="23"/>
  <c r="G2051" i="23"/>
  <c r="G2039" i="23"/>
  <c r="G2040" i="23"/>
  <c r="G2041" i="23"/>
  <c r="A903" i="23"/>
  <c r="A988" i="23"/>
  <c r="E23" i="78"/>
  <c r="A904" i="23"/>
  <c r="E51" i="78"/>
  <c r="D47" i="79" s="1"/>
  <c r="A1084" i="23"/>
  <c r="E70" i="78"/>
  <c r="E64" i="26" s="1"/>
  <c r="A1083" i="23"/>
  <c r="E69" i="78"/>
  <c r="A954" i="23"/>
  <c r="E58" i="78"/>
  <c r="D54" i="79" s="1"/>
  <c r="A991" i="23"/>
  <c r="E60" i="78"/>
  <c r="D56" i="79" s="1"/>
  <c r="A1058" i="23"/>
  <c r="E48" i="78"/>
  <c r="D44" i="79" s="1"/>
  <c r="P839" i="1"/>
  <c r="E19" i="78"/>
  <c r="O19" i="78" s="1"/>
  <c r="B50" i="42"/>
  <c r="B32" i="42"/>
  <c r="G67" i="42"/>
  <c r="G2341" i="23"/>
  <c r="G2340" i="23"/>
  <c r="G2339" i="23"/>
  <c r="G2338" i="23"/>
  <c r="G1789" i="23"/>
  <c r="G1785" i="23"/>
  <c r="G962" i="23"/>
  <c r="H962" i="23"/>
  <c r="G965" i="23"/>
  <c r="H965" i="23"/>
  <c r="A965" i="23"/>
  <c r="G960" i="23"/>
  <c r="H960" i="23"/>
  <c r="G924" i="23"/>
  <c r="H924" i="23"/>
  <c r="A924" i="23"/>
  <c r="C920" i="23"/>
  <c r="C930" i="23"/>
  <c r="C938" i="23"/>
  <c r="C945" i="23"/>
  <c r="H1065" i="23"/>
  <c r="G1067" i="23"/>
  <c r="H1067" i="23"/>
  <c r="A1067" i="23"/>
  <c r="G2054" i="23"/>
  <c r="G2057" i="23"/>
  <c r="G2048" i="23"/>
  <c r="C2036" i="23"/>
  <c r="G2062" i="23"/>
  <c r="G2038" i="23"/>
  <c r="G2043" i="23"/>
  <c r="G2044" i="23"/>
  <c r="G2060" i="23"/>
  <c r="G2058" i="23"/>
  <c r="G2046" i="23"/>
  <c r="H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G1401" i="23"/>
  <c r="G1404" i="23"/>
  <c r="H1404" i="23"/>
  <c r="A1404" i="23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G1403" i="23"/>
  <c r="H1403" i="23"/>
  <c r="A1403" i="23"/>
  <c r="G2330" i="23"/>
  <c r="G2331" i="23"/>
  <c r="G2334" i="23"/>
  <c r="G2332" i="23"/>
  <c r="G2333" i="23"/>
  <c r="G1395" i="23"/>
  <c r="H1395" i="23"/>
  <c r="A1395" i="23"/>
  <c r="G1394" i="23"/>
  <c r="H1394" i="23"/>
  <c r="A1394" i="23"/>
  <c r="G2348" i="23"/>
  <c r="G2347" i="23"/>
  <c r="G2346" i="23"/>
  <c r="G2344" i="23"/>
  <c r="G2345" i="23"/>
  <c r="C1721" i="1"/>
  <c r="G1857" i="23"/>
  <c r="G1858" i="23"/>
  <c r="G1076" i="23"/>
  <c r="H1097" i="23"/>
  <c r="H1075" i="23"/>
  <c r="G1030" i="23"/>
  <c r="H1030" i="23"/>
  <c r="A1030" i="23"/>
  <c r="H1025" i="23"/>
  <c r="A1025" i="23"/>
  <c r="C905" i="23"/>
  <c r="C906" i="23"/>
  <c r="C907" i="23"/>
  <c r="C908" i="23"/>
  <c r="C909" i="23"/>
  <c r="H905" i="23"/>
  <c r="H993" i="23"/>
  <c r="A993" i="23"/>
  <c r="H992" i="23"/>
  <c r="A992" i="23"/>
  <c r="G1398" i="23"/>
  <c r="H1398" i="23"/>
  <c r="A1398" i="23"/>
  <c r="G1399" i="23"/>
  <c r="H1399" i="23"/>
  <c r="A1399" i="23"/>
  <c r="G1409" i="23"/>
  <c r="H1409" i="23"/>
  <c r="A1409" i="23"/>
  <c r="C1405" i="23"/>
  <c r="G1406" i="23"/>
  <c r="H1406" i="23"/>
  <c r="A1406" i="23"/>
  <c r="G2311" i="23"/>
  <c r="G2312" i="23"/>
  <c r="G2316" i="23"/>
  <c r="G2319" i="23"/>
  <c r="C2315" i="23"/>
  <c r="C2320" i="2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517" i="23"/>
  <c r="H1517" i="23"/>
  <c r="A1517" i="23"/>
  <c r="G1512" i="23"/>
  <c r="H1512" i="23"/>
  <c r="A1512" i="23"/>
  <c r="G1515" i="23"/>
  <c r="H1515" i="23"/>
  <c r="A1515" i="23"/>
  <c r="G1513" i="23"/>
  <c r="H1513" i="23"/>
  <c r="A1513" i="23"/>
  <c r="G1511" i="23"/>
  <c r="H1511" i="23"/>
  <c r="A1511" i="23"/>
  <c r="G1514" i="23"/>
  <c r="H1514" i="23"/>
  <c r="A1514" i="23"/>
  <c r="G2408" i="23"/>
  <c r="G2402" i="23"/>
  <c r="G2406" i="23"/>
  <c r="G2405" i="23"/>
  <c r="G2407" i="23"/>
  <c r="G2403" i="23"/>
  <c r="G2404" i="23"/>
  <c r="G2418" i="23"/>
  <c r="G2417" i="23"/>
  <c r="G2382" i="23"/>
  <c r="E2379" i="23"/>
  <c r="G1547" i="23"/>
  <c r="H1547" i="23"/>
  <c r="A1547" i="23"/>
  <c r="G1548" i="23"/>
  <c r="H1548" i="23"/>
  <c r="A1548" i="23"/>
  <c r="G1521" i="23"/>
  <c r="G1528" i="23"/>
  <c r="H1528" i="23"/>
  <c r="A1528" i="23"/>
  <c r="C1782" i="23"/>
  <c r="G1813" i="23"/>
  <c r="G2214" i="23"/>
  <c r="G1790" i="23"/>
  <c r="G1791" i="23"/>
  <c r="G1784" i="23"/>
  <c r="G1786" i="23"/>
  <c r="G1787" i="23"/>
  <c r="G1795" i="23"/>
  <c r="C1185" i="23"/>
  <c r="C1194" i="23"/>
  <c r="C1201" i="23"/>
  <c r="C1210" i="23"/>
  <c r="C1218" i="23"/>
  <c r="C1227" i="23"/>
  <c r="C1242" i="23"/>
  <c r="C1248" i="23"/>
  <c r="C1254" i="23"/>
  <c r="C1260" i="23"/>
  <c r="C1270" i="23"/>
  <c r="C1279" i="23"/>
  <c r="C1293" i="23"/>
  <c r="C1315" i="23"/>
  <c r="C1325" i="23"/>
  <c r="C1351" i="23"/>
  <c r="G1192" i="23"/>
  <c r="H1192" i="23"/>
  <c r="A1192" i="23"/>
  <c r="G1193" i="23"/>
  <c r="H1193" i="23"/>
  <c r="A1193" i="23"/>
  <c r="G914" i="23"/>
  <c r="H914" i="23"/>
  <c r="A914" i="23"/>
  <c r="G915" i="23"/>
  <c r="H915" i="23"/>
  <c r="A915" i="23"/>
  <c r="G1631" i="23"/>
  <c r="G1630" i="23"/>
  <c r="G1638" i="23"/>
  <c r="C1637" i="23"/>
  <c r="G1641" i="23"/>
  <c r="G2208" i="23"/>
  <c r="G2216" i="23"/>
  <c r="G2215" i="23"/>
  <c r="G941" i="23"/>
  <c r="H941" i="23"/>
  <c r="A941" i="23"/>
  <c r="G940" i="23"/>
  <c r="H940" i="23"/>
  <c r="A940" i="23"/>
  <c r="G942" i="23"/>
  <c r="G944" i="23"/>
  <c r="H944" i="23"/>
  <c r="A944" i="23"/>
  <c r="G2199" i="23"/>
  <c r="G2200" i="23"/>
  <c r="G2198" i="23"/>
  <c r="C2196" i="23"/>
  <c r="C2205" i="23"/>
  <c r="C2219" i="23"/>
  <c r="C2234" i="23"/>
  <c r="C2240" i="23"/>
  <c r="C2265" i="23"/>
  <c r="G2202" i="23"/>
  <c r="G2201" i="23"/>
  <c r="G2204" i="23"/>
  <c r="G1045" i="23"/>
  <c r="G1052" i="23"/>
  <c r="H1052" i="23"/>
  <c r="A1052" i="23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G2504" i="23"/>
  <c r="G2507" i="23"/>
  <c r="B188" i="31"/>
  <c r="G188" i="31"/>
  <c r="H845" i="1"/>
  <c r="H843" i="1"/>
  <c r="B97" i="42"/>
  <c r="B34" i="42"/>
  <c r="B108" i="42"/>
  <c r="B61" i="42"/>
  <c r="B43" i="42"/>
  <c r="G28" i="42"/>
  <c r="B107" i="42"/>
  <c r="C1735" i="1"/>
  <c r="C1734" i="1"/>
  <c r="C1720" i="1"/>
  <c r="C359" i="1"/>
  <c r="P783" i="1"/>
  <c r="C357" i="1"/>
  <c r="C927" i="1"/>
  <c r="G927" i="23"/>
  <c r="H927" i="23"/>
  <c r="A927" i="23"/>
  <c r="G928" i="23"/>
  <c r="H928" i="23"/>
  <c r="A928" i="23"/>
  <c r="G74" i="42"/>
  <c r="B74" i="42"/>
  <c r="G77" i="42"/>
  <c r="B77" i="42"/>
  <c r="B122" i="42"/>
  <c r="G122" i="42"/>
  <c r="E31" i="31"/>
  <c r="B31" i="31" s="1"/>
  <c r="E21" i="31"/>
  <c r="E26" i="31"/>
  <c r="P2206" i="1"/>
  <c r="E22" i="31"/>
  <c r="B110" i="31"/>
  <c r="G110" i="31"/>
  <c r="P2211" i="1"/>
  <c r="C2211" i="1"/>
  <c r="E32" i="31"/>
  <c r="E29" i="31"/>
  <c r="B29" i="31" s="1"/>
  <c r="E14" i="31"/>
  <c r="B14" i="31" s="1"/>
  <c r="E23" i="31"/>
  <c r="B23" i="31" s="1"/>
  <c r="E19" i="31"/>
  <c r="E27" i="31"/>
  <c r="E15" i="31"/>
  <c r="G15" i="31" s="1"/>
  <c r="J954" i="1"/>
  <c r="J958" i="1" s="1"/>
  <c r="P2207" i="1"/>
  <c r="G8" i="114"/>
  <c r="D8" i="114" s="1"/>
  <c r="C242" i="115" s="1"/>
  <c r="E20" i="31"/>
  <c r="B20" i="31" s="1"/>
  <c r="E25" i="31"/>
  <c r="G25" i="31" s="1"/>
  <c r="B97" i="31"/>
  <c r="B106" i="31"/>
  <c r="G97" i="31"/>
  <c r="B179" i="31"/>
  <c r="G179" i="31"/>
  <c r="E17" i="31"/>
  <c r="B17" i="31" s="1"/>
  <c r="E18" i="31"/>
  <c r="B18" i="31" s="1"/>
  <c r="E13" i="31"/>
  <c r="G13" i="31" s="1"/>
  <c r="E9" i="31"/>
  <c r="E10" i="31"/>
  <c r="G10" i="31" s="1"/>
  <c r="E8" i="31"/>
  <c r="G8" i="31" s="1"/>
  <c r="E7" i="31"/>
  <c r="B7" i="31" s="1"/>
  <c r="E75" i="31"/>
  <c r="G85" i="34"/>
  <c r="E49" i="31"/>
  <c r="E11" i="31"/>
  <c r="G11" i="31" s="1"/>
  <c r="E28" i="31"/>
  <c r="B28" i="31" s="1"/>
  <c r="E24" i="31"/>
  <c r="E30" i="31"/>
  <c r="G30" i="31" s="1"/>
  <c r="E12" i="31"/>
  <c r="G12" i="31" s="1"/>
  <c r="E16" i="31"/>
  <c r="P2133" i="1"/>
  <c r="M2133" i="1"/>
  <c r="C2114" i="1"/>
  <c r="G1455" i="1"/>
  <c r="C2029" i="1"/>
  <c r="P2045" i="1"/>
  <c r="D208" i="115"/>
  <c r="P2086" i="1"/>
  <c r="C2086" i="1"/>
  <c r="P2009" i="1"/>
  <c r="C2009" i="1"/>
  <c r="P2044" i="1"/>
  <c r="D207" i="115"/>
  <c r="P2066" i="1"/>
  <c r="C2066" i="1"/>
  <c r="P2065" i="1"/>
  <c r="C2065" i="1"/>
  <c r="P1482" i="1"/>
  <c r="D190" i="115"/>
  <c r="P1536" i="1"/>
  <c r="C1536" i="1"/>
  <c r="C2033" i="1"/>
  <c r="P2087" i="1"/>
  <c r="C2087" i="1"/>
  <c r="P1541" i="1"/>
  <c r="C1541" i="1"/>
  <c r="P1540" i="1"/>
  <c r="C1540" i="1"/>
  <c r="P1493" i="1"/>
  <c r="D193" i="115"/>
  <c r="P1489" i="1"/>
  <c r="J48" i="109"/>
  <c r="P1477" i="1"/>
  <c r="P1473" i="1"/>
  <c r="D188" i="115"/>
  <c r="P1470" i="1"/>
  <c r="P2319" i="1"/>
  <c r="P2309" i="1"/>
  <c r="P2293" i="1"/>
  <c r="P2295" i="1"/>
  <c r="P2307" i="1"/>
  <c r="P2320" i="1"/>
  <c r="P2321" i="1"/>
  <c r="M2122" i="1"/>
  <c r="C2122" i="1"/>
  <c r="L2298" i="1"/>
  <c r="L2292" i="1"/>
  <c r="L2283" i="1"/>
  <c r="L2313" i="1"/>
  <c r="L2300" i="1"/>
  <c r="L2301" i="1"/>
  <c r="L2288" i="1"/>
  <c r="L2316" i="1"/>
  <c r="L2294" i="1"/>
  <c r="L2304" i="1"/>
  <c r="L2290" i="1"/>
  <c r="L2297" i="1"/>
  <c r="L2299" i="1"/>
  <c r="L2303" i="1"/>
  <c r="L2305" i="1"/>
  <c r="L2317" i="1"/>
  <c r="L2302" i="1"/>
  <c r="L2318" i="1"/>
  <c r="L2306" i="1"/>
  <c r="L2286" i="1"/>
  <c r="L2289" i="1"/>
  <c r="L2311" i="1"/>
  <c r="L2314" i="1"/>
  <c r="L2315" i="1"/>
  <c r="L2308" i="1"/>
  <c r="L2284" i="1"/>
  <c r="L2285" i="1"/>
  <c r="L2287" i="1"/>
  <c r="L2291" i="1"/>
  <c r="L2312" i="1"/>
  <c r="H738" i="1"/>
  <c r="H739" i="1"/>
  <c r="G1758" i="23"/>
  <c r="G1572" i="23"/>
  <c r="H1572" i="23"/>
  <c r="A1572" i="23"/>
  <c r="G211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G2247" i="23"/>
  <c r="G2262" i="23"/>
  <c r="G500" i="23"/>
  <c r="G1160" i="23"/>
  <c r="H1160" i="23"/>
  <c r="A1160" i="23"/>
  <c r="G1159" i="23"/>
  <c r="H1159" i="23"/>
  <c r="A1159" i="23"/>
  <c r="C453" i="23"/>
  <c r="C454" i="23"/>
  <c r="C455" i="23"/>
  <c r="C456" i="23"/>
  <c r="C457" i="23"/>
  <c r="C458" i="23"/>
  <c r="G9" i="114"/>
  <c r="D9" i="114" s="1"/>
  <c r="C243" i="115" s="1"/>
  <c r="H740" i="1"/>
  <c r="H932" i="1"/>
  <c r="E58" i="34"/>
  <c r="G58" i="34" s="1"/>
  <c r="E57" i="34"/>
  <c r="G57" i="34" s="1"/>
  <c r="E35" i="31"/>
  <c r="G35" i="31" s="1"/>
  <c r="E36" i="31"/>
  <c r="E37" i="31"/>
  <c r="B37" i="31" s="1"/>
  <c r="E42" i="31"/>
  <c r="G42" i="31" s="1"/>
  <c r="E40" i="31"/>
  <c r="B40" i="31" s="1"/>
  <c r="E41" i="31"/>
  <c r="E47" i="31"/>
  <c r="B47" i="31" s="1"/>
  <c r="E60" i="31"/>
  <c r="G60" i="31" s="1"/>
  <c r="E62" i="31"/>
  <c r="B62" i="31" s="1"/>
  <c r="E63" i="31"/>
  <c r="B63" i="31" s="1"/>
  <c r="E64" i="31"/>
  <c r="G64" i="31" s="1"/>
  <c r="E68" i="31"/>
  <c r="B68" i="31" s="1"/>
  <c r="E49" i="34"/>
  <c r="B49" i="34" s="1"/>
  <c r="E50" i="34"/>
  <c r="B50" i="34" s="1"/>
  <c r="E70" i="31"/>
  <c r="B70" i="31" s="1"/>
  <c r="E71" i="31"/>
  <c r="G71" i="31" s="1"/>
  <c r="E74" i="31"/>
  <c r="B74" i="31" s="1"/>
  <c r="E76" i="31"/>
  <c r="E77" i="31"/>
  <c r="G77" i="31" s="1"/>
  <c r="E79" i="31"/>
  <c r="B79" i="31" s="1"/>
  <c r="E84" i="31"/>
  <c r="G84" i="31" s="1"/>
  <c r="E82" i="31"/>
  <c r="G82" i="31" s="1"/>
  <c r="E89" i="31"/>
  <c r="E87" i="31"/>
  <c r="E83" i="31"/>
  <c r="B83" i="31" s="1"/>
  <c r="E81" i="31"/>
  <c r="B81" i="31" s="1"/>
  <c r="E86" i="31"/>
  <c r="E90" i="31"/>
  <c r="E85" i="31"/>
  <c r="B85" i="31" s="1"/>
  <c r="E88" i="31"/>
  <c r="B88" i="31" s="1"/>
  <c r="G178" i="31"/>
  <c r="B178" i="31"/>
  <c r="E182" i="31"/>
  <c r="H1545" i="1"/>
  <c r="J1545" i="1"/>
  <c r="B177" i="31"/>
  <c r="G177" i="31"/>
  <c r="E137" i="31"/>
  <c r="H1494" i="1"/>
  <c r="J1494" i="1"/>
  <c r="J1495" i="1"/>
  <c r="H1495" i="1"/>
  <c r="H1496" i="1"/>
  <c r="J1496" i="1"/>
  <c r="G132" i="31"/>
  <c r="B132" i="31"/>
  <c r="J1491" i="1"/>
  <c r="H1491" i="1"/>
  <c r="J1490" i="1"/>
  <c r="H1490" i="1"/>
  <c r="H1492" i="1"/>
  <c r="J1492" i="1"/>
  <c r="J1487" i="1"/>
  <c r="H1487" i="1"/>
  <c r="P1487" i="1"/>
  <c r="H1488" i="1"/>
  <c r="P1488" i="1"/>
  <c r="J1488" i="1"/>
  <c r="H1481" i="1"/>
  <c r="J1481" i="1"/>
  <c r="J1478" i="1"/>
  <c r="H1478" i="1"/>
  <c r="J1479" i="1"/>
  <c r="H1479" i="1"/>
  <c r="H1475" i="1"/>
  <c r="J1475" i="1"/>
  <c r="J1476" i="1"/>
  <c r="H1476" i="1"/>
  <c r="J1474" i="1"/>
  <c r="H1474" i="1"/>
  <c r="H1472" i="1"/>
  <c r="J1472" i="1"/>
  <c r="G113" i="31"/>
  <c r="H1471" i="1"/>
  <c r="J1471" i="1"/>
  <c r="B197" i="31"/>
  <c r="G197" i="31"/>
  <c r="P2204" i="1"/>
  <c r="J2204" i="1"/>
  <c r="E50" i="35"/>
  <c r="G50" i="35" s="1"/>
  <c r="B106" i="35"/>
  <c r="E59" i="35"/>
  <c r="G59" i="35" s="1"/>
  <c r="E58" i="35"/>
  <c r="G58" i="35" s="1"/>
  <c r="E57" i="35"/>
  <c r="B57" i="35" s="1"/>
  <c r="E56" i="35"/>
  <c r="B56" i="35" s="1"/>
  <c r="E55" i="35"/>
  <c r="B55" i="35" s="1"/>
  <c r="E54" i="35"/>
  <c r="E53" i="35"/>
  <c r="E52" i="35"/>
  <c r="B52" i="35" s="1"/>
  <c r="E51" i="35"/>
  <c r="B51" i="35" s="1"/>
  <c r="E49" i="35"/>
  <c r="G49" i="35" s="1"/>
  <c r="E38" i="35"/>
  <c r="B38" i="35" s="1"/>
  <c r="E35" i="35"/>
  <c r="B35" i="35" s="1"/>
  <c r="E34" i="35"/>
  <c r="G34" i="35" s="1"/>
  <c r="E33" i="35"/>
  <c r="B33" i="35" s="1"/>
  <c r="E32" i="35"/>
  <c r="E31" i="35"/>
  <c r="G31" i="35" s="1"/>
  <c r="E30" i="35"/>
  <c r="G30" i="35" s="1"/>
  <c r="E29" i="35"/>
  <c r="B29" i="35" s="1"/>
  <c r="E28" i="35"/>
  <c r="B28" i="35" s="1"/>
  <c r="E27" i="35"/>
  <c r="G27" i="35" s="1"/>
  <c r="E26" i="35"/>
  <c r="E25" i="35"/>
  <c r="B25" i="35" s="1"/>
  <c r="B53" i="31"/>
  <c r="G57" i="31"/>
  <c r="B57" i="31"/>
  <c r="H928" i="1"/>
  <c r="H930" i="1"/>
  <c r="H931" i="1"/>
  <c r="H929" i="1"/>
  <c r="B61" i="31"/>
  <c r="B65" i="31"/>
  <c r="G65" i="31"/>
  <c r="G69" i="31"/>
  <c r="J1483" i="1"/>
  <c r="H1483" i="1"/>
  <c r="H1484" i="1"/>
  <c r="J1484" i="1"/>
  <c r="J1485" i="1"/>
  <c r="H1485" i="1"/>
  <c r="B125" i="31"/>
  <c r="G172" i="31"/>
  <c r="G173" i="31"/>
  <c r="B173" i="31"/>
  <c r="E84" i="34"/>
  <c r="G2141" i="1"/>
  <c r="H2132" i="1"/>
  <c r="P2132" i="1"/>
  <c r="B46" i="34"/>
  <c r="G2143" i="1"/>
  <c r="B75" i="34"/>
  <c r="G75" i="34"/>
  <c r="G334" i="23"/>
  <c r="G332" i="23"/>
  <c r="G335" i="23"/>
  <c r="G333" i="23"/>
  <c r="G323" i="23"/>
  <c r="G326" i="23"/>
  <c r="G328" i="23"/>
  <c r="G324" i="23"/>
  <c r="G322" i="23"/>
  <c r="G320" i="23"/>
  <c r="G325" i="23"/>
  <c r="G317" i="23"/>
  <c r="G11" i="113"/>
  <c r="D11" i="113"/>
  <c r="C234" i="115"/>
  <c r="G321" i="23"/>
  <c r="G318" i="23"/>
  <c r="G316" i="23"/>
  <c r="G10" i="113"/>
  <c r="G319" i="23"/>
  <c r="G350" i="23"/>
  <c r="G360" i="23"/>
  <c r="G361" i="23"/>
  <c r="G302" i="23"/>
  <c r="G301" i="23"/>
  <c r="C303" i="23"/>
  <c r="C309" i="23"/>
  <c r="C314" i="23"/>
  <c r="C330" i="23"/>
  <c r="G308" i="23"/>
  <c r="G305" i="23"/>
  <c r="G306" i="23"/>
  <c r="G307" i="23"/>
  <c r="C274" i="23"/>
  <c r="C275" i="23"/>
  <c r="C276" i="23"/>
  <c r="C277" i="23"/>
  <c r="C278" i="23"/>
  <c r="G341" i="23"/>
  <c r="B84" i="35"/>
  <c r="G100" i="35"/>
  <c r="B100" i="35"/>
  <c r="B130" i="35"/>
  <c r="G130" i="35"/>
  <c r="B125" i="35"/>
  <c r="B108" i="35"/>
  <c r="B122" i="35"/>
  <c r="B85" i="35"/>
  <c r="B103" i="35"/>
  <c r="B98" i="35"/>
  <c r="G42" i="35"/>
  <c r="B42" i="35"/>
  <c r="G88" i="35"/>
  <c r="B88" i="35"/>
  <c r="B101" i="35"/>
  <c r="G101" i="35"/>
  <c r="B71" i="35"/>
  <c r="C1455" i="1"/>
  <c r="C1911" i="1"/>
  <c r="H2000" i="1"/>
  <c r="P2000" i="1"/>
  <c r="C2000" i="1"/>
  <c r="H2004" i="1"/>
  <c r="P2004" i="1"/>
  <c r="C2004" i="1"/>
  <c r="H2192" i="1"/>
  <c r="P2192" i="1"/>
  <c r="C2192" i="1"/>
  <c r="Y2192" i="1"/>
  <c r="B95" i="31"/>
  <c r="B93" i="33"/>
  <c r="B110" i="33"/>
  <c r="P1950" i="1"/>
  <c r="J20" i="109"/>
  <c r="P1182" i="1"/>
  <c r="P1180" i="1"/>
  <c r="P1178" i="1"/>
  <c r="P1183" i="1"/>
  <c r="P1179" i="1"/>
  <c r="G18" i="114"/>
  <c r="D18" i="114" s="1"/>
  <c r="H1131" i="1"/>
  <c r="J10" i="113"/>
  <c r="D10" i="113"/>
  <c r="C233" i="115"/>
  <c r="E34" i="90"/>
  <c r="J72" i="74"/>
  <c r="A1327" i="23"/>
  <c r="H1953" i="1"/>
  <c r="E119" i="33"/>
  <c r="G119" i="33"/>
  <c r="E117" i="33"/>
  <c r="G117" i="33"/>
  <c r="H1951" i="1"/>
  <c r="P1925" i="1"/>
  <c r="C1925" i="1"/>
  <c r="L1925" i="1"/>
  <c r="P1983" i="1"/>
  <c r="C1983" i="1"/>
  <c r="L1983" i="1"/>
  <c r="P1985" i="1"/>
  <c r="C1985" i="1"/>
  <c r="L1985" i="1"/>
  <c r="P1124" i="1"/>
  <c r="G923" i="23"/>
  <c r="H923" i="23"/>
  <c r="A923" i="23"/>
  <c r="G171" i="23"/>
  <c r="H171" i="23"/>
  <c r="A171" i="23"/>
  <c r="H170" i="23"/>
  <c r="A170" i="23"/>
  <c r="J14" i="109"/>
  <c r="A1419" i="23"/>
  <c r="A1420" i="23"/>
  <c r="J65" i="74"/>
  <c r="J62" i="74"/>
  <c r="A1383" i="23"/>
  <c r="J63" i="74"/>
  <c r="A1384" i="23"/>
  <c r="G922" i="23"/>
  <c r="H922" i="23"/>
  <c r="A922" i="23"/>
  <c r="G1544" i="23"/>
  <c r="H1544" i="23"/>
  <c r="A1544" i="23"/>
  <c r="H1543" i="23"/>
  <c r="A1543" i="23"/>
  <c r="G1402" i="23"/>
  <c r="H1402" i="23"/>
  <c r="A1402" i="23"/>
  <c r="H1401" i="23"/>
  <c r="A1401" i="23"/>
  <c r="G1529" i="23"/>
  <c r="H1529" i="23"/>
  <c r="A1529" i="23"/>
  <c r="H1521" i="23"/>
  <c r="A1521" i="23"/>
  <c r="G1801" i="23"/>
  <c r="D150" i="115"/>
  <c r="J6" i="109"/>
  <c r="C2133" i="1"/>
  <c r="J45" i="109"/>
  <c r="C1952" i="1"/>
  <c r="C1950" i="1"/>
  <c r="P1186" i="1"/>
  <c r="C1177" i="1"/>
  <c r="P9" i="78"/>
  <c r="A422" i="23"/>
  <c r="A404" i="23"/>
  <c r="P18" i="78"/>
  <c r="P16" i="78"/>
  <c r="C1473" i="1"/>
  <c r="C1489" i="1"/>
  <c r="C2044" i="1"/>
  <c r="C1470" i="1"/>
  <c r="C1493" i="1"/>
  <c r="C1482" i="1"/>
  <c r="C2045" i="1"/>
  <c r="C839" i="1"/>
  <c r="D96" i="115"/>
  <c r="C96" i="115" s="1"/>
  <c r="P248" i="1"/>
  <c r="D53" i="115"/>
  <c r="C53" i="115" s="1"/>
  <c r="A416" i="23"/>
  <c r="A398" i="23"/>
  <c r="C2302" i="23"/>
  <c r="C2304" i="23"/>
  <c r="C2305" i="23"/>
  <c r="C2306" i="23"/>
  <c r="H251" i="1"/>
  <c r="H252" i="1"/>
  <c r="B114" i="33"/>
  <c r="G63" i="74"/>
  <c r="H63" i="74"/>
  <c r="C375" i="23"/>
  <c r="P840" i="1"/>
  <c r="C840" i="1"/>
  <c r="P843" i="1"/>
  <c r="C843" i="1"/>
  <c r="P845" i="1"/>
  <c r="C845" i="1"/>
  <c r="P841" i="1"/>
  <c r="C841" i="1"/>
  <c r="H249" i="1"/>
  <c r="C340" i="1"/>
  <c r="C1477" i="1"/>
  <c r="C2206" i="1"/>
  <c r="H250" i="1"/>
  <c r="P846" i="1"/>
  <c r="C846" i="1"/>
  <c r="P844" i="1"/>
  <c r="C844" i="1"/>
  <c r="P842" i="1"/>
  <c r="C842" i="1"/>
  <c r="G1817" i="23"/>
  <c r="E56" i="78"/>
  <c r="B62" i="74"/>
  <c r="H64" i="74"/>
  <c r="G64" i="74"/>
  <c r="G69" i="74"/>
  <c r="H69" i="74"/>
  <c r="H70" i="74"/>
  <c r="G75" i="74"/>
  <c r="H75" i="74"/>
  <c r="G73" i="74"/>
  <c r="H73" i="74"/>
  <c r="G68" i="74"/>
  <c r="H68" i="74"/>
  <c r="G72" i="74"/>
  <c r="H72" i="74"/>
  <c r="A958" i="23"/>
  <c r="A959" i="23"/>
  <c r="A905" i="23"/>
  <c r="A1075" i="23"/>
  <c r="E65" i="78"/>
  <c r="A1074" i="23"/>
  <c r="E64" i="78"/>
  <c r="A1097" i="23"/>
  <c r="E78" i="78"/>
  <c r="A1065" i="23"/>
  <c r="E45" i="78"/>
  <c r="A960" i="23"/>
  <c r="A962" i="23"/>
  <c r="E59" i="78"/>
  <c r="E28" i="78"/>
  <c r="D24" i="79" s="1"/>
  <c r="H1076" i="23"/>
  <c r="G1516" i="23"/>
  <c r="H1516" i="23"/>
  <c r="A1516" i="23"/>
  <c r="G1804" i="23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G1807" i="23"/>
  <c r="G1812" i="23"/>
  <c r="G1822" i="23"/>
  <c r="G1818" i="23"/>
  <c r="G943" i="23"/>
  <c r="H943" i="23"/>
  <c r="A943" i="23"/>
  <c r="H942" i="23"/>
  <c r="G1823" i="23"/>
  <c r="G1819" i="23"/>
  <c r="G1811" i="23"/>
  <c r="G1805" i="23"/>
  <c r="G1808" i="23"/>
  <c r="G1053" i="23"/>
  <c r="H1053" i="23"/>
  <c r="A1053" i="23"/>
  <c r="H1045" i="23"/>
  <c r="A1045" i="23"/>
  <c r="G2317" i="23"/>
  <c r="G2318" i="23"/>
  <c r="G1407" i="23"/>
  <c r="H1407" i="23"/>
  <c r="A1407" i="23"/>
  <c r="G1408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C1802" i="23"/>
  <c r="G2203" i="23"/>
  <c r="G2506" i="23"/>
  <c r="G2505" i="23"/>
  <c r="G1639" i="23"/>
  <c r="G1640" i="23"/>
  <c r="G2662" i="23"/>
  <c r="G2654" i="23"/>
  <c r="G2661" i="23"/>
  <c r="G2659" i="23"/>
  <c r="G2657" i="23"/>
  <c r="G2643" i="23"/>
  <c r="G2652" i="23"/>
  <c r="G2658" i="23"/>
  <c r="G2647" i="23"/>
  <c r="G2656" i="23"/>
  <c r="C2640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2207" i="1"/>
  <c r="P787" i="1"/>
  <c r="P790" i="1"/>
  <c r="P784" i="1"/>
  <c r="P785" i="1"/>
  <c r="P786" i="1"/>
  <c r="P789" i="1"/>
  <c r="P788" i="1"/>
  <c r="C783" i="1"/>
  <c r="C786" i="1"/>
  <c r="C789" i="1"/>
  <c r="C737" i="1"/>
  <c r="P1137" i="1"/>
  <c r="B148" i="42"/>
  <c r="B156" i="42"/>
  <c r="B173" i="42"/>
  <c r="B16" i="31"/>
  <c r="G16" i="31"/>
  <c r="B12" i="31"/>
  <c r="B30" i="31"/>
  <c r="G26" i="31"/>
  <c r="B26" i="31"/>
  <c r="C410" i="1"/>
  <c r="H412" i="1"/>
  <c r="C412" i="1"/>
  <c r="H411" i="1"/>
  <c r="C411" i="1"/>
  <c r="B11" i="31"/>
  <c r="P244" i="1"/>
  <c r="D52" i="115"/>
  <c r="C52" i="115" s="1"/>
  <c r="H246" i="1"/>
  <c r="H245" i="1"/>
  <c r="B10" i="31"/>
  <c r="E59" i="31"/>
  <c r="G59" i="31" s="1"/>
  <c r="B82" i="31"/>
  <c r="B19" i="31"/>
  <c r="G19" i="31"/>
  <c r="G29" i="31"/>
  <c r="G31" i="31"/>
  <c r="H1159" i="1"/>
  <c r="C1159" i="1"/>
  <c r="H1163" i="1"/>
  <c r="C1163" i="1"/>
  <c r="H1162" i="1"/>
  <c r="C1162" i="1"/>
  <c r="H1158" i="1"/>
  <c r="C1158" i="1"/>
  <c r="H1160" i="1"/>
  <c r="C1160" i="1"/>
  <c r="G28" i="31"/>
  <c r="G75" i="31"/>
  <c r="B75" i="31"/>
  <c r="B13" i="31"/>
  <c r="B25" i="31"/>
  <c r="G32" i="31"/>
  <c r="B32" i="31"/>
  <c r="B21" i="31"/>
  <c r="G21" i="31"/>
  <c r="G9" i="31"/>
  <c r="B9" i="31"/>
  <c r="G18" i="31"/>
  <c r="B27" i="31"/>
  <c r="G27" i="31"/>
  <c r="P936" i="1"/>
  <c r="H940" i="1"/>
  <c r="H938" i="1"/>
  <c r="H941" i="1"/>
  <c r="H942" i="1"/>
  <c r="H939" i="1"/>
  <c r="H943" i="1"/>
  <c r="H937" i="1"/>
  <c r="P1485" i="1"/>
  <c r="C1485" i="1"/>
  <c r="P1484" i="1"/>
  <c r="C1484" i="1"/>
  <c r="P1483" i="1"/>
  <c r="C1483" i="1"/>
  <c r="P1471" i="1"/>
  <c r="P1472" i="1"/>
  <c r="C1472" i="1"/>
  <c r="P1474" i="1"/>
  <c r="C1474" i="1"/>
  <c r="P1476" i="1"/>
  <c r="C1476" i="1"/>
  <c r="P1475" i="1"/>
  <c r="C1475" i="1"/>
  <c r="P1479" i="1"/>
  <c r="P1478" i="1"/>
  <c r="P1481" i="1"/>
  <c r="C1481" i="1"/>
  <c r="P1492" i="1"/>
  <c r="C1492" i="1"/>
  <c r="P1490" i="1"/>
  <c r="C1490" i="1"/>
  <c r="P1491" i="1"/>
  <c r="C1491" i="1"/>
  <c r="P1496" i="1"/>
  <c r="C1496" i="1"/>
  <c r="P1495" i="1"/>
  <c r="C1495" i="1"/>
  <c r="P1494" i="1"/>
  <c r="C1494" i="1"/>
  <c r="P1545" i="1"/>
  <c r="C1545" i="1"/>
  <c r="M2132" i="1"/>
  <c r="C2132" i="1"/>
  <c r="C2204" i="1"/>
  <c r="G1573" i="23"/>
  <c r="H1573" i="23"/>
  <c r="P929" i="1"/>
  <c r="P930" i="1"/>
  <c r="P931" i="1"/>
  <c r="P932" i="1"/>
  <c r="P928" i="1"/>
  <c r="P739" i="1"/>
  <c r="P740" i="1"/>
  <c r="P738" i="1"/>
  <c r="H1145" i="1"/>
  <c r="E115" i="31"/>
  <c r="G115" i="31"/>
  <c r="H1480" i="1"/>
  <c r="E123" i="31"/>
  <c r="B123" i="31" s="1"/>
  <c r="J1480" i="1"/>
  <c r="E138" i="31"/>
  <c r="E139" i="31" s="1"/>
  <c r="B139" i="31" s="1"/>
  <c r="B182" i="31"/>
  <c r="G182" i="31"/>
  <c r="G88" i="31"/>
  <c r="B86" i="31"/>
  <c r="G86" i="31"/>
  <c r="G83" i="31"/>
  <c r="G89" i="31"/>
  <c r="B89" i="31"/>
  <c r="B84" i="31"/>
  <c r="H1180" i="1"/>
  <c r="C1180" i="1"/>
  <c r="H1182" i="1"/>
  <c r="C1182" i="1"/>
  <c r="H1178" i="1"/>
  <c r="C1178" i="1"/>
  <c r="H1179" i="1"/>
  <c r="C1179" i="1"/>
  <c r="H1183" i="1"/>
  <c r="C1183" i="1"/>
  <c r="B77" i="31"/>
  <c r="G76" i="31"/>
  <c r="B76" i="31"/>
  <c r="G70" i="31"/>
  <c r="G50" i="34"/>
  <c r="G49" i="34"/>
  <c r="B64" i="31"/>
  <c r="G63" i="31"/>
  <c r="G62" i="31"/>
  <c r="G47" i="31"/>
  <c r="B41" i="31"/>
  <c r="G41" i="31"/>
  <c r="H749" i="1"/>
  <c r="C749" i="1"/>
  <c r="H750" i="1"/>
  <c r="C750" i="1"/>
  <c r="G37" i="31"/>
  <c r="G36" i="31"/>
  <c r="B36" i="31"/>
  <c r="B58" i="34"/>
  <c r="G25" i="35"/>
  <c r="B26" i="35"/>
  <c r="G26" i="35"/>
  <c r="G28" i="35"/>
  <c r="G29" i="35"/>
  <c r="B30" i="35"/>
  <c r="G32" i="35"/>
  <c r="B32" i="35"/>
  <c r="G33" i="35"/>
  <c r="B34" i="35"/>
  <c r="G35" i="35"/>
  <c r="B49" i="35"/>
  <c r="G51" i="35"/>
  <c r="H1130" i="1"/>
  <c r="H1126" i="1"/>
  <c r="H1125" i="1"/>
  <c r="H1129" i="1"/>
  <c r="H1127" i="1"/>
  <c r="G53" i="35"/>
  <c r="B53" i="35"/>
  <c r="H1143" i="1"/>
  <c r="H1138" i="1"/>
  <c r="H1139" i="1"/>
  <c r="H1140" i="1"/>
  <c r="H1142" i="1"/>
  <c r="H1144" i="1"/>
  <c r="B54" i="35"/>
  <c r="G54" i="35"/>
  <c r="G55" i="35"/>
  <c r="H1188" i="1"/>
  <c r="H1189" i="1"/>
  <c r="H1187" i="1"/>
  <c r="H1191" i="1"/>
  <c r="G57" i="35"/>
  <c r="B59" i="35"/>
  <c r="C279" i="23"/>
  <c r="G351" i="23"/>
  <c r="G327" i="23"/>
  <c r="G329" i="23"/>
  <c r="G337" i="23"/>
  <c r="C335" i="23"/>
  <c r="C344" i="23"/>
  <c r="C362" i="23"/>
  <c r="G338" i="23"/>
  <c r="G339" i="23"/>
  <c r="B84" i="34"/>
  <c r="G84" i="34"/>
  <c r="B197" i="42"/>
  <c r="B108" i="31"/>
  <c r="B224" i="42"/>
  <c r="B226" i="42"/>
  <c r="B219" i="42"/>
  <c r="D83" i="115"/>
  <c r="C83" i="115" s="1"/>
  <c r="P1367" i="1"/>
  <c r="P1188" i="1"/>
  <c r="C1188" i="1"/>
  <c r="P1187" i="1"/>
  <c r="C1187" i="1"/>
  <c r="P1189" i="1"/>
  <c r="C1189" i="1"/>
  <c r="P1191" i="1"/>
  <c r="C1191" i="1"/>
  <c r="F33" i="90"/>
  <c r="H33" i="90"/>
  <c r="J71" i="74"/>
  <c r="C1124" i="1"/>
  <c r="L1951" i="1"/>
  <c r="P1951" i="1"/>
  <c r="C1951" i="1"/>
  <c r="L1953" i="1"/>
  <c r="P1953" i="1"/>
  <c r="C1953" i="1"/>
  <c r="C1132" i="1"/>
  <c r="J64" i="74"/>
  <c r="B67" i="74"/>
  <c r="J68" i="74"/>
  <c r="D174" i="115"/>
  <c r="B63" i="74"/>
  <c r="A1573" i="23"/>
  <c r="C248" i="1"/>
  <c r="P252" i="1"/>
  <c r="C252" i="1"/>
  <c r="P249" i="1"/>
  <c r="P250" i="1"/>
  <c r="C250" i="1"/>
  <c r="P251" i="1"/>
  <c r="C251" i="1"/>
  <c r="J41" i="109"/>
  <c r="J40" i="109"/>
  <c r="C1157" i="1"/>
  <c r="C1186" i="1"/>
  <c r="A942" i="23"/>
  <c r="G70" i="74"/>
  <c r="E20" i="78"/>
  <c r="H67" i="74"/>
  <c r="G67" i="74"/>
  <c r="D28" i="115"/>
  <c r="C28" i="115" s="1"/>
  <c r="B125" i="33"/>
  <c r="B132" i="33"/>
  <c r="B143" i="33"/>
  <c r="E81" i="78"/>
  <c r="E77" i="26" s="1"/>
  <c r="E8" i="78"/>
  <c r="E4" i="26" s="1"/>
  <c r="E9" i="78"/>
  <c r="E5" i="26" s="1"/>
  <c r="E25" i="78"/>
  <c r="E27" i="78"/>
  <c r="E7" i="78"/>
  <c r="O7" i="78" s="1"/>
  <c r="E34" i="78"/>
  <c r="O34" i="78" s="1"/>
  <c r="E30" i="78"/>
  <c r="B64" i="74"/>
  <c r="G71" i="74"/>
  <c r="H71" i="74"/>
  <c r="A1076" i="23"/>
  <c r="E66" i="78"/>
  <c r="E31" i="78"/>
  <c r="E29" i="78"/>
  <c r="E32" i="78"/>
  <c r="C1479" i="1"/>
  <c r="C1478" i="1"/>
  <c r="C1471" i="1"/>
  <c r="C785" i="1"/>
  <c r="C787" i="1"/>
  <c r="H1092" i="23"/>
  <c r="H1085" i="23"/>
  <c r="C790" i="1"/>
  <c r="C784" i="1"/>
  <c r="C788" i="1"/>
  <c r="C740" i="1"/>
  <c r="C928" i="1"/>
  <c r="C931" i="1"/>
  <c r="C929" i="1"/>
  <c r="C738" i="1"/>
  <c r="C739" i="1"/>
  <c r="C932" i="1"/>
  <c r="C930" i="1"/>
  <c r="C1137" i="1"/>
  <c r="C1366" i="1"/>
  <c r="B59" i="31"/>
  <c r="C244" i="1"/>
  <c r="P246" i="1"/>
  <c r="P245" i="1"/>
  <c r="C936" i="1"/>
  <c r="P941" i="1"/>
  <c r="P938" i="1"/>
  <c r="P942" i="1"/>
  <c r="P939" i="1"/>
  <c r="P943" i="1"/>
  <c r="P940" i="1"/>
  <c r="P937" i="1"/>
  <c r="P1480" i="1"/>
  <c r="C1480" i="1"/>
  <c r="P1126" i="1"/>
  <c r="E36" i="78"/>
  <c r="E31" i="26" s="1"/>
  <c r="P1370" i="1"/>
  <c r="G1576" i="23"/>
  <c r="H1576" i="23"/>
  <c r="P1368" i="1"/>
  <c r="P1369" i="1"/>
  <c r="P1130" i="1"/>
  <c r="E40" i="78"/>
  <c r="P1125" i="1"/>
  <c r="P1131" i="1"/>
  <c r="P1129" i="1"/>
  <c r="E39" i="78"/>
  <c r="P1127" i="1"/>
  <c r="E37" i="78"/>
  <c r="C1591" i="1"/>
  <c r="C1590" i="1"/>
  <c r="C1589" i="1"/>
  <c r="C1588" i="1"/>
  <c r="C1577" i="1"/>
  <c r="C1576" i="1"/>
  <c r="C1564" i="1"/>
  <c r="C1557" i="1"/>
  <c r="C1535" i="1"/>
  <c r="C1534" i="1"/>
  <c r="C1533" i="1"/>
  <c r="C1532" i="1"/>
  <c r="C1511" i="1"/>
  <c r="C1510" i="1"/>
  <c r="C1509" i="1"/>
  <c r="C1508" i="1"/>
  <c r="C1488" i="1"/>
  <c r="C1487" i="1"/>
  <c r="C1486" i="1"/>
  <c r="C1463" i="1"/>
  <c r="P1139" i="1"/>
  <c r="P1140" i="1"/>
  <c r="P1142" i="1"/>
  <c r="P1143" i="1"/>
  <c r="P1144" i="1"/>
  <c r="P1145" i="1"/>
  <c r="P1138" i="1"/>
  <c r="B138" i="31"/>
  <c r="G123" i="31"/>
  <c r="G343" i="23"/>
  <c r="G352" i="23"/>
  <c r="B229" i="42"/>
  <c r="B113" i="31"/>
  <c r="B68" i="74"/>
  <c r="J60" i="74"/>
  <c r="J34" i="74"/>
  <c r="B66" i="74"/>
  <c r="B69" i="74"/>
  <c r="B65" i="74"/>
  <c r="B70" i="74"/>
  <c r="A1576" i="23"/>
  <c r="C682" i="1"/>
  <c r="C249" i="1"/>
  <c r="B75" i="74"/>
  <c r="B72" i="74"/>
  <c r="B87" i="74"/>
  <c r="E35" i="78"/>
  <c r="E38" i="78"/>
  <c r="B144" i="33"/>
  <c r="B145" i="33"/>
  <c r="B146" i="33"/>
  <c r="B83" i="74"/>
  <c r="E33" i="78"/>
  <c r="O33" i="78" s="1"/>
  <c r="E26" i="78"/>
  <c r="E41" i="78"/>
  <c r="E42" i="78"/>
  <c r="E43" i="78"/>
  <c r="O43" i="78" s="1"/>
  <c r="E24" i="78"/>
  <c r="B80" i="74"/>
  <c r="B81" i="74"/>
  <c r="B73" i="74"/>
  <c r="B82" i="74"/>
  <c r="B74" i="74"/>
  <c r="B79" i="74"/>
  <c r="B71" i="74"/>
  <c r="B84" i="74"/>
  <c r="B76" i="74"/>
  <c r="B85" i="74"/>
  <c r="B77" i="74"/>
  <c r="B86" i="74"/>
  <c r="B78" i="74"/>
  <c r="A1085" i="23"/>
  <c r="E71" i="78"/>
  <c r="A1092" i="23"/>
  <c r="E75" i="78"/>
  <c r="D71" i="79" s="1"/>
  <c r="G1091" i="23"/>
  <c r="H1090" i="23"/>
  <c r="C1146" i="1"/>
  <c r="C1144" i="1"/>
  <c r="C1142" i="1"/>
  <c r="C1140" i="1"/>
  <c r="C1127" i="1"/>
  <c r="C1131" i="1"/>
  <c r="C1125" i="1"/>
  <c r="C1369" i="1"/>
  <c r="C1126" i="1"/>
  <c r="C937" i="1"/>
  <c r="C943" i="1"/>
  <c r="C942" i="1"/>
  <c r="C941" i="1"/>
  <c r="C245" i="1"/>
  <c r="C1138" i="1"/>
  <c r="C1145" i="1"/>
  <c r="C1143" i="1"/>
  <c r="C1139" i="1"/>
  <c r="C1129" i="1"/>
  <c r="C1130" i="1"/>
  <c r="C1367" i="1"/>
  <c r="C1368" i="1"/>
  <c r="C1370" i="1"/>
  <c r="C940" i="1"/>
  <c r="C939" i="1"/>
  <c r="C938" i="1"/>
  <c r="C246" i="1"/>
  <c r="C1592" i="1"/>
  <c r="B120" i="31"/>
  <c r="B150" i="33"/>
  <c r="A1090" i="23"/>
  <c r="E73" i="78"/>
  <c r="H1091" i="23"/>
  <c r="B151" i="31"/>
  <c r="B172" i="31"/>
  <c r="B129" i="31"/>
  <c r="B165" i="31"/>
  <c r="A1091" i="23"/>
  <c r="B184" i="31"/>
  <c r="E74" i="78"/>
  <c r="B186" i="31"/>
  <c r="B187" i="31"/>
  <c r="B190" i="31"/>
  <c r="B192" i="31"/>
  <c r="B194" i="31"/>
  <c r="B195" i="31"/>
  <c r="D92" i="79"/>
  <c r="G92" i="79" s="1"/>
  <c r="D90" i="79"/>
  <c r="G90" i="79" s="1"/>
  <c r="D91" i="79"/>
  <c r="G91" i="79" s="1"/>
  <c r="G2260" i="1"/>
  <c r="G2252" i="1"/>
  <c r="Y2252" i="1"/>
  <c r="G2238" i="1"/>
  <c r="G2258" i="1"/>
  <c r="Y2258" i="1"/>
  <c r="Y2259" i="1"/>
  <c r="G2262" i="1"/>
  <c r="G2270" i="1"/>
  <c r="Y2270" i="1"/>
  <c r="G2250" i="1"/>
  <c r="G2251" i="1"/>
  <c r="Y2251" i="1"/>
  <c r="G2261" i="1"/>
  <c r="Y2261" i="1"/>
  <c r="G2264" i="1"/>
  <c r="Y2264" i="1"/>
  <c r="G2249" i="1"/>
  <c r="Y2249" i="1"/>
  <c r="G2267" i="1"/>
  <c r="Y2267" i="1"/>
  <c r="G2257" i="1"/>
  <c r="Y2257" i="1"/>
  <c r="G2236" i="1"/>
  <c r="Y2236" i="1"/>
  <c r="G2265" i="1"/>
  <c r="Y2265" i="1"/>
  <c r="G2271" i="1"/>
  <c r="Y2271" i="1"/>
  <c r="G2268" i="1"/>
  <c r="G2255" i="1"/>
  <c r="Y2255" i="1"/>
  <c r="G2256" i="1"/>
  <c r="G2248" i="1"/>
  <c r="Y2248" i="1"/>
  <c r="G2253" i="1"/>
  <c r="Y2253" i="1"/>
  <c r="E281" i="42"/>
  <c r="C2253" i="1"/>
  <c r="E276" i="42"/>
  <c r="C2248" i="1"/>
  <c r="E284" i="42"/>
  <c r="C2256" i="1"/>
  <c r="E283" i="42"/>
  <c r="C2255" i="1"/>
  <c r="E296" i="42"/>
  <c r="C2268" i="1"/>
  <c r="E299" i="42"/>
  <c r="C2271" i="1"/>
  <c r="E293" i="42"/>
  <c r="C2265" i="1"/>
  <c r="E266" i="42"/>
  <c r="C2236" i="1"/>
  <c r="E285" i="42"/>
  <c r="C2257" i="1"/>
  <c r="E295" i="42"/>
  <c r="C2267" i="1"/>
  <c r="E277" i="42"/>
  <c r="B277" i="42"/>
  <c r="C2249" i="1"/>
  <c r="E292" i="42"/>
  <c r="C2264" i="1"/>
  <c r="E289" i="42"/>
  <c r="B289" i="42"/>
  <c r="C2261" i="1"/>
  <c r="E279" i="42"/>
  <c r="C2251" i="1"/>
  <c r="E278" i="42"/>
  <c r="B278" i="42"/>
  <c r="C2250" i="1"/>
  <c r="E298" i="42"/>
  <c r="C2270" i="1"/>
  <c r="E290" i="42"/>
  <c r="B290" i="42"/>
  <c r="C2262" i="1"/>
  <c r="E287" i="42"/>
  <c r="C2259" i="1"/>
  <c r="E286" i="42"/>
  <c r="B286" i="42"/>
  <c r="C2258" i="1"/>
  <c r="E268" i="42"/>
  <c r="C2238" i="1"/>
  <c r="E280" i="42"/>
  <c r="C2252" i="1"/>
  <c r="E288" i="42"/>
  <c r="C2260" i="1"/>
  <c r="H2268" i="1"/>
  <c r="P2268" i="1"/>
  <c r="G2237" i="1"/>
  <c r="G2269" i="1"/>
  <c r="Y2269" i="1"/>
  <c r="H2264" i="1"/>
  <c r="P2264" i="1"/>
  <c r="H2261" i="1"/>
  <c r="P2261" i="1"/>
  <c r="G19" i="114"/>
  <c r="D19" i="114" s="1"/>
  <c r="H2251" i="1"/>
  <c r="P2251" i="1"/>
  <c r="H2250" i="1"/>
  <c r="P2250" i="1"/>
  <c r="K2250" i="1"/>
  <c r="H2253" i="1"/>
  <c r="P2253" i="1"/>
  <c r="H2238" i="1"/>
  <c r="P2238" i="1"/>
  <c r="K2238" i="1"/>
  <c r="H2249" i="1"/>
  <c r="P2249" i="1"/>
  <c r="K2251" i="1"/>
  <c r="K2264" i="1"/>
  <c r="H2262" i="1"/>
  <c r="P2262" i="1"/>
  <c r="K2260" i="1"/>
  <c r="H2256" i="1"/>
  <c r="P2256" i="1"/>
  <c r="H2270" i="1"/>
  <c r="P2270" i="1"/>
  <c r="G2263" i="1"/>
  <c r="Y2263" i="1"/>
  <c r="H2259" i="1"/>
  <c r="P2259" i="1"/>
  <c r="H2258" i="1"/>
  <c r="P2258" i="1"/>
  <c r="K2258" i="1"/>
  <c r="K2259" i="1"/>
  <c r="K2252" i="1"/>
  <c r="H2252" i="1"/>
  <c r="P2252" i="1"/>
  <c r="H2260" i="1"/>
  <c r="P2260" i="1"/>
  <c r="K2249" i="1"/>
  <c r="K2261" i="1"/>
  <c r="K2268" i="1"/>
  <c r="G292" i="42"/>
  <c r="B292" i="42"/>
  <c r="G266" i="42"/>
  <c r="B266" i="42"/>
  <c r="G281" i="42"/>
  <c r="B281" i="42"/>
  <c r="B284" i="42"/>
  <c r="G284" i="42"/>
  <c r="H2255" i="1"/>
  <c r="P2255" i="1"/>
  <c r="G296" i="42"/>
  <c r="B296" i="42"/>
  <c r="H2271" i="1"/>
  <c r="P2271" i="1"/>
  <c r="G2266" i="1"/>
  <c r="H2257" i="1"/>
  <c r="P2257" i="1"/>
  <c r="H2267" i="1"/>
  <c r="P2267" i="1"/>
  <c r="G289" i="42"/>
  <c r="B279" i="42"/>
  <c r="G279" i="42"/>
  <c r="K2269" i="1"/>
  <c r="G278" i="42"/>
  <c r="B298" i="42"/>
  <c r="G298" i="42"/>
  <c r="G290" i="42"/>
  <c r="G287" i="42"/>
  <c r="K2262" i="1"/>
  <c r="H2236" i="1"/>
  <c r="P2236" i="1"/>
  <c r="B268" i="42"/>
  <c r="G268" i="42"/>
  <c r="B280" i="42"/>
  <c r="G280" i="42"/>
  <c r="G288" i="42"/>
  <c r="B288" i="42"/>
  <c r="K2271" i="1"/>
  <c r="K2253" i="1"/>
  <c r="K2270" i="1"/>
  <c r="K2236" i="1"/>
  <c r="K2256" i="1"/>
  <c r="K2255" i="1"/>
  <c r="G277" i="42"/>
  <c r="G276" i="42"/>
  <c r="B276" i="42"/>
  <c r="B283" i="42"/>
  <c r="G283" i="42"/>
  <c r="G299" i="42"/>
  <c r="B299" i="42"/>
  <c r="G293" i="42"/>
  <c r="B293" i="42"/>
  <c r="G285" i="42"/>
  <c r="B285" i="42"/>
  <c r="G295" i="42"/>
  <c r="B295" i="42"/>
  <c r="H2265" i="1"/>
  <c r="P2265" i="1"/>
  <c r="K2267" i="1"/>
  <c r="G2254" i="1"/>
  <c r="H2248" i="1"/>
  <c r="P2248" i="1"/>
  <c r="K2257" i="1"/>
  <c r="K2265" i="1"/>
  <c r="K2248" i="1"/>
  <c r="C2254" i="1"/>
  <c r="C2266" i="1"/>
  <c r="Y2266" i="1"/>
  <c r="G2225" i="1"/>
  <c r="Y2237" i="1"/>
  <c r="G286" i="42"/>
  <c r="E291" i="42"/>
  <c r="B291" i="42"/>
  <c r="C2263" i="1"/>
  <c r="E297" i="42"/>
  <c r="B297" i="42"/>
  <c r="C2269" i="1"/>
  <c r="E267" i="42"/>
  <c r="B267" i="42"/>
  <c r="C2237" i="1"/>
  <c r="K2237" i="1"/>
  <c r="H2237" i="1"/>
  <c r="P2237" i="1"/>
  <c r="H2269" i="1"/>
  <c r="P2269" i="1"/>
  <c r="K2263" i="1"/>
  <c r="H2263" i="1"/>
  <c r="P2263" i="1"/>
  <c r="E282" i="42"/>
  <c r="K2254" i="1"/>
  <c r="H2254" i="1"/>
  <c r="P2254" i="1"/>
  <c r="E294" i="42"/>
  <c r="K2266" i="1"/>
  <c r="H2266" i="1"/>
  <c r="P2266" i="1"/>
  <c r="G297" i="42"/>
  <c r="C2225" i="1"/>
  <c r="Y2225" i="1"/>
  <c r="G267" i="42"/>
  <c r="G291" i="42"/>
  <c r="B294" i="42"/>
  <c r="G294" i="42"/>
  <c r="B282" i="42"/>
  <c r="B287" i="42"/>
  <c r="G282" i="42"/>
  <c r="E228" i="42"/>
  <c r="G228" i="42"/>
  <c r="P1838" i="1"/>
  <c r="G13" i="114"/>
  <c r="D13" i="114" s="1"/>
  <c r="C246" i="115" s="1"/>
  <c r="C248" i="115"/>
  <c r="E17" i="78"/>
  <c r="D13" i="79" s="1"/>
  <c r="G13" i="79" s="1"/>
  <c r="F8" i="111"/>
  <c r="I8" i="111" s="1"/>
  <c r="E18" i="78"/>
  <c r="O18" i="78" s="1"/>
  <c r="C1838" i="1"/>
  <c r="B228" i="42"/>
  <c r="B232" i="42"/>
  <c r="B234" i="42"/>
  <c r="B238" i="42"/>
  <c r="B245" i="42"/>
  <c r="B263" i="42"/>
  <c r="B248" i="42"/>
  <c r="B265" i="42"/>
  <c r="B264" i="42"/>
  <c r="B303" i="42"/>
  <c r="B304" i="42"/>
  <c r="B273" i="42"/>
  <c r="B274" i="42"/>
  <c r="P1998" i="1"/>
  <c r="C1998" i="1"/>
  <c r="G1998" i="1"/>
  <c r="Y1998" i="1"/>
  <c r="G1959" i="1"/>
  <c r="C1959" i="1"/>
  <c r="C12" i="90"/>
  <c r="D43" i="74"/>
  <c r="D12" i="90" s="1"/>
  <c r="G2101" i="1"/>
  <c r="G2012" i="1"/>
  <c r="E75" i="35"/>
  <c r="B75" i="35" s="1"/>
  <c r="G2005" i="1"/>
  <c r="H2012" i="1"/>
  <c r="P2012" i="1"/>
  <c r="E74" i="35"/>
  <c r="B74" i="35" s="1"/>
  <c r="B91" i="35"/>
  <c r="N2012" i="1"/>
  <c r="B97" i="35"/>
  <c r="B78" i="35"/>
  <c r="B123" i="35"/>
  <c r="B127" i="35"/>
  <c r="B94" i="35"/>
  <c r="B102" i="35"/>
  <c r="L338" i="20"/>
  <c r="L342" i="20"/>
  <c r="C2005" i="1"/>
  <c r="B90" i="35"/>
  <c r="B82" i="35"/>
  <c r="B83" i="35"/>
  <c r="B128" i="35"/>
  <c r="B136" i="35"/>
  <c r="B132" i="35"/>
  <c r="B135" i="35"/>
  <c r="B126" i="35"/>
  <c r="B133" i="35"/>
  <c r="G74" i="35"/>
  <c r="H2101" i="1"/>
  <c r="P2101" i="1"/>
  <c r="B95" i="35"/>
  <c r="B93" i="35"/>
  <c r="C2012" i="1"/>
  <c r="C2101" i="1"/>
  <c r="J11" i="117"/>
  <c r="J18" i="117"/>
  <c r="J121" i="117"/>
  <c r="J127" i="117"/>
  <c r="J93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I28" i="117"/>
  <c r="I26" i="117"/>
  <c r="J134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J175" i="117"/>
  <c r="I110" i="117"/>
  <c r="I132" i="117"/>
  <c r="J138" i="117"/>
  <c r="J84" i="117"/>
  <c r="I61" i="117"/>
  <c r="I147" i="117"/>
  <c r="J53" i="117"/>
  <c r="J106" i="117"/>
  <c r="I121" i="117"/>
  <c r="J150" i="117"/>
  <c r="I49" i="117"/>
  <c r="J157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27" i="117"/>
  <c r="I165" i="117"/>
  <c r="I84" i="117"/>
  <c r="I11" i="117"/>
  <c r="I119" i="117"/>
  <c r="I178" i="117"/>
  <c r="I46" i="117"/>
  <c r="I97" i="117"/>
  <c r="G10" i="121" l="1"/>
  <c r="G7" i="121"/>
  <c r="G9" i="121"/>
  <c r="G6" i="121"/>
  <c r="G4" i="121"/>
  <c r="G8" i="121"/>
  <c r="G5" i="121"/>
  <c r="B51" i="31"/>
  <c r="G52" i="35"/>
  <c r="G38" i="35"/>
  <c r="B27" i="35"/>
  <c r="B50" i="35"/>
  <c r="G40" i="31"/>
  <c r="G14" i="31"/>
  <c r="G17" i="31"/>
  <c r="B15" i="31"/>
  <c r="G20" i="31"/>
  <c r="G48" i="31"/>
  <c r="G56" i="31"/>
  <c r="B52" i="42"/>
  <c r="G66" i="31"/>
  <c r="G36" i="33"/>
  <c r="B55" i="33"/>
  <c r="B33" i="33"/>
  <c r="G48" i="42"/>
  <c r="B39" i="35"/>
  <c r="G56" i="35"/>
  <c r="B35" i="31"/>
  <c r="G74" i="31"/>
  <c r="G85" i="31"/>
  <c r="B31" i="35"/>
  <c r="G81" i="31"/>
  <c r="B8" i="31"/>
  <c r="B24" i="42"/>
  <c r="G64" i="35"/>
  <c r="G90" i="31"/>
  <c r="B90" i="31"/>
  <c r="B87" i="31"/>
  <c r="G87" i="31"/>
  <c r="G116" i="31"/>
  <c r="B136" i="31"/>
  <c r="G79" i="42"/>
  <c r="B79" i="42"/>
  <c r="B57" i="34"/>
  <c r="B60" i="31"/>
  <c r="B71" i="31"/>
  <c r="G79" i="31"/>
  <c r="G75" i="35"/>
  <c r="G139" i="31"/>
  <c r="G137" i="31"/>
  <c r="B137" i="31"/>
  <c r="B22" i="31"/>
  <c r="G22" i="31"/>
  <c r="G129" i="35"/>
  <c r="B129" i="35"/>
  <c r="G131" i="35"/>
  <c r="B131" i="35"/>
  <c r="G18" i="34"/>
  <c r="B18" i="34"/>
  <c r="B46" i="31"/>
  <c r="G46" i="31"/>
  <c r="B40" i="42"/>
  <c r="G40" i="42"/>
  <c r="G138" i="31"/>
  <c r="B42" i="31"/>
  <c r="G68" i="31"/>
  <c r="G23" i="31"/>
  <c r="G7" i="31"/>
  <c r="E130" i="31"/>
  <c r="G49" i="31"/>
  <c r="B49" i="31"/>
  <c r="G125" i="31"/>
  <c r="E126" i="31"/>
  <c r="G24" i="31"/>
  <c r="B24" i="31"/>
  <c r="G99" i="42"/>
  <c r="B99" i="42"/>
  <c r="B123" i="42"/>
  <c r="H436" i="1"/>
  <c r="C436" i="1" s="1"/>
  <c r="H437" i="1"/>
  <c r="C437" i="1" s="1"/>
  <c r="B118" i="42"/>
  <c r="G113" i="35"/>
  <c r="G94" i="31"/>
  <c r="B94" i="31"/>
  <c r="B26" i="34"/>
  <c r="B53" i="42"/>
  <c r="G91" i="42"/>
  <c r="B112" i="35"/>
  <c r="B144" i="42"/>
  <c r="G144" i="42"/>
  <c r="G145" i="42" s="1"/>
  <c r="G146" i="42" s="1"/>
  <c r="G147" i="42" s="1"/>
  <c r="E145" i="42"/>
  <c r="E146" i="42" s="1"/>
  <c r="E147" i="42" s="1"/>
  <c r="B58" i="42"/>
  <c r="G58" i="42"/>
  <c r="B41" i="42"/>
  <c r="J62" i="109"/>
  <c r="H430" i="1"/>
  <c r="C430" i="1" s="1"/>
  <c r="H438" i="1"/>
  <c r="C438" i="1" s="1"/>
  <c r="H431" i="1"/>
  <c r="C431" i="1" s="1"/>
  <c r="H439" i="1"/>
  <c r="C439" i="1" s="1"/>
  <c r="H441" i="1"/>
  <c r="C441" i="1" s="1"/>
  <c r="H432" i="1"/>
  <c r="C432" i="1" s="1"/>
  <c r="H392" i="1"/>
  <c r="C392" i="1" s="1"/>
  <c r="H391" i="1"/>
  <c r="C391" i="1" s="1"/>
  <c r="H375" i="1"/>
  <c r="C375" i="1" s="1"/>
  <c r="H380" i="1"/>
  <c r="C380" i="1" s="1"/>
  <c r="H381" i="1"/>
  <c r="C381" i="1" s="1"/>
  <c r="H389" i="1"/>
  <c r="C389" i="1" s="1"/>
  <c r="H378" i="1"/>
  <c r="C378" i="1" s="1"/>
  <c r="H383" i="1"/>
  <c r="C383" i="1" s="1"/>
  <c r="H386" i="1"/>
  <c r="C386" i="1" s="1"/>
  <c r="G109" i="35"/>
  <c r="G69" i="35"/>
  <c r="G55" i="34"/>
  <c r="K494" i="1"/>
  <c r="E152" i="31"/>
  <c r="G124" i="42"/>
  <c r="B124" i="42"/>
  <c r="G73" i="34"/>
  <c r="B86" i="35"/>
  <c r="G86" i="35"/>
  <c r="G73" i="31"/>
  <c r="B73" i="31"/>
  <c r="G14" i="34"/>
  <c r="B14" i="34"/>
  <c r="B66" i="35"/>
  <c r="G66" i="35"/>
  <c r="B116" i="42"/>
  <c r="B186" i="42" s="1"/>
  <c r="G116" i="42"/>
  <c r="G134" i="35"/>
  <c r="B134" i="35"/>
  <c r="B29" i="34"/>
  <c r="G29" i="34"/>
  <c r="G98" i="42"/>
  <c r="B98" i="42"/>
  <c r="B34" i="33"/>
  <c r="G34" i="33"/>
  <c r="G72" i="31"/>
  <c r="B72" i="31"/>
  <c r="K412" i="1"/>
  <c r="K411" i="1"/>
  <c r="E7" i="121"/>
  <c r="I7" i="121" s="1"/>
  <c r="H345" i="1"/>
  <c r="C345" i="1" s="1"/>
  <c r="E149" i="42"/>
  <c r="G149" i="42" s="1"/>
  <c r="C99" i="115"/>
  <c r="C103" i="115"/>
  <c r="C107" i="115"/>
  <c r="C100" i="115"/>
  <c r="J27" i="109"/>
  <c r="J13" i="109"/>
  <c r="J50" i="109"/>
  <c r="D186" i="115"/>
  <c r="J77" i="117"/>
  <c r="L77" i="117" s="1"/>
  <c r="J31" i="109"/>
  <c r="J24" i="109"/>
  <c r="G55" i="105"/>
  <c r="G51" i="105"/>
  <c r="G47" i="105"/>
  <c r="G43" i="105"/>
  <c r="G37" i="105"/>
  <c r="G33" i="105"/>
  <c r="G28" i="105"/>
  <c r="G24" i="105"/>
  <c r="G20" i="105"/>
  <c r="G17" i="105"/>
  <c r="G13" i="105"/>
  <c r="G10" i="105"/>
  <c r="G7" i="105"/>
  <c r="G4" i="105"/>
  <c r="G56" i="105"/>
  <c r="G52" i="105"/>
  <c r="G48" i="105"/>
  <c r="G44" i="105"/>
  <c r="G41" i="105"/>
  <c r="G38" i="105"/>
  <c r="G34" i="105"/>
  <c r="G30" i="105"/>
  <c r="G25" i="105"/>
  <c r="G21" i="105"/>
  <c r="G18" i="105"/>
  <c r="G14" i="105"/>
  <c r="G11" i="105"/>
  <c r="G8" i="105"/>
  <c r="G58" i="105"/>
  <c r="G69" i="105"/>
  <c r="G67" i="105"/>
  <c r="G65" i="105"/>
  <c r="G63" i="105"/>
  <c r="I5" i="110"/>
  <c r="J21" i="109"/>
  <c r="U19" i="1"/>
  <c r="X19" i="1" s="1"/>
  <c r="E11" i="105"/>
  <c r="I11" i="105" s="1"/>
  <c r="I11" i="106" s="1"/>
  <c r="E19" i="105"/>
  <c r="I19" i="105" s="1"/>
  <c r="I19" i="106" s="1"/>
  <c r="E4" i="108"/>
  <c r="E12" i="105"/>
  <c r="I12" i="105" s="1"/>
  <c r="I12" i="106" s="1"/>
  <c r="E20" i="105"/>
  <c r="I20" i="105" s="1"/>
  <c r="I20" i="106" s="1"/>
  <c r="E5" i="105"/>
  <c r="I5" i="105" s="1"/>
  <c r="I5" i="106" s="1"/>
  <c r="E13" i="105"/>
  <c r="I13" i="105" s="1"/>
  <c r="I13" i="106" s="1"/>
  <c r="E21" i="105"/>
  <c r="I21" i="105" s="1"/>
  <c r="I21" i="106" s="1"/>
  <c r="E6" i="105"/>
  <c r="I6" i="105" s="1"/>
  <c r="I6" i="106" s="1"/>
  <c r="E14" i="105"/>
  <c r="I14" i="105" s="1"/>
  <c r="I14" i="106" s="1"/>
  <c r="E22" i="105"/>
  <c r="I22" i="105" s="1"/>
  <c r="I22" i="106" s="1"/>
  <c r="E7" i="105"/>
  <c r="I7" i="105" s="1"/>
  <c r="I7" i="106" s="1"/>
  <c r="E15" i="105"/>
  <c r="I15" i="105" s="1"/>
  <c r="I15" i="106" s="1"/>
  <c r="E23" i="105"/>
  <c r="I23" i="105" s="1"/>
  <c r="I23" i="106" s="1"/>
  <c r="E8" i="105"/>
  <c r="I8" i="105" s="1"/>
  <c r="I8" i="106" s="1"/>
  <c r="E16" i="105"/>
  <c r="I16" i="105" s="1"/>
  <c r="I16" i="106" s="1"/>
  <c r="E24" i="105"/>
  <c r="I24" i="105" s="1"/>
  <c r="I24" i="106" s="1"/>
  <c r="E9" i="105"/>
  <c r="I9" i="105" s="1"/>
  <c r="I9" i="106" s="1"/>
  <c r="E17" i="105"/>
  <c r="I17" i="105" s="1"/>
  <c r="I17" i="106" s="1"/>
  <c r="E25" i="105"/>
  <c r="I25" i="105" s="1"/>
  <c r="I25" i="106" s="1"/>
  <c r="E10" i="105"/>
  <c r="I10" i="105" s="1"/>
  <c r="I10" i="106" s="1"/>
  <c r="E18" i="105"/>
  <c r="I18" i="105" s="1"/>
  <c r="I18" i="106" s="1"/>
  <c r="E26" i="105"/>
  <c r="I26" i="105" s="1"/>
  <c r="I26" i="106" s="1"/>
  <c r="M153" i="1"/>
  <c r="J18" i="109"/>
  <c r="U1531" i="1"/>
  <c r="U1761" i="1"/>
  <c r="V1794" i="1"/>
  <c r="Y1794" i="1" s="1"/>
  <c r="V1822" i="1"/>
  <c r="Y1822" i="1" s="1"/>
  <c r="V1836" i="1"/>
  <c r="Y1836" i="1" s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 s="1"/>
  <c r="V2026" i="1"/>
  <c r="Y2026" i="1" s="1"/>
  <c r="V2030" i="1"/>
  <c r="Y2030" i="1" s="1"/>
  <c r="V2034" i="1"/>
  <c r="Y2034" i="1" s="1"/>
  <c r="V2038" i="1"/>
  <c r="Y2038" i="1" s="1"/>
  <c r="V2042" i="1"/>
  <c r="Y2042" i="1" s="1"/>
  <c r="V2046" i="1"/>
  <c r="Y2046" i="1" s="1"/>
  <c r="V2050" i="1"/>
  <c r="Y2050" i="1" s="1"/>
  <c r="V2054" i="1"/>
  <c r="Y2054" i="1" s="1"/>
  <c r="V2058" i="1"/>
  <c r="Y2058" i="1" s="1"/>
  <c r="V2062" i="1"/>
  <c r="Y2062" i="1" s="1"/>
  <c r="V2066" i="1"/>
  <c r="Y2066" i="1" s="1"/>
  <c r="V2070" i="1"/>
  <c r="Y2070" i="1" s="1"/>
  <c r="V2074" i="1"/>
  <c r="Y2074" i="1" s="1"/>
  <c r="V2078" i="1"/>
  <c r="Y2078" i="1" s="1"/>
  <c r="V2082" i="1"/>
  <c r="Y2082" i="1" s="1"/>
  <c r="V2086" i="1"/>
  <c r="Y2086" i="1" s="1"/>
  <c r="V2090" i="1"/>
  <c r="Y2090" i="1" s="1"/>
  <c r="V2094" i="1"/>
  <c r="Y2094" i="1" s="1"/>
  <c r="V2098" i="1"/>
  <c r="Y2098" i="1" s="1"/>
  <c r="V2102" i="1"/>
  <c r="Y2102" i="1" s="1"/>
  <c r="V2106" i="1"/>
  <c r="Y2106" i="1" s="1"/>
  <c r="V2110" i="1"/>
  <c r="Y2110" i="1" s="1"/>
  <c r="V2114" i="1"/>
  <c r="Y2114" i="1" s="1"/>
  <c r="V2118" i="1"/>
  <c r="Y2118" i="1" s="1"/>
  <c r="V2122" i="1"/>
  <c r="Y2122" i="1" s="1"/>
  <c r="V2126" i="1"/>
  <c r="Y2126" i="1" s="1"/>
  <c r="V2130" i="1"/>
  <c r="Y2130" i="1" s="1"/>
  <c r="V2134" i="1"/>
  <c r="Y2134" i="1" s="1"/>
  <c r="V2138" i="1"/>
  <c r="Y2138" i="1" s="1"/>
  <c r="V2142" i="1"/>
  <c r="Y2142" i="1" s="1"/>
  <c r="V2146" i="1"/>
  <c r="Y2146" i="1" s="1"/>
  <c r="V2150" i="1"/>
  <c r="Y2150" i="1" s="1"/>
  <c r="V2154" i="1"/>
  <c r="Y2154" i="1" s="1"/>
  <c r="V2158" i="1"/>
  <c r="Y2158" i="1" s="1"/>
  <c r="V2162" i="1"/>
  <c r="Y2162" i="1" s="1"/>
  <c r="V2166" i="1"/>
  <c r="Y2166" i="1" s="1"/>
  <c r="U1563" i="1"/>
  <c r="U1766" i="1"/>
  <c r="V1798" i="1"/>
  <c r="Y1798" i="1" s="1"/>
  <c r="U1824" i="1"/>
  <c r="V1838" i="1"/>
  <c r="Y1838" i="1" s="1"/>
  <c r="V1844" i="1"/>
  <c r="Y1844" i="1" s="1"/>
  <c r="V1853" i="1"/>
  <c r="Y1853" i="1" s="1"/>
  <c r="V1857" i="1"/>
  <c r="Y1857" i="1" s="1"/>
  <c r="V1861" i="1"/>
  <c r="Y1861" i="1" s="1"/>
  <c r="V1865" i="1"/>
  <c r="Y1865" i="1" s="1"/>
  <c r="V1869" i="1"/>
  <c r="Y1869" i="1" s="1"/>
  <c r="V1873" i="1"/>
  <c r="Y1873" i="1" s="1"/>
  <c r="V1877" i="1"/>
  <c r="Y1877" i="1" s="1"/>
  <c r="V1881" i="1"/>
  <c r="Y1881" i="1" s="1"/>
  <c r="V1885" i="1"/>
  <c r="Y1885" i="1" s="1"/>
  <c r="V1890" i="1"/>
  <c r="Y1890" i="1" s="1"/>
  <c r="V1895" i="1"/>
  <c r="Y1895" i="1" s="1"/>
  <c r="V1899" i="1"/>
  <c r="Y1899" i="1" s="1"/>
  <c r="V1903" i="1"/>
  <c r="Y1903" i="1" s="1"/>
  <c r="V1907" i="1"/>
  <c r="Y1907" i="1" s="1"/>
  <c r="V1911" i="1"/>
  <c r="Y1911" i="1" s="1"/>
  <c r="V1915" i="1"/>
  <c r="Y1915" i="1" s="1"/>
  <c r="V1919" i="1"/>
  <c r="Y1919" i="1" s="1"/>
  <c r="V1923" i="1"/>
  <c r="Y1923" i="1" s="1"/>
  <c r="V1927" i="1"/>
  <c r="Y1927" i="1" s="1"/>
  <c r="V1931" i="1"/>
  <c r="Y1931" i="1" s="1"/>
  <c r="V1935" i="1"/>
  <c r="Y1935" i="1" s="1"/>
  <c r="V1939" i="1"/>
  <c r="Y1939" i="1" s="1"/>
  <c r="V1943" i="1"/>
  <c r="Y1943" i="1" s="1"/>
  <c r="V1947" i="1"/>
  <c r="Y1947" i="1" s="1"/>
  <c r="V1951" i="1"/>
  <c r="Y1951" i="1" s="1"/>
  <c r="V1955" i="1"/>
  <c r="Y1955" i="1" s="1"/>
  <c r="V1959" i="1"/>
  <c r="Y1959" i="1" s="1"/>
  <c r="V1963" i="1"/>
  <c r="Y1963" i="1" s="1"/>
  <c r="V1967" i="1"/>
  <c r="Y1967" i="1" s="1"/>
  <c r="V1971" i="1"/>
  <c r="Y1971" i="1" s="1"/>
  <c r="V1975" i="1"/>
  <c r="Y1975" i="1" s="1"/>
  <c r="V1979" i="1"/>
  <c r="Y1979" i="1" s="1"/>
  <c r="V1983" i="1"/>
  <c r="Y1983" i="1" s="1"/>
  <c r="V1987" i="1"/>
  <c r="Y1987" i="1" s="1"/>
  <c r="V1991" i="1"/>
  <c r="Y1991" i="1" s="1"/>
  <c r="V1995" i="1"/>
  <c r="Y1995" i="1" s="1"/>
  <c r="V1999" i="1"/>
  <c r="Y1999" i="1" s="1"/>
  <c r="V2003" i="1"/>
  <c r="Y2003" i="1" s="1"/>
  <c r="V2007" i="1"/>
  <c r="Y2007" i="1" s="1"/>
  <c r="V2011" i="1"/>
  <c r="Y2011" i="1" s="1"/>
  <c r="V2015" i="1"/>
  <c r="Y2015" i="1" s="1"/>
  <c r="V2019" i="1"/>
  <c r="Y2019" i="1" s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 s="1"/>
  <c r="V1802" i="1"/>
  <c r="Y1802" i="1" s="1"/>
  <c r="V1826" i="1"/>
  <c r="Y1826" i="1" s="1"/>
  <c r="U1840" i="1"/>
  <c r="V1845" i="1"/>
  <c r="Y1845" i="1" s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 s="1"/>
  <c r="V2027" i="1"/>
  <c r="Y2027" i="1" s="1"/>
  <c r="V2031" i="1"/>
  <c r="Y2031" i="1" s="1"/>
  <c r="V2035" i="1"/>
  <c r="Y2035" i="1" s="1"/>
  <c r="V2039" i="1"/>
  <c r="Y2039" i="1" s="1"/>
  <c r="V2043" i="1"/>
  <c r="Y2043" i="1" s="1"/>
  <c r="V2047" i="1"/>
  <c r="Y2047" i="1" s="1"/>
  <c r="V2051" i="1"/>
  <c r="Y2051" i="1" s="1"/>
  <c r="V2055" i="1"/>
  <c r="Y2055" i="1" s="1"/>
  <c r="V2059" i="1"/>
  <c r="Y2059" i="1" s="1"/>
  <c r="V2063" i="1"/>
  <c r="Y2063" i="1" s="1"/>
  <c r="V2067" i="1"/>
  <c r="Y2067" i="1" s="1"/>
  <c r="V2071" i="1"/>
  <c r="Y2071" i="1" s="1"/>
  <c r="V2075" i="1"/>
  <c r="Y2075" i="1" s="1"/>
  <c r="V2079" i="1"/>
  <c r="Y2079" i="1" s="1"/>
  <c r="V2083" i="1"/>
  <c r="Y2083" i="1" s="1"/>
  <c r="V2087" i="1"/>
  <c r="Y2087" i="1" s="1"/>
  <c r="V2091" i="1"/>
  <c r="Y2091" i="1" s="1"/>
  <c r="V2095" i="1"/>
  <c r="Y2095" i="1" s="1"/>
  <c r="V2099" i="1"/>
  <c r="Y2099" i="1" s="1"/>
  <c r="V2103" i="1"/>
  <c r="Y2103" i="1" s="1"/>
  <c r="V2107" i="1"/>
  <c r="Y2107" i="1" s="1"/>
  <c r="V2111" i="1"/>
  <c r="Y2111" i="1" s="1"/>
  <c r="V2115" i="1"/>
  <c r="Y2115" i="1" s="1"/>
  <c r="V2119" i="1"/>
  <c r="Y2119" i="1" s="1"/>
  <c r="V2123" i="1"/>
  <c r="Y2123" i="1" s="1"/>
  <c r="V2127" i="1"/>
  <c r="Y2127" i="1" s="1"/>
  <c r="V2131" i="1"/>
  <c r="Y2131" i="1" s="1"/>
  <c r="V2135" i="1"/>
  <c r="Y2135" i="1" s="1"/>
  <c r="V2139" i="1"/>
  <c r="Y2139" i="1" s="1"/>
  <c r="V2143" i="1"/>
  <c r="Y2143" i="1" s="1"/>
  <c r="V2147" i="1"/>
  <c r="Y2147" i="1" s="1"/>
  <c r="V2151" i="1"/>
  <c r="Y2151" i="1" s="1"/>
  <c r="V2155" i="1"/>
  <c r="Y2155" i="1" s="1"/>
  <c r="V2159" i="1"/>
  <c r="Y2159" i="1" s="1"/>
  <c r="V2163" i="1"/>
  <c r="Y2163" i="1" s="1"/>
  <c r="U1627" i="1"/>
  <c r="V1774" i="1"/>
  <c r="Y1774" i="1" s="1"/>
  <c r="V1806" i="1"/>
  <c r="Y1806" i="1" s="1"/>
  <c r="U1828" i="1"/>
  <c r="V1840" i="1"/>
  <c r="Y1840" i="1" s="1"/>
  <c r="V1846" i="1"/>
  <c r="Y1846" i="1" s="1"/>
  <c r="V1854" i="1"/>
  <c r="Y1854" i="1" s="1"/>
  <c r="V1858" i="1"/>
  <c r="Y1858" i="1" s="1"/>
  <c r="V1862" i="1"/>
  <c r="Y1862" i="1" s="1"/>
  <c r="V1866" i="1"/>
  <c r="Y1866" i="1" s="1"/>
  <c r="V1870" i="1"/>
  <c r="Y1870" i="1" s="1"/>
  <c r="V1874" i="1"/>
  <c r="Y1874" i="1" s="1"/>
  <c r="V1878" i="1"/>
  <c r="Y1878" i="1" s="1"/>
  <c r="V1882" i="1"/>
  <c r="Y1882" i="1" s="1"/>
  <c r="V1886" i="1"/>
  <c r="Y1886" i="1" s="1"/>
  <c r="V1892" i="1"/>
  <c r="Y1892" i="1" s="1"/>
  <c r="V1896" i="1"/>
  <c r="Y1896" i="1" s="1"/>
  <c r="V1900" i="1"/>
  <c r="Y1900" i="1" s="1"/>
  <c r="V1904" i="1"/>
  <c r="Y1904" i="1" s="1"/>
  <c r="V1908" i="1"/>
  <c r="Y1908" i="1" s="1"/>
  <c r="V1912" i="1"/>
  <c r="Y1912" i="1" s="1"/>
  <c r="V1916" i="1"/>
  <c r="Y1916" i="1" s="1"/>
  <c r="V1920" i="1"/>
  <c r="Y1920" i="1" s="1"/>
  <c r="V1924" i="1"/>
  <c r="Y1924" i="1" s="1"/>
  <c r="V1928" i="1"/>
  <c r="Y1928" i="1" s="1"/>
  <c r="V1932" i="1"/>
  <c r="Y1932" i="1" s="1"/>
  <c r="V1936" i="1"/>
  <c r="Y1936" i="1" s="1"/>
  <c r="V1940" i="1"/>
  <c r="Y1940" i="1" s="1"/>
  <c r="V1944" i="1"/>
  <c r="Y1944" i="1" s="1"/>
  <c r="V1948" i="1"/>
  <c r="Y1948" i="1" s="1"/>
  <c r="V1952" i="1"/>
  <c r="Y1952" i="1" s="1"/>
  <c r="V1956" i="1"/>
  <c r="Y1956" i="1" s="1"/>
  <c r="V1960" i="1"/>
  <c r="Y1960" i="1" s="1"/>
  <c r="V1964" i="1"/>
  <c r="Y1964" i="1" s="1"/>
  <c r="V1968" i="1"/>
  <c r="Y1968" i="1" s="1"/>
  <c r="V1972" i="1"/>
  <c r="Y1972" i="1" s="1"/>
  <c r="V1976" i="1"/>
  <c r="Y1976" i="1" s="1"/>
  <c r="V1980" i="1"/>
  <c r="Y1980" i="1" s="1"/>
  <c r="V1984" i="1"/>
  <c r="Y1984" i="1" s="1"/>
  <c r="V1988" i="1"/>
  <c r="Y1988" i="1" s="1"/>
  <c r="V1992" i="1"/>
  <c r="Y1992" i="1" s="1"/>
  <c r="V1996" i="1"/>
  <c r="Y1996" i="1" s="1"/>
  <c r="V2000" i="1"/>
  <c r="Y2000" i="1" s="1"/>
  <c r="V2004" i="1"/>
  <c r="Y2004" i="1" s="1"/>
  <c r="V2008" i="1"/>
  <c r="Y2008" i="1" s="1"/>
  <c r="V2012" i="1"/>
  <c r="Y2012" i="1" s="1"/>
  <c r="V2016" i="1"/>
  <c r="Y2016" i="1" s="1"/>
  <c r="V2020" i="1"/>
  <c r="Y2020" i="1" s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 s="1"/>
  <c r="V1810" i="1"/>
  <c r="Y1810" i="1" s="1"/>
  <c r="V1830" i="1"/>
  <c r="Y1830" i="1" s="1"/>
  <c r="V1841" i="1"/>
  <c r="Y1841" i="1" s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 s="1"/>
  <c r="V2028" i="1"/>
  <c r="Y2028" i="1" s="1"/>
  <c r="V2032" i="1"/>
  <c r="Y2032" i="1" s="1"/>
  <c r="V2036" i="1"/>
  <c r="Y2036" i="1" s="1"/>
  <c r="V2040" i="1"/>
  <c r="Y2040" i="1" s="1"/>
  <c r="V2044" i="1"/>
  <c r="Y2044" i="1" s="1"/>
  <c r="V2048" i="1"/>
  <c r="Y2048" i="1" s="1"/>
  <c r="V2052" i="1"/>
  <c r="Y2052" i="1" s="1"/>
  <c r="V2056" i="1"/>
  <c r="Y2056" i="1" s="1"/>
  <c r="V2060" i="1"/>
  <c r="Y2060" i="1" s="1"/>
  <c r="V2064" i="1"/>
  <c r="Y2064" i="1" s="1"/>
  <c r="V2068" i="1"/>
  <c r="Y2068" i="1" s="1"/>
  <c r="V2072" i="1"/>
  <c r="Y2072" i="1" s="1"/>
  <c r="V2076" i="1"/>
  <c r="Y2076" i="1" s="1"/>
  <c r="V2080" i="1"/>
  <c r="Y2080" i="1" s="1"/>
  <c r="V2084" i="1"/>
  <c r="Y2084" i="1" s="1"/>
  <c r="V2088" i="1"/>
  <c r="Y2088" i="1" s="1"/>
  <c r="V2092" i="1"/>
  <c r="Y2092" i="1" s="1"/>
  <c r="V2096" i="1"/>
  <c r="Y2096" i="1" s="1"/>
  <c r="V2100" i="1"/>
  <c r="Y2100" i="1" s="1"/>
  <c r="V2104" i="1"/>
  <c r="Y2104" i="1" s="1"/>
  <c r="V2108" i="1"/>
  <c r="Y2108" i="1" s="1"/>
  <c r="V2112" i="1"/>
  <c r="Y2112" i="1" s="1"/>
  <c r="V2116" i="1"/>
  <c r="Y2116" i="1" s="1"/>
  <c r="V2120" i="1"/>
  <c r="Y2120" i="1" s="1"/>
  <c r="V2124" i="1"/>
  <c r="Y2124" i="1" s="1"/>
  <c r="V2128" i="1"/>
  <c r="Y2128" i="1" s="1"/>
  <c r="V2132" i="1"/>
  <c r="Y2132" i="1" s="1"/>
  <c r="V2136" i="1"/>
  <c r="Y2136" i="1" s="1"/>
  <c r="V2140" i="1"/>
  <c r="Y2140" i="1" s="1"/>
  <c r="V2144" i="1"/>
  <c r="Y2144" i="1" s="1"/>
  <c r="V2148" i="1"/>
  <c r="Y2148" i="1" s="1"/>
  <c r="V2152" i="1"/>
  <c r="Y2152" i="1" s="1"/>
  <c r="V2156" i="1"/>
  <c r="Y2156" i="1" s="1"/>
  <c r="V2160" i="1"/>
  <c r="Y2160" i="1" s="1"/>
  <c r="V2164" i="1"/>
  <c r="Y2164" i="1" s="1"/>
  <c r="U1201" i="1"/>
  <c r="U1691" i="1"/>
  <c r="V1782" i="1"/>
  <c r="Y1782" i="1" s="1"/>
  <c r="V1814" i="1"/>
  <c r="Y1814" i="1" s="1"/>
  <c r="U1832" i="1"/>
  <c r="V1842" i="1"/>
  <c r="Y1842" i="1" s="1"/>
  <c r="V1847" i="1"/>
  <c r="Y1847" i="1" s="1"/>
  <c r="V1851" i="1"/>
  <c r="Y1851" i="1" s="1"/>
  <c r="V1855" i="1"/>
  <c r="Y1855" i="1" s="1"/>
  <c r="V1859" i="1"/>
  <c r="Y1859" i="1" s="1"/>
  <c r="V1863" i="1"/>
  <c r="Y1863" i="1" s="1"/>
  <c r="V1867" i="1"/>
  <c r="Y1867" i="1" s="1"/>
  <c r="V1871" i="1"/>
  <c r="Y1871" i="1" s="1"/>
  <c r="V1875" i="1"/>
  <c r="Y1875" i="1" s="1"/>
  <c r="V1879" i="1"/>
  <c r="Y1879" i="1" s="1"/>
  <c r="V1883" i="1"/>
  <c r="Y1883" i="1" s="1"/>
  <c r="V1887" i="1"/>
  <c r="Y1887" i="1" s="1"/>
  <c r="V1893" i="1"/>
  <c r="Y1893" i="1" s="1"/>
  <c r="V1897" i="1"/>
  <c r="Y1897" i="1" s="1"/>
  <c r="V1901" i="1"/>
  <c r="Y1901" i="1" s="1"/>
  <c r="V1905" i="1"/>
  <c r="Y1905" i="1" s="1"/>
  <c r="V1909" i="1"/>
  <c r="Y1909" i="1" s="1"/>
  <c r="V1913" i="1"/>
  <c r="Y1913" i="1" s="1"/>
  <c r="V1917" i="1"/>
  <c r="Y1917" i="1" s="1"/>
  <c r="V1921" i="1"/>
  <c r="Y1921" i="1" s="1"/>
  <c r="V1925" i="1"/>
  <c r="Y1925" i="1" s="1"/>
  <c r="V1929" i="1"/>
  <c r="Y1929" i="1" s="1"/>
  <c r="V1933" i="1"/>
  <c r="Y1933" i="1" s="1"/>
  <c r="V1937" i="1"/>
  <c r="Y1937" i="1" s="1"/>
  <c r="V1941" i="1"/>
  <c r="Y1941" i="1" s="1"/>
  <c r="V1945" i="1"/>
  <c r="Y1945" i="1" s="1"/>
  <c r="V1949" i="1"/>
  <c r="Y1949" i="1" s="1"/>
  <c r="V1953" i="1"/>
  <c r="Y1953" i="1" s="1"/>
  <c r="V1957" i="1"/>
  <c r="Y1957" i="1" s="1"/>
  <c r="V1961" i="1"/>
  <c r="Y1961" i="1" s="1"/>
  <c r="V1965" i="1"/>
  <c r="Y1965" i="1" s="1"/>
  <c r="V1969" i="1"/>
  <c r="Y1969" i="1" s="1"/>
  <c r="V1973" i="1"/>
  <c r="Y1973" i="1" s="1"/>
  <c r="V1977" i="1"/>
  <c r="Y1977" i="1" s="1"/>
  <c r="V1981" i="1"/>
  <c r="Y1981" i="1" s="1"/>
  <c r="V1985" i="1"/>
  <c r="Y1985" i="1" s="1"/>
  <c r="V1989" i="1"/>
  <c r="Y1989" i="1" s="1"/>
  <c r="V1993" i="1"/>
  <c r="Y1993" i="1" s="1"/>
  <c r="V1997" i="1"/>
  <c r="Y1997" i="1" s="1"/>
  <c r="V2001" i="1"/>
  <c r="Y2001" i="1" s="1"/>
  <c r="V2005" i="1"/>
  <c r="Y2005" i="1" s="1"/>
  <c r="V2009" i="1"/>
  <c r="Y2009" i="1" s="1"/>
  <c r="V2013" i="1"/>
  <c r="Y2013" i="1" s="1"/>
  <c r="V2017" i="1"/>
  <c r="Y2017" i="1" s="1"/>
  <c r="V2021" i="1"/>
  <c r="Y2021" i="1" s="1"/>
  <c r="U2025" i="1"/>
  <c r="U2029" i="1"/>
  <c r="U2033" i="1"/>
  <c r="U2037" i="1"/>
  <c r="U2041" i="1"/>
  <c r="X2041" i="1" s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 s="1"/>
  <c r="U1724" i="1"/>
  <c r="V1786" i="1"/>
  <c r="Y1786" i="1" s="1"/>
  <c r="V1818" i="1"/>
  <c r="Y1818" i="1" s="1"/>
  <c r="V1834" i="1"/>
  <c r="Y1834" i="1" s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 s="1"/>
  <c r="V2029" i="1"/>
  <c r="Y2029" i="1" s="1"/>
  <c r="V2033" i="1"/>
  <c r="Y2033" i="1" s="1"/>
  <c r="V2037" i="1"/>
  <c r="Y2037" i="1" s="1"/>
  <c r="V2041" i="1"/>
  <c r="Y2041" i="1" s="1"/>
  <c r="V2045" i="1"/>
  <c r="Y2045" i="1" s="1"/>
  <c r="V2049" i="1"/>
  <c r="Y2049" i="1" s="1"/>
  <c r="V2053" i="1"/>
  <c r="Y2053" i="1" s="1"/>
  <c r="V2057" i="1"/>
  <c r="Y2057" i="1" s="1"/>
  <c r="V2061" i="1"/>
  <c r="Y2061" i="1" s="1"/>
  <c r="V2065" i="1"/>
  <c r="Y2065" i="1" s="1"/>
  <c r="V2069" i="1"/>
  <c r="Y2069" i="1" s="1"/>
  <c r="V2073" i="1"/>
  <c r="Y2073" i="1" s="1"/>
  <c r="V2077" i="1"/>
  <c r="Y2077" i="1" s="1"/>
  <c r="V2081" i="1"/>
  <c r="Y2081" i="1" s="1"/>
  <c r="V2089" i="1"/>
  <c r="Y2089" i="1" s="1"/>
  <c r="V2093" i="1"/>
  <c r="Y2093" i="1" s="1"/>
  <c r="V2097" i="1"/>
  <c r="Y2097" i="1" s="1"/>
  <c r="V2101" i="1"/>
  <c r="Y2101" i="1" s="1"/>
  <c r="V2105" i="1"/>
  <c r="Y2105" i="1" s="1"/>
  <c r="V2109" i="1"/>
  <c r="Y2109" i="1" s="1"/>
  <c r="V2113" i="1"/>
  <c r="Y2113" i="1" s="1"/>
  <c r="V2117" i="1"/>
  <c r="Y2117" i="1" s="1"/>
  <c r="V2121" i="1"/>
  <c r="Y2121" i="1" s="1"/>
  <c r="V2125" i="1"/>
  <c r="Y2125" i="1" s="1"/>
  <c r="V2129" i="1"/>
  <c r="Y2129" i="1" s="1"/>
  <c r="V2133" i="1"/>
  <c r="Y2133" i="1" s="1"/>
  <c r="V2137" i="1"/>
  <c r="Y2137" i="1" s="1"/>
  <c r="V2141" i="1"/>
  <c r="Y2141" i="1" s="1"/>
  <c r="V2145" i="1"/>
  <c r="Y2145" i="1" s="1"/>
  <c r="V2149" i="1"/>
  <c r="Y2149" i="1" s="1"/>
  <c r="V2153" i="1"/>
  <c r="Y2153" i="1" s="1"/>
  <c r="V2157" i="1"/>
  <c r="Y2157" i="1" s="1"/>
  <c r="J33" i="109"/>
  <c r="E67" i="26"/>
  <c r="E53" i="26"/>
  <c r="E65" i="26"/>
  <c r="F9" i="111"/>
  <c r="I9" i="111" s="1"/>
  <c r="E59" i="26"/>
  <c r="E68" i="26"/>
  <c r="E27" i="26"/>
  <c r="E26" i="26"/>
  <c r="O84" i="78"/>
  <c r="D88" i="79"/>
  <c r="G88" i="79" s="1"/>
  <c r="F22" i="111"/>
  <c r="E69" i="26"/>
  <c r="E20" i="26"/>
  <c r="E21" i="26"/>
  <c r="E47" i="26"/>
  <c r="H5" i="97"/>
  <c r="H80" i="97"/>
  <c r="E56" i="26"/>
  <c r="E35" i="26"/>
  <c r="E19" i="26"/>
  <c r="E70" i="26"/>
  <c r="E72" i="26"/>
  <c r="O54" i="78"/>
  <c r="E32" i="26"/>
  <c r="E46" i="26"/>
  <c r="E36" i="26"/>
  <c r="E33" i="26"/>
  <c r="E66" i="26"/>
  <c r="D85" i="79"/>
  <c r="G85" i="79" s="1"/>
  <c r="E37" i="26"/>
  <c r="E16" i="26"/>
  <c r="E63" i="26"/>
  <c r="E76" i="26"/>
  <c r="E34" i="26"/>
  <c r="E42" i="26"/>
  <c r="E51" i="26"/>
  <c r="F18" i="111"/>
  <c r="E48" i="26"/>
  <c r="E43" i="26"/>
  <c r="E39" i="26"/>
  <c r="E30" i="26"/>
  <c r="E60" i="26"/>
  <c r="F23" i="111"/>
  <c r="E74" i="26"/>
  <c r="E62" i="26"/>
  <c r="E75" i="26"/>
  <c r="E50" i="26"/>
  <c r="E40" i="26"/>
  <c r="E44" i="26"/>
  <c r="O74" i="78"/>
  <c r="O71" i="78"/>
  <c r="D70" i="79"/>
  <c r="D49" i="79"/>
  <c r="H59" i="97"/>
  <c r="H13" i="97"/>
  <c r="H44" i="97"/>
  <c r="H96" i="97"/>
  <c r="H23" i="97"/>
  <c r="O53" i="78"/>
  <c r="O9" i="78"/>
  <c r="H8" i="97"/>
  <c r="H107" i="97"/>
  <c r="O30" i="78"/>
  <c r="D93" i="79"/>
  <c r="G93" i="79" s="1"/>
  <c r="H38" i="97"/>
  <c r="H52" i="97"/>
  <c r="H4" i="97"/>
  <c r="H70" i="97"/>
  <c r="F6" i="111"/>
  <c r="I6" i="111" s="1"/>
  <c r="D80" i="79"/>
  <c r="G80" i="79" s="1"/>
  <c r="H64" i="97"/>
  <c r="H102" i="97"/>
  <c r="H62" i="97"/>
  <c r="H12" i="97"/>
  <c r="H77" i="97"/>
  <c r="H89" i="97"/>
  <c r="H76" i="97"/>
  <c r="H47" i="97"/>
  <c r="F11" i="111"/>
  <c r="I11" i="111" s="1"/>
  <c r="H78" i="97"/>
  <c r="H79" i="97"/>
  <c r="D67" i="79"/>
  <c r="D72" i="79"/>
  <c r="H19" i="97"/>
  <c r="H75" i="97"/>
  <c r="O39" i="78"/>
  <c r="D20" i="79"/>
  <c r="F4" i="111"/>
  <c r="I4" i="111" s="1"/>
  <c r="D35" i="79"/>
  <c r="O45" i="78"/>
  <c r="D53" i="79"/>
  <c r="O79" i="78"/>
  <c r="O20" i="78"/>
  <c r="D18" i="79"/>
  <c r="G18" i="79" s="1"/>
  <c r="O72" i="78"/>
  <c r="D66" i="79"/>
  <c r="D75" i="79"/>
  <c r="O50" i="78"/>
  <c r="O24" i="78"/>
  <c r="O57" i="78"/>
  <c r="D41" i="79"/>
  <c r="F14" i="111"/>
  <c r="F20" i="111"/>
  <c r="D16" i="79"/>
  <c r="G16" i="79" s="1"/>
  <c r="D46" i="79"/>
  <c r="O48" i="78"/>
  <c r="O13" i="78"/>
  <c r="O73" i="78"/>
  <c r="D58" i="79"/>
  <c r="D9" i="79"/>
  <c r="G9" i="79" s="1"/>
  <c r="D34" i="79"/>
  <c r="O25" i="78"/>
  <c r="D32" i="79"/>
  <c r="D76" i="79"/>
  <c r="G76" i="79" s="1"/>
  <c r="D45" i="79"/>
  <c r="D62" i="79"/>
  <c r="D21" i="79"/>
  <c r="O40" i="78"/>
  <c r="O82" i="78"/>
  <c r="O62" i="78"/>
  <c r="D42" i="79"/>
  <c r="H90" i="97"/>
  <c r="H83" i="97"/>
  <c r="H50" i="97"/>
  <c r="O37" i="78"/>
  <c r="O42" i="78"/>
  <c r="D79" i="79"/>
  <c r="G79" i="79" s="1"/>
  <c r="O46" i="78"/>
  <c r="O27" i="78"/>
  <c r="D36" i="79"/>
  <c r="O59" i="78"/>
  <c r="D78" i="79"/>
  <c r="G78" i="79" s="1"/>
  <c r="H45" i="97"/>
  <c r="H63" i="97"/>
  <c r="H49" i="97"/>
  <c r="H6" i="97"/>
  <c r="H116" i="97"/>
  <c r="D55" i="79"/>
  <c r="O65" i="78"/>
  <c r="H61" i="97"/>
  <c r="H86" i="97"/>
  <c r="F19" i="111"/>
  <c r="O41" i="78"/>
  <c r="O81" i="78"/>
  <c r="O32" i="78"/>
  <c r="D33" i="79"/>
  <c r="F21" i="111"/>
  <c r="O78" i="78"/>
  <c r="D68" i="79"/>
  <c r="O68" i="78"/>
  <c r="O15" i="78"/>
  <c r="O80" i="78"/>
  <c r="H71" i="97"/>
  <c r="H87" i="97"/>
  <c r="H7" i="97"/>
  <c r="H46" i="97"/>
  <c r="H24" i="97"/>
  <c r="H20" i="97"/>
  <c r="H152" i="97"/>
  <c r="H121" i="97"/>
  <c r="H39" i="97"/>
  <c r="H160" i="97"/>
  <c r="H99" i="97"/>
  <c r="H88" i="97"/>
  <c r="H58" i="97"/>
  <c r="D61" i="79"/>
  <c r="O23" i="78"/>
  <c r="D37" i="79"/>
  <c r="O36" i="78"/>
  <c r="F16" i="111"/>
  <c r="D74" i="79"/>
  <c r="D11" i="79"/>
  <c r="G11" i="79" s="1"/>
  <c r="O83" i="78"/>
  <c r="D64" i="79"/>
  <c r="O70" i="78"/>
  <c r="O49" i="78"/>
  <c r="H91" i="97"/>
  <c r="H60" i="97"/>
  <c r="H112" i="97"/>
  <c r="C29" i="115"/>
  <c r="V18" i="1"/>
  <c r="Y18" i="1" s="1"/>
  <c r="V23" i="1"/>
  <c r="Y23" i="1" s="1"/>
  <c r="U37" i="1"/>
  <c r="X37" i="1" s="1"/>
  <c r="U61" i="1"/>
  <c r="X61" i="1" s="1"/>
  <c r="U75" i="1"/>
  <c r="X75" i="1" s="1"/>
  <c r="U79" i="1"/>
  <c r="X79" i="1" s="1"/>
  <c r="U83" i="1"/>
  <c r="X83" i="1" s="1"/>
  <c r="U87" i="1"/>
  <c r="X87" i="1" s="1"/>
  <c r="U91" i="1"/>
  <c r="X91" i="1" s="1"/>
  <c r="U95" i="1"/>
  <c r="X95" i="1" s="1"/>
  <c r="U103" i="1"/>
  <c r="X103" i="1" s="1"/>
  <c r="U107" i="1"/>
  <c r="X107" i="1" s="1"/>
  <c r="U111" i="1"/>
  <c r="X111" i="1" s="1"/>
  <c r="U117" i="1"/>
  <c r="X117" i="1" s="1"/>
  <c r="U123" i="1"/>
  <c r="X123" i="1" s="1"/>
  <c r="U133" i="1"/>
  <c r="X133" i="1" s="1"/>
  <c r="U139" i="1"/>
  <c r="X139" i="1" s="1"/>
  <c r="U149" i="1"/>
  <c r="X149" i="1" s="1"/>
  <c r="U163" i="1"/>
  <c r="X163" i="1" s="1"/>
  <c r="U173" i="1"/>
  <c r="X173" i="1" s="1"/>
  <c r="U177" i="1"/>
  <c r="X177" i="1" s="1"/>
  <c r="U185" i="1"/>
  <c r="X185" i="1" s="1"/>
  <c r="U195" i="1"/>
  <c r="X195" i="1" s="1"/>
  <c r="U205" i="1"/>
  <c r="X205" i="1" s="1"/>
  <c r="U211" i="1"/>
  <c r="X211" i="1" s="1"/>
  <c r="U221" i="1"/>
  <c r="X221" i="1" s="1"/>
  <c r="U231" i="1"/>
  <c r="X231" i="1" s="1"/>
  <c r="U241" i="1"/>
  <c r="X241" i="1" s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 s="1"/>
  <c r="U364" i="1"/>
  <c r="U368" i="1"/>
  <c r="U372" i="1"/>
  <c r="X372" i="1" s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 s="1"/>
  <c r="V37" i="1"/>
  <c r="Y37" i="1" s="1"/>
  <c r="U47" i="1"/>
  <c r="X47" i="1" s="1"/>
  <c r="U55" i="1"/>
  <c r="X55" i="1" s="1"/>
  <c r="V61" i="1"/>
  <c r="Y61" i="1" s="1"/>
  <c r="U69" i="1"/>
  <c r="X69" i="1" s="1"/>
  <c r="V75" i="1"/>
  <c r="Y75" i="1" s="1"/>
  <c r="V79" i="1"/>
  <c r="Y79" i="1" s="1"/>
  <c r="V83" i="1"/>
  <c r="Y83" i="1" s="1"/>
  <c r="V87" i="1"/>
  <c r="Y87" i="1" s="1"/>
  <c r="V91" i="1"/>
  <c r="Y91" i="1" s="1"/>
  <c r="V95" i="1"/>
  <c r="Y95" i="1" s="1"/>
  <c r="V103" i="1"/>
  <c r="Y103" i="1" s="1"/>
  <c r="V107" i="1"/>
  <c r="Y107" i="1" s="1"/>
  <c r="V111" i="1"/>
  <c r="Y111" i="1" s="1"/>
  <c r="V117" i="1"/>
  <c r="Y117" i="1" s="1"/>
  <c r="V123" i="1"/>
  <c r="Y123" i="1" s="1"/>
  <c r="V133" i="1"/>
  <c r="Y133" i="1" s="1"/>
  <c r="V139" i="1"/>
  <c r="Y139" i="1" s="1"/>
  <c r="V149" i="1"/>
  <c r="Y149" i="1" s="1"/>
  <c r="V163" i="1"/>
  <c r="Y163" i="1" s="1"/>
  <c r="V173" i="1"/>
  <c r="Y173" i="1" s="1"/>
  <c r="V177" i="1"/>
  <c r="Y177" i="1" s="1"/>
  <c r="V185" i="1"/>
  <c r="Y185" i="1" s="1"/>
  <c r="V195" i="1"/>
  <c r="Y195" i="1" s="1"/>
  <c r="V205" i="1"/>
  <c r="Y205" i="1" s="1"/>
  <c r="V211" i="1"/>
  <c r="Y211" i="1" s="1"/>
  <c r="V221" i="1"/>
  <c r="Y221" i="1" s="1"/>
  <c r="V231" i="1"/>
  <c r="Y231" i="1" s="1"/>
  <c r="V241" i="1"/>
  <c r="Y241" i="1" s="1"/>
  <c r="V255" i="1"/>
  <c r="Y255" i="1" s="1"/>
  <c r="V265" i="1"/>
  <c r="Y265" i="1" s="1"/>
  <c r="V271" i="1"/>
  <c r="Y271" i="1" s="1"/>
  <c r="V281" i="1"/>
  <c r="Y281" i="1" s="1"/>
  <c r="V291" i="1"/>
  <c r="Y291" i="1" s="1"/>
  <c r="V297" i="1"/>
  <c r="Y297" i="1" s="1"/>
  <c r="V301" i="1"/>
  <c r="Y301" i="1" s="1"/>
  <c r="V307" i="1"/>
  <c r="Y307" i="1" s="1"/>
  <c r="V313" i="1"/>
  <c r="Y313" i="1" s="1"/>
  <c r="V317" i="1"/>
  <c r="Y317" i="1" s="1"/>
  <c r="V323" i="1"/>
  <c r="Y323" i="1" s="1"/>
  <c r="V333" i="1"/>
  <c r="Y333" i="1" s="1"/>
  <c r="V337" i="1"/>
  <c r="Y337" i="1" s="1"/>
  <c r="V350" i="1"/>
  <c r="Y350" i="1" s="1"/>
  <c r="V354" i="1"/>
  <c r="Y354" i="1" s="1"/>
  <c r="V359" i="1"/>
  <c r="Y359" i="1" s="1"/>
  <c r="V364" i="1"/>
  <c r="Y364" i="1" s="1"/>
  <c r="V368" i="1"/>
  <c r="Y368" i="1" s="1"/>
  <c r="V372" i="1"/>
  <c r="Y372" i="1" s="1"/>
  <c r="V376" i="1"/>
  <c r="Y376" i="1" s="1"/>
  <c r="V380" i="1"/>
  <c r="Y380" i="1" s="1"/>
  <c r="V385" i="1"/>
  <c r="Y385" i="1" s="1"/>
  <c r="V389" i="1"/>
  <c r="Y389" i="1" s="1"/>
  <c r="V393" i="1"/>
  <c r="Y393" i="1" s="1"/>
  <c r="V397" i="1"/>
  <c r="Y397" i="1" s="1"/>
  <c r="V401" i="1"/>
  <c r="Y401" i="1" s="1"/>
  <c r="V405" i="1"/>
  <c r="Y405" i="1" s="1"/>
  <c r="V409" i="1"/>
  <c r="Y409" i="1" s="1"/>
  <c r="V416" i="1"/>
  <c r="Y416" i="1" s="1"/>
  <c r="V426" i="1"/>
  <c r="Y426" i="1" s="1"/>
  <c r="V438" i="1"/>
  <c r="Y438" i="1" s="1"/>
  <c r="V442" i="1"/>
  <c r="Y442" i="1" s="1"/>
  <c r="V452" i="1"/>
  <c r="Y452" i="1" s="1"/>
  <c r="V462" i="1"/>
  <c r="Y462" i="1" s="1"/>
  <c r="V468" i="1"/>
  <c r="Y468" i="1" s="1"/>
  <c r="V478" i="1"/>
  <c r="Y478" i="1" s="1"/>
  <c r="V482" i="1"/>
  <c r="Y482" i="1" s="1"/>
  <c r="V488" i="1"/>
  <c r="Y488" i="1" s="1"/>
  <c r="V492" i="1"/>
  <c r="Y492" i="1" s="1"/>
  <c r="V498" i="1"/>
  <c r="Y498" i="1" s="1"/>
  <c r="V502" i="1"/>
  <c r="Y502" i="1" s="1"/>
  <c r="V508" i="1"/>
  <c r="Y508" i="1" s="1"/>
  <c r="V512" i="1"/>
  <c r="Y512" i="1" s="1"/>
  <c r="V518" i="1"/>
  <c r="Y518" i="1" s="1"/>
  <c r="V522" i="1"/>
  <c r="Y522" i="1" s="1"/>
  <c r="V528" i="1"/>
  <c r="Y528" i="1" s="1"/>
  <c r="V536" i="1"/>
  <c r="Y536" i="1" s="1"/>
  <c r="V544" i="1"/>
  <c r="Y544" i="1" s="1"/>
  <c r="V552" i="1"/>
  <c r="Y552" i="1" s="1"/>
  <c r="V560" i="1"/>
  <c r="Y560" i="1" s="1"/>
  <c r="V564" i="1"/>
  <c r="Y564" i="1" s="1"/>
  <c r="V568" i="1"/>
  <c r="Y568" i="1" s="1"/>
  <c r="V572" i="1"/>
  <c r="Y572" i="1" s="1"/>
  <c r="V576" i="1"/>
  <c r="Y576" i="1" s="1"/>
  <c r="V27" i="1"/>
  <c r="Y27" i="1" s="1"/>
  <c r="V47" i="1"/>
  <c r="Y47" i="1" s="1"/>
  <c r="V55" i="1"/>
  <c r="Y55" i="1" s="1"/>
  <c r="U63" i="1"/>
  <c r="X63" i="1" s="1"/>
  <c r="V69" i="1"/>
  <c r="Y69" i="1" s="1"/>
  <c r="U80" i="1"/>
  <c r="X80" i="1" s="1"/>
  <c r="U84" i="1"/>
  <c r="X84" i="1" s="1"/>
  <c r="U88" i="1"/>
  <c r="X88" i="1" s="1"/>
  <c r="U92" i="1"/>
  <c r="X92" i="1" s="1"/>
  <c r="U96" i="1"/>
  <c r="X96" i="1" s="1"/>
  <c r="U100" i="1"/>
  <c r="X100" i="1" s="1"/>
  <c r="U104" i="1"/>
  <c r="X104" i="1" s="1"/>
  <c r="U108" i="1"/>
  <c r="X108" i="1" s="1"/>
  <c r="U114" i="1"/>
  <c r="X114" i="1" s="1"/>
  <c r="U124" i="1"/>
  <c r="X124" i="1" s="1"/>
  <c r="U128" i="1"/>
  <c r="X128" i="1" s="1"/>
  <c r="U134" i="1"/>
  <c r="X134" i="1" s="1"/>
  <c r="U140" i="1"/>
  <c r="X140" i="1" s="1"/>
  <c r="U144" i="1"/>
  <c r="X144" i="1" s="1"/>
  <c r="U150" i="1"/>
  <c r="X150" i="1" s="1"/>
  <c r="U164" i="1"/>
  <c r="X164" i="1" s="1"/>
  <c r="U170" i="1"/>
  <c r="X170" i="1" s="1"/>
  <c r="U174" i="1"/>
  <c r="X174" i="1" s="1"/>
  <c r="U178" i="1"/>
  <c r="X178" i="1" s="1"/>
  <c r="U186" i="1"/>
  <c r="X186" i="1" s="1"/>
  <c r="U196" i="1"/>
  <c r="X196" i="1" s="1"/>
  <c r="U202" i="1"/>
  <c r="X202" i="1" s="1"/>
  <c r="U212" i="1"/>
  <c r="X212" i="1" s="1"/>
  <c r="U216" i="1"/>
  <c r="X216" i="1" s="1"/>
  <c r="U222" i="1"/>
  <c r="X222" i="1" s="1"/>
  <c r="U226" i="1"/>
  <c r="X226" i="1" s="1"/>
  <c r="U232" i="1"/>
  <c r="X232" i="1" s="1"/>
  <c r="U236" i="1"/>
  <c r="X236" i="1" s="1"/>
  <c r="U242" i="1"/>
  <c r="X242" i="1" s="1"/>
  <c r="U250" i="1"/>
  <c r="X250" i="1" s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 s="1"/>
  <c r="V50" i="1"/>
  <c r="Y50" i="1" s="1"/>
  <c r="V63" i="1"/>
  <c r="Y63" i="1" s="1"/>
  <c r="V72" i="1"/>
  <c r="Y72" i="1" s="1"/>
  <c r="V80" i="1"/>
  <c r="Y80" i="1" s="1"/>
  <c r="V84" i="1"/>
  <c r="Y84" i="1" s="1"/>
  <c r="V88" i="1"/>
  <c r="Y88" i="1" s="1"/>
  <c r="V92" i="1"/>
  <c r="Y92" i="1" s="1"/>
  <c r="V96" i="1"/>
  <c r="Y96" i="1" s="1"/>
  <c r="V100" i="1"/>
  <c r="Y100" i="1" s="1"/>
  <c r="V104" i="1"/>
  <c r="Y104" i="1" s="1"/>
  <c r="V108" i="1"/>
  <c r="Y108" i="1" s="1"/>
  <c r="V114" i="1"/>
  <c r="Y114" i="1" s="1"/>
  <c r="V124" i="1"/>
  <c r="Y124" i="1" s="1"/>
  <c r="V128" i="1"/>
  <c r="Y128" i="1" s="1"/>
  <c r="V134" i="1"/>
  <c r="Y134" i="1" s="1"/>
  <c r="V140" i="1"/>
  <c r="Y140" i="1" s="1"/>
  <c r="V144" i="1"/>
  <c r="Y144" i="1" s="1"/>
  <c r="V150" i="1"/>
  <c r="Y150" i="1" s="1"/>
  <c r="V164" i="1"/>
  <c r="Y164" i="1" s="1"/>
  <c r="V170" i="1"/>
  <c r="Y170" i="1" s="1"/>
  <c r="V174" i="1"/>
  <c r="Y174" i="1" s="1"/>
  <c r="V178" i="1"/>
  <c r="Y178" i="1" s="1"/>
  <c r="V186" i="1"/>
  <c r="Y186" i="1" s="1"/>
  <c r="V196" i="1"/>
  <c r="Y196" i="1" s="1"/>
  <c r="V202" i="1"/>
  <c r="Y202" i="1" s="1"/>
  <c r="V212" i="1"/>
  <c r="Y212" i="1" s="1"/>
  <c r="V216" i="1"/>
  <c r="Y216" i="1" s="1"/>
  <c r="V222" i="1"/>
  <c r="Y222" i="1" s="1"/>
  <c r="V226" i="1"/>
  <c r="Y226" i="1" s="1"/>
  <c r="V232" i="1"/>
  <c r="Y232" i="1" s="1"/>
  <c r="V236" i="1"/>
  <c r="Y236" i="1" s="1"/>
  <c r="V242" i="1"/>
  <c r="Y242" i="1" s="1"/>
  <c r="V250" i="1"/>
  <c r="Y250" i="1" s="1"/>
  <c r="V256" i="1"/>
  <c r="Y256" i="1" s="1"/>
  <c r="V262" i="1"/>
  <c r="Y262" i="1" s="1"/>
  <c r="V266" i="1"/>
  <c r="Y266" i="1" s="1"/>
  <c r="V272" i="1"/>
  <c r="Y272" i="1" s="1"/>
  <c r="V282" i="1"/>
  <c r="Y282" i="1" s="1"/>
  <c r="V288" i="1"/>
  <c r="Y288" i="1" s="1"/>
  <c r="V292" i="1"/>
  <c r="Y292" i="1" s="1"/>
  <c r="V298" i="1"/>
  <c r="Y298" i="1" s="1"/>
  <c r="V302" i="1"/>
  <c r="Y302" i="1" s="1"/>
  <c r="V314" i="1"/>
  <c r="Y314" i="1" s="1"/>
  <c r="V324" i="1"/>
  <c r="Y324" i="1" s="1"/>
  <c r="V334" i="1"/>
  <c r="Y334" i="1" s="1"/>
  <c r="V338" i="1"/>
  <c r="Y338" i="1" s="1"/>
  <c r="V342" i="1"/>
  <c r="Y342" i="1" s="1"/>
  <c r="V347" i="1"/>
  <c r="Y347" i="1" s="1"/>
  <c r="V351" i="1"/>
  <c r="Y351" i="1" s="1"/>
  <c r="V355" i="1"/>
  <c r="Y355" i="1" s="1"/>
  <c r="V360" i="1"/>
  <c r="Y360" i="1" s="1"/>
  <c r="V365" i="1"/>
  <c r="Y365" i="1" s="1"/>
  <c r="V369" i="1"/>
  <c r="Y369" i="1" s="1"/>
  <c r="V373" i="1"/>
  <c r="Y373" i="1" s="1"/>
  <c r="V377" i="1"/>
  <c r="Y377" i="1" s="1"/>
  <c r="V381" i="1"/>
  <c r="Y381" i="1" s="1"/>
  <c r="V386" i="1"/>
  <c r="Y386" i="1" s="1"/>
  <c r="V390" i="1"/>
  <c r="Y390" i="1" s="1"/>
  <c r="V398" i="1"/>
  <c r="Y398" i="1" s="1"/>
  <c r="V402" i="1"/>
  <c r="Y402" i="1" s="1"/>
  <c r="V406" i="1"/>
  <c r="Y406" i="1" s="1"/>
  <c r="V417" i="1"/>
  <c r="Y417" i="1" s="1"/>
  <c r="V427" i="1"/>
  <c r="Y427" i="1" s="1"/>
  <c r="V431" i="1"/>
  <c r="Y431" i="1" s="1"/>
  <c r="V439" i="1"/>
  <c r="Y439" i="1" s="1"/>
  <c r="V443" i="1"/>
  <c r="Y443" i="1" s="1"/>
  <c r="V453" i="1"/>
  <c r="Y453" i="1" s="1"/>
  <c r="V459" i="1"/>
  <c r="Y459" i="1" s="1"/>
  <c r="V469" i="1"/>
  <c r="Y469" i="1" s="1"/>
  <c r="V473" i="1"/>
  <c r="Y473" i="1" s="1"/>
  <c r="V479" i="1"/>
  <c r="Y479" i="1" s="1"/>
  <c r="V489" i="1"/>
  <c r="Y489" i="1" s="1"/>
  <c r="V499" i="1"/>
  <c r="Y499" i="1" s="1"/>
  <c r="V509" i="1"/>
  <c r="Y509" i="1" s="1"/>
  <c r="V519" i="1"/>
  <c r="Y519" i="1" s="1"/>
  <c r="V523" i="1"/>
  <c r="Y523" i="1" s="1"/>
  <c r="V529" i="1"/>
  <c r="Y529" i="1" s="1"/>
  <c r="V537" i="1"/>
  <c r="Y537" i="1" s="1"/>
  <c r="V541" i="1"/>
  <c r="Y541" i="1" s="1"/>
  <c r="V545" i="1"/>
  <c r="Y545" i="1" s="1"/>
  <c r="V553" i="1"/>
  <c r="Y553" i="1" s="1"/>
  <c r="V557" i="1"/>
  <c r="Y557" i="1" s="1"/>
  <c r="V561" i="1"/>
  <c r="Y561" i="1" s="1"/>
  <c r="U17" i="1"/>
  <c r="X17" i="1" s="1"/>
  <c r="U33" i="1"/>
  <c r="X33" i="1" s="1"/>
  <c r="U43" i="1"/>
  <c r="X43" i="1" s="1"/>
  <c r="U51" i="1"/>
  <c r="X51" i="1" s="1"/>
  <c r="V66" i="1"/>
  <c r="Y66" i="1" s="1"/>
  <c r="U73" i="1"/>
  <c r="X73" i="1" s="1"/>
  <c r="U85" i="1"/>
  <c r="X85" i="1" s="1"/>
  <c r="U89" i="1"/>
  <c r="X89" i="1" s="1"/>
  <c r="U97" i="1"/>
  <c r="X97" i="1" s="1"/>
  <c r="U101" i="1"/>
  <c r="X101" i="1" s="1"/>
  <c r="U105" i="1"/>
  <c r="X105" i="1" s="1"/>
  <c r="U109" i="1"/>
  <c r="X109" i="1" s="1"/>
  <c r="U115" i="1"/>
  <c r="X115" i="1" s="1"/>
  <c r="U119" i="1"/>
  <c r="X119" i="1" s="1"/>
  <c r="U125" i="1"/>
  <c r="X125" i="1" s="1"/>
  <c r="U131" i="1"/>
  <c r="X131" i="1" s="1"/>
  <c r="U141" i="1"/>
  <c r="X141" i="1" s="1"/>
  <c r="U151" i="1"/>
  <c r="X151" i="1" s="1"/>
  <c r="U155" i="1"/>
  <c r="X155" i="1" s="1"/>
  <c r="U161" i="1"/>
  <c r="X161" i="1" s="1"/>
  <c r="U171" i="1"/>
  <c r="X171" i="1" s="1"/>
  <c r="U179" i="1"/>
  <c r="X179" i="1" s="1"/>
  <c r="U183" i="1"/>
  <c r="X183" i="1" s="1"/>
  <c r="U187" i="1"/>
  <c r="X187" i="1" s="1"/>
  <c r="U193" i="1"/>
  <c r="X193" i="1" s="1"/>
  <c r="U203" i="1"/>
  <c r="X203" i="1" s="1"/>
  <c r="U213" i="1"/>
  <c r="X213" i="1" s="1"/>
  <c r="U219" i="1"/>
  <c r="X219" i="1" s="1"/>
  <c r="U223" i="1"/>
  <c r="X223" i="1" s="1"/>
  <c r="U233" i="1"/>
  <c r="X233" i="1" s="1"/>
  <c r="U243" i="1"/>
  <c r="X243" i="1" s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 s="1"/>
  <c r="V33" i="1"/>
  <c r="Y33" i="1" s="1"/>
  <c r="V43" i="1"/>
  <c r="Y43" i="1" s="1"/>
  <c r="V51" i="1"/>
  <c r="Y51" i="1" s="1"/>
  <c r="U59" i="1"/>
  <c r="X59" i="1" s="1"/>
  <c r="U67" i="1"/>
  <c r="X67" i="1" s="1"/>
  <c r="V73" i="1"/>
  <c r="Y73" i="1" s="1"/>
  <c r="V85" i="1"/>
  <c r="Y85" i="1" s="1"/>
  <c r="V89" i="1"/>
  <c r="Y89" i="1" s="1"/>
  <c r="V97" i="1"/>
  <c r="Y97" i="1" s="1"/>
  <c r="V101" i="1"/>
  <c r="Y101" i="1" s="1"/>
  <c r="V105" i="1"/>
  <c r="Y105" i="1" s="1"/>
  <c r="V109" i="1"/>
  <c r="Y109" i="1" s="1"/>
  <c r="V115" i="1"/>
  <c r="Y115" i="1" s="1"/>
  <c r="V119" i="1"/>
  <c r="Y119" i="1" s="1"/>
  <c r="V125" i="1"/>
  <c r="Y125" i="1" s="1"/>
  <c r="V131" i="1"/>
  <c r="Y131" i="1" s="1"/>
  <c r="V141" i="1"/>
  <c r="Y141" i="1" s="1"/>
  <c r="V151" i="1"/>
  <c r="Y151" i="1" s="1"/>
  <c r="V155" i="1"/>
  <c r="Y155" i="1" s="1"/>
  <c r="V161" i="1"/>
  <c r="Y161" i="1" s="1"/>
  <c r="V171" i="1"/>
  <c r="Y171" i="1" s="1"/>
  <c r="V179" i="1"/>
  <c r="Y179" i="1" s="1"/>
  <c r="V183" i="1"/>
  <c r="Y183" i="1" s="1"/>
  <c r="V187" i="1"/>
  <c r="Y187" i="1" s="1"/>
  <c r="V193" i="1"/>
  <c r="Y193" i="1" s="1"/>
  <c r="V203" i="1"/>
  <c r="Y203" i="1" s="1"/>
  <c r="V213" i="1"/>
  <c r="Y213" i="1" s="1"/>
  <c r="V219" i="1"/>
  <c r="Y219" i="1" s="1"/>
  <c r="V223" i="1"/>
  <c r="Y223" i="1" s="1"/>
  <c r="V233" i="1"/>
  <c r="Y233" i="1" s="1"/>
  <c r="V243" i="1"/>
  <c r="Y243" i="1" s="1"/>
  <c r="V253" i="1"/>
  <c r="Y253" i="1" s="1"/>
  <c r="V263" i="1"/>
  <c r="Y263" i="1" s="1"/>
  <c r="V273" i="1"/>
  <c r="Y273" i="1" s="1"/>
  <c r="V283" i="1"/>
  <c r="Y283" i="1" s="1"/>
  <c r="V289" i="1"/>
  <c r="Y289" i="1" s="1"/>
  <c r="V299" i="1"/>
  <c r="Y299" i="1" s="1"/>
  <c r="V309" i="1"/>
  <c r="Y309" i="1" s="1"/>
  <c r="V315" i="1"/>
  <c r="Y315" i="1" s="1"/>
  <c r="V325" i="1"/>
  <c r="Y325" i="1" s="1"/>
  <c r="V329" i="1"/>
  <c r="Y329" i="1" s="1"/>
  <c r="V335" i="1"/>
  <c r="Y335" i="1" s="1"/>
  <c r="V339" i="1"/>
  <c r="Y339" i="1" s="1"/>
  <c r="V343" i="1"/>
  <c r="Y343" i="1" s="1"/>
  <c r="V348" i="1"/>
  <c r="Y348" i="1" s="1"/>
  <c r="V352" i="1"/>
  <c r="Y352" i="1" s="1"/>
  <c r="V361" i="1"/>
  <c r="Y361" i="1" s="1"/>
  <c r="V366" i="1"/>
  <c r="Y366" i="1" s="1"/>
  <c r="V370" i="1"/>
  <c r="Y370" i="1" s="1"/>
  <c r="V378" i="1"/>
  <c r="Y378" i="1" s="1"/>
  <c r="V382" i="1"/>
  <c r="Y382" i="1" s="1"/>
  <c r="V387" i="1"/>
  <c r="Y387" i="1" s="1"/>
  <c r="V391" i="1"/>
  <c r="Y391" i="1" s="1"/>
  <c r="V399" i="1"/>
  <c r="Y399" i="1" s="1"/>
  <c r="V403" i="1"/>
  <c r="Y403" i="1" s="1"/>
  <c r="V418" i="1"/>
  <c r="Y418" i="1" s="1"/>
  <c r="V424" i="1"/>
  <c r="Y424" i="1" s="1"/>
  <c r="V428" i="1"/>
  <c r="Y428" i="1" s="1"/>
  <c r="V432" i="1"/>
  <c r="Y432" i="1" s="1"/>
  <c r="V436" i="1"/>
  <c r="Y436" i="1" s="1"/>
  <c r="V440" i="1"/>
  <c r="Y440" i="1" s="1"/>
  <c r="V444" i="1"/>
  <c r="Y444" i="1" s="1"/>
  <c r="V450" i="1"/>
  <c r="Y450" i="1" s="1"/>
  <c r="V460" i="1"/>
  <c r="Y460" i="1" s="1"/>
  <c r="V470" i="1"/>
  <c r="Y470" i="1" s="1"/>
  <c r="V480" i="1"/>
  <c r="Y480" i="1" s="1"/>
  <c r="V484" i="1"/>
  <c r="Y484" i="1" s="1"/>
  <c r="V490" i="1"/>
  <c r="Y490" i="1" s="1"/>
  <c r="V494" i="1"/>
  <c r="Y494" i="1" s="1"/>
  <c r="V500" i="1"/>
  <c r="Y500" i="1" s="1"/>
  <c r="V510" i="1"/>
  <c r="Y510" i="1" s="1"/>
  <c r="V514" i="1"/>
  <c r="Y514" i="1" s="1"/>
  <c r="V520" i="1"/>
  <c r="Y520" i="1" s="1"/>
  <c r="V530" i="1"/>
  <c r="Y530" i="1" s="1"/>
  <c r="V534" i="1"/>
  <c r="Y534" i="1" s="1"/>
  <c r="V538" i="1"/>
  <c r="Y538" i="1" s="1"/>
  <c r="V542" i="1"/>
  <c r="Y542" i="1" s="1"/>
  <c r="V546" i="1"/>
  <c r="Y546" i="1" s="1"/>
  <c r="V550" i="1"/>
  <c r="Y550" i="1" s="1"/>
  <c r="V554" i="1"/>
  <c r="Y554" i="1" s="1"/>
  <c r="V558" i="1"/>
  <c r="Y558" i="1" s="1"/>
  <c r="V562" i="1"/>
  <c r="Y562" i="1" s="1"/>
  <c r="V566" i="1"/>
  <c r="Y566" i="1" s="1"/>
  <c r="V34" i="1"/>
  <c r="Y34" i="1" s="1"/>
  <c r="V44" i="1"/>
  <c r="Y44" i="1" s="1"/>
  <c r="U53" i="1"/>
  <c r="X53" i="1" s="1"/>
  <c r="V59" i="1"/>
  <c r="Y59" i="1" s="1"/>
  <c r="V67" i="1"/>
  <c r="Y67" i="1" s="1"/>
  <c r="U74" i="1"/>
  <c r="X74" i="1" s="1"/>
  <c r="U78" i="1"/>
  <c r="X78" i="1" s="1"/>
  <c r="U86" i="1"/>
  <c r="X86" i="1" s="1"/>
  <c r="U90" i="1"/>
  <c r="X90" i="1" s="1"/>
  <c r="U102" i="1"/>
  <c r="X102" i="1" s="1"/>
  <c r="U106" i="1"/>
  <c r="X106" i="1" s="1"/>
  <c r="U116" i="1"/>
  <c r="X116" i="1" s="1"/>
  <c r="U122" i="1"/>
  <c r="X122" i="1" s="1"/>
  <c r="U132" i="1"/>
  <c r="X132" i="1" s="1"/>
  <c r="U136" i="1"/>
  <c r="X136" i="1" s="1"/>
  <c r="U142" i="1"/>
  <c r="X142" i="1" s="1"/>
  <c r="U148" i="1"/>
  <c r="X148" i="1" s="1"/>
  <c r="U152" i="1"/>
  <c r="X152" i="1" s="1"/>
  <c r="U156" i="1"/>
  <c r="X156" i="1" s="1"/>
  <c r="U162" i="1"/>
  <c r="X162" i="1" s="1"/>
  <c r="U172" i="1"/>
  <c r="X172" i="1" s="1"/>
  <c r="U180" i="1"/>
  <c r="X180" i="1" s="1"/>
  <c r="U184" i="1"/>
  <c r="X184" i="1" s="1"/>
  <c r="U188" i="1"/>
  <c r="X188" i="1" s="1"/>
  <c r="U194" i="1"/>
  <c r="X194" i="1" s="1"/>
  <c r="U204" i="1"/>
  <c r="X204" i="1" s="1"/>
  <c r="U210" i="1"/>
  <c r="X210" i="1" s="1"/>
  <c r="U214" i="1"/>
  <c r="X214" i="1" s="1"/>
  <c r="U220" i="1"/>
  <c r="X220" i="1" s="1"/>
  <c r="U224" i="1"/>
  <c r="X224" i="1" s="1"/>
  <c r="U230" i="1"/>
  <c r="X230" i="1" s="1"/>
  <c r="U234" i="1"/>
  <c r="X234" i="1" s="1"/>
  <c r="U240" i="1"/>
  <c r="X240" i="1" s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 s="1"/>
  <c r="V274" i="1"/>
  <c r="Y274" i="1" s="1"/>
  <c r="V300" i="1"/>
  <c r="Y300" i="1" s="1"/>
  <c r="V316" i="1"/>
  <c r="Y316" i="1" s="1"/>
  <c r="V445" i="1"/>
  <c r="Y445" i="1" s="1"/>
  <c r="V481" i="1"/>
  <c r="Y481" i="1" s="1"/>
  <c r="V511" i="1"/>
  <c r="Y511" i="1" s="1"/>
  <c r="V525" i="1"/>
  <c r="Y525" i="1" s="1"/>
  <c r="U563" i="1"/>
  <c r="V569" i="1"/>
  <c r="Y569" i="1" s="1"/>
  <c r="V574" i="1"/>
  <c r="Y574" i="1" s="1"/>
  <c r="V579" i="1"/>
  <c r="Y579" i="1" s="1"/>
  <c r="V583" i="1"/>
  <c r="Y583" i="1" s="1"/>
  <c r="V587" i="1"/>
  <c r="Y587" i="1" s="1"/>
  <c r="V591" i="1"/>
  <c r="Y591" i="1" s="1"/>
  <c r="V595" i="1"/>
  <c r="Y595" i="1" s="1"/>
  <c r="V599" i="1"/>
  <c r="Y599" i="1" s="1"/>
  <c r="V603" i="1"/>
  <c r="Y603" i="1" s="1"/>
  <c r="V607" i="1"/>
  <c r="Y607" i="1" s="1"/>
  <c r="V611" i="1"/>
  <c r="Y611" i="1" s="1"/>
  <c r="V615" i="1"/>
  <c r="Y615" i="1" s="1"/>
  <c r="V620" i="1"/>
  <c r="Y620" i="1" s="1"/>
  <c r="V624" i="1"/>
  <c r="Y624" i="1" s="1"/>
  <c r="V628" i="1"/>
  <c r="Y628" i="1" s="1"/>
  <c r="V632" i="1"/>
  <c r="Y632" i="1" s="1"/>
  <c r="V636" i="1"/>
  <c r="Y636" i="1" s="1"/>
  <c r="V640" i="1"/>
  <c r="Y640" i="1" s="1"/>
  <c r="V644" i="1"/>
  <c r="Y644" i="1" s="1"/>
  <c r="V648" i="1"/>
  <c r="Y648" i="1" s="1"/>
  <c r="V652" i="1"/>
  <c r="Y652" i="1" s="1"/>
  <c r="V656" i="1"/>
  <c r="Y656" i="1" s="1"/>
  <c r="V660" i="1"/>
  <c r="Y660" i="1" s="1"/>
  <c r="V664" i="1"/>
  <c r="Y664" i="1" s="1"/>
  <c r="V668" i="1"/>
  <c r="Y668" i="1" s="1"/>
  <c r="V672" i="1"/>
  <c r="Y672" i="1" s="1"/>
  <c r="V676" i="1"/>
  <c r="Y676" i="1" s="1"/>
  <c r="V680" i="1"/>
  <c r="Y680" i="1" s="1"/>
  <c r="V684" i="1"/>
  <c r="Y684" i="1" s="1"/>
  <c r="V688" i="1"/>
  <c r="Y688" i="1" s="1"/>
  <c r="V692" i="1"/>
  <c r="Y692" i="1" s="1"/>
  <c r="V696" i="1"/>
  <c r="Y696" i="1" s="1"/>
  <c r="V700" i="1"/>
  <c r="Y700" i="1" s="1"/>
  <c r="V704" i="1"/>
  <c r="Y704" i="1" s="1"/>
  <c r="V708" i="1"/>
  <c r="Y708" i="1" s="1"/>
  <c r="V712" i="1"/>
  <c r="Y712" i="1" s="1"/>
  <c r="V716" i="1"/>
  <c r="Y716" i="1" s="1"/>
  <c r="V720" i="1"/>
  <c r="Y720" i="1" s="1"/>
  <c r="V724" i="1"/>
  <c r="Y724" i="1" s="1"/>
  <c r="V728" i="1"/>
  <c r="Y728" i="1" s="1"/>
  <c r="V732" i="1"/>
  <c r="Y732" i="1" s="1"/>
  <c r="V736" i="1"/>
  <c r="Y736" i="1" s="1"/>
  <c r="V740" i="1"/>
  <c r="Y740" i="1" s="1"/>
  <c r="V744" i="1"/>
  <c r="Y744" i="1" s="1"/>
  <c r="V748" i="1"/>
  <c r="Y748" i="1" s="1"/>
  <c r="V752" i="1"/>
  <c r="Y752" i="1" s="1"/>
  <c r="V756" i="1"/>
  <c r="Y756" i="1" s="1"/>
  <c r="V760" i="1"/>
  <c r="Y760" i="1" s="1"/>
  <c r="V765" i="1"/>
  <c r="Y765" i="1" s="1"/>
  <c r="V769" i="1"/>
  <c r="Y769" i="1" s="1"/>
  <c r="V773" i="1"/>
  <c r="Y773" i="1" s="1"/>
  <c r="V777" i="1"/>
  <c r="Y777" i="1" s="1"/>
  <c r="V781" i="1"/>
  <c r="Y781" i="1" s="1"/>
  <c r="V786" i="1"/>
  <c r="Y786" i="1" s="1"/>
  <c r="V790" i="1"/>
  <c r="Y790" i="1" s="1"/>
  <c r="V794" i="1"/>
  <c r="Y794" i="1" s="1"/>
  <c r="V798" i="1"/>
  <c r="Y798" i="1" s="1"/>
  <c r="V802" i="1"/>
  <c r="Y802" i="1" s="1"/>
  <c r="V806" i="1"/>
  <c r="Y806" i="1" s="1"/>
  <c r="V810" i="1"/>
  <c r="Y810" i="1" s="1"/>
  <c r="V815" i="1"/>
  <c r="Y815" i="1" s="1"/>
  <c r="V819" i="1"/>
  <c r="Y819" i="1" s="1"/>
  <c r="V823" i="1"/>
  <c r="Y823" i="1" s="1"/>
  <c r="V827" i="1"/>
  <c r="Y827" i="1" s="1"/>
  <c r="V831" i="1"/>
  <c r="Y831" i="1" s="1"/>
  <c r="V835" i="1"/>
  <c r="Y835" i="1" s="1"/>
  <c r="V840" i="1"/>
  <c r="Y840" i="1" s="1"/>
  <c r="V848" i="1"/>
  <c r="Y848" i="1" s="1"/>
  <c r="V852" i="1"/>
  <c r="Y852" i="1" s="1"/>
  <c r="V856" i="1"/>
  <c r="Y856" i="1" s="1"/>
  <c r="V860" i="1"/>
  <c r="Y860" i="1" s="1"/>
  <c r="V45" i="1"/>
  <c r="Y45" i="1" s="1"/>
  <c r="V156" i="1"/>
  <c r="Y156" i="1" s="1"/>
  <c r="V210" i="1"/>
  <c r="Y210" i="1" s="1"/>
  <c r="V240" i="1"/>
  <c r="Y240" i="1" s="1"/>
  <c r="V344" i="1"/>
  <c r="Y344" i="1" s="1"/>
  <c r="V433" i="1"/>
  <c r="Y433" i="1" s="1"/>
  <c r="V467" i="1"/>
  <c r="Y467" i="1" s="1"/>
  <c r="V531" i="1"/>
  <c r="Y531" i="1" s="1"/>
  <c r="V551" i="1"/>
  <c r="Y551" i="1" s="1"/>
  <c r="V563" i="1"/>
  <c r="Y563" i="1" s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 s="1"/>
  <c r="U741" i="1"/>
  <c r="U745" i="1"/>
  <c r="U749" i="1"/>
  <c r="X749" i="1" s="1"/>
  <c r="U753" i="1"/>
  <c r="U757" i="1"/>
  <c r="U761" i="1"/>
  <c r="U766" i="1"/>
  <c r="U770" i="1"/>
  <c r="U774" i="1"/>
  <c r="U778" i="1"/>
  <c r="U782" i="1"/>
  <c r="U787" i="1"/>
  <c r="X787" i="1" s="1"/>
  <c r="U791" i="1"/>
  <c r="U795" i="1"/>
  <c r="U799" i="1"/>
  <c r="U803" i="1"/>
  <c r="U807" i="1"/>
  <c r="U811" i="1"/>
  <c r="U816" i="1"/>
  <c r="U820" i="1"/>
  <c r="V74" i="1"/>
  <c r="Y74" i="1" s="1"/>
  <c r="V116" i="1"/>
  <c r="Y116" i="1" s="1"/>
  <c r="V132" i="1"/>
  <c r="Y132" i="1" s="1"/>
  <c r="V180" i="1"/>
  <c r="Y180" i="1" s="1"/>
  <c r="V214" i="1"/>
  <c r="Y214" i="1" s="1"/>
  <c r="V247" i="1"/>
  <c r="Y247" i="1" s="1"/>
  <c r="V379" i="1"/>
  <c r="Y379" i="1" s="1"/>
  <c r="V396" i="1"/>
  <c r="Y396" i="1" s="1"/>
  <c r="V471" i="1"/>
  <c r="Y471" i="1" s="1"/>
  <c r="V501" i="1"/>
  <c r="Y501" i="1" s="1"/>
  <c r="U565" i="1"/>
  <c r="V570" i="1"/>
  <c r="Y570" i="1" s="1"/>
  <c r="V575" i="1"/>
  <c r="Y575" i="1" s="1"/>
  <c r="V580" i="1"/>
  <c r="Y580" i="1" s="1"/>
  <c r="V584" i="1"/>
  <c r="Y584" i="1" s="1"/>
  <c r="V588" i="1"/>
  <c r="Y588" i="1" s="1"/>
  <c r="V592" i="1"/>
  <c r="Y592" i="1" s="1"/>
  <c r="V596" i="1"/>
  <c r="Y596" i="1" s="1"/>
  <c r="V600" i="1"/>
  <c r="Y600" i="1" s="1"/>
  <c r="V604" i="1"/>
  <c r="Y604" i="1" s="1"/>
  <c r="V608" i="1"/>
  <c r="Y608" i="1" s="1"/>
  <c r="V612" i="1"/>
  <c r="Y612" i="1" s="1"/>
  <c r="V616" i="1"/>
  <c r="Y616" i="1" s="1"/>
  <c r="V621" i="1"/>
  <c r="Y621" i="1" s="1"/>
  <c r="V625" i="1"/>
  <c r="Y625" i="1" s="1"/>
  <c r="V629" i="1"/>
  <c r="Y629" i="1" s="1"/>
  <c r="V633" i="1"/>
  <c r="Y633" i="1" s="1"/>
  <c r="V637" i="1"/>
  <c r="Y637" i="1" s="1"/>
  <c r="V641" i="1"/>
  <c r="Y641" i="1" s="1"/>
  <c r="V645" i="1"/>
  <c r="Y645" i="1" s="1"/>
  <c r="V649" i="1"/>
  <c r="Y649" i="1" s="1"/>
  <c r="V653" i="1"/>
  <c r="Y653" i="1" s="1"/>
  <c r="V657" i="1"/>
  <c r="Y657" i="1" s="1"/>
  <c r="V661" i="1"/>
  <c r="Y661" i="1" s="1"/>
  <c r="V665" i="1"/>
  <c r="Y665" i="1" s="1"/>
  <c r="V669" i="1"/>
  <c r="Y669" i="1" s="1"/>
  <c r="V673" i="1"/>
  <c r="Y673" i="1" s="1"/>
  <c r="V677" i="1"/>
  <c r="Y677" i="1" s="1"/>
  <c r="V681" i="1"/>
  <c r="Y681" i="1" s="1"/>
  <c r="V685" i="1"/>
  <c r="Y685" i="1" s="1"/>
  <c r="V689" i="1"/>
  <c r="Y689" i="1" s="1"/>
  <c r="V693" i="1"/>
  <c r="Y693" i="1" s="1"/>
  <c r="V697" i="1"/>
  <c r="Y697" i="1" s="1"/>
  <c r="V701" i="1"/>
  <c r="Y701" i="1" s="1"/>
  <c r="V705" i="1"/>
  <c r="Y705" i="1" s="1"/>
  <c r="V709" i="1"/>
  <c r="Y709" i="1" s="1"/>
  <c r="V713" i="1"/>
  <c r="Y713" i="1" s="1"/>
  <c r="V717" i="1"/>
  <c r="Y717" i="1" s="1"/>
  <c r="V721" i="1"/>
  <c r="Y721" i="1" s="1"/>
  <c r="V725" i="1"/>
  <c r="Y725" i="1" s="1"/>
  <c r="V729" i="1"/>
  <c r="Y729" i="1" s="1"/>
  <c r="V733" i="1"/>
  <c r="Y733" i="1" s="1"/>
  <c r="V737" i="1"/>
  <c r="Y737" i="1" s="1"/>
  <c r="V741" i="1"/>
  <c r="Y741" i="1" s="1"/>
  <c r="V745" i="1"/>
  <c r="Y745" i="1" s="1"/>
  <c r="V749" i="1"/>
  <c r="Y749" i="1" s="1"/>
  <c r="V753" i="1"/>
  <c r="Y753" i="1" s="1"/>
  <c r="V757" i="1"/>
  <c r="Y757" i="1" s="1"/>
  <c r="V761" i="1"/>
  <c r="Y761" i="1" s="1"/>
  <c r="V766" i="1"/>
  <c r="Y766" i="1" s="1"/>
  <c r="V770" i="1"/>
  <c r="Y770" i="1" s="1"/>
  <c r="V774" i="1"/>
  <c r="Y774" i="1" s="1"/>
  <c r="V778" i="1"/>
  <c r="Y778" i="1" s="1"/>
  <c r="V782" i="1"/>
  <c r="Y782" i="1" s="1"/>
  <c r="V787" i="1"/>
  <c r="Y787" i="1" s="1"/>
  <c r="V791" i="1"/>
  <c r="Y791" i="1" s="1"/>
  <c r="V795" i="1"/>
  <c r="Y795" i="1" s="1"/>
  <c r="V799" i="1"/>
  <c r="Y799" i="1" s="1"/>
  <c r="V803" i="1"/>
  <c r="Y803" i="1" s="1"/>
  <c r="V807" i="1"/>
  <c r="Y807" i="1" s="1"/>
  <c r="V811" i="1"/>
  <c r="Y811" i="1" s="1"/>
  <c r="V816" i="1"/>
  <c r="Y816" i="1" s="1"/>
  <c r="V820" i="1"/>
  <c r="Y820" i="1" s="1"/>
  <c r="V824" i="1"/>
  <c r="Y824" i="1" s="1"/>
  <c r="V828" i="1"/>
  <c r="Y828" i="1" s="1"/>
  <c r="V832" i="1"/>
  <c r="Y832" i="1" s="1"/>
  <c r="V836" i="1"/>
  <c r="Y836" i="1" s="1"/>
  <c r="V841" i="1"/>
  <c r="Y841" i="1" s="1"/>
  <c r="V53" i="1"/>
  <c r="Y53" i="1" s="1"/>
  <c r="V148" i="1"/>
  <c r="Y148" i="1" s="1"/>
  <c r="V230" i="1"/>
  <c r="Y230" i="1" s="1"/>
  <c r="V304" i="1"/>
  <c r="Y304" i="1" s="1"/>
  <c r="V332" i="1"/>
  <c r="Y332" i="1" s="1"/>
  <c r="V384" i="1"/>
  <c r="Y384" i="1" s="1"/>
  <c r="V400" i="1"/>
  <c r="Y400" i="1" s="1"/>
  <c r="V517" i="1"/>
  <c r="Y517" i="1" s="1"/>
  <c r="V543" i="1"/>
  <c r="Y543" i="1" s="1"/>
  <c r="V565" i="1"/>
  <c r="Y565" i="1" s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 s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 s="1"/>
  <c r="U742" i="1"/>
  <c r="U746" i="1"/>
  <c r="U750" i="1"/>
  <c r="X750" i="1" s="1"/>
  <c r="U754" i="1"/>
  <c r="U758" i="1"/>
  <c r="U763" i="1"/>
  <c r="U767" i="1"/>
  <c r="U771" i="1"/>
  <c r="U775" i="1"/>
  <c r="U779" i="1"/>
  <c r="U784" i="1"/>
  <c r="X784" i="1" s="1"/>
  <c r="U788" i="1"/>
  <c r="X788" i="1" s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 s="1"/>
  <c r="U846" i="1"/>
  <c r="X846" i="1" s="1"/>
  <c r="U850" i="1"/>
  <c r="U854" i="1"/>
  <c r="U858" i="1"/>
  <c r="U862" i="1"/>
  <c r="U866" i="1"/>
  <c r="V86" i="1"/>
  <c r="Y86" i="1" s="1"/>
  <c r="V152" i="1"/>
  <c r="Y152" i="1" s="1"/>
  <c r="V204" i="1"/>
  <c r="Y204" i="1" s="1"/>
  <c r="V234" i="1"/>
  <c r="Y234" i="1" s="1"/>
  <c r="V264" i="1"/>
  <c r="Y264" i="1" s="1"/>
  <c r="V290" i="1"/>
  <c r="Y290" i="1" s="1"/>
  <c r="V336" i="1"/>
  <c r="Y336" i="1" s="1"/>
  <c r="V349" i="1"/>
  <c r="Y349" i="1" s="1"/>
  <c r="V367" i="1"/>
  <c r="Y367" i="1" s="1"/>
  <c r="V388" i="1"/>
  <c r="Y388" i="1" s="1"/>
  <c r="V404" i="1"/>
  <c r="Y404" i="1" s="1"/>
  <c r="V425" i="1"/>
  <c r="Y425" i="1" s="1"/>
  <c r="V461" i="1"/>
  <c r="Y461" i="1" s="1"/>
  <c r="V547" i="1"/>
  <c r="Y547" i="1" s="1"/>
  <c r="U566" i="1"/>
  <c r="V571" i="1"/>
  <c r="Y571" i="1" s="1"/>
  <c r="V577" i="1"/>
  <c r="Y577" i="1" s="1"/>
  <c r="V581" i="1"/>
  <c r="Y581" i="1" s="1"/>
  <c r="V585" i="1"/>
  <c r="Y585" i="1" s="1"/>
  <c r="V589" i="1"/>
  <c r="Y589" i="1" s="1"/>
  <c r="V593" i="1"/>
  <c r="Y593" i="1" s="1"/>
  <c r="V597" i="1"/>
  <c r="Y597" i="1" s="1"/>
  <c r="V601" i="1"/>
  <c r="Y601" i="1" s="1"/>
  <c r="V605" i="1"/>
  <c r="Y605" i="1" s="1"/>
  <c r="V609" i="1"/>
  <c r="Y609" i="1" s="1"/>
  <c r="V613" i="1"/>
  <c r="Y613" i="1" s="1"/>
  <c r="V617" i="1"/>
  <c r="Y617" i="1" s="1"/>
  <c r="V622" i="1"/>
  <c r="Y622" i="1" s="1"/>
  <c r="V626" i="1"/>
  <c r="Y626" i="1" s="1"/>
  <c r="V630" i="1"/>
  <c r="Y630" i="1" s="1"/>
  <c r="V634" i="1"/>
  <c r="Y634" i="1" s="1"/>
  <c r="V638" i="1"/>
  <c r="Y638" i="1" s="1"/>
  <c r="V642" i="1"/>
  <c r="Y642" i="1" s="1"/>
  <c r="V646" i="1"/>
  <c r="Y646" i="1" s="1"/>
  <c r="V650" i="1"/>
  <c r="Y650" i="1" s="1"/>
  <c r="V654" i="1"/>
  <c r="Y654" i="1" s="1"/>
  <c r="V658" i="1"/>
  <c r="Y658" i="1" s="1"/>
  <c r="V662" i="1"/>
  <c r="Y662" i="1" s="1"/>
  <c r="V666" i="1"/>
  <c r="Y666" i="1" s="1"/>
  <c r="V670" i="1"/>
  <c r="Y670" i="1" s="1"/>
  <c r="V674" i="1"/>
  <c r="Y674" i="1" s="1"/>
  <c r="V678" i="1"/>
  <c r="Y678" i="1" s="1"/>
  <c r="V682" i="1"/>
  <c r="Y682" i="1" s="1"/>
  <c r="V686" i="1"/>
  <c r="Y686" i="1" s="1"/>
  <c r="V690" i="1"/>
  <c r="Y690" i="1" s="1"/>
  <c r="V694" i="1"/>
  <c r="Y694" i="1" s="1"/>
  <c r="V698" i="1"/>
  <c r="Y698" i="1" s="1"/>
  <c r="V702" i="1"/>
  <c r="Y702" i="1" s="1"/>
  <c r="V706" i="1"/>
  <c r="Y706" i="1" s="1"/>
  <c r="V710" i="1"/>
  <c r="Y710" i="1" s="1"/>
  <c r="V714" i="1"/>
  <c r="Y714" i="1" s="1"/>
  <c r="V718" i="1"/>
  <c r="Y718" i="1" s="1"/>
  <c r="V722" i="1"/>
  <c r="Y722" i="1" s="1"/>
  <c r="V726" i="1"/>
  <c r="Y726" i="1" s="1"/>
  <c r="V730" i="1"/>
  <c r="Y730" i="1" s="1"/>
  <c r="V734" i="1"/>
  <c r="Y734" i="1" s="1"/>
  <c r="V738" i="1"/>
  <c r="Y738" i="1" s="1"/>
  <c r="V742" i="1"/>
  <c r="Y742" i="1" s="1"/>
  <c r="V746" i="1"/>
  <c r="Y746" i="1" s="1"/>
  <c r="V750" i="1"/>
  <c r="Y750" i="1" s="1"/>
  <c r="V754" i="1"/>
  <c r="Y754" i="1" s="1"/>
  <c r="V758" i="1"/>
  <c r="Y758" i="1" s="1"/>
  <c r="V763" i="1"/>
  <c r="Y763" i="1" s="1"/>
  <c r="V767" i="1"/>
  <c r="Y767" i="1" s="1"/>
  <c r="V771" i="1"/>
  <c r="Y771" i="1" s="1"/>
  <c r="V775" i="1"/>
  <c r="Y775" i="1" s="1"/>
  <c r="V779" i="1"/>
  <c r="Y779" i="1" s="1"/>
  <c r="V784" i="1"/>
  <c r="Y784" i="1" s="1"/>
  <c r="V788" i="1"/>
  <c r="Y788" i="1" s="1"/>
  <c r="V792" i="1"/>
  <c r="Y792" i="1" s="1"/>
  <c r="V796" i="1"/>
  <c r="Y796" i="1" s="1"/>
  <c r="V800" i="1"/>
  <c r="Y800" i="1" s="1"/>
  <c r="V804" i="1"/>
  <c r="Y804" i="1" s="1"/>
  <c r="V808" i="1"/>
  <c r="Y808" i="1" s="1"/>
  <c r="V812" i="1"/>
  <c r="Y812" i="1" s="1"/>
  <c r="V817" i="1"/>
  <c r="Y817" i="1" s="1"/>
  <c r="V821" i="1"/>
  <c r="Y821" i="1" s="1"/>
  <c r="V825" i="1"/>
  <c r="Y825" i="1" s="1"/>
  <c r="V829" i="1"/>
  <c r="Y829" i="1" s="1"/>
  <c r="V833" i="1"/>
  <c r="Y833" i="1" s="1"/>
  <c r="V837" i="1"/>
  <c r="Y837" i="1" s="1"/>
  <c r="V842" i="1"/>
  <c r="Y842" i="1" s="1"/>
  <c r="V846" i="1"/>
  <c r="Y846" i="1" s="1"/>
  <c r="V850" i="1"/>
  <c r="Y850" i="1" s="1"/>
  <c r="V854" i="1"/>
  <c r="Y854" i="1" s="1"/>
  <c r="U23" i="1"/>
  <c r="X23" i="1" s="1"/>
  <c r="V90" i="1"/>
  <c r="Y90" i="1" s="1"/>
  <c r="V122" i="1"/>
  <c r="Y122" i="1" s="1"/>
  <c r="V136" i="1"/>
  <c r="Y136" i="1" s="1"/>
  <c r="V172" i="1"/>
  <c r="Y172" i="1" s="1"/>
  <c r="V194" i="1"/>
  <c r="Y194" i="1" s="1"/>
  <c r="V220" i="1"/>
  <c r="Y220" i="1" s="1"/>
  <c r="V254" i="1"/>
  <c r="Y254" i="1" s="1"/>
  <c r="V320" i="1"/>
  <c r="Y320" i="1" s="1"/>
  <c r="V353" i="1"/>
  <c r="Y353" i="1" s="1"/>
  <c r="V371" i="1"/>
  <c r="Y371" i="1" s="1"/>
  <c r="V392" i="1"/>
  <c r="Y392" i="1" s="1"/>
  <c r="V415" i="1"/>
  <c r="Y415" i="1" s="1"/>
  <c r="V451" i="1"/>
  <c r="Y451" i="1" s="1"/>
  <c r="V491" i="1"/>
  <c r="Y491" i="1" s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 s="1"/>
  <c r="U743" i="1"/>
  <c r="U747" i="1"/>
  <c r="U751" i="1"/>
  <c r="U755" i="1"/>
  <c r="U759" i="1"/>
  <c r="U764" i="1"/>
  <c r="U768" i="1"/>
  <c r="U772" i="1"/>
  <c r="U776" i="1"/>
  <c r="U780" i="1"/>
  <c r="U785" i="1"/>
  <c r="X785" i="1" s="1"/>
  <c r="U789" i="1"/>
  <c r="X789" i="1" s="1"/>
  <c r="U793" i="1"/>
  <c r="U797" i="1"/>
  <c r="U801" i="1"/>
  <c r="U805" i="1"/>
  <c r="U809" i="1"/>
  <c r="U813" i="1"/>
  <c r="V102" i="1"/>
  <c r="Y102" i="1" s="1"/>
  <c r="V142" i="1"/>
  <c r="Y142" i="1" s="1"/>
  <c r="V162" i="1"/>
  <c r="Y162" i="1" s="1"/>
  <c r="V224" i="1"/>
  <c r="Y224" i="1" s="1"/>
  <c r="V326" i="1"/>
  <c r="Y326" i="1" s="1"/>
  <c r="V437" i="1"/>
  <c r="Y437" i="1" s="1"/>
  <c r="V535" i="1"/>
  <c r="Y535" i="1" s="1"/>
  <c r="V559" i="1"/>
  <c r="Y559" i="1" s="1"/>
  <c r="V567" i="1"/>
  <c r="Y567" i="1" s="1"/>
  <c r="V573" i="1"/>
  <c r="Y573" i="1" s="1"/>
  <c r="V578" i="1"/>
  <c r="Y578" i="1" s="1"/>
  <c r="V582" i="1"/>
  <c r="Y582" i="1" s="1"/>
  <c r="V586" i="1"/>
  <c r="Y586" i="1" s="1"/>
  <c r="V590" i="1"/>
  <c r="Y590" i="1" s="1"/>
  <c r="V594" i="1"/>
  <c r="Y594" i="1" s="1"/>
  <c r="V598" i="1"/>
  <c r="Y598" i="1" s="1"/>
  <c r="V602" i="1"/>
  <c r="Y602" i="1" s="1"/>
  <c r="V606" i="1"/>
  <c r="Y606" i="1" s="1"/>
  <c r="V610" i="1"/>
  <c r="Y610" i="1" s="1"/>
  <c r="V614" i="1"/>
  <c r="V618" i="1"/>
  <c r="Y618" i="1" s="1"/>
  <c r="V623" i="1"/>
  <c r="Y623" i="1" s="1"/>
  <c r="V627" i="1"/>
  <c r="Y627" i="1" s="1"/>
  <c r="V631" i="1"/>
  <c r="Y631" i="1" s="1"/>
  <c r="V635" i="1"/>
  <c r="Y635" i="1" s="1"/>
  <c r="V639" i="1"/>
  <c r="Y639" i="1" s="1"/>
  <c r="V643" i="1"/>
  <c r="Y643" i="1" s="1"/>
  <c r="V647" i="1"/>
  <c r="Y647" i="1" s="1"/>
  <c r="V651" i="1"/>
  <c r="Y651" i="1" s="1"/>
  <c r="V655" i="1"/>
  <c r="Y655" i="1" s="1"/>
  <c r="V659" i="1"/>
  <c r="Y659" i="1" s="1"/>
  <c r="V663" i="1"/>
  <c r="Y663" i="1" s="1"/>
  <c r="V667" i="1"/>
  <c r="Y667" i="1" s="1"/>
  <c r="V671" i="1"/>
  <c r="Y671" i="1" s="1"/>
  <c r="V675" i="1"/>
  <c r="Y675" i="1" s="1"/>
  <c r="V679" i="1"/>
  <c r="Y679" i="1" s="1"/>
  <c r="V683" i="1"/>
  <c r="Y683" i="1" s="1"/>
  <c r="V687" i="1"/>
  <c r="Y687" i="1" s="1"/>
  <c r="V691" i="1"/>
  <c r="Y691" i="1" s="1"/>
  <c r="V695" i="1"/>
  <c r="Y695" i="1" s="1"/>
  <c r="V699" i="1"/>
  <c r="Y699" i="1" s="1"/>
  <c r="V703" i="1"/>
  <c r="Y703" i="1" s="1"/>
  <c r="V707" i="1"/>
  <c r="Y707" i="1" s="1"/>
  <c r="V711" i="1"/>
  <c r="Y711" i="1" s="1"/>
  <c r="V715" i="1"/>
  <c r="Y715" i="1" s="1"/>
  <c r="V719" i="1"/>
  <c r="Y719" i="1" s="1"/>
  <c r="V723" i="1"/>
  <c r="Y723" i="1" s="1"/>
  <c r="V727" i="1"/>
  <c r="Y727" i="1" s="1"/>
  <c r="V731" i="1"/>
  <c r="Y731" i="1" s="1"/>
  <c r="V735" i="1"/>
  <c r="Y735" i="1" s="1"/>
  <c r="V739" i="1"/>
  <c r="Y739" i="1" s="1"/>
  <c r="V743" i="1"/>
  <c r="Y743" i="1" s="1"/>
  <c r="V747" i="1"/>
  <c r="Y747" i="1" s="1"/>
  <c r="V751" i="1"/>
  <c r="Y751" i="1" s="1"/>
  <c r="V755" i="1"/>
  <c r="Y755" i="1" s="1"/>
  <c r="V759" i="1"/>
  <c r="Y759" i="1" s="1"/>
  <c r="V764" i="1"/>
  <c r="Y764" i="1" s="1"/>
  <c r="V768" i="1"/>
  <c r="Y768" i="1" s="1"/>
  <c r="V772" i="1"/>
  <c r="Y772" i="1" s="1"/>
  <c r="V776" i="1"/>
  <c r="Y776" i="1" s="1"/>
  <c r="V780" i="1"/>
  <c r="Y780" i="1" s="1"/>
  <c r="V785" i="1"/>
  <c r="Y785" i="1" s="1"/>
  <c r="V789" i="1"/>
  <c r="Y789" i="1" s="1"/>
  <c r="V793" i="1"/>
  <c r="Y793" i="1" s="1"/>
  <c r="V797" i="1"/>
  <c r="Y797" i="1" s="1"/>
  <c r="V801" i="1"/>
  <c r="Y801" i="1" s="1"/>
  <c r="V805" i="1"/>
  <c r="Y805" i="1" s="1"/>
  <c r="V809" i="1"/>
  <c r="Y809" i="1" s="1"/>
  <c r="V813" i="1"/>
  <c r="Y813" i="1" s="1"/>
  <c r="V818" i="1"/>
  <c r="Y818" i="1" s="1"/>
  <c r="V822" i="1"/>
  <c r="Y822" i="1" s="1"/>
  <c r="V826" i="1"/>
  <c r="Y826" i="1" s="1"/>
  <c r="V830" i="1"/>
  <c r="Y830" i="1" s="1"/>
  <c r="V834" i="1"/>
  <c r="Y834" i="1" s="1"/>
  <c r="V838" i="1"/>
  <c r="Y838" i="1" s="1"/>
  <c r="V843" i="1"/>
  <c r="Y843" i="1" s="1"/>
  <c r="V847" i="1"/>
  <c r="Y847" i="1" s="1"/>
  <c r="V851" i="1"/>
  <c r="Y851" i="1" s="1"/>
  <c r="V855" i="1"/>
  <c r="Y855" i="1" s="1"/>
  <c r="V106" i="1"/>
  <c r="Y106" i="1" s="1"/>
  <c r="V268" i="1"/>
  <c r="Y268" i="1" s="1"/>
  <c r="U574" i="1"/>
  <c r="U607" i="1"/>
  <c r="U640" i="1"/>
  <c r="U672" i="1"/>
  <c r="U704" i="1"/>
  <c r="U736" i="1"/>
  <c r="U769" i="1"/>
  <c r="U802" i="1"/>
  <c r="U824" i="1"/>
  <c r="U835" i="1"/>
  <c r="U845" i="1"/>
  <c r="X845" i="1" s="1"/>
  <c r="U853" i="1"/>
  <c r="V859" i="1"/>
  <c r="Y859" i="1" s="1"/>
  <c r="V864" i="1"/>
  <c r="Y864" i="1" s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 s="1"/>
  <c r="U934" i="1"/>
  <c r="U939" i="1"/>
  <c r="X939" i="1" s="1"/>
  <c r="U943" i="1"/>
  <c r="X943" i="1" s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 s="1"/>
  <c r="U1130" i="1"/>
  <c r="X1130" i="1" s="1"/>
  <c r="U1134" i="1"/>
  <c r="U1139" i="1"/>
  <c r="X1139" i="1" s="1"/>
  <c r="U579" i="1"/>
  <c r="U611" i="1"/>
  <c r="U644" i="1"/>
  <c r="U676" i="1"/>
  <c r="U708" i="1"/>
  <c r="U740" i="1"/>
  <c r="X740" i="1" s="1"/>
  <c r="U773" i="1"/>
  <c r="U806" i="1"/>
  <c r="U826" i="1"/>
  <c r="U836" i="1"/>
  <c r="V845" i="1"/>
  <c r="Y845" i="1" s="1"/>
  <c r="V853" i="1"/>
  <c r="Y853" i="1" s="1"/>
  <c r="U860" i="1"/>
  <c r="U865" i="1"/>
  <c r="V869" i="1"/>
  <c r="Y869" i="1" s="1"/>
  <c r="V873" i="1"/>
  <c r="Y873" i="1" s="1"/>
  <c r="V877" i="1"/>
  <c r="Y877" i="1" s="1"/>
  <c r="V881" i="1"/>
  <c r="Y881" i="1" s="1"/>
  <c r="V885" i="1"/>
  <c r="Y885" i="1" s="1"/>
  <c r="V889" i="1"/>
  <c r="Y889" i="1" s="1"/>
  <c r="V893" i="1"/>
  <c r="Y893" i="1" s="1"/>
  <c r="V897" i="1"/>
  <c r="Y897" i="1" s="1"/>
  <c r="V901" i="1"/>
  <c r="Y901" i="1" s="1"/>
  <c r="V905" i="1"/>
  <c r="Y905" i="1" s="1"/>
  <c r="V909" i="1"/>
  <c r="Y909" i="1" s="1"/>
  <c r="V913" i="1"/>
  <c r="Y913" i="1" s="1"/>
  <c r="V917" i="1"/>
  <c r="Y917" i="1" s="1"/>
  <c r="V921" i="1"/>
  <c r="Y921" i="1" s="1"/>
  <c r="V925" i="1"/>
  <c r="Y925" i="1" s="1"/>
  <c r="V930" i="1"/>
  <c r="Y930" i="1" s="1"/>
  <c r="V934" i="1"/>
  <c r="Y934" i="1" s="1"/>
  <c r="V939" i="1"/>
  <c r="Y939" i="1" s="1"/>
  <c r="V943" i="1"/>
  <c r="Y943" i="1" s="1"/>
  <c r="V947" i="1"/>
  <c r="Y947" i="1" s="1"/>
  <c r="V951" i="1"/>
  <c r="Y951" i="1" s="1"/>
  <c r="V955" i="1"/>
  <c r="Y955" i="1" s="1"/>
  <c r="V959" i="1"/>
  <c r="Y959" i="1" s="1"/>
  <c r="V963" i="1"/>
  <c r="Y963" i="1" s="1"/>
  <c r="V967" i="1"/>
  <c r="Y967" i="1" s="1"/>
  <c r="V972" i="1"/>
  <c r="Y972" i="1" s="1"/>
  <c r="V976" i="1"/>
  <c r="Y976" i="1" s="1"/>
  <c r="V980" i="1"/>
  <c r="Y980" i="1" s="1"/>
  <c r="V984" i="1"/>
  <c r="Y984" i="1" s="1"/>
  <c r="V988" i="1"/>
  <c r="Y988" i="1" s="1"/>
  <c r="V992" i="1"/>
  <c r="Y992" i="1" s="1"/>
  <c r="V996" i="1"/>
  <c r="Y996" i="1" s="1"/>
  <c r="V1000" i="1"/>
  <c r="Y1000" i="1" s="1"/>
  <c r="V1004" i="1"/>
  <c r="Y1004" i="1" s="1"/>
  <c r="V1008" i="1"/>
  <c r="Y1008" i="1" s="1"/>
  <c r="V1012" i="1"/>
  <c r="Y1012" i="1" s="1"/>
  <c r="V1016" i="1"/>
  <c r="Y1016" i="1" s="1"/>
  <c r="V1020" i="1"/>
  <c r="Y1020" i="1" s="1"/>
  <c r="V1024" i="1"/>
  <c r="Y1024" i="1" s="1"/>
  <c r="V1028" i="1"/>
  <c r="Y1028" i="1" s="1"/>
  <c r="V1032" i="1"/>
  <c r="Y1032" i="1" s="1"/>
  <c r="V1036" i="1"/>
  <c r="Y1036" i="1" s="1"/>
  <c r="V1040" i="1"/>
  <c r="Y1040" i="1" s="1"/>
  <c r="V1044" i="1"/>
  <c r="Y1044" i="1" s="1"/>
  <c r="V1048" i="1"/>
  <c r="Y1048" i="1" s="1"/>
  <c r="V1052" i="1"/>
  <c r="Y1052" i="1" s="1"/>
  <c r="V1056" i="1"/>
  <c r="Y1056" i="1" s="1"/>
  <c r="V1060" i="1"/>
  <c r="Y1060" i="1" s="1"/>
  <c r="V1065" i="1"/>
  <c r="Y1065" i="1" s="1"/>
  <c r="V1069" i="1"/>
  <c r="Y1069" i="1" s="1"/>
  <c r="V1073" i="1"/>
  <c r="Y1073" i="1" s="1"/>
  <c r="V1077" i="1"/>
  <c r="Y1077" i="1" s="1"/>
  <c r="V1081" i="1"/>
  <c r="Y1081" i="1" s="1"/>
  <c r="V1085" i="1"/>
  <c r="Y1085" i="1" s="1"/>
  <c r="V1089" i="1"/>
  <c r="Y1089" i="1" s="1"/>
  <c r="V1093" i="1"/>
  <c r="Y1093" i="1" s="1"/>
  <c r="V1097" i="1"/>
  <c r="Y1097" i="1" s="1"/>
  <c r="V1101" i="1"/>
  <c r="Y1101" i="1" s="1"/>
  <c r="V1105" i="1"/>
  <c r="Y1105" i="1" s="1"/>
  <c r="V1109" i="1"/>
  <c r="Y1109" i="1" s="1"/>
  <c r="V1113" i="1"/>
  <c r="Y1113" i="1" s="1"/>
  <c r="V1117" i="1"/>
  <c r="Y1117" i="1" s="1"/>
  <c r="V1121" i="1"/>
  <c r="Y1121" i="1" s="1"/>
  <c r="V1126" i="1"/>
  <c r="Y1126" i="1" s="1"/>
  <c r="V1130" i="1"/>
  <c r="Y1130" i="1" s="1"/>
  <c r="V1134" i="1"/>
  <c r="Y1134" i="1" s="1"/>
  <c r="V1139" i="1"/>
  <c r="Y1139" i="1" s="1"/>
  <c r="V477" i="1"/>
  <c r="Y477" i="1" s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 s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 s="1"/>
  <c r="U935" i="1"/>
  <c r="U940" i="1"/>
  <c r="X940" i="1" s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 s="1"/>
  <c r="U587" i="1"/>
  <c r="U620" i="1"/>
  <c r="U652" i="1"/>
  <c r="U684" i="1"/>
  <c r="U716" i="1"/>
  <c r="U748" i="1"/>
  <c r="X748" i="1" s="1"/>
  <c r="U781" i="1"/>
  <c r="U815" i="1"/>
  <c r="U828" i="1"/>
  <c r="U840" i="1"/>
  <c r="X840" i="1" s="1"/>
  <c r="U848" i="1"/>
  <c r="U856" i="1"/>
  <c r="V861" i="1"/>
  <c r="Y861" i="1" s="1"/>
  <c r="V866" i="1"/>
  <c r="Y866" i="1" s="1"/>
  <c r="V870" i="1"/>
  <c r="Y870" i="1" s="1"/>
  <c r="V874" i="1"/>
  <c r="Y874" i="1" s="1"/>
  <c r="V878" i="1"/>
  <c r="Y878" i="1" s="1"/>
  <c r="V882" i="1"/>
  <c r="Y882" i="1" s="1"/>
  <c r="V886" i="1"/>
  <c r="Y886" i="1" s="1"/>
  <c r="V890" i="1"/>
  <c r="Y890" i="1" s="1"/>
  <c r="V894" i="1"/>
  <c r="Y894" i="1" s="1"/>
  <c r="V898" i="1"/>
  <c r="Y898" i="1" s="1"/>
  <c r="V902" i="1"/>
  <c r="Y902" i="1" s="1"/>
  <c r="V906" i="1"/>
  <c r="Y906" i="1" s="1"/>
  <c r="V910" i="1"/>
  <c r="Y910" i="1" s="1"/>
  <c r="V914" i="1"/>
  <c r="Y914" i="1" s="1"/>
  <c r="V918" i="1"/>
  <c r="Y918" i="1" s="1"/>
  <c r="V922" i="1"/>
  <c r="Y922" i="1" s="1"/>
  <c r="V926" i="1"/>
  <c r="Y926" i="1" s="1"/>
  <c r="V931" i="1"/>
  <c r="Y931" i="1" s="1"/>
  <c r="V935" i="1"/>
  <c r="Y935" i="1" s="1"/>
  <c r="V940" i="1"/>
  <c r="Y940" i="1" s="1"/>
  <c r="V944" i="1"/>
  <c r="Y944" i="1" s="1"/>
  <c r="V948" i="1"/>
  <c r="Y948" i="1" s="1"/>
  <c r="V952" i="1"/>
  <c r="Y952" i="1" s="1"/>
  <c r="V956" i="1"/>
  <c r="Y956" i="1" s="1"/>
  <c r="V960" i="1"/>
  <c r="Y960" i="1" s="1"/>
  <c r="V964" i="1"/>
  <c r="Y964" i="1" s="1"/>
  <c r="V968" i="1"/>
  <c r="Y968" i="1" s="1"/>
  <c r="V973" i="1"/>
  <c r="Y973" i="1" s="1"/>
  <c r="V977" i="1"/>
  <c r="Y977" i="1" s="1"/>
  <c r="V981" i="1"/>
  <c r="Y981" i="1" s="1"/>
  <c r="V985" i="1"/>
  <c r="Y985" i="1" s="1"/>
  <c r="V989" i="1"/>
  <c r="Y989" i="1" s="1"/>
  <c r="V993" i="1"/>
  <c r="Y993" i="1" s="1"/>
  <c r="V997" i="1"/>
  <c r="Y997" i="1" s="1"/>
  <c r="V1001" i="1"/>
  <c r="Y1001" i="1" s="1"/>
  <c r="V1005" i="1"/>
  <c r="Y1005" i="1" s="1"/>
  <c r="V1009" i="1"/>
  <c r="Y1009" i="1" s="1"/>
  <c r="V1013" i="1"/>
  <c r="Y1013" i="1" s="1"/>
  <c r="V1017" i="1"/>
  <c r="Y1017" i="1" s="1"/>
  <c r="V1021" i="1"/>
  <c r="Y1021" i="1" s="1"/>
  <c r="V1025" i="1"/>
  <c r="Y1025" i="1" s="1"/>
  <c r="V1029" i="1"/>
  <c r="Y1029" i="1" s="1"/>
  <c r="V1033" i="1"/>
  <c r="Y1033" i="1" s="1"/>
  <c r="V1037" i="1"/>
  <c r="Y1037" i="1" s="1"/>
  <c r="V1041" i="1"/>
  <c r="Y1041" i="1" s="1"/>
  <c r="V1045" i="1"/>
  <c r="Y1045" i="1" s="1"/>
  <c r="V1049" i="1"/>
  <c r="Y1049" i="1" s="1"/>
  <c r="V1053" i="1"/>
  <c r="Y1053" i="1" s="1"/>
  <c r="V1057" i="1"/>
  <c r="Y1057" i="1" s="1"/>
  <c r="V1062" i="1"/>
  <c r="Y1062" i="1" s="1"/>
  <c r="V1066" i="1"/>
  <c r="Y1066" i="1" s="1"/>
  <c r="V1070" i="1"/>
  <c r="Y1070" i="1" s="1"/>
  <c r="V1074" i="1"/>
  <c r="Y1074" i="1" s="1"/>
  <c r="V1078" i="1"/>
  <c r="Y1078" i="1" s="1"/>
  <c r="V1082" i="1"/>
  <c r="Y1082" i="1" s="1"/>
  <c r="V1086" i="1"/>
  <c r="Y1086" i="1" s="1"/>
  <c r="V1090" i="1"/>
  <c r="Y1090" i="1" s="1"/>
  <c r="V1094" i="1"/>
  <c r="Y1094" i="1" s="1"/>
  <c r="V1098" i="1"/>
  <c r="Y1098" i="1" s="1"/>
  <c r="V1102" i="1"/>
  <c r="Y1102" i="1" s="1"/>
  <c r="V1106" i="1"/>
  <c r="Y1106" i="1" s="1"/>
  <c r="V1110" i="1"/>
  <c r="Y1110" i="1" s="1"/>
  <c r="V1114" i="1"/>
  <c r="Y1114" i="1" s="1"/>
  <c r="V1118" i="1"/>
  <c r="Y1118" i="1" s="1"/>
  <c r="V1122" i="1"/>
  <c r="Y1122" i="1" s="1"/>
  <c r="V1127" i="1"/>
  <c r="Y1127" i="1" s="1"/>
  <c r="V1131" i="1"/>
  <c r="Y1131" i="1" s="1"/>
  <c r="V1135" i="1"/>
  <c r="Y1135" i="1" s="1"/>
  <c r="V60" i="1"/>
  <c r="Y60" i="1" s="1"/>
  <c r="U591" i="1"/>
  <c r="U624" i="1"/>
  <c r="U656" i="1"/>
  <c r="U688" i="1"/>
  <c r="U720" i="1"/>
  <c r="U752" i="1"/>
  <c r="U786" i="1"/>
  <c r="X786" i="1" s="1"/>
  <c r="U818" i="1"/>
  <c r="U830" i="1"/>
  <c r="U841" i="1"/>
  <c r="X841" i="1" s="1"/>
  <c r="U849" i="1"/>
  <c r="U857" i="1"/>
  <c r="V862" i="1"/>
  <c r="Y862" i="1" s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 s="1"/>
  <c r="U932" i="1"/>
  <c r="X932" i="1" s="1"/>
  <c r="U937" i="1"/>
  <c r="X937" i="1" s="1"/>
  <c r="U941" i="1"/>
  <c r="X941" i="1" s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 s="1"/>
  <c r="X1128" i="1" s="1"/>
  <c r="U1132" i="1"/>
  <c r="V184" i="1"/>
  <c r="Y184" i="1" s="1"/>
  <c r="U595" i="1"/>
  <c r="U628" i="1"/>
  <c r="U660" i="1"/>
  <c r="U692" i="1"/>
  <c r="U724" i="1"/>
  <c r="U756" i="1"/>
  <c r="U790" i="1"/>
  <c r="X790" i="1" s="1"/>
  <c r="U819" i="1"/>
  <c r="U831" i="1"/>
  <c r="U843" i="1"/>
  <c r="X843" i="1" s="1"/>
  <c r="V849" i="1"/>
  <c r="Y849" i="1" s="1"/>
  <c r="V857" i="1"/>
  <c r="Y857" i="1" s="1"/>
  <c r="U863" i="1"/>
  <c r="V867" i="1"/>
  <c r="Y867" i="1" s="1"/>
  <c r="V871" i="1"/>
  <c r="Y871" i="1" s="1"/>
  <c r="V875" i="1"/>
  <c r="Y875" i="1" s="1"/>
  <c r="V879" i="1"/>
  <c r="Y879" i="1" s="1"/>
  <c r="V883" i="1"/>
  <c r="Y883" i="1" s="1"/>
  <c r="V887" i="1"/>
  <c r="Y887" i="1" s="1"/>
  <c r="V891" i="1"/>
  <c r="Y891" i="1" s="1"/>
  <c r="V895" i="1"/>
  <c r="Y895" i="1" s="1"/>
  <c r="V899" i="1"/>
  <c r="Y899" i="1" s="1"/>
  <c r="V903" i="1"/>
  <c r="Y903" i="1" s="1"/>
  <c r="V907" i="1"/>
  <c r="Y907" i="1" s="1"/>
  <c r="V911" i="1"/>
  <c r="Y911" i="1" s="1"/>
  <c r="V915" i="1"/>
  <c r="Y915" i="1" s="1"/>
  <c r="V919" i="1"/>
  <c r="Y919" i="1" s="1"/>
  <c r="V923" i="1"/>
  <c r="Y923" i="1" s="1"/>
  <c r="V928" i="1"/>
  <c r="Y928" i="1" s="1"/>
  <c r="V932" i="1"/>
  <c r="Y932" i="1" s="1"/>
  <c r="V937" i="1"/>
  <c r="Y937" i="1" s="1"/>
  <c r="V941" i="1"/>
  <c r="Y941" i="1" s="1"/>
  <c r="V945" i="1"/>
  <c r="Y945" i="1" s="1"/>
  <c r="V949" i="1"/>
  <c r="Y949" i="1" s="1"/>
  <c r="V953" i="1"/>
  <c r="Y953" i="1" s="1"/>
  <c r="V957" i="1"/>
  <c r="Y957" i="1" s="1"/>
  <c r="V961" i="1"/>
  <c r="Y961" i="1" s="1"/>
  <c r="V965" i="1"/>
  <c r="Y965" i="1" s="1"/>
  <c r="V970" i="1"/>
  <c r="Y970" i="1" s="1"/>
  <c r="V974" i="1"/>
  <c r="Y974" i="1" s="1"/>
  <c r="V978" i="1"/>
  <c r="Y978" i="1" s="1"/>
  <c r="V982" i="1"/>
  <c r="Y982" i="1" s="1"/>
  <c r="V986" i="1"/>
  <c r="Y986" i="1" s="1"/>
  <c r="V990" i="1"/>
  <c r="Y990" i="1" s="1"/>
  <c r="V994" i="1"/>
  <c r="Y994" i="1" s="1"/>
  <c r="V998" i="1"/>
  <c r="Y998" i="1" s="1"/>
  <c r="V1002" i="1"/>
  <c r="Y1002" i="1" s="1"/>
  <c r="V1006" i="1"/>
  <c r="Y1006" i="1" s="1"/>
  <c r="V1010" i="1"/>
  <c r="Y1010" i="1" s="1"/>
  <c r="V1014" i="1"/>
  <c r="Y1014" i="1" s="1"/>
  <c r="V1018" i="1"/>
  <c r="Y1018" i="1" s="1"/>
  <c r="V1022" i="1"/>
  <c r="Y1022" i="1" s="1"/>
  <c r="V1026" i="1"/>
  <c r="Y1026" i="1" s="1"/>
  <c r="V1030" i="1"/>
  <c r="Y1030" i="1" s="1"/>
  <c r="V1034" i="1"/>
  <c r="Y1034" i="1" s="1"/>
  <c r="V1038" i="1"/>
  <c r="Y1038" i="1" s="1"/>
  <c r="V1042" i="1"/>
  <c r="Y1042" i="1" s="1"/>
  <c r="V1046" i="1"/>
  <c r="Y1046" i="1" s="1"/>
  <c r="V1050" i="1"/>
  <c r="Y1050" i="1" s="1"/>
  <c r="V1054" i="1"/>
  <c r="Y1054" i="1" s="1"/>
  <c r="V1058" i="1"/>
  <c r="Y1058" i="1" s="1"/>
  <c r="V1063" i="1"/>
  <c r="Y1063" i="1" s="1"/>
  <c r="V1067" i="1"/>
  <c r="Y1067" i="1" s="1"/>
  <c r="V1071" i="1"/>
  <c r="Y1071" i="1" s="1"/>
  <c r="V1075" i="1"/>
  <c r="Y1075" i="1" s="1"/>
  <c r="V1079" i="1"/>
  <c r="Y1079" i="1" s="1"/>
  <c r="V1083" i="1"/>
  <c r="Y1083" i="1" s="1"/>
  <c r="V1087" i="1"/>
  <c r="Y1087" i="1" s="1"/>
  <c r="V1091" i="1"/>
  <c r="Y1091" i="1" s="1"/>
  <c r="V1095" i="1"/>
  <c r="Y1095" i="1" s="1"/>
  <c r="V1099" i="1"/>
  <c r="Y1099" i="1" s="1"/>
  <c r="V1103" i="1"/>
  <c r="Y1103" i="1" s="1"/>
  <c r="V1107" i="1"/>
  <c r="Y1107" i="1" s="1"/>
  <c r="V1111" i="1"/>
  <c r="Y1111" i="1" s="1"/>
  <c r="V1115" i="1"/>
  <c r="Y1115" i="1" s="1"/>
  <c r="V1119" i="1"/>
  <c r="Y1119" i="1" s="1"/>
  <c r="V1123" i="1"/>
  <c r="Y1123" i="1" s="1"/>
  <c r="V1128" i="1"/>
  <c r="G1128" i="1" s="1"/>
  <c r="V35" i="1"/>
  <c r="Y35" i="1" s="1"/>
  <c r="V294" i="1"/>
  <c r="Y294" i="1" s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 s="1"/>
  <c r="V863" i="1"/>
  <c r="Y863" i="1" s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 s="1"/>
  <c r="U933" i="1"/>
  <c r="U938" i="1"/>
  <c r="X938" i="1" s="1"/>
  <c r="U942" i="1"/>
  <c r="X942" i="1" s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 s="1"/>
  <c r="U1129" i="1"/>
  <c r="X1129" i="1" s="1"/>
  <c r="U1133" i="1"/>
  <c r="U1138" i="1"/>
  <c r="X1138" i="1" s="1"/>
  <c r="U1142" i="1"/>
  <c r="X1142" i="1" s="1"/>
  <c r="U1146" i="1"/>
  <c r="U1150" i="1"/>
  <c r="V441" i="1"/>
  <c r="Y441" i="1" s="1"/>
  <c r="U636" i="1"/>
  <c r="V880" i="1"/>
  <c r="Y880" i="1" s="1"/>
  <c r="V912" i="1"/>
  <c r="Y912" i="1" s="1"/>
  <c r="V946" i="1"/>
  <c r="Y946" i="1" s="1"/>
  <c r="V979" i="1"/>
  <c r="Y979" i="1" s="1"/>
  <c r="V1011" i="1"/>
  <c r="Y1011" i="1" s="1"/>
  <c r="V1043" i="1"/>
  <c r="Y1043" i="1" s="1"/>
  <c r="V1076" i="1"/>
  <c r="Y1076" i="1" s="1"/>
  <c r="V1108" i="1"/>
  <c r="Y1108" i="1" s="1"/>
  <c r="V1132" i="1"/>
  <c r="Y1132" i="1" s="1"/>
  <c r="U1141" i="1"/>
  <c r="V1145" i="1"/>
  <c r="Y1145" i="1" s="1"/>
  <c r="V1150" i="1"/>
  <c r="Y1150" i="1" s="1"/>
  <c r="V1154" i="1"/>
  <c r="Y1154" i="1" s="1"/>
  <c r="V1159" i="1"/>
  <c r="Y1159" i="1" s="1"/>
  <c r="V1163" i="1"/>
  <c r="Y1163" i="1" s="1"/>
  <c r="V1167" i="1"/>
  <c r="Y1167" i="1" s="1"/>
  <c r="V1171" i="1"/>
  <c r="Y1171" i="1" s="1"/>
  <c r="V1175" i="1"/>
  <c r="Y1175" i="1" s="1"/>
  <c r="V1180" i="1"/>
  <c r="Y1180" i="1" s="1"/>
  <c r="V1184" i="1"/>
  <c r="Y1184" i="1" s="1"/>
  <c r="V1189" i="1"/>
  <c r="Y1189" i="1" s="1"/>
  <c r="V1193" i="1"/>
  <c r="Y1193" i="1" s="1"/>
  <c r="V1197" i="1"/>
  <c r="Y1197" i="1" s="1"/>
  <c r="V1201" i="1"/>
  <c r="Y1201" i="1" s="1"/>
  <c r="V1205" i="1"/>
  <c r="Y1205" i="1" s="1"/>
  <c r="V1210" i="1"/>
  <c r="Y1210" i="1" s="1"/>
  <c r="V1214" i="1"/>
  <c r="Y1214" i="1" s="1"/>
  <c r="V1218" i="1"/>
  <c r="Y1218" i="1" s="1"/>
  <c r="V1223" i="1"/>
  <c r="Y1223" i="1" s="1"/>
  <c r="V1227" i="1"/>
  <c r="Y1227" i="1" s="1"/>
  <c r="V1231" i="1"/>
  <c r="Y1231" i="1" s="1"/>
  <c r="V1236" i="1"/>
  <c r="Y1236" i="1" s="1"/>
  <c r="V1240" i="1"/>
  <c r="Y1240" i="1" s="1"/>
  <c r="V1244" i="1"/>
  <c r="Y1244" i="1" s="1"/>
  <c r="V1249" i="1"/>
  <c r="Y1249" i="1" s="1"/>
  <c r="V1253" i="1"/>
  <c r="Y1253" i="1" s="1"/>
  <c r="V1257" i="1"/>
  <c r="Y1257" i="1" s="1"/>
  <c r="V1262" i="1"/>
  <c r="Y1262" i="1" s="1"/>
  <c r="V1266" i="1"/>
  <c r="Y1266" i="1" s="1"/>
  <c r="V1270" i="1"/>
  <c r="Y1270" i="1" s="1"/>
  <c r="V1274" i="1"/>
  <c r="Y1274" i="1" s="1"/>
  <c r="V1279" i="1"/>
  <c r="Y1279" i="1" s="1"/>
  <c r="V1283" i="1"/>
  <c r="Y1283" i="1" s="1"/>
  <c r="V1287" i="1"/>
  <c r="Y1287" i="1" s="1"/>
  <c r="V1292" i="1"/>
  <c r="Y1292" i="1" s="1"/>
  <c r="V1296" i="1"/>
  <c r="Y1296" i="1" s="1"/>
  <c r="V1300" i="1"/>
  <c r="Y1300" i="1" s="1"/>
  <c r="V1305" i="1"/>
  <c r="Y1305" i="1" s="1"/>
  <c r="V1309" i="1"/>
  <c r="Y1309" i="1" s="1"/>
  <c r="V1313" i="1"/>
  <c r="Y1313" i="1" s="1"/>
  <c r="V1317" i="1"/>
  <c r="Y1317" i="1" s="1"/>
  <c r="V1322" i="1"/>
  <c r="Y1322" i="1" s="1"/>
  <c r="V1326" i="1"/>
  <c r="Y1326" i="1" s="1"/>
  <c r="V1330" i="1"/>
  <c r="Y1330" i="1" s="1"/>
  <c r="V1334" i="1"/>
  <c r="Y1334" i="1" s="1"/>
  <c r="V1338" i="1"/>
  <c r="Y1338" i="1" s="1"/>
  <c r="V1342" i="1"/>
  <c r="Y1342" i="1" s="1"/>
  <c r="V1347" i="1"/>
  <c r="Y1347" i="1" s="1"/>
  <c r="V1351" i="1"/>
  <c r="Y1351" i="1" s="1"/>
  <c r="V1355" i="1"/>
  <c r="Y1355" i="1" s="1"/>
  <c r="V1360" i="1"/>
  <c r="Y1360" i="1" s="1"/>
  <c r="V1364" i="1"/>
  <c r="Y1364" i="1" s="1"/>
  <c r="V1371" i="1"/>
  <c r="Y1371" i="1" s="1"/>
  <c r="V1375" i="1"/>
  <c r="Y1375" i="1" s="1"/>
  <c r="V1381" i="1"/>
  <c r="Y1381" i="1" s="1"/>
  <c r="V1385" i="1"/>
  <c r="Y1385" i="1" s="1"/>
  <c r="V1391" i="1"/>
  <c r="Y1391" i="1" s="1"/>
  <c r="V1397" i="1"/>
  <c r="Y1397" i="1" s="1"/>
  <c r="V1401" i="1"/>
  <c r="Y1401" i="1" s="1"/>
  <c r="V1407" i="1"/>
  <c r="Y1407" i="1" s="1"/>
  <c r="V1411" i="1"/>
  <c r="Y1411" i="1" s="1"/>
  <c r="V1417" i="1"/>
  <c r="Y1417" i="1" s="1"/>
  <c r="V280" i="1"/>
  <c r="Y280" i="1" s="1"/>
  <c r="U668" i="1"/>
  <c r="V884" i="1"/>
  <c r="Y884" i="1" s="1"/>
  <c r="V916" i="1"/>
  <c r="Y916" i="1" s="1"/>
  <c r="V950" i="1"/>
  <c r="Y950" i="1" s="1"/>
  <c r="V983" i="1"/>
  <c r="Y983" i="1" s="1"/>
  <c r="V1015" i="1"/>
  <c r="Y1015" i="1" s="1"/>
  <c r="V1047" i="1"/>
  <c r="Y1047" i="1" s="1"/>
  <c r="V1080" i="1"/>
  <c r="Y1080" i="1" s="1"/>
  <c r="V1112" i="1"/>
  <c r="Y1112" i="1" s="1"/>
  <c r="V1133" i="1"/>
  <c r="Y1133" i="1" s="1"/>
  <c r="V1141" i="1"/>
  <c r="G1141" i="1" s="1"/>
  <c r="V1146" i="1"/>
  <c r="Y1146" i="1" s="1"/>
  <c r="U1151" i="1"/>
  <c r="U1155" i="1"/>
  <c r="U1160" i="1"/>
  <c r="X1160" i="1" s="1"/>
  <c r="U1164" i="1"/>
  <c r="U1168" i="1"/>
  <c r="U1172" i="1"/>
  <c r="U1176" i="1"/>
  <c r="U1181" i="1"/>
  <c r="U1185" i="1"/>
  <c r="U1190" i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 s="1"/>
  <c r="U1458" i="1"/>
  <c r="U1462" i="1"/>
  <c r="U1466" i="1"/>
  <c r="U1470" i="1"/>
  <c r="U700" i="1"/>
  <c r="U852" i="1"/>
  <c r="V888" i="1"/>
  <c r="Y888" i="1" s="1"/>
  <c r="V920" i="1"/>
  <c r="Y920" i="1" s="1"/>
  <c r="V954" i="1"/>
  <c r="Y954" i="1" s="1"/>
  <c r="V987" i="1"/>
  <c r="Y987" i="1" s="1"/>
  <c r="V1019" i="1"/>
  <c r="Y1019" i="1" s="1"/>
  <c r="V1051" i="1"/>
  <c r="Y1051" i="1" s="1"/>
  <c r="V1084" i="1"/>
  <c r="Y1084" i="1" s="1"/>
  <c r="V1116" i="1"/>
  <c r="Y1116" i="1" s="1"/>
  <c r="U1135" i="1"/>
  <c r="V1142" i="1"/>
  <c r="Y1142" i="1" s="1"/>
  <c r="U1147" i="1"/>
  <c r="V1151" i="1"/>
  <c r="Y1151" i="1" s="1"/>
  <c r="V1155" i="1"/>
  <c r="Y1155" i="1" s="1"/>
  <c r="V1160" i="1"/>
  <c r="Y1160" i="1" s="1"/>
  <c r="V1164" i="1"/>
  <c r="Y1164" i="1" s="1"/>
  <c r="V1168" i="1"/>
  <c r="Y1168" i="1" s="1"/>
  <c r="V1172" i="1"/>
  <c r="Y1172" i="1" s="1"/>
  <c r="V1176" i="1"/>
  <c r="Y1176" i="1" s="1"/>
  <c r="V1181" i="1"/>
  <c r="G1181" i="1" s="1"/>
  <c r="N1181" i="1" s="1"/>
  <c r="V1185" i="1"/>
  <c r="Y1185" i="1" s="1"/>
  <c r="V1190" i="1"/>
  <c r="G1190" i="1" s="1"/>
  <c r="V1194" i="1"/>
  <c r="Y1194" i="1" s="1"/>
  <c r="V1198" i="1"/>
  <c r="Y1198" i="1" s="1"/>
  <c r="V1202" i="1"/>
  <c r="Y1202" i="1" s="1"/>
  <c r="V1207" i="1"/>
  <c r="Y1207" i="1" s="1"/>
  <c r="V1211" i="1"/>
  <c r="Y1211" i="1" s="1"/>
  <c r="V1215" i="1"/>
  <c r="Y1215" i="1" s="1"/>
  <c r="V1220" i="1"/>
  <c r="Y1220" i="1" s="1"/>
  <c r="V1224" i="1"/>
  <c r="Y1224" i="1" s="1"/>
  <c r="V1228" i="1"/>
  <c r="Y1228" i="1" s="1"/>
  <c r="V1232" i="1"/>
  <c r="Y1232" i="1" s="1"/>
  <c r="V1237" i="1"/>
  <c r="Y1237" i="1" s="1"/>
  <c r="V1241" i="1"/>
  <c r="Y1241" i="1" s="1"/>
  <c r="V1245" i="1"/>
  <c r="Y1245" i="1" s="1"/>
  <c r="V1250" i="1"/>
  <c r="Y1250" i="1" s="1"/>
  <c r="V1254" i="1"/>
  <c r="Y1254" i="1" s="1"/>
  <c r="V1258" i="1"/>
  <c r="Y1258" i="1" s="1"/>
  <c r="V1263" i="1"/>
  <c r="Y1263" i="1" s="1"/>
  <c r="V1267" i="1"/>
  <c r="Y1267" i="1" s="1"/>
  <c r="V1271" i="1"/>
  <c r="Y1271" i="1" s="1"/>
  <c r="V1275" i="1"/>
  <c r="Y1275" i="1" s="1"/>
  <c r="V1280" i="1"/>
  <c r="Y1280" i="1" s="1"/>
  <c r="V1284" i="1"/>
  <c r="Y1284" i="1" s="1"/>
  <c r="V1288" i="1"/>
  <c r="Y1288" i="1" s="1"/>
  <c r="V1293" i="1"/>
  <c r="Y1293" i="1" s="1"/>
  <c r="V1297" i="1"/>
  <c r="Y1297" i="1" s="1"/>
  <c r="V1301" i="1"/>
  <c r="Y1301" i="1" s="1"/>
  <c r="V1306" i="1"/>
  <c r="Y1306" i="1" s="1"/>
  <c r="V1310" i="1"/>
  <c r="Y1310" i="1" s="1"/>
  <c r="V1314" i="1"/>
  <c r="Y1314" i="1" s="1"/>
  <c r="V1318" i="1"/>
  <c r="Y1318" i="1" s="1"/>
  <c r="V1323" i="1"/>
  <c r="Y1323" i="1" s="1"/>
  <c r="V1327" i="1"/>
  <c r="Y1327" i="1" s="1"/>
  <c r="V1331" i="1"/>
  <c r="Y1331" i="1" s="1"/>
  <c r="V1335" i="1"/>
  <c r="Y1335" i="1" s="1"/>
  <c r="V1339" i="1"/>
  <c r="Y1339" i="1" s="1"/>
  <c r="V1343" i="1"/>
  <c r="Y1343" i="1" s="1"/>
  <c r="V1348" i="1"/>
  <c r="Y1348" i="1" s="1"/>
  <c r="V1352" i="1"/>
  <c r="Y1352" i="1" s="1"/>
  <c r="V1356" i="1"/>
  <c r="Y1356" i="1" s="1"/>
  <c r="V1361" i="1"/>
  <c r="Y1361" i="1" s="1"/>
  <c r="V1365" i="1"/>
  <c r="Y1365" i="1" s="1"/>
  <c r="V1372" i="1"/>
  <c r="Y1372" i="1" s="1"/>
  <c r="V1376" i="1"/>
  <c r="Y1376" i="1" s="1"/>
  <c r="V1382" i="1"/>
  <c r="Y1382" i="1" s="1"/>
  <c r="V1388" i="1"/>
  <c r="Y1388" i="1" s="1"/>
  <c r="V1392" i="1"/>
  <c r="Y1392" i="1" s="1"/>
  <c r="V1398" i="1"/>
  <c r="Y1398" i="1" s="1"/>
  <c r="V1402" i="1"/>
  <c r="Y1402" i="1" s="1"/>
  <c r="V1408" i="1"/>
  <c r="Y1408" i="1" s="1"/>
  <c r="V1412" i="1"/>
  <c r="Y1412" i="1" s="1"/>
  <c r="V1418" i="1"/>
  <c r="Y1418" i="1" s="1"/>
  <c r="V1424" i="1"/>
  <c r="Y1424" i="1" s="1"/>
  <c r="V1428" i="1"/>
  <c r="Y1428" i="1" s="1"/>
  <c r="V1434" i="1"/>
  <c r="Y1434" i="1" s="1"/>
  <c r="V1438" i="1"/>
  <c r="Y1438" i="1" s="1"/>
  <c r="V1444" i="1"/>
  <c r="Y1444" i="1" s="1"/>
  <c r="V1448" i="1"/>
  <c r="Y1448" i="1" s="1"/>
  <c r="V1454" i="1"/>
  <c r="Y1454" i="1" s="1"/>
  <c r="U732" i="1"/>
  <c r="U859" i="1"/>
  <c r="V892" i="1"/>
  <c r="Y892" i="1" s="1"/>
  <c r="V924" i="1"/>
  <c r="Y924" i="1" s="1"/>
  <c r="V958" i="1"/>
  <c r="Y958" i="1" s="1"/>
  <c r="V991" i="1"/>
  <c r="Y991" i="1" s="1"/>
  <c r="V1023" i="1"/>
  <c r="Y1023" i="1" s="1"/>
  <c r="V1055" i="1"/>
  <c r="Y1055" i="1" s="1"/>
  <c r="V1088" i="1"/>
  <c r="Y1088" i="1" s="1"/>
  <c r="V1120" i="1"/>
  <c r="Y1120" i="1" s="1"/>
  <c r="U1136" i="1"/>
  <c r="U1143" i="1"/>
  <c r="X1143" i="1" s="1"/>
  <c r="V1147" i="1"/>
  <c r="Y1147" i="1" s="1"/>
  <c r="U1152" i="1"/>
  <c r="U1156" i="1"/>
  <c r="U1161" i="1"/>
  <c r="F1161" i="1" s="1"/>
  <c r="X1161" i="1" s="1"/>
  <c r="U1165" i="1"/>
  <c r="U1169" i="1"/>
  <c r="U1173" i="1"/>
  <c r="U1178" i="1"/>
  <c r="X1178" i="1" s="1"/>
  <c r="U1182" i="1"/>
  <c r="X1182" i="1" s="1"/>
  <c r="U1187" i="1"/>
  <c r="X1187" i="1" s="1"/>
  <c r="U1191" i="1"/>
  <c r="X1191" i="1" s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 s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 s="1"/>
  <c r="V929" i="1"/>
  <c r="Y929" i="1" s="1"/>
  <c r="V962" i="1"/>
  <c r="Y962" i="1" s="1"/>
  <c r="V995" i="1"/>
  <c r="Y995" i="1" s="1"/>
  <c r="V1027" i="1"/>
  <c r="Y1027" i="1" s="1"/>
  <c r="V1059" i="1"/>
  <c r="Y1059" i="1" s="1"/>
  <c r="V1092" i="1"/>
  <c r="Y1092" i="1" s="1"/>
  <c r="V1125" i="1"/>
  <c r="Y1125" i="1" s="1"/>
  <c r="V1136" i="1"/>
  <c r="Y1136" i="1" s="1"/>
  <c r="V1143" i="1"/>
  <c r="Y1143" i="1" s="1"/>
  <c r="U1148" i="1"/>
  <c r="V1152" i="1"/>
  <c r="Y1152" i="1" s="1"/>
  <c r="V1156" i="1"/>
  <c r="Y1156" i="1" s="1"/>
  <c r="V1161" i="1"/>
  <c r="G1161" i="1" s="1"/>
  <c r="N1161" i="1" s="1"/>
  <c r="V1165" i="1"/>
  <c r="Y1165" i="1" s="1"/>
  <c r="V1169" i="1"/>
  <c r="Y1169" i="1" s="1"/>
  <c r="V1173" i="1"/>
  <c r="Y1173" i="1" s="1"/>
  <c r="V1178" i="1"/>
  <c r="Y1178" i="1" s="1"/>
  <c r="V1182" i="1"/>
  <c r="Y1182" i="1" s="1"/>
  <c r="V1187" i="1"/>
  <c r="Y1187" i="1" s="1"/>
  <c r="V1191" i="1"/>
  <c r="Y1191" i="1" s="1"/>
  <c r="V1195" i="1"/>
  <c r="Y1195" i="1" s="1"/>
  <c r="V1199" i="1"/>
  <c r="Y1199" i="1" s="1"/>
  <c r="V1203" i="1"/>
  <c r="Y1203" i="1" s="1"/>
  <c r="V1208" i="1"/>
  <c r="Y1208" i="1" s="1"/>
  <c r="V1212" i="1"/>
  <c r="Y1212" i="1" s="1"/>
  <c r="V1216" i="1"/>
  <c r="Y1216" i="1" s="1"/>
  <c r="V1221" i="1"/>
  <c r="Y1221" i="1" s="1"/>
  <c r="V1225" i="1"/>
  <c r="Y1225" i="1" s="1"/>
  <c r="V1229" i="1"/>
  <c r="Y1229" i="1" s="1"/>
  <c r="V1233" i="1"/>
  <c r="Y1233" i="1" s="1"/>
  <c r="V1238" i="1"/>
  <c r="Y1238" i="1" s="1"/>
  <c r="V1242" i="1"/>
  <c r="Y1242" i="1" s="1"/>
  <c r="V1246" i="1"/>
  <c r="Y1246" i="1" s="1"/>
  <c r="V1251" i="1"/>
  <c r="Y1251" i="1" s="1"/>
  <c r="V1255" i="1"/>
  <c r="Y1255" i="1" s="1"/>
  <c r="V1259" i="1"/>
  <c r="Y1259" i="1" s="1"/>
  <c r="V1264" i="1"/>
  <c r="Y1264" i="1" s="1"/>
  <c r="V1268" i="1"/>
  <c r="Y1268" i="1" s="1"/>
  <c r="V1272" i="1"/>
  <c r="Y1272" i="1" s="1"/>
  <c r="V1276" i="1"/>
  <c r="Y1276" i="1" s="1"/>
  <c r="V1281" i="1"/>
  <c r="Y1281" i="1" s="1"/>
  <c r="V1285" i="1"/>
  <c r="Y1285" i="1" s="1"/>
  <c r="V1289" i="1"/>
  <c r="Y1289" i="1" s="1"/>
  <c r="V1294" i="1"/>
  <c r="Y1294" i="1" s="1"/>
  <c r="V1298" i="1"/>
  <c r="Y1298" i="1" s="1"/>
  <c r="V1302" i="1"/>
  <c r="Y1302" i="1" s="1"/>
  <c r="V1307" i="1"/>
  <c r="Y1307" i="1" s="1"/>
  <c r="V1311" i="1"/>
  <c r="Y1311" i="1" s="1"/>
  <c r="V1315" i="1"/>
  <c r="Y1315" i="1" s="1"/>
  <c r="V1319" i="1"/>
  <c r="Y1319" i="1" s="1"/>
  <c r="V1324" i="1"/>
  <c r="Y1324" i="1" s="1"/>
  <c r="V1328" i="1"/>
  <c r="Y1328" i="1" s="1"/>
  <c r="V1332" i="1"/>
  <c r="Y1332" i="1" s="1"/>
  <c r="V1336" i="1"/>
  <c r="Y1336" i="1" s="1"/>
  <c r="V1340" i="1"/>
  <c r="Y1340" i="1" s="1"/>
  <c r="V1344" i="1"/>
  <c r="Y1344" i="1" s="1"/>
  <c r="V1349" i="1"/>
  <c r="Y1349" i="1" s="1"/>
  <c r="V1353" i="1"/>
  <c r="Y1353" i="1" s="1"/>
  <c r="V1357" i="1"/>
  <c r="Y1357" i="1" s="1"/>
  <c r="V1362" i="1"/>
  <c r="Y1362" i="1" s="1"/>
  <c r="V1367" i="1"/>
  <c r="Y1367" i="1" s="1"/>
  <c r="V1373" i="1"/>
  <c r="Y1373" i="1" s="1"/>
  <c r="V1379" i="1"/>
  <c r="Y1379" i="1" s="1"/>
  <c r="V1383" i="1"/>
  <c r="Y1383" i="1" s="1"/>
  <c r="V1389" i="1"/>
  <c r="Y1389" i="1" s="1"/>
  <c r="V1393" i="1"/>
  <c r="Y1393" i="1" s="1"/>
  <c r="V1399" i="1"/>
  <c r="Y1399" i="1" s="1"/>
  <c r="V1403" i="1"/>
  <c r="Y1403" i="1" s="1"/>
  <c r="V1409" i="1"/>
  <c r="Y1409" i="1" s="1"/>
  <c r="V1415" i="1"/>
  <c r="Y1415" i="1" s="1"/>
  <c r="V1419" i="1"/>
  <c r="Y1419" i="1" s="1"/>
  <c r="V1425" i="1"/>
  <c r="Y1425" i="1" s="1"/>
  <c r="V1429" i="1"/>
  <c r="Y1429" i="1" s="1"/>
  <c r="V1435" i="1"/>
  <c r="Y1435" i="1" s="1"/>
  <c r="V1439" i="1"/>
  <c r="Y1439" i="1" s="1"/>
  <c r="V1445" i="1"/>
  <c r="Y1445" i="1" s="1"/>
  <c r="V1451" i="1"/>
  <c r="Y1451" i="1" s="1"/>
  <c r="V1455" i="1"/>
  <c r="Y1455" i="1" s="1"/>
  <c r="V1459" i="1"/>
  <c r="Y1459" i="1" s="1"/>
  <c r="V1463" i="1"/>
  <c r="Y1463" i="1" s="1"/>
  <c r="U798" i="1"/>
  <c r="V868" i="1"/>
  <c r="Y868" i="1" s="1"/>
  <c r="V900" i="1"/>
  <c r="Y900" i="1" s="1"/>
  <c r="V933" i="1"/>
  <c r="Y933" i="1" s="1"/>
  <c r="V966" i="1"/>
  <c r="Y966" i="1" s="1"/>
  <c r="V999" i="1"/>
  <c r="Y999" i="1" s="1"/>
  <c r="V1031" i="1"/>
  <c r="Y1031" i="1" s="1"/>
  <c r="V1064" i="1"/>
  <c r="Y1064" i="1" s="1"/>
  <c r="V1096" i="1"/>
  <c r="Y1096" i="1" s="1"/>
  <c r="U1127" i="1"/>
  <c r="X1127" i="1" s="1"/>
  <c r="V1138" i="1"/>
  <c r="Y1138" i="1" s="1"/>
  <c r="U1144" i="1"/>
  <c r="X1144" i="1" s="1"/>
  <c r="V1148" i="1"/>
  <c r="Y1148" i="1" s="1"/>
  <c r="U1153" i="1"/>
  <c r="U1158" i="1"/>
  <c r="X1158" i="1" s="1"/>
  <c r="U1162" i="1"/>
  <c r="X1162" i="1" s="1"/>
  <c r="U1166" i="1"/>
  <c r="U1170" i="1"/>
  <c r="U1174" i="1"/>
  <c r="U1179" i="1"/>
  <c r="X1179" i="1" s="1"/>
  <c r="U1183" i="1"/>
  <c r="X1183" i="1" s="1"/>
  <c r="U1188" i="1"/>
  <c r="X1188" i="1" s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 s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 s="1"/>
  <c r="V904" i="1"/>
  <c r="Y904" i="1" s="1"/>
  <c r="V938" i="1"/>
  <c r="Y938" i="1" s="1"/>
  <c r="V971" i="1"/>
  <c r="Y971" i="1" s="1"/>
  <c r="V1003" i="1"/>
  <c r="Y1003" i="1" s="1"/>
  <c r="V1035" i="1"/>
  <c r="Y1035" i="1" s="1"/>
  <c r="V1068" i="1"/>
  <c r="Y1068" i="1" s="1"/>
  <c r="V1100" i="1"/>
  <c r="Y1100" i="1" s="1"/>
  <c r="V1129" i="1"/>
  <c r="Y1129" i="1" s="1"/>
  <c r="U1140" i="1"/>
  <c r="X1140" i="1" s="1"/>
  <c r="V1144" i="1"/>
  <c r="Y1144" i="1" s="1"/>
  <c r="U1149" i="1"/>
  <c r="V1153" i="1"/>
  <c r="Y1153" i="1" s="1"/>
  <c r="V1158" i="1"/>
  <c r="Y1158" i="1" s="1"/>
  <c r="V1162" i="1"/>
  <c r="Y1162" i="1" s="1"/>
  <c r="V1166" i="1"/>
  <c r="Y1166" i="1" s="1"/>
  <c r="V1170" i="1"/>
  <c r="Y1170" i="1" s="1"/>
  <c r="V1174" i="1"/>
  <c r="Y1174" i="1" s="1"/>
  <c r="V1179" i="1"/>
  <c r="Y1179" i="1" s="1"/>
  <c r="V1183" i="1"/>
  <c r="Y1183" i="1" s="1"/>
  <c r="V1188" i="1"/>
  <c r="Y1188" i="1" s="1"/>
  <c r="V1192" i="1"/>
  <c r="Y1192" i="1" s="1"/>
  <c r="V1196" i="1"/>
  <c r="Y1196" i="1" s="1"/>
  <c r="V1200" i="1"/>
  <c r="Y1200" i="1" s="1"/>
  <c r="V1204" i="1"/>
  <c r="Y1204" i="1" s="1"/>
  <c r="V1209" i="1"/>
  <c r="Y1209" i="1" s="1"/>
  <c r="V1213" i="1"/>
  <c r="Y1213" i="1" s="1"/>
  <c r="V1217" i="1"/>
  <c r="Y1217" i="1" s="1"/>
  <c r="V1222" i="1"/>
  <c r="Y1222" i="1" s="1"/>
  <c r="V1226" i="1"/>
  <c r="Y1226" i="1" s="1"/>
  <c r="V1230" i="1"/>
  <c r="Y1230" i="1" s="1"/>
  <c r="V1234" i="1"/>
  <c r="Y1234" i="1" s="1"/>
  <c r="V1239" i="1"/>
  <c r="Y1239" i="1" s="1"/>
  <c r="V1243" i="1"/>
  <c r="Y1243" i="1" s="1"/>
  <c r="V1247" i="1"/>
  <c r="Y1247" i="1" s="1"/>
  <c r="V1252" i="1"/>
  <c r="Y1252" i="1" s="1"/>
  <c r="V1256" i="1"/>
  <c r="Y1256" i="1" s="1"/>
  <c r="V1260" i="1"/>
  <c r="Y1260" i="1" s="1"/>
  <c r="V1265" i="1"/>
  <c r="Y1265" i="1" s="1"/>
  <c r="V1269" i="1"/>
  <c r="Y1269" i="1" s="1"/>
  <c r="V1273" i="1"/>
  <c r="Y1273" i="1" s="1"/>
  <c r="V1278" i="1"/>
  <c r="Y1278" i="1" s="1"/>
  <c r="V1282" i="1"/>
  <c r="Y1282" i="1" s="1"/>
  <c r="V1286" i="1"/>
  <c r="Y1286" i="1" s="1"/>
  <c r="V1291" i="1"/>
  <c r="Y1291" i="1" s="1"/>
  <c r="V1295" i="1"/>
  <c r="Y1295" i="1" s="1"/>
  <c r="V1299" i="1"/>
  <c r="Y1299" i="1" s="1"/>
  <c r="V1304" i="1"/>
  <c r="Y1304" i="1" s="1"/>
  <c r="V1308" i="1"/>
  <c r="Y1308" i="1" s="1"/>
  <c r="V1312" i="1"/>
  <c r="Y1312" i="1" s="1"/>
  <c r="V1316" i="1"/>
  <c r="Y1316" i="1" s="1"/>
  <c r="V1321" i="1"/>
  <c r="Y1321" i="1" s="1"/>
  <c r="V1325" i="1"/>
  <c r="Y1325" i="1" s="1"/>
  <c r="V1329" i="1"/>
  <c r="Y1329" i="1" s="1"/>
  <c r="V1333" i="1"/>
  <c r="Y1333" i="1" s="1"/>
  <c r="V1337" i="1"/>
  <c r="Y1337" i="1" s="1"/>
  <c r="V1341" i="1"/>
  <c r="Y1341" i="1" s="1"/>
  <c r="V1345" i="1"/>
  <c r="Y1345" i="1" s="1"/>
  <c r="V1350" i="1"/>
  <c r="Y1350" i="1" s="1"/>
  <c r="V1354" i="1"/>
  <c r="Y1354" i="1" s="1"/>
  <c r="V1359" i="1"/>
  <c r="Y1359" i="1" s="1"/>
  <c r="V1363" i="1"/>
  <c r="Y1363" i="1" s="1"/>
  <c r="V1368" i="1"/>
  <c r="Y1368" i="1" s="1"/>
  <c r="V1374" i="1"/>
  <c r="Y1374" i="1" s="1"/>
  <c r="V1380" i="1"/>
  <c r="Y1380" i="1" s="1"/>
  <c r="V1384" i="1"/>
  <c r="Y1384" i="1" s="1"/>
  <c r="V1390" i="1"/>
  <c r="Y1390" i="1" s="1"/>
  <c r="V1394" i="1"/>
  <c r="Y1394" i="1" s="1"/>
  <c r="V1400" i="1"/>
  <c r="Y1400" i="1" s="1"/>
  <c r="V1406" i="1"/>
  <c r="Y1406" i="1" s="1"/>
  <c r="V1410" i="1"/>
  <c r="Y1410" i="1" s="1"/>
  <c r="V1416" i="1"/>
  <c r="Y1416" i="1" s="1"/>
  <c r="V1420" i="1"/>
  <c r="Y1420" i="1" s="1"/>
  <c r="V1426" i="1"/>
  <c r="Y1426" i="1" s="1"/>
  <c r="V1430" i="1"/>
  <c r="Y1430" i="1" s="1"/>
  <c r="V1436" i="1"/>
  <c r="Y1436" i="1" s="1"/>
  <c r="V1442" i="1"/>
  <c r="Y1442" i="1" s="1"/>
  <c r="V1446" i="1"/>
  <c r="Y1446" i="1" s="1"/>
  <c r="V1452" i="1"/>
  <c r="Y1452" i="1" s="1"/>
  <c r="V1456" i="1"/>
  <c r="Y1456" i="1" s="1"/>
  <c r="V1460" i="1"/>
  <c r="Y1460" i="1" s="1"/>
  <c r="V1464" i="1"/>
  <c r="Y1464" i="1" s="1"/>
  <c r="V1468" i="1"/>
  <c r="Y1468" i="1" s="1"/>
  <c r="V1472" i="1"/>
  <c r="Y1472" i="1" s="1"/>
  <c r="V1476" i="1"/>
  <c r="Y1476" i="1" s="1"/>
  <c r="V876" i="1"/>
  <c r="Y876" i="1" s="1"/>
  <c r="U1131" i="1"/>
  <c r="X1131" i="1" s="1"/>
  <c r="U1171" i="1"/>
  <c r="U1205" i="1"/>
  <c r="U1240" i="1"/>
  <c r="U1274" i="1"/>
  <c r="U1309" i="1"/>
  <c r="U1342" i="1"/>
  <c r="U1381" i="1"/>
  <c r="U1421" i="1"/>
  <c r="U1443" i="1"/>
  <c r="V1458" i="1"/>
  <c r="Y1458" i="1" s="1"/>
  <c r="U1469" i="1"/>
  <c r="U1475" i="1"/>
  <c r="V1479" i="1"/>
  <c r="Y1479" i="1" s="1"/>
  <c r="V1483" i="1"/>
  <c r="Y1483" i="1" s="1"/>
  <c r="V1487" i="1"/>
  <c r="Y1487" i="1" s="1"/>
  <c r="V1491" i="1"/>
  <c r="Y1491" i="1" s="1"/>
  <c r="V1495" i="1"/>
  <c r="Y1495" i="1" s="1"/>
  <c r="V1499" i="1"/>
  <c r="Y1499" i="1" s="1"/>
  <c r="V1503" i="1"/>
  <c r="Y1503" i="1" s="1"/>
  <c r="V1507" i="1"/>
  <c r="Y1507" i="1" s="1"/>
  <c r="V1511" i="1"/>
  <c r="Y1511" i="1" s="1"/>
  <c r="V1515" i="1"/>
  <c r="Y1515" i="1" s="1"/>
  <c r="V1519" i="1"/>
  <c r="Y1519" i="1" s="1"/>
  <c r="V1523" i="1"/>
  <c r="Y1523" i="1" s="1"/>
  <c r="V1527" i="1"/>
  <c r="Y1527" i="1" s="1"/>
  <c r="V1531" i="1"/>
  <c r="Y1531" i="1" s="1"/>
  <c r="V1535" i="1"/>
  <c r="Y1535" i="1" s="1"/>
  <c r="V1539" i="1"/>
  <c r="Y1539" i="1" s="1"/>
  <c r="V1543" i="1"/>
  <c r="Y1543" i="1" s="1"/>
  <c r="V1547" i="1"/>
  <c r="Y1547" i="1" s="1"/>
  <c r="V1551" i="1"/>
  <c r="Y1551" i="1" s="1"/>
  <c r="V1555" i="1"/>
  <c r="Y1555" i="1" s="1"/>
  <c r="V1559" i="1"/>
  <c r="Y1559" i="1" s="1"/>
  <c r="V1563" i="1"/>
  <c r="Y1563" i="1" s="1"/>
  <c r="V1567" i="1"/>
  <c r="Y1567" i="1" s="1"/>
  <c r="V1571" i="1"/>
  <c r="Y1571" i="1" s="1"/>
  <c r="V1575" i="1"/>
  <c r="Y1575" i="1" s="1"/>
  <c r="V1579" i="1"/>
  <c r="Y1579" i="1" s="1"/>
  <c r="V1583" i="1"/>
  <c r="Y1583" i="1" s="1"/>
  <c r="V1587" i="1"/>
  <c r="Y1587" i="1" s="1"/>
  <c r="V1591" i="1"/>
  <c r="Y1591" i="1" s="1"/>
  <c r="V1595" i="1"/>
  <c r="Y1595" i="1" s="1"/>
  <c r="V1599" i="1"/>
  <c r="Y1599" i="1" s="1"/>
  <c r="V1603" i="1"/>
  <c r="Y1603" i="1" s="1"/>
  <c r="V1607" i="1"/>
  <c r="Y1607" i="1" s="1"/>
  <c r="V1611" i="1"/>
  <c r="Y1611" i="1" s="1"/>
  <c r="V1615" i="1"/>
  <c r="Y1615" i="1" s="1"/>
  <c r="V1619" i="1"/>
  <c r="Y1619" i="1" s="1"/>
  <c r="V1623" i="1"/>
  <c r="Y1623" i="1" s="1"/>
  <c r="V1627" i="1"/>
  <c r="Y1627" i="1" s="1"/>
  <c r="V1631" i="1"/>
  <c r="Y1631" i="1" s="1"/>
  <c r="V1635" i="1"/>
  <c r="Y1635" i="1" s="1"/>
  <c r="V1639" i="1"/>
  <c r="Y1639" i="1" s="1"/>
  <c r="V1643" i="1"/>
  <c r="Y1643" i="1" s="1"/>
  <c r="V1647" i="1"/>
  <c r="Y1647" i="1" s="1"/>
  <c r="V1651" i="1"/>
  <c r="Y1651" i="1" s="1"/>
  <c r="V1655" i="1"/>
  <c r="Y1655" i="1" s="1"/>
  <c r="V1659" i="1"/>
  <c r="Y1659" i="1" s="1"/>
  <c r="V1663" i="1"/>
  <c r="Y1663" i="1" s="1"/>
  <c r="V1667" i="1"/>
  <c r="Y1667" i="1" s="1"/>
  <c r="V1671" i="1"/>
  <c r="Y1671" i="1" s="1"/>
  <c r="V1675" i="1"/>
  <c r="Y1675" i="1" s="1"/>
  <c r="V1679" i="1"/>
  <c r="Y1679" i="1" s="1"/>
  <c r="V1683" i="1"/>
  <c r="Y1683" i="1" s="1"/>
  <c r="V1687" i="1"/>
  <c r="Y1687" i="1" s="1"/>
  <c r="V1691" i="1"/>
  <c r="Y1691" i="1" s="1"/>
  <c r="V1695" i="1"/>
  <c r="Y1695" i="1" s="1"/>
  <c r="V1699" i="1"/>
  <c r="Y1699" i="1" s="1"/>
  <c r="V1703" i="1"/>
  <c r="Y1703" i="1" s="1"/>
  <c r="V1707" i="1"/>
  <c r="Y1707" i="1" s="1"/>
  <c r="V1711" i="1"/>
  <c r="Y1711" i="1" s="1"/>
  <c r="V1716" i="1"/>
  <c r="Y1716" i="1" s="1"/>
  <c r="V1720" i="1"/>
  <c r="Y1720" i="1" s="1"/>
  <c r="V1724" i="1"/>
  <c r="Y1724" i="1" s="1"/>
  <c r="V1728" i="1"/>
  <c r="Y1728" i="1" s="1"/>
  <c r="V1732" i="1"/>
  <c r="Y1732" i="1" s="1"/>
  <c r="V1736" i="1"/>
  <c r="Y1736" i="1" s="1"/>
  <c r="V1740" i="1"/>
  <c r="Y1740" i="1" s="1"/>
  <c r="V1744" i="1"/>
  <c r="Y1744" i="1" s="1"/>
  <c r="V1748" i="1"/>
  <c r="Y1748" i="1" s="1"/>
  <c r="V1752" i="1"/>
  <c r="Y1752" i="1" s="1"/>
  <c r="V908" i="1"/>
  <c r="Y908" i="1" s="1"/>
  <c r="V1140" i="1"/>
  <c r="Y1140" i="1" s="1"/>
  <c r="U1175" i="1"/>
  <c r="U1210" i="1"/>
  <c r="U1244" i="1"/>
  <c r="U1279" i="1"/>
  <c r="U1313" i="1"/>
  <c r="U1347" i="1"/>
  <c r="U1385" i="1"/>
  <c r="V1421" i="1"/>
  <c r="Y1421" i="1" s="1"/>
  <c r="V1443" i="1"/>
  <c r="Y1443" i="1" s="1"/>
  <c r="U1461" i="1"/>
  <c r="V1469" i="1"/>
  <c r="Y1469" i="1" s="1"/>
  <c r="V1475" i="1"/>
  <c r="Y1475" i="1" s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 s="1"/>
  <c r="U1145" i="1"/>
  <c r="X1145" i="1" s="1"/>
  <c r="U1180" i="1"/>
  <c r="X1180" i="1" s="1"/>
  <c r="U1214" i="1"/>
  <c r="U1249" i="1"/>
  <c r="U1283" i="1"/>
  <c r="U1317" i="1"/>
  <c r="U1351" i="1"/>
  <c r="U1391" i="1"/>
  <c r="U1427" i="1"/>
  <c r="U1447" i="1"/>
  <c r="V1461" i="1"/>
  <c r="Y1461" i="1" s="1"/>
  <c r="V1470" i="1"/>
  <c r="Y1470" i="1" s="1"/>
  <c r="U1476" i="1"/>
  <c r="V1480" i="1"/>
  <c r="Y1480" i="1" s="1"/>
  <c r="V1484" i="1"/>
  <c r="Y1484" i="1" s="1"/>
  <c r="V1488" i="1"/>
  <c r="Y1488" i="1" s="1"/>
  <c r="V1492" i="1"/>
  <c r="Y1492" i="1" s="1"/>
  <c r="V1496" i="1"/>
  <c r="Y1496" i="1" s="1"/>
  <c r="V1500" i="1"/>
  <c r="Y1500" i="1" s="1"/>
  <c r="V1504" i="1"/>
  <c r="Y1504" i="1" s="1"/>
  <c r="V1508" i="1"/>
  <c r="Y1508" i="1" s="1"/>
  <c r="V1512" i="1"/>
  <c r="Y1512" i="1" s="1"/>
  <c r="V1516" i="1"/>
  <c r="Y1516" i="1" s="1"/>
  <c r="V1520" i="1"/>
  <c r="Y1520" i="1" s="1"/>
  <c r="V1524" i="1"/>
  <c r="Y1524" i="1" s="1"/>
  <c r="V1528" i="1"/>
  <c r="Y1528" i="1" s="1"/>
  <c r="V1532" i="1"/>
  <c r="Y1532" i="1" s="1"/>
  <c r="V1536" i="1"/>
  <c r="Y1536" i="1" s="1"/>
  <c r="V1540" i="1"/>
  <c r="Y1540" i="1" s="1"/>
  <c r="V1544" i="1"/>
  <c r="Y1544" i="1" s="1"/>
  <c r="V1548" i="1"/>
  <c r="Y1548" i="1" s="1"/>
  <c r="V1552" i="1"/>
  <c r="Y1552" i="1" s="1"/>
  <c r="V1556" i="1"/>
  <c r="Y1556" i="1" s="1"/>
  <c r="V1560" i="1"/>
  <c r="Y1560" i="1" s="1"/>
  <c r="V1564" i="1"/>
  <c r="Y1564" i="1" s="1"/>
  <c r="V1568" i="1"/>
  <c r="Y1568" i="1" s="1"/>
  <c r="V1572" i="1"/>
  <c r="Y1572" i="1" s="1"/>
  <c r="V1576" i="1"/>
  <c r="Y1576" i="1" s="1"/>
  <c r="V1580" i="1"/>
  <c r="Y1580" i="1" s="1"/>
  <c r="V1584" i="1"/>
  <c r="Y1584" i="1" s="1"/>
  <c r="V1588" i="1"/>
  <c r="Y1588" i="1" s="1"/>
  <c r="V1592" i="1"/>
  <c r="Y1592" i="1" s="1"/>
  <c r="V1596" i="1"/>
  <c r="Y1596" i="1" s="1"/>
  <c r="V1600" i="1"/>
  <c r="Y1600" i="1" s="1"/>
  <c r="V1604" i="1"/>
  <c r="Y1604" i="1" s="1"/>
  <c r="V1608" i="1"/>
  <c r="Y1608" i="1" s="1"/>
  <c r="V1612" i="1"/>
  <c r="Y1612" i="1" s="1"/>
  <c r="V1616" i="1"/>
  <c r="Y1616" i="1" s="1"/>
  <c r="V1620" i="1"/>
  <c r="Y1620" i="1" s="1"/>
  <c r="V1624" i="1"/>
  <c r="Y1624" i="1" s="1"/>
  <c r="V1628" i="1"/>
  <c r="Y1628" i="1" s="1"/>
  <c r="V1632" i="1"/>
  <c r="Y1632" i="1" s="1"/>
  <c r="V1636" i="1"/>
  <c r="Y1636" i="1" s="1"/>
  <c r="V1640" i="1"/>
  <c r="Y1640" i="1" s="1"/>
  <c r="V1644" i="1"/>
  <c r="Y1644" i="1" s="1"/>
  <c r="V1648" i="1"/>
  <c r="Y1648" i="1" s="1"/>
  <c r="V1652" i="1"/>
  <c r="Y1652" i="1" s="1"/>
  <c r="V1656" i="1"/>
  <c r="Y1656" i="1" s="1"/>
  <c r="V1660" i="1"/>
  <c r="Y1660" i="1" s="1"/>
  <c r="V1664" i="1"/>
  <c r="Y1664" i="1" s="1"/>
  <c r="V1668" i="1"/>
  <c r="Y1668" i="1" s="1"/>
  <c r="V1672" i="1"/>
  <c r="Y1672" i="1" s="1"/>
  <c r="V1676" i="1"/>
  <c r="Y1676" i="1" s="1"/>
  <c r="V1680" i="1"/>
  <c r="Y1680" i="1" s="1"/>
  <c r="V1684" i="1"/>
  <c r="Y1684" i="1" s="1"/>
  <c r="V1688" i="1"/>
  <c r="Y1688" i="1" s="1"/>
  <c r="V1692" i="1"/>
  <c r="Y1692" i="1" s="1"/>
  <c r="V1696" i="1"/>
  <c r="Y1696" i="1" s="1"/>
  <c r="V1700" i="1"/>
  <c r="Y1700" i="1" s="1"/>
  <c r="V1704" i="1"/>
  <c r="Y1704" i="1" s="1"/>
  <c r="V1708" i="1"/>
  <c r="Y1708" i="1" s="1"/>
  <c r="V1712" i="1"/>
  <c r="Y1712" i="1" s="1"/>
  <c r="V1717" i="1"/>
  <c r="Y1717" i="1" s="1"/>
  <c r="V1721" i="1"/>
  <c r="Y1721" i="1" s="1"/>
  <c r="V1725" i="1"/>
  <c r="Y1725" i="1" s="1"/>
  <c r="V1729" i="1"/>
  <c r="Y1729" i="1" s="1"/>
  <c r="V1733" i="1"/>
  <c r="Y1733" i="1" s="1"/>
  <c r="V1737" i="1"/>
  <c r="Y1737" i="1" s="1"/>
  <c r="V1741" i="1"/>
  <c r="Y1741" i="1" s="1"/>
  <c r="V1745" i="1"/>
  <c r="Y1745" i="1" s="1"/>
  <c r="V1749" i="1"/>
  <c r="Y1749" i="1" s="1"/>
  <c r="V1753" i="1"/>
  <c r="Y1753" i="1" s="1"/>
  <c r="V975" i="1"/>
  <c r="Y975" i="1" s="1"/>
  <c r="V1149" i="1"/>
  <c r="Y1149" i="1" s="1"/>
  <c r="U1184" i="1"/>
  <c r="U1218" i="1"/>
  <c r="U1253" i="1"/>
  <c r="U1287" i="1"/>
  <c r="U1322" i="1"/>
  <c r="U1355" i="1"/>
  <c r="U1397" i="1"/>
  <c r="V1427" i="1"/>
  <c r="Y1427" i="1" s="1"/>
  <c r="V1447" i="1"/>
  <c r="Y1447" i="1" s="1"/>
  <c r="V1462" i="1"/>
  <c r="Y1462" i="1" s="1"/>
  <c r="V1471" i="1"/>
  <c r="Y1471" i="1" s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 s="1"/>
  <c r="U1154" i="1"/>
  <c r="U1189" i="1"/>
  <c r="X1189" i="1" s="1"/>
  <c r="U1223" i="1"/>
  <c r="U1257" i="1"/>
  <c r="U1292" i="1"/>
  <c r="U1326" i="1"/>
  <c r="U1360" i="1"/>
  <c r="U1401" i="1"/>
  <c r="U1433" i="1"/>
  <c r="U1453" i="1"/>
  <c r="U1465" i="1"/>
  <c r="U1473" i="1"/>
  <c r="V1477" i="1"/>
  <c r="Y1477" i="1" s="1"/>
  <c r="V1481" i="1"/>
  <c r="Y1481" i="1" s="1"/>
  <c r="V1485" i="1"/>
  <c r="Y1485" i="1" s="1"/>
  <c r="V1489" i="1"/>
  <c r="Y1489" i="1" s="1"/>
  <c r="V1493" i="1"/>
  <c r="Y1493" i="1" s="1"/>
  <c r="V1497" i="1"/>
  <c r="Y1497" i="1" s="1"/>
  <c r="V1501" i="1"/>
  <c r="Y1501" i="1" s="1"/>
  <c r="V1505" i="1"/>
  <c r="Y1505" i="1" s="1"/>
  <c r="V1509" i="1"/>
  <c r="Y1509" i="1" s="1"/>
  <c r="V1513" i="1"/>
  <c r="Y1513" i="1" s="1"/>
  <c r="V1517" i="1"/>
  <c r="Y1517" i="1" s="1"/>
  <c r="V1521" i="1"/>
  <c r="Y1521" i="1" s="1"/>
  <c r="V1525" i="1"/>
  <c r="Y1525" i="1" s="1"/>
  <c r="V1529" i="1"/>
  <c r="Y1529" i="1" s="1"/>
  <c r="V1533" i="1"/>
  <c r="Y1533" i="1" s="1"/>
  <c r="V1537" i="1"/>
  <c r="Y1537" i="1" s="1"/>
  <c r="V1541" i="1"/>
  <c r="Y1541" i="1" s="1"/>
  <c r="V1545" i="1"/>
  <c r="Y1545" i="1" s="1"/>
  <c r="V1549" i="1"/>
  <c r="Y1549" i="1" s="1"/>
  <c r="V1553" i="1"/>
  <c r="Y1553" i="1" s="1"/>
  <c r="V1557" i="1"/>
  <c r="Y1557" i="1" s="1"/>
  <c r="V1561" i="1"/>
  <c r="Y1561" i="1" s="1"/>
  <c r="V1565" i="1"/>
  <c r="Y1565" i="1" s="1"/>
  <c r="V1569" i="1"/>
  <c r="Y1569" i="1" s="1"/>
  <c r="V1573" i="1"/>
  <c r="Y1573" i="1" s="1"/>
  <c r="V1577" i="1"/>
  <c r="Y1577" i="1" s="1"/>
  <c r="V1581" i="1"/>
  <c r="Y1581" i="1" s="1"/>
  <c r="V1585" i="1"/>
  <c r="Y1585" i="1" s="1"/>
  <c r="V1589" i="1"/>
  <c r="Y1589" i="1" s="1"/>
  <c r="V1593" i="1"/>
  <c r="Y1593" i="1" s="1"/>
  <c r="V1597" i="1"/>
  <c r="Y1597" i="1" s="1"/>
  <c r="V1601" i="1"/>
  <c r="Y1601" i="1" s="1"/>
  <c r="V1605" i="1"/>
  <c r="Y1605" i="1" s="1"/>
  <c r="V1609" i="1"/>
  <c r="Y1609" i="1" s="1"/>
  <c r="V1613" i="1"/>
  <c r="Y1613" i="1" s="1"/>
  <c r="V1617" i="1"/>
  <c r="Y1617" i="1" s="1"/>
  <c r="V1621" i="1"/>
  <c r="Y1621" i="1" s="1"/>
  <c r="V1625" i="1"/>
  <c r="Y1625" i="1" s="1"/>
  <c r="V1629" i="1"/>
  <c r="Y1629" i="1" s="1"/>
  <c r="V1633" i="1"/>
  <c r="Y1633" i="1" s="1"/>
  <c r="V1637" i="1"/>
  <c r="Y1637" i="1" s="1"/>
  <c r="V1641" i="1"/>
  <c r="Y1641" i="1" s="1"/>
  <c r="V1645" i="1"/>
  <c r="Y1645" i="1" s="1"/>
  <c r="V1649" i="1"/>
  <c r="Y1649" i="1" s="1"/>
  <c r="V1653" i="1"/>
  <c r="Y1653" i="1" s="1"/>
  <c r="V1657" i="1"/>
  <c r="Y1657" i="1" s="1"/>
  <c r="V1661" i="1"/>
  <c r="Y1661" i="1" s="1"/>
  <c r="V1665" i="1"/>
  <c r="Y1665" i="1" s="1"/>
  <c r="V1669" i="1"/>
  <c r="Y1669" i="1" s="1"/>
  <c r="V1673" i="1"/>
  <c r="Y1673" i="1" s="1"/>
  <c r="V1677" i="1"/>
  <c r="Y1677" i="1" s="1"/>
  <c r="V1681" i="1"/>
  <c r="Y1681" i="1" s="1"/>
  <c r="V1685" i="1"/>
  <c r="Y1685" i="1" s="1"/>
  <c r="V1689" i="1"/>
  <c r="Y1689" i="1" s="1"/>
  <c r="V1693" i="1"/>
  <c r="Y1693" i="1" s="1"/>
  <c r="V1697" i="1"/>
  <c r="Y1697" i="1" s="1"/>
  <c r="V1701" i="1"/>
  <c r="Y1701" i="1" s="1"/>
  <c r="V1705" i="1"/>
  <c r="Y1705" i="1" s="1"/>
  <c r="V1709" i="1"/>
  <c r="Y1709" i="1" s="1"/>
  <c r="V1714" i="1"/>
  <c r="Y1714" i="1" s="1"/>
  <c r="V1718" i="1"/>
  <c r="Y1718" i="1" s="1"/>
  <c r="V1722" i="1"/>
  <c r="Y1722" i="1" s="1"/>
  <c r="V1726" i="1"/>
  <c r="Y1726" i="1" s="1"/>
  <c r="V1730" i="1"/>
  <c r="Y1730" i="1" s="1"/>
  <c r="V1734" i="1"/>
  <c r="Y1734" i="1" s="1"/>
  <c r="V1738" i="1"/>
  <c r="Y1738" i="1" s="1"/>
  <c r="V1742" i="1"/>
  <c r="Y1742" i="1" s="1"/>
  <c r="V1746" i="1"/>
  <c r="Y1746" i="1" s="1"/>
  <c r="V1750" i="1"/>
  <c r="Y1750" i="1" s="1"/>
  <c r="V1754" i="1"/>
  <c r="Y1754" i="1" s="1"/>
  <c r="V1758" i="1"/>
  <c r="Y1758" i="1" s="1"/>
  <c r="V1762" i="1"/>
  <c r="Y1762" i="1" s="1"/>
  <c r="V1766" i="1"/>
  <c r="Y1766" i="1" s="1"/>
  <c r="V507" i="1"/>
  <c r="Y507" i="1" s="1"/>
  <c r="U834" i="1"/>
  <c r="V1039" i="1"/>
  <c r="Y1039" i="1" s="1"/>
  <c r="U1159" i="1"/>
  <c r="X1159" i="1" s="1"/>
  <c r="U1193" i="1"/>
  <c r="U1227" i="1"/>
  <c r="U1262" i="1"/>
  <c r="U1296" i="1"/>
  <c r="U1330" i="1"/>
  <c r="U1364" i="1"/>
  <c r="U1407" i="1"/>
  <c r="V1433" i="1"/>
  <c r="Y1433" i="1" s="1"/>
  <c r="V1453" i="1"/>
  <c r="Y1453" i="1" s="1"/>
  <c r="V1465" i="1"/>
  <c r="Y1465" i="1" s="1"/>
  <c r="V1473" i="1"/>
  <c r="Y1473" i="1" s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 s="1"/>
  <c r="U1163" i="1"/>
  <c r="X1163" i="1" s="1"/>
  <c r="U1197" i="1"/>
  <c r="U1231" i="1"/>
  <c r="U1266" i="1"/>
  <c r="U1300" i="1"/>
  <c r="U1334" i="1"/>
  <c r="U1371" i="1"/>
  <c r="U1411" i="1"/>
  <c r="U1437" i="1"/>
  <c r="U1457" i="1"/>
  <c r="V1466" i="1"/>
  <c r="Y1466" i="1" s="1"/>
  <c r="U1474" i="1"/>
  <c r="V1478" i="1"/>
  <c r="Y1478" i="1" s="1"/>
  <c r="V1482" i="1"/>
  <c r="Y1482" i="1" s="1"/>
  <c r="V1486" i="1"/>
  <c r="Y1486" i="1" s="1"/>
  <c r="V1490" i="1"/>
  <c r="Y1490" i="1" s="1"/>
  <c r="V1494" i="1"/>
  <c r="Y1494" i="1" s="1"/>
  <c r="V1498" i="1"/>
  <c r="Y1498" i="1" s="1"/>
  <c r="V1502" i="1"/>
  <c r="Y1502" i="1" s="1"/>
  <c r="V1506" i="1"/>
  <c r="Y1506" i="1" s="1"/>
  <c r="V1510" i="1"/>
  <c r="Y1510" i="1" s="1"/>
  <c r="V1514" i="1"/>
  <c r="Y1514" i="1" s="1"/>
  <c r="V1518" i="1"/>
  <c r="Y1518" i="1" s="1"/>
  <c r="V1522" i="1"/>
  <c r="Y1522" i="1" s="1"/>
  <c r="V1526" i="1"/>
  <c r="Y1526" i="1" s="1"/>
  <c r="V1530" i="1"/>
  <c r="Y1530" i="1" s="1"/>
  <c r="V1534" i="1"/>
  <c r="Y1534" i="1" s="1"/>
  <c r="V1538" i="1"/>
  <c r="Y1538" i="1" s="1"/>
  <c r="V1542" i="1"/>
  <c r="Y1542" i="1" s="1"/>
  <c r="V1546" i="1"/>
  <c r="Y1546" i="1" s="1"/>
  <c r="V1550" i="1"/>
  <c r="Y1550" i="1" s="1"/>
  <c r="V1554" i="1"/>
  <c r="Y1554" i="1" s="1"/>
  <c r="V1558" i="1"/>
  <c r="Y1558" i="1" s="1"/>
  <c r="V1562" i="1"/>
  <c r="Y1562" i="1" s="1"/>
  <c r="V1566" i="1"/>
  <c r="Y1566" i="1" s="1"/>
  <c r="V1570" i="1"/>
  <c r="Y1570" i="1" s="1"/>
  <c r="V1574" i="1"/>
  <c r="Y1574" i="1" s="1"/>
  <c r="V1578" i="1"/>
  <c r="Y1578" i="1" s="1"/>
  <c r="V1582" i="1"/>
  <c r="Y1582" i="1" s="1"/>
  <c r="V1586" i="1"/>
  <c r="Y1586" i="1" s="1"/>
  <c r="V1590" i="1"/>
  <c r="Y1590" i="1" s="1"/>
  <c r="V1594" i="1"/>
  <c r="Y1594" i="1" s="1"/>
  <c r="V1598" i="1"/>
  <c r="Y1598" i="1" s="1"/>
  <c r="V1602" i="1"/>
  <c r="Y1602" i="1" s="1"/>
  <c r="V1606" i="1"/>
  <c r="Y1606" i="1" s="1"/>
  <c r="V1610" i="1"/>
  <c r="Y1610" i="1" s="1"/>
  <c r="V1614" i="1"/>
  <c r="Y1614" i="1" s="1"/>
  <c r="V1618" i="1"/>
  <c r="Y1618" i="1" s="1"/>
  <c r="V1622" i="1"/>
  <c r="Y1622" i="1" s="1"/>
  <c r="V1626" i="1"/>
  <c r="Y1626" i="1" s="1"/>
  <c r="V1630" i="1"/>
  <c r="Y1630" i="1" s="1"/>
  <c r="V1634" i="1"/>
  <c r="Y1634" i="1" s="1"/>
  <c r="V1638" i="1"/>
  <c r="Y1638" i="1" s="1"/>
  <c r="V1642" i="1"/>
  <c r="Y1642" i="1" s="1"/>
  <c r="V1646" i="1"/>
  <c r="Y1646" i="1" s="1"/>
  <c r="V1650" i="1"/>
  <c r="Y1650" i="1" s="1"/>
  <c r="V1654" i="1"/>
  <c r="Y1654" i="1" s="1"/>
  <c r="V1658" i="1"/>
  <c r="Y1658" i="1" s="1"/>
  <c r="V1662" i="1"/>
  <c r="Y1662" i="1" s="1"/>
  <c r="V1666" i="1"/>
  <c r="Y1666" i="1" s="1"/>
  <c r="V1670" i="1"/>
  <c r="Y1670" i="1" s="1"/>
  <c r="V1674" i="1"/>
  <c r="Y1674" i="1" s="1"/>
  <c r="V1678" i="1"/>
  <c r="Y1678" i="1" s="1"/>
  <c r="V1682" i="1"/>
  <c r="Y1682" i="1" s="1"/>
  <c r="V1686" i="1"/>
  <c r="Y1686" i="1" s="1"/>
  <c r="V1690" i="1"/>
  <c r="Y1690" i="1" s="1"/>
  <c r="V1694" i="1"/>
  <c r="Y1694" i="1" s="1"/>
  <c r="V1698" i="1"/>
  <c r="Y1698" i="1" s="1"/>
  <c r="V1702" i="1"/>
  <c r="Y1702" i="1" s="1"/>
  <c r="V1706" i="1"/>
  <c r="Y1706" i="1" s="1"/>
  <c r="V1710" i="1"/>
  <c r="Y1710" i="1" s="1"/>
  <c r="V1715" i="1"/>
  <c r="Y1715" i="1" s="1"/>
  <c r="V1719" i="1"/>
  <c r="Y1719" i="1" s="1"/>
  <c r="V1723" i="1"/>
  <c r="Y1723" i="1" s="1"/>
  <c r="V1727" i="1"/>
  <c r="Y1727" i="1" s="1"/>
  <c r="V1731" i="1"/>
  <c r="Y1731" i="1" s="1"/>
  <c r="V1735" i="1"/>
  <c r="Y1735" i="1" s="1"/>
  <c r="V1739" i="1"/>
  <c r="Y1739" i="1" s="1"/>
  <c r="V1743" i="1"/>
  <c r="Y1743" i="1" s="1"/>
  <c r="V1747" i="1"/>
  <c r="Y1747" i="1" s="1"/>
  <c r="V1751" i="1"/>
  <c r="Y1751" i="1" s="1"/>
  <c r="V1755" i="1"/>
  <c r="Y1755" i="1" s="1"/>
  <c r="V1759" i="1"/>
  <c r="Y1759" i="1" s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 s="1"/>
  <c r="V1760" i="1"/>
  <c r="Y1760" i="1" s="1"/>
  <c r="U1752" i="1"/>
  <c r="U1720" i="1"/>
  <c r="U1687" i="1"/>
  <c r="U1655" i="1"/>
  <c r="U1623" i="1"/>
  <c r="U1591" i="1"/>
  <c r="U1559" i="1"/>
  <c r="U1527" i="1"/>
  <c r="U1495" i="1"/>
  <c r="V1437" i="1"/>
  <c r="Y1437" i="1" s="1"/>
  <c r="U1167" i="1"/>
  <c r="V1837" i="1"/>
  <c r="Y1837" i="1" s="1"/>
  <c r="V1833" i="1"/>
  <c r="Y1833" i="1" s="1"/>
  <c r="V1829" i="1"/>
  <c r="Y1829" i="1" s="1"/>
  <c r="V1825" i="1"/>
  <c r="Y1825" i="1" s="1"/>
  <c r="V1821" i="1"/>
  <c r="Y1821" i="1" s="1"/>
  <c r="V1817" i="1"/>
  <c r="Y1817" i="1" s="1"/>
  <c r="V1813" i="1"/>
  <c r="Y1813" i="1" s="1"/>
  <c r="V1809" i="1"/>
  <c r="Y1809" i="1" s="1"/>
  <c r="V1805" i="1"/>
  <c r="Y1805" i="1" s="1"/>
  <c r="V1801" i="1"/>
  <c r="Y1801" i="1" s="1"/>
  <c r="V1797" i="1"/>
  <c r="Y1797" i="1" s="1"/>
  <c r="V1793" i="1"/>
  <c r="Y1793" i="1" s="1"/>
  <c r="V1789" i="1"/>
  <c r="Y1789" i="1" s="1"/>
  <c r="V1785" i="1"/>
  <c r="Y1785" i="1" s="1"/>
  <c r="V1781" i="1"/>
  <c r="Y1781" i="1" s="1"/>
  <c r="V1777" i="1"/>
  <c r="Y1777" i="1" s="1"/>
  <c r="V1773" i="1"/>
  <c r="Y1773" i="1" s="1"/>
  <c r="V1769" i="1"/>
  <c r="Y1769" i="1" s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 s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 s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 s="1"/>
  <c r="V1828" i="1"/>
  <c r="Y1828" i="1" s="1"/>
  <c r="V1824" i="1"/>
  <c r="Y1824" i="1" s="1"/>
  <c r="V1820" i="1"/>
  <c r="Y1820" i="1" s="1"/>
  <c r="V1816" i="1"/>
  <c r="Y1816" i="1" s="1"/>
  <c r="V1812" i="1"/>
  <c r="Y1812" i="1" s="1"/>
  <c r="V1808" i="1"/>
  <c r="Y1808" i="1" s="1"/>
  <c r="V1804" i="1"/>
  <c r="Y1804" i="1" s="1"/>
  <c r="V1800" i="1"/>
  <c r="Y1800" i="1" s="1"/>
  <c r="V1796" i="1"/>
  <c r="Y1796" i="1" s="1"/>
  <c r="V1792" i="1"/>
  <c r="Y1792" i="1" s="1"/>
  <c r="V1788" i="1"/>
  <c r="Y1788" i="1" s="1"/>
  <c r="V1784" i="1"/>
  <c r="Y1784" i="1" s="1"/>
  <c r="V1780" i="1"/>
  <c r="Y1780" i="1" s="1"/>
  <c r="V1776" i="1"/>
  <c r="Y1776" i="1" s="1"/>
  <c r="V1772" i="1"/>
  <c r="Y1772" i="1" s="1"/>
  <c r="V1768" i="1"/>
  <c r="Y1768" i="1" s="1"/>
  <c r="U1764" i="1"/>
  <c r="V1757" i="1"/>
  <c r="Y1757" i="1" s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 s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 s="1"/>
  <c r="V1835" i="1"/>
  <c r="Y1835" i="1" s="1"/>
  <c r="V1831" i="1"/>
  <c r="Y1831" i="1" s="1"/>
  <c r="V1827" i="1"/>
  <c r="Y1827" i="1" s="1"/>
  <c r="V1823" i="1"/>
  <c r="Y1823" i="1" s="1"/>
  <c r="V1819" i="1"/>
  <c r="Y1819" i="1" s="1"/>
  <c r="V1815" i="1"/>
  <c r="Y1815" i="1" s="1"/>
  <c r="V1811" i="1"/>
  <c r="Y1811" i="1" s="1"/>
  <c r="V1807" i="1"/>
  <c r="Y1807" i="1" s="1"/>
  <c r="V1803" i="1"/>
  <c r="Y1803" i="1" s="1"/>
  <c r="V1799" i="1"/>
  <c r="Y1799" i="1" s="1"/>
  <c r="V1795" i="1"/>
  <c r="Y1795" i="1" s="1"/>
  <c r="V1791" i="1"/>
  <c r="Y1791" i="1" s="1"/>
  <c r="V1787" i="1"/>
  <c r="Y1787" i="1" s="1"/>
  <c r="V1783" i="1"/>
  <c r="Y1783" i="1" s="1"/>
  <c r="V1779" i="1"/>
  <c r="Y1779" i="1" s="1"/>
  <c r="V1775" i="1"/>
  <c r="Y1775" i="1" s="1"/>
  <c r="V1771" i="1"/>
  <c r="Y1771" i="1" s="1"/>
  <c r="V1767" i="1"/>
  <c r="Y1767" i="1" s="1"/>
  <c r="U1763" i="1"/>
  <c r="V1756" i="1"/>
  <c r="Y1756" i="1" s="1"/>
  <c r="U1732" i="1"/>
  <c r="U1699" i="1"/>
  <c r="U1667" i="1"/>
  <c r="U1635" i="1"/>
  <c r="U1603" i="1"/>
  <c r="U1571" i="1"/>
  <c r="U1539" i="1"/>
  <c r="U1507" i="1"/>
  <c r="V1474" i="1"/>
  <c r="Y1474" i="1" s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 s="1"/>
  <c r="U1756" i="1"/>
  <c r="U1728" i="1"/>
  <c r="U1695" i="1"/>
  <c r="U1663" i="1"/>
  <c r="U1631" i="1"/>
  <c r="U1599" i="1"/>
  <c r="U1567" i="1"/>
  <c r="U1535" i="1"/>
  <c r="U1503" i="1"/>
  <c r="V1467" i="1"/>
  <c r="Y1467" i="1" s="1"/>
  <c r="U1236" i="1"/>
  <c r="A3" i="79"/>
  <c r="E58" i="26"/>
  <c r="O64" i="78"/>
  <c r="E17" i="26"/>
  <c r="O21" i="78"/>
  <c r="F17" i="111"/>
  <c r="F13" i="111"/>
  <c r="H48" i="97"/>
  <c r="H98" i="97"/>
  <c r="H43" i="97"/>
  <c r="H166" i="97"/>
  <c r="E24" i="26"/>
  <c r="O28" i="78"/>
  <c r="F5" i="111"/>
  <c r="I5" i="111" s="1"/>
  <c r="D52" i="79"/>
  <c r="E61" i="26"/>
  <c r="D63" i="79"/>
  <c r="O75" i="78"/>
  <c r="D5" i="79"/>
  <c r="G5" i="79" s="1"/>
  <c r="D6" i="79"/>
  <c r="G6" i="79" s="1"/>
  <c r="D28" i="79"/>
  <c r="E25" i="26"/>
  <c r="D25" i="79"/>
  <c r="E29" i="26"/>
  <c r="D30" i="79"/>
  <c r="E54" i="26"/>
  <c r="O60" i="78"/>
  <c r="E45" i="26"/>
  <c r="O51" i="78"/>
  <c r="E12" i="26"/>
  <c r="D12" i="79"/>
  <c r="G12" i="79" s="1"/>
  <c r="F12" i="111"/>
  <c r="I12" i="111" s="1"/>
  <c r="O16" i="78"/>
  <c r="E41" i="26"/>
  <c r="O47" i="78"/>
  <c r="H30" i="97"/>
  <c r="H103" i="97"/>
  <c r="H176" i="97"/>
  <c r="H111" i="97"/>
  <c r="H18" i="97"/>
  <c r="H114" i="97"/>
  <c r="H9" i="97"/>
  <c r="H28" i="97"/>
  <c r="H74" i="97"/>
  <c r="H26" i="97"/>
  <c r="O35" i="78"/>
  <c r="E71" i="26"/>
  <c r="D73" i="79"/>
  <c r="E10" i="26"/>
  <c r="F10" i="111"/>
  <c r="I10" i="111" s="1"/>
  <c r="H17" i="97"/>
  <c r="H133" i="97"/>
  <c r="H25" i="97"/>
  <c r="H109" i="97"/>
  <c r="H118" i="97"/>
  <c r="H165" i="97"/>
  <c r="H36" i="97"/>
  <c r="H21" i="97"/>
  <c r="H175" i="97"/>
  <c r="H68" i="97"/>
  <c r="H125" i="97"/>
  <c r="H95" i="97"/>
  <c r="H29" i="97"/>
  <c r="H57" i="97"/>
  <c r="H182" i="97"/>
  <c r="H97" i="97"/>
  <c r="H92" i="97"/>
  <c r="H11" i="97"/>
  <c r="H120" i="97"/>
  <c r="H174" i="97"/>
  <c r="H130" i="97"/>
  <c r="H173" i="97"/>
  <c r="H40" i="97"/>
  <c r="H106" i="97"/>
  <c r="H51" i="97"/>
  <c r="H172" i="97"/>
  <c r="H81" i="97"/>
  <c r="H3" i="97"/>
  <c r="H123" i="97"/>
  <c r="H32" i="97"/>
  <c r="H34" i="97"/>
  <c r="H119" i="97"/>
  <c r="H2" i="97"/>
  <c r="H115" i="97"/>
  <c r="H136" i="97"/>
  <c r="H73" i="97"/>
  <c r="H55" i="97"/>
  <c r="H113" i="97"/>
  <c r="H67" i="97"/>
  <c r="H143" i="97"/>
  <c r="H129" i="97"/>
  <c r="H179" i="97"/>
  <c r="H37" i="97"/>
  <c r="H54" i="97"/>
  <c r="H56" i="97"/>
  <c r="H151" i="97"/>
  <c r="H85" i="97"/>
  <c r="H22" i="97"/>
  <c r="H10" i="97"/>
  <c r="H35" i="97"/>
  <c r="H132" i="97"/>
  <c r="H146" i="97"/>
  <c r="H16" i="97"/>
  <c r="H144" i="97"/>
  <c r="H41" i="97"/>
  <c r="H65" i="97"/>
  <c r="H84" i="97"/>
  <c r="H145" i="97"/>
  <c r="H104" i="97"/>
  <c r="H181" i="97"/>
  <c r="H177" i="97"/>
  <c r="H110" i="97"/>
  <c r="H124" i="97"/>
  <c r="H31" i="97"/>
  <c r="H131" i="97"/>
  <c r="H159" i="97"/>
  <c r="H117" i="97"/>
  <c r="E14" i="26"/>
  <c r="D14" i="79"/>
  <c r="G14" i="79" s="1"/>
  <c r="E22" i="26"/>
  <c r="D22" i="79"/>
  <c r="E73" i="26"/>
  <c r="D27" i="79"/>
  <c r="E7" i="26"/>
  <c r="D8" i="79"/>
  <c r="G8" i="79" s="1"/>
  <c r="O11" i="78"/>
  <c r="E28" i="26"/>
  <c r="D29" i="79"/>
  <c r="D26" i="79"/>
  <c r="E3" i="26"/>
  <c r="F3" i="111"/>
  <c r="I3" i="111" s="1"/>
  <c r="D60" i="79"/>
  <c r="D10" i="79"/>
  <c r="G10" i="79" s="1"/>
  <c r="O77" i="78"/>
  <c r="O69" i="78"/>
  <c r="E2" i="26"/>
  <c r="O6" i="78"/>
  <c r="F2" i="111"/>
  <c r="I2" i="111" s="1"/>
  <c r="O86" i="78"/>
  <c r="D82" i="79"/>
  <c r="G82" i="79" s="1"/>
  <c r="H15" i="97"/>
  <c r="H72" i="97"/>
  <c r="H100" i="97"/>
  <c r="H108" i="97"/>
  <c r="D31" i="79"/>
  <c r="D38" i="79"/>
  <c r="E52" i="26"/>
  <c r="O58" i="78"/>
  <c r="E55" i="26"/>
  <c r="D57" i="79"/>
  <c r="O38" i="78"/>
  <c r="D4" i="79"/>
  <c r="G4" i="79" s="1"/>
  <c r="D77" i="79"/>
  <c r="G77" i="79" s="1"/>
  <c r="O66" i="78"/>
  <c r="E23" i="26"/>
  <c r="D23" i="79"/>
  <c r="F24" i="111"/>
  <c r="D65" i="79"/>
  <c r="E57" i="26"/>
  <c r="D59" i="79"/>
  <c r="E6" i="26"/>
  <c r="O10" i="78"/>
  <c r="O76" i="78"/>
  <c r="H134" i="97"/>
  <c r="H156" i="97"/>
  <c r="H122" i="97"/>
  <c r="H42" i="97"/>
  <c r="H14" i="97"/>
  <c r="E13" i="26"/>
  <c r="O17" i="78"/>
  <c r="E15" i="26"/>
  <c r="F15" i="111"/>
  <c r="D15" i="79"/>
  <c r="G15" i="79" s="1"/>
  <c r="H141" i="97"/>
  <c r="H93" i="97"/>
  <c r="H127" i="97"/>
  <c r="H27" i="97"/>
  <c r="H147" i="97"/>
  <c r="O31" i="78"/>
  <c r="E49" i="26"/>
  <c r="D51" i="79"/>
  <c r="O90" i="78"/>
  <c r="D86" i="79"/>
  <c r="G86" i="79" s="1"/>
  <c r="H101" i="97"/>
  <c r="H33" i="97"/>
  <c r="H66" i="97"/>
  <c r="H105" i="97"/>
  <c r="H53" i="97"/>
  <c r="H183" i="97"/>
  <c r="D17" i="79"/>
  <c r="G17" i="79" s="1"/>
  <c r="D69" i="79"/>
  <c r="O26" i="78"/>
  <c r="E38" i="26"/>
  <c r="D39" i="79"/>
  <c r="O29" i="78"/>
  <c r="O8" i="78"/>
  <c r="O56" i="78"/>
  <c r="D19" i="79"/>
  <c r="G19" i="79" s="1"/>
  <c r="E18" i="26"/>
  <c r="O22" i="78"/>
  <c r="H82" i="97"/>
  <c r="H94" i="97"/>
  <c r="H69" i="97"/>
  <c r="H128" i="97"/>
  <c r="D48" i="79"/>
  <c r="O44" i="78"/>
  <c r="O12" i="78"/>
  <c r="U72" i="1"/>
  <c r="X72" i="1" s="1"/>
  <c r="U66" i="1"/>
  <c r="X66" i="1" s="1"/>
  <c r="U60" i="1"/>
  <c r="X60" i="1" s="1"/>
  <c r="U54" i="1"/>
  <c r="X54" i="1" s="1"/>
  <c r="U50" i="1"/>
  <c r="X50" i="1" s="1"/>
  <c r="U44" i="1"/>
  <c r="X44" i="1" s="1"/>
  <c r="U38" i="1"/>
  <c r="X38" i="1" s="1"/>
  <c r="U34" i="1"/>
  <c r="X34" i="1" s="1"/>
  <c r="U28" i="1"/>
  <c r="X28" i="1" s="1"/>
  <c r="U24" i="1"/>
  <c r="X24" i="1" s="1"/>
  <c r="U18" i="1"/>
  <c r="X18" i="1" s="1"/>
  <c r="V62" i="1"/>
  <c r="Y62" i="1" s="1"/>
  <c r="V52" i="1"/>
  <c r="Y52" i="1" s="1"/>
  <c r="V42" i="1"/>
  <c r="Y42" i="1" s="1"/>
  <c r="V36" i="1"/>
  <c r="Y36" i="1" s="1"/>
  <c r="V30" i="1"/>
  <c r="Y30" i="1" s="1"/>
  <c r="V26" i="1"/>
  <c r="Y26" i="1" s="1"/>
  <c r="V20" i="1"/>
  <c r="Y20" i="1" s="1"/>
  <c r="V14" i="1"/>
  <c r="Y14" i="1" s="1"/>
  <c r="U62" i="1"/>
  <c r="X62" i="1" s="1"/>
  <c r="U52" i="1"/>
  <c r="X52" i="1" s="1"/>
  <c r="U46" i="1"/>
  <c r="X46" i="1" s="1"/>
  <c r="U42" i="1"/>
  <c r="X42" i="1" s="1"/>
  <c r="U36" i="1"/>
  <c r="X36" i="1" s="1"/>
  <c r="U30" i="1"/>
  <c r="X30" i="1" s="1"/>
  <c r="U26" i="1"/>
  <c r="X26" i="1" s="1"/>
  <c r="U20" i="1"/>
  <c r="X20" i="1" s="1"/>
  <c r="U14" i="1"/>
  <c r="X14" i="1" s="1"/>
  <c r="V29" i="1"/>
  <c r="Y29" i="1" s="1"/>
  <c r="V25" i="1"/>
  <c r="Y25" i="1" s="1"/>
  <c r="U45" i="1"/>
  <c r="X45" i="1" s="1"/>
  <c r="U39" i="1"/>
  <c r="X39" i="1" s="1"/>
  <c r="U35" i="1"/>
  <c r="X35" i="1" s="1"/>
  <c r="U29" i="1"/>
  <c r="X29" i="1" s="1"/>
  <c r="U25" i="1"/>
  <c r="X25" i="1" s="1"/>
  <c r="V24" i="1"/>
  <c r="Y24" i="1" s="1"/>
  <c r="B46" i="118"/>
  <c r="B59" i="118"/>
  <c r="B57" i="118"/>
  <c r="B60" i="118"/>
  <c r="B54" i="118"/>
  <c r="B55" i="118"/>
  <c r="B58" i="118"/>
  <c r="B56" i="118"/>
  <c r="K901" i="1"/>
  <c r="I1280" i="1"/>
  <c r="I1438" i="1"/>
  <c r="I1278" i="1"/>
  <c r="H34" i="118"/>
  <c r="F59" i="118"/>
  <c r="N34" i="118"/>
  <c r="H35" i="118"/>
  <c r="F60" i="118"/>
  <c r="H60" i="118" s="1"/>
  <c r="H36" i="118"/>
  <c r="F61" i="118"/>
  <c r="H61" i="118" s="1"/>
  <c r="N36" i="118"/>
  <c r="L34" i="118"/>
  <c r="N35" i="118"/>
  <c r="H14" i="118"/>
  <c r="N14" i="118"/>
  <c r="I1375" i="1"/>
  <c r="K900" i="1"/>
  <c r="I1437" i="1"/>
  <c r="J1238" i="1"/>
  <c r="I1279" i="1"/>
  <c r="I250" i="1"/>
  <c r="J1356" i="1"/>
  <c r="J32" i="118"/>
  <c r="I757" i="1"/>
  <c r="M249" i="1"/>
  <c r="K1126" i="1"/>
  <c r="H534" i="1"/>
  <c r="C534" i="1" s="1"/>
  <c r="L35" i="118"/>
  <c r="K32" i="118"/>
  <c r="K854" i="1"/>
  <c r="M1134" i="1"/>
  <c r="K745" i="1"/>
  <c r="J1361" i="1"/>
  <c r="K1383" i="1"/>
  <c r="I1158" i="1"/>
  <c r="K1384" i="1"/>
  <c r="J795" i="1"/>
  <c r="J1359" i="1"/>
  <c r="J1358" i="1"/>
  <c r="J988" i="1"/>
  <c r="K1082" i="1"/>
  <c r="K1088" i="1"/>
  <c r="J1047" i="1"/>
  <c r="J777" i="1"/>
  <c r="K1040" i="1"/>
  <c r="J1246" i="1"/>
  <c r="J1345" i="1"/>
  <c r="I1267" i="1"/>
  <c r="K699" i="1"/>
  <c r="I745" i="1"/>
  <c r="I620" i="1"/>
  <c r="I258" i="1"/>
  <c r="I586" i="1"/>
  <c r="I919" i="1"/>
  <c r="I513" i="1"/>
  <c r="M612" i="1"/>
  <c r="M407" i="1"/>
  <c r="M534" i="1"/>
  <c r="M613" i="1"/>
  <c r="H540" i="1"/>
  <c r="C540" i="1" s="1"/>
  <c r="M245" i="1"/>
  <c r="H916" i="1"/>
  <c r="P916" i="1" s="1"/>
  <c r="C916" i="1" s="1"/>
  <c r="I447" i="1"/>
  <c r="M532" i="1"/>
  <c r="I483" i="1"/>
  <c r="I659" i="1"/>
  <c r="I600" i="1"/>
  <c r="J1030" i="1"/>
  <c r="K603" i="1"/>
  <c r="I784" i="1"/>
  <c r="K635" i="1"/>
  <c r="K613" i="1"/>
  <c r="K611" i="1"/>
  <c r="L36" i="118"/>
  <c r="J1261" i="1"/>
  <c r="J1266" i="1"/>
  <c r="I1040" i="1"/>
  <c r="K620" i="1"/>
  <c r="O30" i="1"/>
  <c r="J1210" i="1"/>
  <c r="J1125" i="1"/>
  <c r="I245" i="1"/>
  <c r="I153" i="1"/>
  <c r="I601" i="1"/>
  <c r="I692" i="1"/>
  <c r="J68" i="1"/>
  <c r="I1129" i="1"/>
  <c r="K1074" i="1"/>
  <c r="I249" i="1"/>
  <c r="I1130" i="1"/>
  <c r="K1071" i="1"/>
  <c r="I673" i="1"/>
  <c r="J1078" i="1"/>
  <c r="K513" i="1"/>
  <c r="K511" i="1"/>
  <c r="I989" i="1"/>
  <c r="K722" i="1"/>
  <c r="N1183" i="1"/>
  <c r="N1179" i="1"/>
  <c r="M473" i="1"/>
  <c r="I1259" i="1"/>
  <c r="M472" i="1"/>
  <c r="I1181" i="1"/>
  <c r="J928" i="1"/>
  <c r="I1183" i="1"/>
  <c r="J929" i="1"/>
  <c r="I1179" i="1"/>
  <c r="I1180" i="1"/>
  <c r="I1261" i="1"/>
  <c r="I1264" i="1"/>
  <c r="I1266" i="1"/>
  <c r="I1263" i="1"/>
  <c r="I1265" i="1"/>
  <c r="N593" i="1"/>
  <c r="I1161" i="1"/>
  <c r="Y1128" i="1"/>
  <c r="H1128" i="1"/>
  <c r="I1128" i="1"/>
  <c r="P1128" i="1"/>
  <c r="H533" i="1"/>
  <c r="C533" i="1" s="1"/>
  <c r="H555" i="1"/>
  <c r="C555" i="1" s="1"/>
  <c r="J1127" i="1"/>
  <c r="I661" i="1"/>
  <c r="K1070" i="1"/>
  <c r="I663" i="1"/>
  <c r="J1333" i="1"/>
  <c r="I1055" i="1"/>
  <c r="M644" i="1"/>
  <c r="N716" i="1"/>
  <c r="K1127" i="1"/>
  <c r="N718" i="1"/>
  <c r="I1208" i="1"/>
  <c r="I110" i="1"/>
  <c r="C46" i="115"/>
  <c r="J28" i="109"/>
  <c r="H556" i="1"/>
  <c r="C556" i="1" s="1"/>
  <c r="C531" i="1"/>
  <c r="I674" i="1"/>
  <c r="I675" i="1"/>
  <c r="I660" i="1"/>
  <c r="I685" i="1"/>
  <c r="I1125" i="1"/>
  <c r="I888" i="1"/>
  <c r="J1289" i="1"/>
  <c r="K691" i="1"/>
  <c r="N604" i="1"/>
  <c r="J35" i="109"/>
  <c r="I662" i="1"/>
  <c r="I671" i="1"/>
  <c r="I691" i="1"/>
  <c r="I303" i="1"/>
  <c r="I1127" i="1"/>
  <c r="K685" i="1"/>
  <c r="H532" i="1"/>
  <c r="C532" i="1" s="1"/>
  <c r="K1069" i="1"/>
  <c r="I672" i="1"/>
  <c r="I921" i="1"/>
  <c r="J1330" i="1"/>
  <c r="I670" i="1"/>
  <c r="J60" i="109"/>
  <c r="H539" i="1"/>
  <c r="C539" i="1" s="1"/>
  <c r="K1073" i="1"/>
  <c r="I668" i="1"/>
  <c r="K318" i="1"/>
  <c r="I1217" i="1"/>
  <c r="I1446" i="1"/>
  <c r="I922" i="1"/>
  <c r="I471" i="1"/>
  <c r="I651" i="1"/>
  <c r="M1079" i="1"/>
  <c r="J1080" i="1"/>
  <c r="M566" i="1"/>
  <c r="N1084" i="1"/>
  <c r="J930" i="1"/>
  <c r="K1020" i="1"/>
  <c r="K1055" i="1"/>
  <c r="M691" i="1"/>
  <c r="M1139" i="1"/>
  <c r="J250" i="1"/>
  <c r="O601" i="1"/>
  <c r="O699" i="1"/>
  <c r="M684" i="1"/>
  <c r="J407" i="1"/>
  <c r="O110" i="1"/>
  <c r="J245" i="1"/>
  <c r="K512" i="1"/>
  <c r="I1260" i="1"/>
  <c r="M685" i="1"/>
  <c r="I1182" i="1"/>
  <c r="J153" i="1"/>
  <c r="I259" i="1"/>
  <c r="J1347" i="1"/>
  <c r="I864" i="1"/>
  <c r="M603" i="1"/>
  <c r="N1170" i="1"/>
  <c r="I511" i="1"/>
  <c r="I514" i="1"/>
  <c r="L1141" i="1"/>
  <c r="I631" i="1"/>
  <c r="I890" i="1"/>
  <c r="M611" i="1"/>
  <c r="J805" i="1"/>
  <c r="N692" i="1"/>
  <c r="M604" i="1"/>
  <c r="J949" i="1"/>
  <c r="M539" i="1"/>
  <c r="C50" i="115"/>
  <c r="J116" i="117"/>
  <c r="K116" i="117" s="1"/>
  <c r="J15" i="109"/>
  <c r="K877" i="1"/>
  <c r="J1355" i="1"/>
  <c r="M631" i="1"/>
  <c r="I1429" i="1"/>
  <c r="I958" i="1"/>
  <c r="M645" i="1"/>
  <c r="M540" i="1"/>
  <c r="K684" i="1"/>
  <c r="I835" i="1"/>
  <c r="I889" i="1"/>
  <c r="I1211" i="1"/>
  <c r="J36" i="117"/>
  <c r="K36" i="117" s="1"/>
  <c r="C70" i="115"/>
  <c r="J23" i="109"/>
  <c r="J1362" i="1"/>
  <c r="J1360" i="1"/>
  <c r="I809" i="1"/>
  <c r="I917" i="1"/>
  <c r="M749" i="1"/>
  <c r="I472" i="1"/>
  <c r="I1238" i="1"/>
  <c r="D209" i="115"/>
  <c r="O600" i="1"/>
  <c r="I1234" i="1"/>
  <c r="M586" i="1"/>
  <c r="I873" i="1"/>
  <c r="M632" i="1"/>
  <c r="I1231" i="1"/>
  <c r="I610" i="1"/>
  <c r="D183" i="115"/>
  <c r="H690" i="1"/>
  <c r="K1149" i="1"/>
  <c r="I145" i="1"/>
  <c r="I866" i="1"/>
  <c r="I1430" i="1"/>
  <c r="I308" i="1"/>
  <c r="I1368" i="1"/>
  <c r="I1282" i="1"/>
  <c r="I1237" i="1"/>
  <c r="I1162" i="1"/>
  <c r="J806" i="1"/>
  <c r="M246" i="1"/>
  <c r="K876" i="1"/>
  <c r="I1411" i="1"/>
  <c r="I485" i="1"/>
  <c r="I12" i="110"/>
  <c r="J108" i="117"/>
  <c r="L108" i="117" s="1"/>
  <c r="J83" i="117"/>
  <c r="K83" i="117" s="1"/>
  <c r="K1162" i="1"/>
  <c r="I978" i="1"/>
  <c r="I1276" i="1"/>
  <c r="I1240" i="1"/>
  <c r="I1163" i="1"/>
  <c r="I955" i="1"/>
  <c r="J766" i="1"/>
  <c r="I127" i="1"/>
  <c r="I1410" i="1"/>
  <c r="J1295" i="1"/>
  <c r="M408" i="1"/>
  <c r="I1149" i="1"/>
  <c r="J64" i="109"/>
  <c r="N1087" i="1"/>
  <c r="H630" i="1"/>
  <c r="C630" i="1" s="1"/>
  <c r="J37" i="109"/>
  <c r="D197" i="115"/>
  <c r="N1083" i="1"/>
  <c r="J1252" i="1"/>
  <c r="J1349" i="1"/>
  <c r="I1277" i="1"/>
  <c r="I1239" i="1"/>
  <c r="I1160" i="1"/>
  <c r="I956" i="1"/>
  <c r="J796" i="1"/>
  <c r="I463" i="1"/>
  <c r="I128" i="1"/>
  <c r="I1094" i="1"/>
  <c r="J1288" i="1"/>
  <c r="K875" i="1"/>
  <c r="N1182" i="1"/>
  <c r="I1152" i="1"/>
  <c r="J1348" i="1"/>
  <c r="I412" i="1"/>
  <c r="J63" i="117"/>
  <c r="J7" i="117"/>
  <c r="L7" i="117" s="1"/>
  <c r="E32" i="118"/>
  <c r="D202" i="115"/>
  <c r="J25" i="109"/>
  <c r="I8" i="107"/>
  <c r="N1082" i="1"/>
  <c r="J1245" i="1"/>
  <c r="J1250" i="1"/>
  <c r="I909" i="1"/>
  <c r="I20" i="1"/>
  <c r="M259" i="1"/>
  <c r="J1343" i="1"/>
  <c r="I1281" i="1"/>
  <c r="I1233" i="1"/>
  <c r="I959" i="1"/>
  <c r="I865" i="1"/>
  <c r="J1294" i="1"/>
  <c r="K873" i="1"/>
  <c r="J804" i="1"/>
  <c r="J40" i="117"/>
  <c r="K40" i="117" s="1"/>
  <c r="J32" i="109"/>
  <c r="I10" i="107"/>
  <c r="N1086" i="1"/>
  <c r="J1247" i="1"/>
  <c r="I408" i="1"/>
  <c r="M1170" i="1"/>
  <c r="I1236" i="1"/>
  <c r="K1008" i="1"/>
  <c r="J1344" i="1"/>
  <c r="I1273" i="1"/>
  <c r="N685" i="1"/>
  <c r="J1292" i="1"/>
  <c r="L1190" i="1"/>
  <c r="J1251" i="1"/>
  <c r="J1287" i="1"/>
  <c r="J70" i="117"/>
  <c r="L70" i="117" s="1"/>
  <c r="J51" i="117"/>
  <c r="J1249" i="1"/>
  <c r="I495" i="1"/>
  <c r="J798" i="1"/>
  <c r="J1350" i="1"/>
  <c r="J797" i="1"/>
  <c r="N684" i="1"/>
  <c r="J1293" i="1"/>
  <c r="I1153" i="1"/>
  <c r="I1093" i="1"/>
  <c r="J15" i="117"/>
  <c r="K15" i="117" s="1"/>
  <c r="I56" i="1"/>
  <c r="I246" i="1"/>
  <c r="J1248" i="1"/>
  <c r="I421" i="1"/>
  <c r="I722" i="1"/>
  <c r="J1291" i="1"/>
  <c r="I227" i="1"/>
  <c r="N738" i="1"/>
  <c r="H711" i="1"/>
  <c r="J1027" i="1"/>
  <c r="H453" i="1"/>
  <c r="M1096" i="1"/>
  <c r="J1029" i="1"/>
  <c r="J304" i="1"/>
  <c r="J268" i="1"/>
  <c r="K1158" i="1"/>
  <c r="I1116" i="1"/>
  <c r="H1194" i="1"/>
  <c r="H1198" i="1" s="1"/>
  <c r="C1198" i="1" s="1"/>
  <c r="J942" i="1"/>
  <c r="H1427" i="1"/>
  <c r="K80" i="1"/>
  <c r="O584" i="1"/>
  <c r="J1093" i="1"/>
  <c r="H492" i="1"/>
  <c r="H494" i="1" s="1"/>
  <c r="C494" i="1" s="1"/>
  <c r="H1061" i="1"/>
  <c r="H1063" i="1" s="1"/>
  <c r="C1063" i="1" s="1"/>
  <c r="I1029" i="1"/>
  <c r="K978" i="1"/>
  <c r="J1172" i="1"/>
  <c r="J1168" i="1"/>
  <c r="J841" i="1"/>
  <c r="J473" i="1"/>
  <c r="J303" i="1"/>
  <c r="K1097" i="1"/>
  <c r="K1095" i="1"/>
  <c r="K1094" i="1"/>
  <c r="M1073" i="1"/>
  <c r="J1282" i="1"/>
  <c r="K621" i="1"/>
  <c r="I931" i="1"/>
  <c r="I189" i="1"/>
  <c r="J1275" i="1"/>
  <c r="M1074" i="1"/>
  <c r="K622" i="1"/>
  <c r="J411" i="1"/>
  <c r="I928" i="1"/>
  <c r="M1072" i="1"/>
  <c r="I949" i="1"/>
  <c r="J145" i="1"/>
  <c r="J327" i="1"/>
  <c r="I798" i="1"/>
  <c r="I796" i="1"/>
  <c r="N1160" i="1"/>
  <c r="J1231" i="1"/>
  <c r="J408" i="1"/>
  <c r="J329" i="1"/>
  <c r="J494" i="1"/>
  <c r="J865" i="1"/>
  <c r="K624" i="1"/>
  <c r="J889" i="1"/>
  <c r="M1153" i="1"/>
  <c r="H997" i="1"/>
  <c r="P997" i="1" s="1"/>
  <c r="C997" i="1" s="1"/>
  <c r="M1384" i="1"/>
  <c r="M329" i="1"/>
  <c r="N1420" i="1"/>
  <c r="K890" i="1"/>
  <c r="I77" i="1"/>
  <c r="K1001" i="1"/>
  <c r="K1038" i="1"/>
  <c r="I454" i="1"/>
  <c r="H75" i="1"/>
  <c r="I855" i="1"/>
  <c r="I856" i="1"/>
  <c r="K1037" i="1"/>
  <c r="K1039" i="1"/>
  <c r="M327" i="1"/>
  <c r="K1000" i="1"/>
  <c r="M1135" i="1"/>
  <c r="K473" i="1"/>
  <c r="H969" i="1"/>
  <c r="H972" i="1" s="1"/>
  <c r="I854" i="1"/>
  <c r="H563" i="1"/>
  <c r="H564" i="1" s="1"/>
  <c r="I1291" i="1"/>
  <c r="M474" i="1"/>
  <c r="M225" i="1"/>
  <c r="I1290" i="1"/>
  <c r="I1144" i="1"/>
  <c r="I1310" i="1"/>
  <c r="N1103" i="1"/>
  <c r="O154" i="1"/>
  <c r="O566" i="1"/>
  <c r="I1294" i="1"/>
  <c r="M28" i="1"/>
  <c r="I1300" i="1"/>
  <c r="O19" i="1"/>
  <c r="K816" i="1"/>
  <c r="I1293" i="1"/>
  <c r="I1301" i="1"/>
  <c r="I1306" i="1"/>
  <c r="H667" i="1"/>
  <c r="C667" i="1" s="1"/>
  <c r="N28" i="1"/>
  <c r="I1139" i="1"/>
  <c r="I1304" i="1"/>
  <c r="K829" i="1"/>
  <c r="M1108" i="1"/>
  <c r="I1142" i="1"/>
  <c r="I1305" i="1"/>
  <c r="I1307" i="1"/>
  <c r="I1303" i="1"/>
  <c r="I1289" i="1"/>
  <c r="H406" i="1"/>
  <c r="H409" i="1" s="1"/>
  <c r="C409" i="1" s="1"/>
  <c r="J197" i="1"/>
  <c r="O565" i="1"/>
  <c r="H164" i="1"/>
  <c r="C164" i="1" s="1"/>
  <c r="K738" i="1"/>
  <c r="I1287" i="1"/>
  <c r="I1140" i="1"/>
  <c r="I1138" i="1"/>
  <c r="I1308" i="1"/>
  <c r="I1288" i="1"/>
  <c r="H803" i="1"/>
  <c r="H806" i="1" s="1"/>
  <c r="C806" i="1" s="1"/>
  <c r="N19" i="1"/>
  <c r="I1292" i="1"/>
  <c r="I1141" i="1"/>
  <c r="I1309" i="1"/>
  <c r="B141" i="117"/>
  <c r="N140" i="117"/>
  <c r="B140" i="117"/>
  <c r="J143" i="117"/>
  <c r="I143" i="117"/>
  <c r="J142" i="117"/>
  <c r="I142" i="117"/>
  <c r="J29" i="1"/>
  <c r="J225" i="1"/>
  <c r="J57" i="109"/>
  <c r="N1088" i="1"/>
  <c r="I30" i="1"/>
  <c r="I19" i="1"/>
  <c r="J1233" i="1"/>
  <c r="I795" i="1"/>
  <c r="I669" i="1"/>
  <c r="I167" i="1"/>
  <c r="M20" i="1"/>
  <c r="I624" i="1"/>
  <c r="I1419" i="1"/>
  <c r="K1085" i="1"/>
  <c r="I1030" i="1"/>
  <c r="I948" i="1"/>
  <c r="I876" i="1"/>
  <c r="I474" i="1"/>
  <c r="M635" i="1"/>
  <c r="M610" i="1"/>
  <c r="I1262" i="1"/>
  <c r="I731" i="1"/>
  <c r="J808" i="1"/>
  <c r="I652" i="1"/>
  <c r="K1376" i="1"/>
  <c r="M634" i="1"/>
  <c r="J1276" i="1"/>
  <c r="I939" i="1"/>
  <c r="N719" i="1"/>
  <c r="I154" i="1"/>
  <c r="I899" i="1"/>
  <c r="H1272" i="1"/>
  <c r="H1273" i="1" s="1"/>
  <c r="C1273" i="1" s="1"/>
  <c r="J10" i="117"/>
  <c r="J98" i="117"/>
  <c r="E144" i="117"/>
  <c r="N144" i="117" s="1"/>
  <c r="E19" i="118"/>
  <c r="E31" i="118"/>
  <c r="I807" i="1"/>
  <c r="O719" i="1"/>
  <c r="J1336" i="1"/>
  <c r="K1411" i="1"/>
  <c r="I1421" i="1"/>
  <c r="K1086" i="1"/>
  <c r="J992" i="1"/>
  <c r="I951" i="1"/>
  <c r="I768" i="1"/>
  <c r="M722" i="1"/>
  <c r="N622" i="1"/>
  <c r="I1107" i="1"/>
  <c r="I898" i="1"/>
  <c r="J809" i="1"/>
  <c r="M602" i="1"/>
  <c r="J1279" i="1"/>
  <c r="I900" i="1"/>
  <c r="C81" i="115"/>
  <c r="E18" i="118"/>
  <c r="E30" i="118"/>
  <c r="J774" i="1"/>
  <c r="I216" i="1"/>
  <c r="J1332" i="1"/>
  <c r="K1412" i="1"/>
  <c r="J1331" i="1"/>
  <c r="J1123" i="1"/>
  <c r="J990" i="1"/>
  <c r="I767" i="1"/>
  <c r="K698" i="1"/>
  <c r="I1105" i="1"/>
  <c r="I806" i="1"/>
  <c r="I632" i="1"/>
  <c r="I612" i="1"/>
  <c r="I901" i="1"/>
  <c r="J989" i="1"/>
  <c r="H872" i="1"/>
  <c r="P872" i="1" s="1"/>
  <c r="C872" i="1" s="1"/>
  <c r="I765" i="1"/>
  <c r="H834" i="1"/>
  <c r="P834" i="1" s="1"/>
  <c r="C834" i="1" s="1"/>
  <c r="K77" i="117"/>
  <c r="E29" i="118"/>
  <c r="J12" i="109"/>
  <c r="D182" i="115"/>
  <c r="J1437" i="1"/>
  <c r="J447" i="1"/>
  <c r="J1180" i="1"/>
  <c r="J1126" i="1"/>
  <c r="J864" i="1"/>
  <c r="J775" i="1"/>
  <c r="I930" i="1"/>
  <c r="I664" i="1"/>
  <c r="I310" i="1"/>
  <c r="M310" i="1"/>
  <c r="I214" i="1"/>
  <c r="M533" i="1"/>
  <c r="J1338" i="1"/>
  <c r="K706" i="1"/>
  <c r="J613" i="1"/>
  <c r="M585" i="1"/>
  <c r="I1338" i="1"/>
  <c r="M495" i="1"/>
  <c r="M1411" i="1"/>
  <c r="I585" i="1"/>
  <c r="I797" i="1"/>
  <c r="I1083" i="1"/>
  <c r="M1199" i="1"/>
  <c r="K979" i="1"/>
  <c r="I604" i="1"/>
  <c r="I1123" i="1"/>
  <c r="I603" i="1"/>
  <c r="H1286" i="1"/>
  <c r="H1293" i="1" s="1"/>
  <c r="C1293" i="1" s="1"/>
  <c r="J31" i="117"/>
  <c r="E17" i="118"/>
  <c r="E42" i="118" s="1"/>
  <c r="E28" i="118"/>
  <c r="J124" i="117"/>
  <c r="J56" i="117"/>
  <c r="E16" i="118"/>
  <c r="E41" i="118" s="1"/>
  <c r="E27" i="118"/>
  <c r="J1073" i="1"/>
  <c r="J8" i="109"/>
  <c r="J1236" i="1"/>
  <c r="I804" i="1"/>
  <c r="J1240" i="1"/>
  <c r="I874" i="1"/>
  <c r="I1031" i="1"/>
  <c r="J1337" i="1"/>
  <c r="I1448" i="1"/>
  <c r="J1334" i="1"/>
  <c r="K1083" i="1"/>
  <c r="J1048" i="1"/>
  <c r="I621" i="1"/>
  <c r="I635" i="1"/>
  <c r="J1273" i="1"/>
  <c r="I634" i="1"/>
  <c r="J866" i="1"/>
  <c r="J778" i="1"/>
  <c r="N1178" i="1"/>
  <c r="J1280" i="1"/>
  <c r="I732" i="1"/>
  <c r="O691" i="1"/>
  <c r="I623" i="1"/>
  <c r="J59" i="117"/>
  <c r="E25" i="118"/>
  <c r="E26" i="118"/>
  <c r="J1234" i="1"/>
  <c r="J1235" i="1"/>
  <c r="I875" i="1"/>
  <c r="I1027" i="1"/>
  <c r="K1087" i="1"/>
  <c r="N1401" i="1"/>
  <c r="N1180" i="1"/>
  <c r="N493" i="1"/>
  <c r="M236" i="1"/>
  <c r="I68" i="1"/>
  <c r="C41" i="115"/>
  <c r="C82" i="115"/>
  <c r="J90" i="117"/>
  <c r="J133" i="117"/>
  <c r="E4" i="119"/>
  <c r="E141" i="117" s="1"/>
  <c r="N141" i="117" s="1"/>
  <c r="E33" i="118"/>
  <c r="K865" i="1"/>
  <c r="K864" i="1"/>
  <c r="K866" i="1"/>
  <c r="M46" i="1"/>
  <c r="E15" i="118"/>
  <c r="E40" i="118" s="1"/>
  <c r="H18" i="1"/>
  <c r="H259" i="1" s="1"/>
  <c r="C259" i="1" s="1"/>
  <c r="J786" i="1"/>
  <c r="J1410" i="1"/>
  <c r="K421" i="1"/>
  <c r="J921" i="1"/>
  <c r="H256" i="1"/>
  <c r="K30" i="1"/>
  <c r="J857" i="1"/>
  <c r="J787" i="1"/>
  <c r="N1093" i="1"/>
  <c r="J1070" i="1"/>
  <c r="N1071" i="1"/>
  <c r="N1196" i="1"/>
  <c r="J692" i="1"/>
  <c r="J227" i="1"/>
  <c r="K19" i="1"/>
  <c r="N1385" i="1"/>
  <c r="J1074" i="1"/>
  <c r="J1128" i="1"/>
  <c r="N214" i="1"/>
  <c r="J1438" i="1"/>
  <c r="J246" i="1"/>
  <c r="K167" i="1"/>
  <c r="J875" i="1"/>
  <c r="J1097" i="1"/>
  <c r="K1047" i="1"/>
  <c r="I1206" i="1"/>
  <c r="J876" i="1"/>
  <c r="J1098" i="1"/>
  <c r="H1026" i="1"/>
  <c r="M1084" i="1"/>
  <c r="I1196" i="1"/>
  <c r="N1438" i="1"/>
  <c r="I1204" i="1"/>
  <c r="I1205" i="1"/>
  <c r="I1199" i="1"/>
  <c r="K1019" i="1"/>
  <c r="K328" i="1"/>
  <c r="I1210" i="1"/>
  <c r="O28" i="1"/>
  <c r="J877" i="1"/>
  <c r="J1094" i="1"/>
  <c r="J873" i="1"/>
  <c r="J1178" i="1"/>
  <c r="J1108" i="1"/>
  <c r="J938" i="1"/>
  <c r="H728" i="1"/>
  <c r="K329" i="1"/>
  <c r="J1095" i="1"/>
  <c r="J1367" i="1"/>
  <c r="J1000" i="1"/>
  <c r="J685" i="1"/>
  <c r="K227" i="1"/>
  <c r="K732" i="1"/>
  <c r="K1048" i="1"/>
  <c r="M1082" i="1"/>
  <c r="K525" i="1"/>
  <c r="J1385" i="1"/>
  <c r="J1170" i="1"/>
  <c r="H744" i="1"/>
  <c r="H152" i="1"/>
  <c r="H153" i="1" s="1"/>
  <c r="K840" i="1"/>
  <c r="M1410" i="1"/>
  <c r="M1115" i="1"/>
  <c r="H63" i="1"/>
  <c r="K1104" i="1"/>
  <c r="N47" i="1"/>
  <c r="I1087" i="1"/>
  <c r="J454" i="1"/>
  <c r="H307" i="1"/>
  <c r="H309" i="1" s="1"/>
  <c r="C309" i="1" s="1"/>
  <c r="K28" i="1"/>
  <c r="N1197" i="1"/>
  <c r="J1401" i="1"/>
  <c r="J732" i="1"/>
  <c r="H234" i="1"/>
  <c r="H235" i="1" s="1"/>
  <c r="C235" i="1" s="1"/>
  <c r="N1199" i="1"/>
  <c r="J662" i="1"/>
  <c r="J888" i="1"/>
  <c r="H1391" i="1"/>
  <c r="H1392" i="1" s="1"/>
  <c r="C1392" i="1" s="1"/>
  <c r="J1114" i="1"/>
  <c r="J891" i="1"/>
  <c r="K756" i="1"/>
  <c r="K787" i="1"/>
  <c r="M1118" i="1"/>
  <c r="J978" i="1"/>
  <c r="J982" i="1"/>
  <c r="H418" i="1"/>
  <c r="H419" i="1" s="1"/>
  <c r="C419" i="1" s="1"/>
  <c r="J38" i="1"/>
  <c r="M1078" i="1"/>
  <c r="J166" i="1"/>
  <c r="K775" i="1"/>
  <c r="J419" i="1"/>
  <c r="H224" i="1"/>
  <c r="O69" i="1"/>
  <c r="H599" i="1"/>
  <c r="C599" i="1" s="1"/>
  <c r="J979" i="1"/>
  <c r="J1188" i="1"/>
  <c r="J127" i="1"/>
  <c r="J61" i="109"/>
  <c r="H156" i="1"/>
  <c r="C156" i="1" s="1"/>
  <c r="K1393" i="1"/>
  <c r="I785" i="1"/>
  <c r="M1182" i="1"/>
  <c r="N1392" i="1"/>
  <c r="J585" i="1"/>
  <c r="I1333" i="1"/>
  <c r="K1029" i="1"/>
  <c r="K889" i="1"/>
  <c r="M1198" i="1"/>
  <c r="M1196" i="1"/>
  <c r="K1125" i="1"/>
  <c r="M456" i="1"/>
  <c r="I1197" i="1"/>
  <c r="M292" i="1"/>
  <c r="I1331" i="1"/>
  <c r="C43" i="115"/>
  <c r="N225" i="1"/>
  <c r="N1073" i="1"/>
  <c r="J1191" i="1"/>
  <c r="J1088" i="1"/>
  <c r="J917" i="1"/>
  <c r="J718" i="1"/>
  <c r="J643" i="1"/>
  <c r="D203" i="115"/>
  <c r="N1375" i="1"/>
  <c r="J1384" i="1"/>
  <c r="J1086" i="1"/>
  <c r="J1018" i="1"/>
  <c r="J705" i="1"/>
  <c r="J154" i="1"/>
  <c r="J26" i="109"/>
  <c r="J66" i="109"/>
  <c r="H291" i="1"/>
  <c r="H292" i="1" s="1"/>
  <c r="C292" i="1" s="1"/>
  <c r="H887" i="1"/>
  <c r="I787" i="1"/>
  <c r="I79" i="1"/>
  <c r="J631" i="1"/>
  <c r="L1128" i="1"/>
  <c r="I645" i="1"/>
  <c r="I1011" i="1"/>
  <c r="K1128" i="1"/>
  <c r="I1335" i="1"/>
  <c r="M1162" i="1"/>
  <c r="N79" i="1"/>
  <c r="M454" i="1"/>
  <c r="I739" i="1"/>
  <c r="H1329" i="1"/>
  <c r="P1329" i="1" s="1"/>
  <c r="M1085" i="1"/>
  <c r="R1128" i="1"/>
  <c r="C54" i="115"/>
  <c r="N514" i="1"/>
  <c r="I777" i="1"/>
  <c r="J633" i="1"/>
  <c r="N166" i="1"/>
  <c r="M1163" i="1"/>
  <c r="H773" i="1"/>
  <c r="C773" i="1" s="1"/>
  <c r="C47" i="115"/>
  <c r="J699" i="1"/>
  <c r="J215" i="1"/>
  <c r="J51" i="109"/>
  <c r="N236" i="1"/>
  <c r="J1163" i="1"/>
  <c r="J198" i="1"/>
  <c r="M1180" i="1"/>
  <c r="I786" i="1"/>
  <c r="I991" i="1"/>
  <c r="M207" i="1"/>
  <c r="N1393" i="1"/>
  <c r="M198" i="1"/>
  <c r="I774" i="1"/>
  <c r="J645" i="1"/>
  <c r="I840" i="1"/>
  <c r="I455" i="1"/>
  <c r="M1158" i="1"/>
  <c r="K1419" i="1"/>
  <c r="N294" i="1"/>
  <c r="J1393" i="1"/>
  <c r="H27" i="1"/>
  <c r="I857" i="1"/>
  <c r="I841" i="1"/>
  <c r="K856" i="1"/>
  <c r="I988" i="1"/>
  <c r="N512" i="1"/>
  <c r="N511" i="1"/>
  <c r="K119" i="1"/>
  <c r="M620" i="1"/>
  <c r="N1419" i="1"/>
  <c r="K1028" i="1"/>
  <c r="K1420" i="1"/>
  <c r="K897" i="1"/>
  <c r="M55" i="1"/>
  <c r="I1195" i="1"/>
  <c r="H863" i="1"/>
  <c r="P863" i="1" s="1"/>
  <c r="C863" i="1" s="1"/>
  <c r="M257" i="1"/>
  <c r="H987" i="1"/>
  <c r="P987" i="1" s="1"/>
  <c r="C987" i="1" s="1"/>
  <c r="C30" i="115"/>
  <c r="K858" i="1"/>
  <c r="K855" i="1"/>
  <c r="M304" i="1"/>
  <c r="M1128" i="1"/>
  <c r="J611" i="1"/>
  <c r="I96" i="1"/>
  <c r="I78" i="1"/>
  <c r="N1072" i="1"/>
  <c r="J1376" i="1"/>
  <c r="N1069" i="1"/>
  <c r="J1189" i="1"/>
  <c r="J1087" i="1"/>
  <c r="J918" i="1"/>
  <c r="J716" i="1"/>
  <c r="J642" i="1"/>
  <c r="J46" i="1"/>
  <c r="J19" i="109"/>
  <c r="K1021" i="1"/>
  <c r="J634" i="1"/>
  <c r="I1336" i="1"/>
  <c r="K899" i="1"/>
  <c r="J632" i="1"/>
  <c r="I39" i="1"/>
  <c r="I1337" i="1"/>
  <c r="J620" i="1"/>
  <c r="I206" i="1"/>
  <c r="M1161" i="1"/>
  <c r="K472" i="1"/>
  <c r="M1195" i="1"/>
  <c r="I942" i="1"/>
  <c r="K1130" i="1"/>
  <c r="I940" i="1"/>
  <c r="M294" i="1"/>
  <c r="M119" i="1"/>
  <c r="I775" i="1"/>
  <c r="C66" i="115"/>
  <c r="J136" i="1"/>
  <c r="J1161" i="1"/>
  <c r="J1158" i="1"/>
  <c r="N235" i="1"/>
  <c r="N1074" i="1"/>
  <c r="N1368" i="1"/>
  <c r="J1187" i="1"/>
  <c r="J1105" i="1"/>
  <c r="J1084" i="1"/>
  <c r="J922" i="1"/>
  <c r="J684" i="1"/>
  <c r="J167" i="1"/>
  <c r="J5" i="109"/>
  <c r="J44" i="109"/>
  <c r="J111" i="1"/>
  <c r="N293" i="1"/>
  <c r="J1411" i="1"/>
  <c r="J1103" i="1"/>
  <c r="J919" i="1"/>
  <c r="J719" i="1"/>
  <c r="J738" i="1"/>
  <c r="J455" i="1"/>
  <c r="J420" i="1"/>
  <c r="H523" i="1"/>
  <c r="H524" i="1" s="1"/>
  <c r="C524" i="1" s="1"/>
  <c r="J524" i="1"/>
  <c r="H117" i="1"/>
  <c r="J118" i="1"/>
  <c r="J46" i="109"/>
  <c r="J1392" i="1"/>
  <c r="J1183" i="1"/>
  <c r="J1150" i="1"/>
  <c r="J1083" i="1"/>
  <c r="J1069" i="1"/>
  <c r="J456" i="1"/>
  <c r="J941" i="1"/>
  <c r="D166" i="115"/>
  <c r="J22" i="109"/>
  <c r="J294" i="1"/>
  <c r="J292" i="1"/>
  <c r="J828" i="1"/>
  <c r="J816" i="1"/>
  <c r="H1081" i="1"/>
  <c r="H1083" i="1" s="1"/>
  <c r="N705" i="1"/>
  <c r="N699" i="1"/>
  <c r="K1178" i="1"/>
  <c r="K1182" i="1"/>
  <c r="K1181" i="1"/>
  <c r="K55" i="1"/>
  <c r="K54" i="1"/>
  <c r="M1393" i="1"/>
  <c r="M1394" i="1"/>
  <c r="M1392" i="1"/>
  <c r="N525" i="1"/>
  <c r="N524" i="1"/>
  <c r="M1437" i="1"/>
  <c r="M1439" i="1"/>
  <c r="N111" i="1"/>
  <c r="N110" i="1"/>
  <c r="O722" i="1"/>
  <c r="O723" i="1"/>
  <c r="M38" i="1"/>
  <c r="M39" i="1"/>
  <c r="M143" i="1"/>
  <c r="M144" i="1"/>
  <c r="K1198" i="1"/>
  <c r="K128" i="1"/>
  <c r="J768" i="1"/>
  <c r="K992" i="1"/>
  <c r="I990" i="1"/>
  <c r="I844" i="1"/>
  <c r="I766" i="1"/>
  <c r="M227" i="1"/>
  <c r="M1150" i="1"/>
  <c r="K1017" i="1"/>
  <c r="I97" i="1"/>
  <c r="J836" i="1"/>
  <c r="J603" i="1"/>
  <c r="I1225" i="1"/>
  <c r="J1281" i="1"/>
  <c r="I853" i="1"/>
  <c r="M1069" i="1"/>
  <c r="O698" i="1"/>
  <c r="M1383" i="1"/>
  <c r="I941" i="1"/>
  <c r="I938" i="1"/>
  <c r="M485" i="1"/>
  <c r="I1150" i="1"/>
  <c r="I1118" i="1"/>
  <c r="M110" i="1"/>
  <c r="K612" i="1"/>
  <c r="I1115" i="1"/>
  <c r="H794" i="1"/>
  <c r="I13" i="110"/>
  <c r="I15" i="110"/>
  <c r="K645" i="1"/>
  <c r="N303" i="1"/>
  <c r="J764" i="1"/>
  <c r="I1039" i="1"/>
  <c r="I119" i="1"/>
  <c r="M1367" i="1"/>
  <c r="I705" i="1"/>
  <c r="J1264" i="1"/>
  <c r="M1071" i="1"/>
  <c r="M600" i="1"/>
  <c r="O718" i="1"/>
  <c r="K788" i="1"/>
  <c r="I1097" i="1"/>
  <c r="I1151" i="1"/>
  <c r="I1098" i="1"/>
  <c r="N483" i="1"/>
  <c r="K644" i="1"/>
  <c r="K610" i="1"/>
  <c r="H1046" i="1"/>
  <c r="M199" i="1"/>
  <c r="O706" i="1"/>
  <c r="C34" i="115"/>
  <c r="I816" i="1"/>
  <c r="I524" i="1"/>
  <c r="I1136" i="1"/>
  <c r="I833" i="1"/>
  <c r="I789" i="1"/>
  <c r="I845" i="1"/>
  <c r="I820" i="1"/>
  <c r="N745" i="1"/>
  <c r="O717" i="1"/>
  <c r="K1368" i="1"/>
  <c r="M145" i="1"/>
  <c r="K786" i="1"/>
  <c r="M1152" i="1"/>
  <c r="N1172" i="1"/>
  <c r="K1009" i="1"/>
  <c r="J1209" i="1"/>
  <c r="J586" i="1"/>
  <c r="J635" i="1"/>
  <c r="I95" i="1"/>
  <c r="K319" i="1"/>
  <c r="I1134" i="1"/>
  <c r="M167" i="1"/>
  <c r="I29" i="1"/>
  <c r="M1094" i="1"/>
  <c r="N746" i="1"/>
  <c r="I1008" i="1"/>
  <c r="K888" i="1"/>
  <c r="I1403" i="1"/>
  <c r="K633" i="1"/>
  <c r="K586" i="1"/>
  <c r="I1048" i="1"/>
  <c r="I829" i="1"/>
  <c r="I6" i="107"/>
  <c r="H1202" i="1"/>
  <c r="H1203" i="1" s="1"/>
  <c r="C1203" i="1" s="1"/>
  <c r="D196" i="115"/>
  <c r="M421" i="1"/>
  <c r="N1429" i="1"/>
  <c r="I1047" i="1"/>
  <c r="I858" i="1"/>
  <c r="N739" i="1"/>
  <c r="M154" i="1"/>
  <c r="M56" i="1"/>
  <c r="N564" i="1"/>
  <c r="M1154" i="1"/>
  <c r="M19" i="1"/>
  <c r="N1167" i="1"/>
  <c r="I1037" i="1"/>
  <c r="K136" i="1"/>
  <c r="K1010" i="1"/>
  <c r="J1232" i="1"/>
  <c r="J1205" i="1"/>
  <c r="J610" i="1"/>
  <c r="J604" i="1"/>
  <c r="I93" i="1"/>
  <c r="I778" i="1"/>
  <c r="I1095" i="1"/>
  <c r="K1027" i="1"/>
  <c r="I1402" i="1"/>
  <c r="M1097" i="1"/>
  <c r="N732" i="1"/>
  <c r="I1010" i="1"/>
  <c r="K632" i="1"/>
  <c r="K585" i="1"/>
  <c r="N1403" i="1"/>
  <c r="I76" i="1"/>
  <c r="H1400" i="1"/>
  <c r="H1401" i="1" s="1"/>
  <c r="C1401" i="1" s="1"/>
  <c r="H335" i="1"/>
  <c r="K145" i="1"/>
  <c r="K154" i="1"/>
  <c r="K757" i="1"/>
  <c r="O96" i="1"/>
  <c r="I842" i="1"/>
  <c r="J1218" i="1"/>
  <c r="I815" i="1"/>
  <c r="J1239" i="1"/>
  <c r="I843" i="1"/>
  <c r="N1168" i="1"/>
  <c r="N455" i="1"/>
  <c r="N135" i="1"/>
  <c r="N566" i="1"/>
  <c r="M1149" i="1"/>
  <c r="M30" i="1"/>
  <c r="M1086" i="1"/>
  <c r="I94" i="1"/>
  <c r="J1203" i="1"/>
  <c r="J1204" i="1"/>
  <c r="J644" i="1"/>
  <c r="I54" i="1"/>
  <c r="K1428" i="1"/>
  <c r="K1030" i="1"/>
  <c r="J1278" i="1"/>
  <c r="K988" i="1"/>
  <c r="N319" i="1"/>
  <c r="H1230" i="1"/>
  <c r="Q1141" i="1"/>
  <c r="C79" i="115"/>
  <c r="C71" i="115"/>
  <c r="C57" i="115"/>
  <c r="J63" i="109"/>
  <c r="N1141" i="1"/>
  <c r="N1195" i="1"/>
  <c r="N1384" i="1"/>
  <c r="J1179" i="1"/>
  <c r="J1071" i="1"/>
  <c r="J1001" i="1"/>
  <c r="J749" i="1"/>
  <c r="H1436" i="1"/>
  <c r="D192" i="115"/>
  <c r="N1144" i="1"/>
  <c r="N1140" i="1"/>
  <c r="H302" i="1"/>
  <c r="J309" i="1"/>
  <c r="N1096" i="1"/>
  <c r="N1097" i="1"/>
  <c r="J4" i="109"/>
  <c r="J49" i="109"/>
  <c r="N1094" i="1"/>
  <c r="J1402" i="1"/>
  <c r="J1182" i="1"/>
  <c r="J1106" i="1"/>
  <c r="J691" i="1"/>
  <c r="H1112" i="1"/>
  <c r="H1115" i="1" s="1"/>
  <c r="C1115" i="1" s="1"/>
  <c r="H697" i="1"/>
  <c r="J706" i="1"/>
  <c r="J503" i="1"/>
  <c r="J504" i="1"/>
  <c r="H53" i="1"/>
  <c r="J55" i="1"/>
  <c r="D153" i="115"/>
  <c r="J7" i="109"/>
  <c r="J1430" i="1"/>
  <c r="J1113" i="1"/>
  <c r="N285" i="1"/>
  <c r="N284" i="1"/>
  <c r="H1445" i="1"/>
  <c r="J1447" i="1"/>
  <c r="H125" i="1"/>
  <c r="H128" i="1" s="1"/>
  <c r="C128" i="1" s="1"/>
  <c r="J128" i="1"/>
  <c r="J1116" i="1"/>
  <c r="J310" i="1"/>
  <c r="J237" i="1"/>
  <c r="J421" i="1"/>
  <c r="J318" i="1"/>
  <c r="J320" i="1"/>
  <c r="H470" i="1"/>
  <c r="H473" i="1" s="1"/>
  <c r="C473" i="1" s="1"/>
  <c r="J472" i="1"/>
  <c r="N600" i="1"/>
  <c r="N602" i="1"/>
  <c r="N698" i="1"/>
  <c r="M1083" i="1"/>
  <c r="M1114" i="1"/>
  <c r="M1087" i="1"/>
  <c r="I1104" i="1"/>
  <c r="J1085" i="1"/>
  <c r="J1160" i="1"/>
  <c r="J939" i="1"/>
  <c r="D199" i="115"/>
  <c r="K1183" i="1"/>
  <c r="M1126" i="1"/>
  <c r="M1127" i="1"/>
  <c r="N249" i="1"/>
  <c r="I920" i="1"/>
  <c r="M1179" i="1"/>
  <c r="I644" i="1"/>
  <c r="I613" i="1"/>
  <c r="K1098" i="1"/>
  <c r="M1138" i="1"/>
  <c r="K474" i="1"/>
  <c r="I1085" i="1"/>
  <c r="M1159" i="1"/>
  <c r="I1117" i="1"/>
  <c r="I1084" i="1"/>
  <c r="I738" i="1"/>
  <c r="I611" i="1"/>
  <c r="M464" i="1"/>
  <c r="M565" i="1"/>
  <c r="I1209" i="1"/>
  <c r="I1203" i="1"/>
  <c r="K68" i="1"/>
  <c r="I1079" i="1"/>
  <c r="H1077" i="1"/>
  <c r="H1078" i="1" s="1"/>
  <c r="C1078" i="1" s="1"/>
  <c r="I10" i="110"/>
  <c r="I698" i="1"/>
  <c r="I699" i="1"/>
  <c r="I828" i="1"/>
  <c r="I826" i="1"/>
  <c r="J1259" i="1"/>
  <c r="J1260" i="1"/>
  <c r="J1263" i="1"/>
  <c r="J623" i="1"/>
  <c r="M1116" i="1"/>
  <c r="K1160" i="1"/>
  <c r="I1080" i="1"/>
  <c r="I1334" i="1"/>
  <c r="I1330" i="1"/>
  <c r="K604" i="1"/>
  <c r="K634" i="1"/>
  <c r="J1162" i="1"/>
  <c r="J165" i="1"/>
  <c r="N706" i="1"/>
  <c r="K1179" i="1"/>
  <c r="J621" i="1"/>
  <c r="K1161" i="1"/>
  <c r="K1159" i="1"/>
  <c r="J622" i="1"/>
  <c r="N118" i="1"/>
  <c r="I1317" i="1"/>
  <c r="I1323" i="1"/>
  <c r="I1232" i="1"/>
  <c r="M484" i="1"/>
  <c r="M483" i="1"/>
  <c r="I1086" i="1"/>
  <c r="I1082" i="1"/>
  <c r="I1108" i="1"/>
  <c r="I1103" i="1"/>
  <c r="K1439" i="1"/>
  <c r="K1437" i="1"/>
  <c r="N621" i="1"/>
  <c r="N623" i="1"/>
  <c r="N624" i="1"/>
  <c r="I1106" i="1"/>
  <c r="M1117" i="1"/>
  <c r="M1093" i="1"/>
  <c r="M1095" i="1"/>
  <c r="M503" i="1"/>
  <c r="H852" i="1"/>
  <c r="P852" i="1" s="1"/>
  <c r="C852" i="1" s="1"/>
  <c r="C59" i="115"/>
  <c r="C38" i="115"/>
  <c r="C32" i="115"/>
  <c r="I7" i="110"/>
  <c r="C80" i="115"/>
  <c r="C72" i="115"/>
  <c r="C39" i="115"/>
  <c r="C44" i="115"/>
  <c r="I8" i="110"/>
  <c r="I14" i="110"/>
  <c r="C68" i="115"/>
  <c r="C62" i="115"/>
  <c r="J957" i="1"/>
  <c r="J959" i="1"/>
  <c r="N1142" i="1"/>
  <c r="J1020" i="1"/>
  <c r="H954" i="1"/>
  <c r="H955" i="1" s="1"/>
  <c r="C955" i="1" s="1"/>
  <c r="D105" i="115"/>
  <c r="C105" i="115" s="1"/>
  <c r="H196" i="1"/>
  <c r="H197" i="1" s="1"/>
  <c r="C197" i="1" s="1"/>
  <c r="N199" i="1"/>
  <c r="N197" i="1"/>
  <c r="J731" i="1"/>
  <c r="J739" i="1"/>
  <c r="J745" i="1"/>
  <c r="J1002" i="1"/>
  <c r="J999" i="1"/>
  <c r="J998" i="1"/>
  <c r="H1101" i="1"/>
  <c r="H1107" i="1" s="1"/>
  <c r="C1107" i="1" s="1"/>
  <c r="J1104" i="1"/>
  <c r="J1107" i="1"/>
  <c r="H266" i="1"/>
  <c r="C266" i="1" s="1"/>
  <c r="N268" i="1"/>
  <c r="J1062" i="1"/>
  <c r="J1063" i="1"/>
  <c r="J1021" i="1"/>
  <c r="J1064" i="1"/>
  <c r="H1148" i="1"/>
  <c r="H1151" i="1" s="1"/>
  <c r="C1151" i="1" s="1"/>
  <c r="J1151" i="1"/>
  <c r="J1153" i="1"/>
  <c r="J1149" i="1"/>
  <c r="H1418" i="1"/>
  <c r="H1421" i="1" s="1"/>
  <c r="C1421" i="1" s="1"/>
  <c r="J1420" i="1"/>
  <c r="J29" i="109"/>
  <c r="D189" i="115"/>
  <c r="J956" i="1"/>
  <c r="D114" i="115"/>
  <c r="N1105" i="1"/>
  <c r="N1102" i="1"/>
  <c r="J1056" i="1"/>
  <c r="J1055" i="1"/>
  <c r="H1054" i="1"/>
  <c r="J1171" i="1"/>
  <c r="J1169" i="1"/>
  <c r="J1173" i="1"/>
  <c r="H482" i="1"/>
  <c r="H483" i="1" s="1"/>
  <c r="C483" i="1" s="1"/>
  <c r="J483" i="1"/>
  <c r="J1419" i="1"/>
  <c r="J955" i="1"/>
  <c r="J1421" i="1"/>
  <c r="J1065" i="1"/>
  <c r="N30" i="1"/>
  <c r="C37" i="115"/>
  <c r="C51" i="115"/>
  <c r="K96" i="1"/>
  <c r="M1428" i="1"/>
  <c r="N153" i="1"/>
  <c r="M1169" i="1"/>
  <c r="N456" i="1"/>
  <c r="M1143" i="1"/>
  <c r="I1321" i="1"/>
  <c r="I1318" i="1"/>
  <c r="I831" i="1"/>
  <c r="I11" i="110"/>
  <c r="C69" i="115"/>
  <c r="C63" i="115"/>
  <c r="C61" i="115"/>
  <c r="J1115" i="1"/>
  <c r="J259" i="1"/>
  <c r="J190" i="1"/>
  <c r="J937" i="1"/>
  <c r="J56" i="109"/>
  <c r="J54" i="109"/>
  <c r="H1382" i="1"/>
  <c r="K77" i="1"/>
  <c r="N419" i="1"/>
  <c r="N495" i="1"/>
  <c r="M1430" i="1"/>
  <c r="M1172" i="1"/>
  <c r="M1122" i="1"/>
  <c r="M493" i="1"/>
  <c r="N246" i="1"/>
  <c r="I1319" i="1"/>
  <c r="I1322" i="1"/>
  <c r="J319" i="1"/>
  <c r="J30" i="1"/>
  <c r="K95" i="1"/>
  <c r="N1437" i="1"/>
  <c r="K1196" i="1"/>
  <c r="N56" i="1"/>
  <c r="K857" i="1"/>
  <c r="K1093" i="1"/>
  <c r="M308" i="1"/>
  <c r="M1168" i="1"/>
  <c r="M1125" i="1"/>
  <c r="J1207" i="1"/>
  <c r="N421" i="1"/>
  <c r="N55" i="1"/>
  <c r="K981" i="1"/>
  <c r="I1324" i="1"/>
  <c r="J1262" i="1"/>
  <c r="I1274" i="1"/>
  <c r="I1041" i="1"/>
  <c r="I144" i="1"/>
  <c r="I827" i="1"/>
  <c r="H763" i="1"/>
  <c r="C763" i="1" s="1"/>
  <c r="H1257" i="1"/>
  <c r="H1262" i="1" s="1"/>
  <c r="C1262" i="1" s="1"/>
  <c r="C31" i="115"/>
  <c r="C74" i="115"/>
  <c r="C58" i="115"/>
  <c r="Q1190" i="1"/>
  <c r="J1428" i="1"/>
  <c r="J1118" i="1"/>
  <c r="J1429" i="1"/>
  <c r="J712" i="1"/>
  <c r="J474" i="1"/>
  <c r="J495" i="1"/>
  <c r="J214" i="1"/>
  <c r="J54" i="1"/>
  <c r="O79" i="1"/>
  <c r="N145" i="1"/>
  <c r="M1171" i="1"/>
  <c r="M1173" i="1"/>
  <c r="N1173" i="1"/>
  <c r="M1130" i="1"/>
  <c r="M524" i="1"/>
  <c r="J1211" i="1"/>
  <c r="M1178" i="1"/>
  <c r="N407" i="1"/>
  <c r="M285" i="1"/>
  <c r="K991" i="1"/>
  <c r="M1401" i="1"/>
  <c r="M1141" i="1"/>
  <c r="K980" i="1"/>
  <c r="I1320" i="1"/>
  <c r="I1114" i="1"/>
  <c r="M1183" i="1"/>
  <c r="J1265" i="1"/>
  <c r="K989" i="1"/>
  <c r="I832" i="1"/>
  <c r="C45" i="115"/>
  <c r="N408" i="1"/>
  <c r="M419" i="1"/>
  <c r="M127" i="1"/>
  <c r="M1403" i="1"/>
  <c r="M1144" i="1"/>
  <c r="I1325" i="1"/>
  <c r="I1316" i="1"/>
  <c r="H962" i="1"/>
  <c r="P962" i="1" s="1"/>
  <c r="C78" i="115"/>
  <c r="C55" i="115"/>
  <c r="Q1181" i="1"/>
  <c r="N310" i="1"/>
  <c r="J765" i="1"/>
  <c r="M128" i="1"/>
  <c r="N1171" i="1"/>
  <c r="N245" i="1"/>
  <c r="N143" i="1"/>
  <c r="K1430" i="1"/>
  <c r="K76" i="1"/>
  <c r="J1208" i="1"/>
  <c r="J1258" i="1"/>
  <c r="K990" i="1"/>
  <c r="M1142" i="1"/>
  <c r="H882" i="1"/>
  <c r="P882" i="1" s="1"/>
  <c r="C882" i="1" s="1"/>
  <c r="C49" i="115"/>
  <c r="J30" i="109"/>
  <c r="D164" i="115"/>
  <c r="J43" i="109"/>
  <c r="D187" i="115"/>
  <c r="D152" i="115"/>
  <c r="G16" i="114"/>
  <c r="N227" i="1"/>
  <c r="N38" i="1"/>
  <c r="N237" i="1"/>
  <c r="M268" i="1"/>
  <c r="C75" i="115"/>
  <c r="C67" i="115"/>
  <c r="Q1161" i="1"/>
  <c r="Y1161" i="1"/>
  <c r="P1161" i="1"/>
  <c r="I7" i="107"/>
  <c r="N1106" i="1"/>
  <c r="J47" i="109"/>
  <c r="J1142" i="1"/>
  <c r="N154" i="1"/>
  <c r="D158" i="115"/>
  <c r="N1104" i="1"/>
  <c r="J601" i="1"/>
  <c r="N485" i="1"/>
  <c r="C77" i="115"/>
  <c r="C56" i="115"/>
  <c r="C48" i="115"/>
  <c r="N1107" i="1"/>
  <c r="J1066" i="1"/>
  <c r="N1098" i="1"/>
  <c r="N1143" i="1"/>
  <c r="J1152" i="1"/>
  <c r="J1019" i="1"/>
  <c r="J119" i="1"/>
  <c r="J485" i="1"/>
  <c r="J19" i="1"/>
  <c r="H591" i="1"/>
  <c r="C591" i="1" s="1"/>
  <c r="N167" i="1"/>
  <c r="N20" i="1"/>
  <c r="I9" i="110"/>
  <c r="C60" i="115"/>
  <c r="C35" i="115"/>
  <c r="C76" i="115"/>
  <c r="C40" i="115"/>
  <c r="C73" i="115"/>
  <c r="H1374" i="1"/>
  <c r="J1138" i="1"/>
  <c r="H14" i="1"/>
  <c r="H721" i="1"/>
  <c r="J722" i="1"/>
  <c r="J723" i="1"/>
  <c r="H462" i="1"/>
  <c r="H463" i="1" s="1"/>
  <c r="C463" i="1" s="1"/>
  <c r="J464" i="1"/>
  <c r="O583" i="1"/>
  <c r="O594" i="1"/>
  <c r="O592" i="1"/>
  <c r="O582" i="1"/>
  <c r="O573" i="1"/>
  <c r="O574" i="1"/>
  <c r="M446" i="1"/>
  <c r="M447" i="1"/>
  <c r="N1446" i="1"/>
  <c r="N1447" i="1"/>
  <c r="N1448" i="1"/>
  <c r="I226" i="1"/>
  <c r="I225" i="1"/>
  <c r="K1169" i="1"/>
  <c r="K1170" i="1"/>
  <c r="K1171" i="1"/>
  <c r="K1173" i="1"/>
  <c r="K1168" i="1"/>
  <c r="K1172" i="1"/>
  <c r="J820" i="1"/>
  <c r="J815" i="1"/>
  <c r="J827" i="1"/>
  <c r="J819" i="1"/>
  <c r="J826" i="1"/>
  <c r="J829" i="1"/>
  <c r="N1080" i="1"/>
  <c r="N1079" i="1"/>
  <c r="N1078" i="1"/>
  <c r="N1154" i="1"/>
  <c r="N1151" i="1"/>
  <c r="N1149" i="1"/>
  <c r="N1153" i="1"/>
  <c r="N1150" i="1"/>
  <c r="N1136" i="1"/>
  <c r="N1135" i="1"/>
  <c r="N1134" i="1"/>
  <c r="H1121" i="1"/>
  <c r="H1123" i="1" s="1"/>
  <c r="C1123" i="1" s="1"/>
  <c r="N1122" i="1"/>
  <c r="N464" i="1"/>
  <c r="N463" i="1"/>
  <c r="M319" i="1"/>
  <c r="M320" i="1"/>
  <c r="M318" i="1"/>
  <c r="N412" i="1"/>
  <c r="N411" i="1"/>
  <c r="M215" i="1"/>
  <c r="M214" i="1"/>
  <c r="M216" i="1"/>
  <c r="N446" i="1"/>
  <c r="N447" i="1"/>
  <c r="J898" i="1"/>
  <c r="J899" i="1"/>
  <c r="J901" i="1"/>
  <c r="J897" i="1"/>
  <c r="H896" i="1"/>
  <c r="I1250" i="1"/>
  <c r="I1253" i="1"/>
  <c r="I1252" i="1"/>
  <c r="I1247" i="1"/>
  <c r="I1248" i="1"/>
  <c r="H1244" i="1"/>
  <c r="I1251" i="1"/>
  <c r="I1249" i="1"/>
  <c r="I1246" i="1"/>
  <c r="O739" i="1"/>
  <c r="O746" i="1"/>
  <c r="O745" i="1"/>
  <c r="O731" i="1"/>
  <c r="O732" i="1"/>
  <c r="O738" i="1"/>
  <c r="K216" i="1"/>
  <c r="K215" i="1"/>
  <c r="K214" i="1"/>
  <c r="J900" i="1"/>
  <c r="H906" i="1"/>
  <c r="J909" i="1"/>
  <c r="J911" i="1"/>
  <c r="J908" i="1"/>
  <c r="J1038" i="1"/>
  <c r="J1039" i="1"/>
  <c r="H1036" i="1"/>
  <c r="J1040" i="1"/>
  <c r="J1041" i="1"/>
  <c r="N1412" i="1"/>
  <c r="H1409" i="1"/>
  <c r="P1409" i="1" s="1"/>
  <c r="I1187" i="1"/>
  <c r="I1191" i="1"/>
  <c r="I1188" i="1"/>
  <c r="I1189" i="1"/>
  <c r="N1129" i="1"/>
  <c r="N1130" i="1"/>
  <c r="N1127" i="1"/>
  <c r="N258" i="1"/>
  <c r="N257" i="1"/>
  <c r="N1125" i="1"/>
  <c r="J1446" i="1"/>
  <c r="J258" i="1"/>
  <c r="H571" i="1"/>
  <c r="N594" i="1"/>
  <c r="N592" i="1"/>
  <c r="N572" i="1"/>
  <c r="N582" i="1"/>
  <c r="N584" i="1"/>
  <c r="N573" i="1"/>
  <c r="N583" i="1"/>
  <c r="N1128" i="1"/>
  <c r="O593" i="1"/>
  <c r="J907" i="1"/>
  <c r="I1190" i="1"/>
  <c r="K949" i="1"/>
  <c r="K951" i="1"/>
  <c r="K1143" i="1"/>
  <c r="K1144" i="1"/>
  <c r="K1139" i="1"/>
  <c r="K1140" i="1"/>
  <c r="K1142" i="1"/>
  <c r="K143" i="1"/>
  <c r="K144" i="1"/>
  <c r="I1355" i="1"/>
  <c r="I1362" i="1"/>
  <c r="I1361" i="1"/>
  <c r="H1354" i="1"/>
  <c r="I1359" i="1"/>
  <c r="I1360" i="1"/>
  <c r="I1358" i="1"/>
  <c r="I1357" i="1"/>
  <c r="N1126" i="1"/>
  <c r="I1356" i="1"/>
  <c r="K1115" i="1"/>
  <c r="K1117" i="1"/>
  <c r="K1118" i="1"/>
  <c r="K1114" i="1"/>
  <c r="K1113" i="1"/>
  <c r="K1116" i="1"/>
  <c r="N643" i="1"/>
  <c r="N641" i="1"/>
  <c r="N642" i="1"/>
  <c r="H640" i="1"/>
  <c r="K110" i="1"/>
  <c r="H109" i="1"/>
  <c r="N1139" i="1"/>
  <c r="H715" i="1"/>
  <c r="H1068" i="1"/>
  <c r="H502" i="1"/>
  <c r="H445" i="1"/>
  <c r="K843" i="1"/>
  <c r="K845" i="1"/>
  <c r="J1143" i="1"/>
  <c r="J1219" i="1"/>
  <c r="J1321" i="1"/>
  <c r="I716" i="1"/>
  <c r="I1019" i="1"/>
  <c r="I1065" i="1"/>
  <c r="I1018" i="1"/>
  <c r="I908" i="1"/>
  <c r="H730" i="1"/>
  <c r="J845" i="1"/>
  <c r="H977" i="1"/>
  <c r="J1325" i="1"/>
  <c r="J1324" i="1"/>
  <c r="J1225" i="1"/>
  <c r="I907" i="1"/>
  <c r="K842" i="1"/>
  <c r="K778" i="1"/>
  <c r="H1315" i="1"/>
  <c r="H188" i="1"/>
  <c r="H683" i="1"/>
  <c r="H67" i="1"/>
  <c r="H317" i="1"/>
  <c r="J1217" i="1"/>
  <c r="K1392" i="1"/>
  <c r="I911" i="1"/>
  <c r="I1224" i="1"/>
  <c r="J1318" i="1"/>
  <c r="J1316" i="1"/>
  <c r="J951" i="1"/>
  <c r="J1216" i="1"/>
  <c r="I1062" i="1"/>
  <c r="J1319" i="1"/>
  <c r="K774" i="1"/>
  <c r="N309" i="1"/>
  <c r="J1223" i="1"/>
  <c r="K643" i="1"/>
  <c r="J1317" i="1"/>
  <c r="I1218" i="1"/>
  <c r="I329" i="1"/>
  <c r="I1219" i="1"/>
  <c r="I1020" i="1"/>
  <c r="J948" i="1"/>
  <c r="I1383" i="1"/>
  <c r="I981" i="1"/>
  <c r="H213" i="1"/>
  <c r="J840" i="1"/>
  <c r="J788" i="1"/>
  <c r="K777" i="1"/>
  <c r="K750" i="1"/>
  <c r="N304" i="1"/>
  <c r="J1220" i="1"/>
  <c r="K641" i="1"/>
  <c r="J1320" i="1"/>
  <c r="I1220" i="1"/>
  <c r="I717" i="1"/>
  <c r="I504" i="1"/>
  <c r="I328" i="1"/>
  <c r="I1064" i="1"/>
  <c r="I1385" i="1"/>
  <c r="H1215" i="1"/>
  <c r="P1215" i="1" s="1"/>
  <c r="H1016" i="1"/>
  <c r="H326" i="1"/>
  <c r="C326" i="1" s="1"/>
  <c r="J785" i="1"/>
  <c r="K844" i="1"/>
  <c r="K127" i="1"/>
  <c r="J1222" i="1"/>
  <c r="J1323" i="1"/>
  <c r="I1221" i="1"/>
  <c r="I1216" i="1"/>
  <c r="I980" i="1"/>
  <c r="I719" i="1"/>
  <c r="I982" i="1"/>
  <c r="I1063" i="1"/>
  <c r="I749" i="1"/>
  <c r="I1017" i="1"/>
  <c r="I1223" i="1"/>
  <c r="N267" i="1"/>
  <c r="J920" i="1"/>
  <c r="J56" i="1"/>
  <c r="H704" i="1"/>
  <c r="H1166" i="1"/>
  <c r="H1171" i="1" s="1"/>
  <c r="C1171" i="1" s="1"/>
  <c r="J1221" i="1"/>
  <c r="J1274" i="1"/>
  <c r="I1066" i="1"/>
  <c r="N318" i="1"/>
  <c r="H825" i="1"/>
  <c r="H833" i="1" s="1"/>
  <c r="C833" i="1" s="1"/>
  <c r="N206" i="1"/>
  <c r="N207" i="1"/>
  <c r="J673" i="1"/>
  <c r="J668" i="1"/>
  <c r="J653" i="1"/>
  <c r="J674" i="1"/>
  <c r="J652" i="1"/>
  <c r="J670" i="1"/>
  <c r="H650" i="1"/>
  <c r="J659" i="1"/>
  <c r="J669" i="1"/>
  <c r="J671" i="1"/>
  <c r="J664" i="1"/>
  <c r="J672" i="1"/>
  <c r="J661" i="1"/>
  <c r="J675" i="1"/>
  <c r="J651" i="1"/>
  <c r="J663" i="1"/>
  <c r="J511" i="1"/>
  <c r="J512" i="1"/>
  <c r="J513" i="1"/>
  <c r="H510" i="1"/>
  <c r="J514" i="1"/>
  <c r="N1189" i="1"/>
  <c r="N1190" i="1"/>
  <c r="N1188" i="1"/>
  <c r="N1187" i="1"/>
  <c r="H274" i="1"/>
  <c r="N277" i="1"/>
  <c r="N275" i="1"/>
  <c r="J276" i="1"/>
  <c r="J275" i="1"/>
  <c r="J277" i="1"/>
  <c r="M275" i="1"/>
  <c r="M277" i="1"/>
  <c r="M276" i="1"/>
  <c r="N126" i="1"/>
  <c r="N128" i="1"/>
  <c r="N127" i="1"/>
  <c r="N1191" i="1"/>
  <c r="H1007" i="1"/>
  <c r="J1010" i="1"/>
  <c r="J1008" i="1"/>
  <c r="J1011" i="1"/>
  <c r="J756" i="1"/>
  <c r="H755" i="1"/>
  <c r="J757" i="1"/>
  <c r="H142" i="1"/>
  <c r="J144" i="1"/>
  <c r="J143" i="1"/>
  <c r="J206" i="1"/>
  <c r="J207" i="1"/>
  <c r="H205" i="1"/>
  <c r="H283" i="1"/>
  <c r="J284" i="1"/>
  <c r="J285" i="1"/>
  <c r="J858" i="1"/>
  <c r="J855" i="1"/>
  <c r="J854" i="1"/>
  <c r="J843" i="1"/>
  <c r="J853" i="1"/>
  <c r="J784" i="1"/>
  <c r="J856" i="1"/>
  <c r="J844" i="1"/>
  <c r="J789" i="1"/>
  <c r="I293" i="1"/>
  <c r="I294" i="1"/>
  <c r="I284" i="1"/>
  <c r="I285" i="1"/>
  <c r="N68" i="1"/>
  <c r="N69" i="1"/>
  <c r="N1411" i="1"/>
  <c r="N1410" i="1"/>
  <c r="H1092" i="1"/>
  <c r="M1188" i="1"/>
  <c r="M1190" i="1"/>
  <c r="M1191" i="1"/>
  <c r="M1187" i="1"/>
  <c r="N329" i="1"/>
  <c r="N327" i="1"/>
  <c r="N328" i="1"/>
  <c r="K1141" i="1"/>
  <c r="I236" i="1"/>
  <c r="J1037" i="1"/>
  <c r="K1188" i="1"/>
  <c r="J981" i="1"/>
  <c r="J1028" i="1"/>
  <c r="J1129" i="1"/>
  <c r="H37" i="1"/>
  <c r="H45" i="1"/>
  <c r="K1154" i="1"/>
  <c r="K1151" i="1"/>
  <c r="J1140" i="1"/>
  <c r="K1191" i="1"/>
  <c r="K1180" i="1"/>
  <c r="M309" i="1"/>
  <c r="K789" i="1"/>
  <c r="K784" i="1"/>
  <c r="M1438" i="1"/>
  <c r="K93" i="1"/>
  <c r="N1430" i="1"/>
  <c r="K1150" i="1"/>
  <c r="K1152" i="1"/>
  <c r="K1138" i="1"/>
  <c r="J1139" i="1"/>
  <c r="M1105" i="1"/>
  <c r="M1106" i="1"/>
  <c r="H92" i="1"/>
  <c r="E5" i="121" s="1"/>
  <c r="H658" i="1"/>
  <c r="C658" i="1" s="1"/>
  <c r="M1104" i="1"/>
  <c r="M1102" i="1"/>
  <c r="H581" i="1"/>
  <c r="M1107" i="1"/>
  <c r="M513" i="1"/>
  <c r="M514" i="1"/>
  <c r="M511" i="1"/>
  <c r="M512" i="1"/>
  <c r="I1172" i="1"/>
  <c r="I1170" i="1"/>
  <c r="I1169" i="1"/>
  <c r="I1171" i="1"/>
  <c r="I1167" i="1"/>
  <c r="I1173" i="1"/>
  <c r="J1195" i="1"/>
  <c r="J1198" i="1"/>
  <c r="J1196" i="1"/>
  <c r="J1199" i="1"/>
  <c r="K956" i="1"/>
  <c r="K957" i="1"/>
  <c r="K958" i="1"/>
  <c r="K959" i="1"/>
  <c r="K955" i="1"/>
  <c r="M1376" i="1"/>
  <c r="M1375" i="1"/>
  <c r="K1446" i="1"/>
  <c r="K1448" i="1"/>
  <c r="K1447" i="1"/>
  <c r="I1393" i="1"/>
  <c r="I1394" i="1"/>
  <c r="K47" i="1"/>
  <c r="K46" i="1"/>
  <c r="M1419" i="1"/>
  <c r="M1421" i="1"/>
  <c r="M1420" i="1"/>
  <c r="M412" i="1"/>
  <c r="M411" i="1"/>
  <c r="N473" i="1"/>
  <c r="N474" i="1"/>
  <c r="N472" i="1"/>
  <c r="N471" i="1"/>
  <c r="I1074" i="1"/>
  <c r="I1073" i="1"/>
  <c r="I1070" i="1"/>
  <c r="I1071" i="1"/>
  <c r="I1072" i="1"/>
  <c r="M641" i="1"/>
  <c r="M642" i="1"/>
  <c r="M643" i="1"/>
  <c r="N722" i="1"/>
  <c r="N723" i="1"/>
  <c r="I1002" i="1"/>
  <c r="I1001" i="1"/>
  <c r="I999" i="1"/>
  <c r="I1000" i="1"/>
  <c r="I998" i="1"/>
  <c r="N189" i="1"/>
  <c r="N216" i="1"/>
  <c r="N1198" i="1"/>
  <c r="K1106" i="1"/>
  <c r="I166" i="1"/>
  <c r="K1403" i="1"/>
  <c r="K1402" i="1"/>
  <c r="K1401" i="1"/>
  <c r="M738" i="1"/>
  <c r="M739" i="1"/>
  <c r="M732" i="1"/>
  <c r="M731" i="1"/>
  <c r="M745" i="1"/>
  <c r="M746" i="1"/>
  <c r="J1305" i="1"/>
  <c r="J1304" i="1"/>
  <c r="J1303" i="1"/>
  <c r="J1310" i="1"/>
  <c r="J1306" i="1"/>
  <c r="J1307" i="1"/>
  <c r="J1308" i="1"/>
  <c r="J1300" i="1"/>
  <c r="J1301" i="1"/>
  <c r="J1302" i="1"/>
  <c r="J1309" i="1"/>
  <c r="H1299" i="1"/>
  <c r="K1103" i="1"/>
  <c r="K1105" i="1"/>
  <c r="K1102" i="1"/>
  <c r="K1107" i="1"/>
  <c r="H1342" i="1"/>
  <c r="I1344" i="1"/>
  <c r="I1343" i="1"/>
  <c r="I1345" i="1"/>
  <c r="I1347" i="1"/>
  <c r="I1349" i="1"/>
  <c r="I1346" i="1"/>
  <c r="I1348" i="1"/>
  <c r="I1350" i="1"/>
  <c r="K293" i="1"/>
  <c r="K294" i="1"/>
  <c r="K292" i="1"/>
  <c r="N1116" i="1"/>
  <c r="N1113" i="1"/>
  <c r="N1117" i="1"/>
  <c r="N1115" i="1"/>
  <c r="N1118" i="1"/>
  <c r="N1114" i="1"/>
  <c r="N585" i="1"/>
  <c r="N633" i="1"/>
  <c r="N603" i="1"/>
  <c r="N612" i="1"/>
  <c r="N644" i="1"/>
  <c r="N631" i="1"/>
  <c r="N610" i="1"/>
  <c r="N613" i="1"/>
  <c r="H609" i="1"/>
  <c r="N635" i="1"/>
  <c r="N634" i="1"/>
  <c r="N632" i="1"/>
  <c r="N611" i="1"/>
  <c r="I46" i="1"/>
  <c r="I47" i="1"/>
  <c r="I136" i="1"/>
  <c r="H134" i="1"/>
  <c r="I318" i="1"/>
  <c r="I320" i="1"/>
  <c r="I319" i="1"/>
  <c r="I420" i="1"/>
  <c r="I419" i="1"/>
  <c r="I494" i="1"/>
  <c r="I493" i="1"/>
  <c r="I642" i="1"/>
  <c r="I643" i="1"/>
  <c r="N586" i="1"/>
  <c r="I275" i="1"/>
  <c r="I277" i="1"/>
  <c r="I276" i="1"/>
  <c r="M165" i="1"/>
  <c r="M166" i="1"/>
  <c r="H814" i="1"/>
  <c r="K815" i="1"/>
  <c r="K819" i="1"/>
  <c r="K820" i="1"/>
  <c r="K828" i="1"/>
  <c r="K826" i="1"/>
  <c r="M136" i="1"/>
  <c r="M135" i="1"/>
  <c r="N504" i="1"/>
  <c r="N503" i="1"/>
  <c r="N97" i="1"/>
  <c r="N77" i="1"/>
  <c r="N93" i="1"/>
  <c r="N78" i="1"/>
  <c r="N80" i="1"/>
  <c r="N95" i="1"/>
  <c r="N94" i="1"/>
  <c r="N76" i="1"/>
  <c r="M621" i="1"/>
  <c r="M624" i="1"/>
  <c r="H619" i="1"/>
  <c r="M622" i="1"/>
  <c r="M1448" i="1"/>
  <c r="M1446" i="1"/>
  <c r="N1162" i="1"/>
  <c r="N1163" i="1"/>
  <c r="N1159" i="1"/>
  <c r="N1158" i="1"/>
  <c r="N750" i="1"/>
  <c r="N749" i="1"/>
  <c r="J1134" i="1"/>
  <c r="J1135" i="1"/>
  <c r="J1136" i="1"/>
  <c r="H1133" i="1"/>
  <c r="K408" i="1"/>
  <c r="K948" i="1"/>
  <c r="K950" i="1"/>
  <c r="O80" i="1"/>
  <c r="K1190" i="1"/>
  <c r="K94" i="1"/>
  <c r="K78" i="1"/>
  <c r="K79" i="1"/>
  <c r="J1141" i="1"/>
  <c r="K495" i="1"/>
  <c r="O94" i="1"/>
  <c r="K998" i="1"/>
  <c r="K56" i="1"/>
  <c r="K246" i="1"/>
  <c r="K237" i="1"/>
  <c r="K485" i="1"/>
  <c r="H947" i="1"/>
  <c r="O76" i="1"/>
  <c r="O97" i="1"/>
  <c r="K503" i="1"/>
  <c r="K999" i="1"/>
  <c r="K1187" i="1"/>
  <c r="M189" i="1"/>
  <c r="K259" i="1"/>
  <c r="K310" i="1"/>
  <c r="O95" i="1"/>
  <c r="J602" i="1"/>
  <c r="K1195" i="1"/>
  <c r="K1197" i="1"/>
  <c r="O77" i="1"/>
  <c r="O93" i="1"/>
  <c r="K39" i="1"/>
  <c r="G152" i="31" l="1"/>
  <c r="E153" i="31"/>
  <c r="G153" i="31" s="1"/>
  <c r="G126" i="31"/>
  <c r="E127" i="31"/>
  <c r="G130" i="31"/>
  <c r="E131" i="31"/>
  <c r="G131" i="31" s="1"/>
  <c r="H76" i="1"/>
  <c r="C76" i="1" s="1"/>
  <c r="E4" i="121"/>
  <c r="H732" i="1"/>
  <c r="C732" i="1" s="1"/>
  <c r="P697" i="1"/>
  <c r="P700" i="1" s="1"/>
  <c r="H745" i="1"/>
  <c r="C745" i="1" s="1"/>
  <c r="H712" i="1"/>
  <c r="C712" i="1" s="1"/>
  <c r="H684" i="1"/>
  <c r="C684" i="1" s="1"/>
  <c r="C1128" i="1"/>
  <c r="K108" i="117"/>
  <c r="L40" i="117"/>
  <c r="A7" i="79"/>
  <c r="C711" i="1"/>
  <c r="H922" i="1"/>
  <c r="C922" i="1" s="1"/>
  <c r="L15" i="117"/>
  <c r="F1190" i="1"/>
  <c r="X1190" i="1" s="1"/>
  <c r="L116" i="117"/>
  <c r="F1181" i="1"/>
  <c r="X1181" i="1" s="1"/>
  <c r="Y1190" i="1"/>
  <c r="H1190" i="1"/>
  <c r="P1190" i="1"/>
  <c r="Y1141" i="1"/>
  <c r="H1141" i="1"/>
  <c r="P1141" i="1"/>
  <c r="M1181" i="1"/>
  <c r="K70" i="117"/>
  <c r="H1161" i="1"/>
  <c r="C1161" i="1" s="1"/>
  <c r="L1161" i="1"/>
  <c r="Y1181" i="1"/>
  <c r="L1181" i="1"/>
  <c r="P1181" i="1"/>
  <c r="H1181" i="1"/>
  <c r="F1141" i="1"/>
  <c r="X1141" i="1" s="1"/>
  <c r="J1190" i="1"/>
  <c r="L83" i="117"/>
  <c r="J1181" i="1"/>
  <c r="A14" i="79"/>
  <c r="A78" i="79"/>
  <c r="A94" i="79"/>
  <c r="A85" i="79"/>
  <c r="A70" i="79"/>
  <c r="A91" i="79"/>
  <c r="A48" i="79"/>
  <c r="A69" i="79"/>
  <c r="A65" i="79"/>
  <c r="A21" i="79"/>
  <c r="A26" i="79"/>
  <c r="A61" i="79"/>
  <c r="A42" i="79"/>
  <c r="A18" i="79"/>
  <c r="A49" i="79"/>
  <c r="A34" i="79"/>
  <c r="A55" i="79"/>
  <c r="A12" i="79"/>
  <c r="A33" i="79"/>
  <c r="A76" i="79"/>
  <c r="A68" i="79"/>
  <c r="A77" i="79"/>
  <c r="A25" i="79"/>
  <c r="A89" i="79"/>
  <c r="A29" i="79"/>
  <c r="A92" i="79"/>
  <c r="A81" i="79"/>
  <c r="A19" i="79"/>
  <c r="A6" i="79"/>
  <c r="A80" i="79"/>
  <c r="A75" i="79"/>
  <c r="A28" i="79"/>
  <c r="A45" i="79"/>
  <c r="C6" i="111"/>
  <c r="C25" i="111"/>
  <c r="C5" i="111"/>
  <c r="C12" i="111"/>
  <c r="C23" i="111"/>
  <c r="C24" i="111"/>
  <c r="C2" i="111"/>
  <c r="C27" i="111"/>
  <c r="C14" i="111"/>
  <c r="C10" i="111"/>
  <c r="C21" i="111"/>
  <c r="C11" i="111"/>
  <c r="C20" i="111"/>
  <c r="C26" i="111"/>
  <c r="C3" i="111"/>
  <c r="C13" i="111"/>
  <c r="C19" i="111"/>
  <c r="C7" i="111"/>
  <c r="C29" i="111"/>
  <c r="C28" i="111"/>
  <c r="C9" i="111"/>
  <c r="C22" i="111"/>
  <c r="C4" i="111"/>
  <c r="C18" i="111"/>
  <c r="C17" i="111"/>
  <c r="C8" i="111"/>
  <c r="C16" i="111"/>
  <c r="C15" i="111"/>
  <c r="A72" i="79"/>
  <c r="A53" i="79"/>
  <c r="A40" i="79"/>
  <c r="A56" i="79"/>
  <c r="A41" i="79"/>
  <c r="A66" i="79"/>
  <c r="A87" i="79"/>
  <c r="A44" i="79"/>
  <c r="A35" i="79"/>
  <c r="A9" i="79"/>
  <c r="A13" i="79"/>
  <c r="A79" i="79"/>
  <c r="A36" i="79"/>
  <c r="A17" i="79"/>
  <c r="A63" i="79"/>
  <c r="A20" i="79"/>
  <c r="A88" i="79"/>
  <c r="A30" i="79"/>
  <c r="A51" i="79"/>
  <c r="A4" i="79"/>
  <c r="A82" i="79"/>
  <c r="A71" i="79"/>
  <c r="A64" i="79"/>
  <c r="A43" i="79"/>
  <c r="A60" i="79"/>
  <c r="A27" i="79"/>
  <c r="A10" i="79"/>
  <c r="A16" i="79"/>
  <c r="A73" i="79"/>
  <c r="A15" i="79"/>
  <c r="A83" i="79"/>
  <c r="A46" i="79"/>
  <c r="A39" i="79"/>
  <c r="A32" i="79"/>
  <c r="A86" i="79"/>
  <c r="A67" i="79"/>
  <c r="A24" i="79"/>
  <c r="A74" i="79"/>
  <c r="A59" i="79"/>
  <c r="A8" i="79"/>
  <c r="A37" i="79"/>
  <c r="A62" i="79"/>
  <c r="A47" i="79"/>
  <c r="A93" i="79"/>
  <c r="A90" i="79"/>
  <c r="A11" i="79"/>
  <c r="A50" i="79"/>
  <c r="A31" i="79"/>
  <c r="A5" i="79"/>
  <c r="A38" i="79"/>
  <c r="A23" i="79"/>
  <c r="A52" i="79"/>
  <c r="A84" i="79"/>
  <c r="A22" i="79"/>
  <c r="A54" i="79"/>
  <c r="A57" i="79"/>
  <c r="A58" i="79"/>
  <c r="K7" i="117"/>
  <c r="H59" i="118"/>
  <c r="K59" i="118"/>
  <c r="F19" i="118"/>
  <c r="H19" i="118" s="1"/>
  <c r="E44" i="118"/>
  <c r="F33" i="118"/>
  <c r="E58" i="118"/>
  <c r="F26" i="118"/>
  <c r="H26" i="118" s="1"/>
  <c r="E51" i="118"/>
  <c r="F28" i="118"/>
  <c r="E53" i="118"/>
  <c r="F30" i="118"/>
  <c r="H30" i="118" s="1"/>
  <c r="E55" i="118"/>
  <c r="F25" i="118"/>
  <c r="E50" i="118"/>
  <c r="E22" i="118"/>
  <c r="E47" i="118" s="1"/>
  <c r="E43" i="118"/>
  <c r="F27" i="118"/>
  <c r="E52" i="118"/>
  <c r="F29" i="118"/>
  <c r="H29" i="118" s="1"/>
  <c r="E54" i="118"/>
  <c r="F31" i="118"/>
  <c r="E56" i="118"/>
  <c r="F32" i="118"/>
  <c r="E57" i="118"/>
  <c r="E23" i="118"/>
  <c r="E48" i="118" s="1"/>
  <c r="H918" i="1"/>
  <c r="C918" i="1" s="1"/>
  <c r="H920" i="1"/>
  <c r="C920" i="1" s="1"/>
  <c r="H921" i="1"/>
  <c r="C921" i="1" s="1"/>
  <c r="H919" i="1"/>
  <c r="C919" i="1" s="1"/>
  <c r="H917" i="1"/>
  <c r="C917" i="1" s="1"/>
  <c r="P1077" i="1"/>
  <c r="P1194" i="1"/>
  <c r="C1194" i="1" s="1"/>
  <c r="H1196" i="1"/>
  <c r="C1196" i="1" s="1"/>
  <c r="H1199" i="1"/>
  <c r="C1199" i="1" s="1"/>
  <c r="H1195" i="1"/>
  <c r="C1195" i="1" s="1"/>
  <c r="H1197" i="1"/>
  <c r="C1197" i="1" s="1"/>
  <c r="P969" i="1"/>
  <c r="P974" i="1" s="1"/>
  <c r="C974" i="1" s="1"/>
  <c r="H1080" i="1"/>
  <c r="C1080" i="1" s="1"/>
  <c r="P803" i="1"/>
  <c r="C803" i="1" s="1"/>
  <c r="H455" i="1"/>
  <c r="C455" i="1" s="1"/>
  <c r="C453" i="1"/>
  <c r="H456" i="1"/>
  <c r="C456" i="1" s="1"/>
  <c r="H454" i="1"/>
  <c r="C454" i="1" s="1"/>
  <c r="H685" i="1"/>
  <c r="C685" i="1" s="1"/>
  <c r="H692" i="1"/>
  <c r="H1428" i="1"/>
  <c r="C1428" i="1" s="1"/>
  <c r="H1430" i="1"/>
  <c r="C1430" i="1" s="1"/>
  <c r="H693" i="1"/>
  <c r="P1427" i="1"/>
  <c r="H691" i="1"/>
  <c r="H1429" i="1"/>
  <c r="C1429" i="1" s="1"/>
  <c r="P690" i="1"/>
  <c r="H1279" i="1"/>
  <c r="C1279" i="1" s="1"/>
  <c r="H999" i="1"/>
  <c r="C999" i="1" s="1"/>
  <c r="H1295" i="1"/>
  <c r="C1295" i="1" s="1"/>
  <c r="H631" i="1"/>
  <c r="C631" i="1" s="1"/>
  <c r="H998" i="1"/>
  <c r="C998" i="1" s="1"/>
  <c r="H970" i="1"/>
  <c r="H1290" i="1"/>
  <c r="C1290" i="1" s="1"/>
  <c r="H971" i="1"/>
  <c r="H973" i="1"/>
  <c r="H308" i="1"/>
  <c r="C308" i="1" s="1"/>
  <c r="L36" i="117"/>
  <c r="C6" i="109"/>
  <c r="K63" i="117"/>
  <c r="L63" i="117"/>
  <c r="K51" i="117"/>
  <c r="L51" i="117"/>
  <c r="C307" i="1"/>
  <c r="H407" i="1"/>
  <c r="C407" i="1" s="1"/>
  <c r="C406" i="1"/>
  <c r="H408" i="1"/>
  <c r="C408" i="1" s="1"/>
  <c r="H79" i="1"/>
  <c r="C79" i="1" s="1"/>
  <c r="H600" i="1"/>
  <c r="C600" i="1" s="1"/>
  <c r="H566" i="1"/>
  <c r="C566" i="1" s="1"/>
  <c r="H1066" i="1"/>
  <c r="H1067" i="1"/>
  <c r="H165" i="1"/>
  <c r="C165" i="1" s="1"/>
  <c r="H1001" i="1"/>
  <c r="C1001" i="1" s="1"/>
  <c r="H1277" i="1"/>
  <c r="C1277" i="1" s="1"/>
  <c r="H1294" i="1"/>
  <c r="C1294" i="1" s="1"/>
  <c r="H1278" i="1"/>
  <c r="C1278" i="1" s="1"/>
  <c r="H1275" i="1"/>
  <c r="C1275" i="1" s="1"/>
  <c r="P1112" i="1"/>
  <c r="C1112" i="1" s="1"/>
  <c r="P1272" i="1"/>
  <c r="C1272" i="1" s="1"/>
  <c r="H1116" i="1"/>
  <c r="C1116" i="1" s="1"/>
  <c r="H746" i="1"/>
  <c r="C746" i="1" s="1"/>
  <c r="C256" i="1"/>
  <c r="H257" i="1"/>
  <c r="C257" i="1" s="1"/>
  <c r="P1286" i="1"/>
  <c r="H1281" i="1"/>
  <c r="C1281" i="1" s="1"/>
  <c r="H1280" i="1"/>
  <c r="C1280" i="1" s="1"/>
  <c r="C744" i="1"/>
  <c r="H1292" i="1"/>
  <c r="C1292" i="1" s="1"/>
  <c r="H1002" i="1"/>
  <c r="C1002" i="1" s="1"/>
  <c r="H1291" i="1"/>
  <c r="C1291" i="1" s="1"/>
  <c r="H1000" i="1"/>
  <c r="C1000" i="1" s="1"/>
  <c r="H145" i="1"/>
  <c r="C145" i="1" s="1"/>
  <c r="P1061" i="1"/>
  <c r="P1065" i="1" s="1"/>
  <c r="H1064" i="1"/>
  <c r="H1062" i="1"/>
  <c r="C1062" i="1" s="1"/>
  <c r="H1065" i="1"/>
  <c r="H310" i="1"/>
  <c r="C310" i="1" s="1"/>
  <c r="H258" i="1"/>
  <c r="C258" i="1" s="1"/>
  <c r="H804" i="1"/>
  <c r="C804" i="1" s="1"/>
  <c r="P1054" i="1"/>
  <c r="C1054" i="1" s="1"/>
  <c r="H1394" i="1"/>
  <c r="C1394" i="1" s="1"/>
  <c r="H877" i="1"/>
  <c r="C877" i="1" s="1"/>
  <c r="H875" i="1"/>
  <c r="C875" i="1" s="1"/>
  <c r="H876" i="1"/>
  <c r="C876" i="1" s="1"/>
  <c r="H874" i="1"/>
  <c r="C874" i="1" s="1"/>
  <c r="H127" i="1"/>
  <c r="C127" i="1" s="1"/>
  <c r="H873" i="1"/>
  <c r="C873" i="1" s="1"/>
  <c r="H808" i="1"/>
  <c r="C808" i="1" s="1"/>
  <c r="C523" i="1"/>
  <c r="H809" i="1"/>
  <c r="C809" i="1" s="1"/>
  <c r="C492" i="1"/>
  <c r="H493" i="1"/>
  <c r="C493" i="1" s="1"/>
  <c r="H1079" i="1"/>
  <c r="C1079" i="1" s="1"/>
  <c r="H867" i="1"/>
  <c r="C867" i="1" s="1"/>
  <c r="H565" i="1"/>
  <c r="H567" i="1"/>
  <c r="H826" i="1"/>
  <c r="C826" i="1" s="1"/>
  <c r="H1113" i="1"/>
  <c r="C1113" i="1" s="1"/>
  <c r="H830" i="1"/>
  <c r="C830" i="1" s="1"/>
  <c r="P563" i="1"/>
  <c r="P565" i="1" s="1"/>
  <c r="H166" i="1"/>
  <c r="C166" i="1" s="1"/>
  <c r="H568" i="1"/>
  <c r="C75" i="1"/>
  <c r="H78" i="1"/>
  <c r="C78" i="1" s="1"/>
  <c r="H77" i="1"/>
  <c r="C77" i="1" s="1"/>
  <c r="I4" i="107"/>
  <c r="C4" i="107" s="1"/>
  <c r="H80" i="1"/>
  <c r="C80" i="1" s="1"/>
  <c r="H167" i="1"/>
  <c r="C167" i="1" s="1"/>
  <c r="C224" i="1"/>
  <c r="H268" i="1"/>
  <c r="C268" i="1" s="1"/>
  <c r="H237" i="1"/>
  <c r="C237" i="1" s="1"/>
  <c r="H19" i="1"/>
  <c r="C19" i="1" s="1"/>
  <c r="H20" i="1"/>
  <c r="C20" i="1" s="1"/>
  <c r="H225" i="1"/>
  <c r="C225" i="1" s="1"/>
  <c r="H421" i="1"/>
  <c r="C421" i="1" s="1"/>
  <c r="H226" i="1"/>
  <c r="C226" i="1" s="1"/>
  <c r="H495" i="1"/>
  <c r="C495" i="1" s="1"/>
  <c r="H227" i="1"/>
  <c r="C227" i="1" s="1"/>
  <c r="H56" i="1"/>
  <c r="C56" i="1" s="1"/>
  <c r="H30" i="1"/>
  <c r="C30" i="1" s="1"/>
  <c r="H485" i="1"/>
  <c r="C485" i="1" s="1"/>
  <c r="C18" i="1"/>
  <c r="H807" i="1"/>
  <c r="C807" i="1" s="1"/>
  <c r="H827" i="1"/>
  <c r="C827" i="1" s="1"/>
  <c r="C470" i="1"/>
  <c r="H805" i="1"/>
  <c r="C805" i="1" s="1"/>
  <c r="P825" i="1"/>
  <c r="C825" i="1" s="1"/>
  <c r="C335" i="1"/>
  <c r="E24" i="118"/>
  <c r="F16" i="118"/>
  <c r="L29" i="118"/>
  <c r="K56" i="117"/>
  <c r="L56" i="117"/>
  <c r="H1287" i="1"/>
  <c r="C1287" i="1" s="1"/>
  <c r="H1289" i="1"/>
  <c r="C1289" i="1" s="1"/>
  <c r="H1288" i="1"/>
  <c r="C1288" i="1" s="1"/>
  <c r="H31" i="118"/>
  <c r="L31" i="118"/>
  <c r="H1282" i="1"/>
  <c r="C1282" i="1" s="1"/>
  <c r="H1276" i="1"/>
  <c r="C1276" i="1" s="1"/>
  <c r="L124" i="117"/>
  <c r="K124" i="117"/>
  <c r="I144" i="117"/>
  <c r="J144" i="117"/>
  <c r="H33" i="118"/>
  <c r="L33" i="118"/>
  <c r="K98" i="117"/>
  <c r="L98" i="117"/>
  <c r="J140" i="117"/>
  <c r="I140" i="117"/>
  <c r="J141" i="117"/>
  <c r="I141" i="117"/>
  <c r="L28" i="118"/>
  <c r="H28" i="118"/>
  <c r="L10" i="117"/>
  <c r="K10" i="117"/>
  <c r="L133" i="117"/>
  <c r="K133" i="117"/>
  <c r="L25" i="118"/>
  <c r="H25" i="118"/>
  <c r="E21" i="118"/>
  <c r="F17" i="118"/>
  <c r="F18" i="118"/>
  <c r="F23" i="118"/>
  <c r="E20" i="118"/>
  <c r="F15" i="118"/>
  <c r="L90" i="117"/>
  <c r="K90" i="117"/>
  <c r="L59" i="117"/>
  <c r="K59" i="117"/>
  <c r="H27" i="118"/>
  <c r="L27" i="118"/>
  <c r="L31" i="117"/>
  <c r="K31" i="117"/>
  <c r="H154" i="1"/>
  <c r="C291" i="1"/>
  <c r="P152" i="1"/>
  <c r="P153" i="1" s="1"/>
  <c r="C153" i="1" s="1"/>
  <c r="H236" i="1"/>
  <c r="C236" i="1" s="1"/>
  <c r="P1101" i="1"/>
  <c r="H992" i="1"/>
  <c r="C992" i="1" s="1"/>
  <c r="H988" i="1"/>
  <c r="C988" i="1" s="1"/>
  <c r="H991" i="1"/>
  <c r="C991" i="1" s="1"/>
  <c r="H267" i="1"/>
  <c r="C267" i="1" s="1"/>
  <c r="H484" i="1"/>
  <c r="C484" i="1" s="1"/>
  <c r="H989" i="1"/>
  <c r="C989" i="1" s="1"/>
  <c r="H990" i="1"/>
  <c r="C990" i="1" s="1"/>
  <c r="P1026" i="1"/>
  <c r="C1026" i="1" s="1"/>
  <c r="H1029" i="1"/>
  <c r="C1029" i="1" s="1"/>
  <c r="H1030" i="1"/>
  <c r="C1030" i="1" s="1"/>
  <c r="H1027" i="1"/>
  <c r="C1027" i="1" s="1"/>
  <c r="H1028" i="1"/>
  <c r="C1028" i="1" s="1"/>
  <c r="H1031" i="1"/>
  <c r="C1031" i="1" s="1"/>
  <c r="H1102" i="1"/>
  <c r="C1102" i="1" s="1"/>
  <c r="H959" i="1"/>
  <c r="C959" i="1" s="1"/>
  <c r="P954" i="1"/>
  <c r="C954" i="1" s="1"/>
  <c r="H1108" i="1"/>
  <c r="C1108" i="1" s="1"/>
  <c r="C728" i="1"/>
  <c r="H602" i="1"/>
  <c r="C602" i="1" s="1"/>
  <c r="H606" i="1"/>
  <c r="C606" i="1" s="1"/>
  <c r="H605" i="1"/>
  <c r="C605" i="1" s="1"/>
  <c r="H65" i="1"/>
  <c r="H198" i="1"/>
  <c r="C198" i="1" s="1"/>
  <c r="H1096" i="1"/>
  <c r="C1096" i="1" s="1"/>
  <c r="P1121" i="1"/>
  <c r="C1121" i="1" s="1"/>
  <c r="H1103" i="1"/>
  <c r="C1103" i="1" s="1"/>
  <c r="H604" i="1"/>
  <c r="C604" i="1" s="1"/>
  <c r="H1086" i="1"/>
  <c r="C27" i="1"/>
  <c r="H29" i="1"/>
  <c r="C29" i="1" s="1"/>
  <c r="H601" i="1"/>
  <c r="C601" i="1" s="1"/>
  <c r="H1082" i="1"/>
  <c r="H1393" i="1"/>
  <c r="C1393" i="1" s="1"/>
  <c r="P1391" i="1"/>
  <c r="C234" i="1"/>
  <c r="H608" i="1"/>
  <c r="C608" i="1" s="1"/>
  <c r="H293" i="1"/>
  <c r="C293" i="1" s="1"/>
  <c r="H294" i="1"/>
  <c r="C294" i="1" s="1"/>
  <c r="P63" i="1"/>
  <c r="H28" i="1"/>
  <c r="C28" i="1" s="1"/>
  <c r="H64" i="1"/>
  <c r="H1085" i="1"/>
  <c r="H603" i="1"/>
  <c r="C603" i="1" s="1"/>
  <c r="H607" i="1"/>
  <c r="C607" i="1" s="1"/>
  <c r="H1084" i="1"/>
  <c r="H126" i="1"/>
  <c r="C126" i="1" s="1"/>
  <c r="H474" i="1"/>
  <c r="C474" i="1" s="1"/>
  <c r="H1335" i="1"/>
  <c r="C1335" i="1" s="1"/>
  <c r="C125" i="1"/>
  <c r="H420" i="1"/>
  <c r="C420" i="1" s="1"/>
  <c r="C418" i="1"/>
  <c r="C4" i="109"/>
  <c r="H854" i="1"/>
  <c r="C854" i="1" s="1"/>
  <c r="P887" i="1"/>
  <c r="C887" i="1" s="1"/>
  <c r="H890" i="1"/>
  <c r="C890" i="1" s="1"/>
  <c r="H889" i="1"/>
  <c r="C889" i="1" s="1"/>
  <c r="H888" i="1"/>
  <c r="C888" i="1" s="1"/>
  <c r="H891" i="1"/>
  <c r="C891" i="1" s="1"/>
  <c r="C5" i="109"/>
  <c r="P1092" i="1"/>
  <c r="C10" i="109"/>
  <c r="C7" i="109"/>
  <c r="H865" i="1"/>
  <c r="C865" i="1" s="1"/>
  <c r="H866" i="1"/>
  <c r="C866" i="1" s="1"/>
  <c r="H864" i="1"/>
  <c r="C864" i="1" s="1"/>
  <c r="H1334" i="1"/>
  <c r="C1334" i="1" s="1"/>
  <c r="H1337" i="1"/>
  <c r="C1337" i="1" s="1"/>
  <c r="H1336" i="1"/>
  <c r="C1336" i="1" s="1"/>
  <c r="H1331" i="1"/>
  <c r="C1331" i="1" s="1"/>
  <c r="H1338" i="1"/>
  <c r="C1338" i="1" s="1"/>
  <c r="H1333" i="1"/>
  <c r="C1333" i="1" s="1"/>
  <c r="H1330" i="1"/>
  <c r="C1330" i="1" s="1"/>
  <c r="H1332" i="1"/>
  <c r="C1332" i="1" s="1"/>
  <c r="H1098" i="1"/>
  <c r="C1098" i="1" s="1"/>
  <c r="P1166" i="1"/>
  <c r="C1166" i="1" s="1"/>
  <c r="H157" i="1"/>
  <c r="H1169" i="1"/>
  <c r="C1169" i="1" s="1"/>
  <c r="H1173" i="1"/>
  <c r="C1173" i="1" s="1"/>
  <c r="P1046" i="1"/>
  <c r="C1046" i="1" s="1"/>
  <c r="H1049" i="1"/>
  <c r="C1049" i="1" s="1"/>
  <c r="H1047" i="1"/>
  <c r="C1047" i="1" s="1"/>
  <c r="H1048" i="1"/>
  <c r="C1048" i="1" s="1"/>
  <c r="C117" i="1"/>
  <c r="H118" i="1"/>
  <c r="C118" i="1" s="1"/>
  <c r="H119" i="1"/>
  <c r="C119" i="1" s="1"/>
  <c r="P1400" i="1"/>
  <c r="H1403" i="1"/>
  <c r="C1403" i="1" s="1"/>
  <c r="H1402" i="1"/>
  <c r="C1402" i="1" s="1"/>
  <c r="H1172" i="1"/>
  <c r="C1172" i="1" s="1"/>
  <c r="H1210" i="1"/>
  <c r="C1210" i="1" s="1"/>
  <c r="P1202" i="1"/>
  <c r="H1205" i="1"/>
  <c r="C1205" i="1" s="1"/>
  <c r="H1209" i="1"/>
  <c r="C1209" i="1" s="1"/>
  <c r="H1207" i="1"/>
  <c r="C1207" i="1" s="1"/>
  <c r="H1204" i="1"/>
  <c r="C1204" i="1" s="1"/>
  <c r="H1208" i="1"/>
  <c r="C1208" i="1" s="1"/>
  <c r="H1211" i="1"/>
  <c r="C1211" i="1" s="1"/>
  <c r="H1206" i="1"/>
  <c r="C1206" i="1" s="1"/>
  <c r="H1167" i="1"/>
  <c r="C1167" i="1" s="1"/>
  <c r="H1105" i="1"/>
  <c r="C1105" i="1" s="1"/>
  <c r="C482" i="1"/>
  <c r="P794" i="1"/>
  <c r="C794" i="1" s="1"/>
  <c r="H766" i="1"/>
  <c r="C766" i="1" s="1"/>
  <c r="H798" i="1"/>
  <c r="C798" i="1" s="1"/>
  <c r="H797" i="1"/>
  <c r="C797" i="1" s="1"/>
  <c r="H775" i="1"/>
  <c r="C775" i="1" s="1"/>
  <c r="H795" i="1"/>
  <c r="C795" i="1" s="1"/>
  <c r="H774" i="1"/>
  <c r="C774" i="1" s="1"/>
  <c r="H796" i="1"/>
  <c r="C796" i="1" s="1"/>
  <c r="H777" i="1"/>
  <c r="C777" i="1" s="1"/>
  <c r="H778" i="1"/>
  <c r="C778" i="1" s="1"/>
  <c r="H764" i="1"/>
  <c r="C764" i="1" s="1"/>
  <c r="H768" i="1"/>
  <c r="C768" i="1" s="1"/>
  <c r="H776" i="1"/>
  <c r="C776" i="1" s="1"/>
  <c r="H767" i="1"/>
  <c r="C767" i="1" s="1"/>
  <c r="H765" i="1"/>
  <c r="C765" i="1" s="1"/>
  <c r="H525" i="1"/>
  <c r="C525" i="1" s="1"/>
  <c r="C1329" i="1"/>
  <c r="H1236" i="1"/>
  <c r="C1236" i="1" s="1"/>
  <c r="H1238" i="1"/>
  <c r="C1238" i="1" s="1"/>
  <c r="P1230" i="1"/>
  <c r="H1231" i="1"/>
  <c r="C1231" i="1" s="1"/>
  <c r="H1234" i="1"/>
  <c r="C1234" i="1" s="1"/>
  <c r="H1239" i="1"/>
  <c r="C1239" i="1" s="1"/>
  <c r="H1233" i="1"/>
  <c r="C1233" i="1" s="1"/>
  <c r="H1235" i="1"/>
  <c r="C1235" i="1" s="1"/>
  <c r="H1240" i="1"/>
  <c r="C1240" i="1" s="1"/>
  <c r="H1237" i="1"/>
  <c r="C1237" i="1" s="1"/>
  <c r="C9" i="109"/>
  <c r="C8" i="109"/>
  <c r="H1087" i="1"/>
  <c r="H1088" i="1"/>
  <c r="P1081" i="1"/>
  <c r="H1438" i="1"/>
  <c r="C1438" i="1" s="1"/>
  <c r="P1436" i="1"/>
  <c r="H1439" i="1"/>
  <c r="C1439" i="1" s="1"/>
  <c r="H1437" i="1"/>
  <c r="C1437" i="1" s="1"/>
  <c r="H1419" i="1"/>
  <c r="C1419" i="1" s="1"/>
  <c r="H304" i="1"/>
  <c r="C304" i="1" s="1"/>
  <c r="H303" i="1"/>
  <c r="C303" i="1" s="1"/>
  <c r="C302" i="1"/>
  <c r="H1266" i="1"/>
  <c r="C1266" i="1" s="1"/>
  <c r="H1420" i="1"/>
  <c r="C1420" i="1" s="1"/>
  <c r="P1445" i="1"/>
  <c r="H1446" i="1"/>
  <c r="C1446" i="1" s="1"/>
  <c r="H1448" i="1"/>
  <c r="C1448" i="1" s="1"/>
  <c r="H1447" i="1"/>
  <c r="C1447" i="1" s="1"/>
  <c r="P1418" i="1"/>
  <c r="C1418" i="1" s="1"/>
  <c r="H700" i="1"/>
  <c r="H698" i="1"/>
  <c r="H699" i="1"/>
  <c r="C462" i="1"/>
  <c r="H853" i="1"/>
  <c r="C853" i="1" s="1"/>
  <c r="H857" i="1"/>
  <c r="C857" i="1" s="1"/>
  <c r="H855" i="1"/>
  <c r="C855" i="1" s="1"/>
  <c r="H856" i="1"/>
  <c r="C856" i="1" s="1"/>
  <c r="H1117" i="1"/>
  <c r="C1117" i="1" s="1"/>
  <c r="H1114" i="1"/>
  <c r="C1114" i="1" s="1"/>
  <c r="H464" i="1"/>
  <c r="C464" i="1" s="1"/>
  <c r="H55" i="1"/>
  <c r="C55" i="1" s="1"/>
  <c r="C53" i="1"/>
  <c r="H54" i="1"/>
  <c r="C54" i="1" s="1"/>
  <c r="C196" i="1"/>
  <c r="H1118" i="1"/>
  <c r="C1118" i="1" s="1"/>
  <c r="H858" i="1"/>
  <c r="C858" i="1" s="1"/>
  <c r="H471" i="1"/>
  <c r="C471" i="1" s="1"/>
  <c r="H472" i="1"/>
  <c r="C472" i="1" s="1"/>
  <c r="H199" i="1"/>
  <c r="C199" i="1" s="1"/>
  <c r="H327" i="1"/>
  <c r="C327" i="1" s="1"/>
  <c r="H1267" i="1"/>
  <c r="C1267" i="1" s="1"/>
  <c r="P964" i="1"/>
  <c r="C964" i="1" s="1"/>
  <c r="P965" i="1"/>
  <c r="C965" i="1" s="1"/>
  <c r="P966" i="1"/>
  <c r="C966" i="1" s="1"/>
  <c r="C962" i="1"/>
  <c r="P963" i="1"/>
  <c r="C963" i="1" s="1"/>
  <c r="H1260" i="1"/>
  <c r="C1260" i="1" s="1"/>
  <c r="C730" i="1"/>
  <c r="P1257" i="1"/>
  <c r="C1257" i="1" s="1"/>
  <c r="H1263" i="1"/>
  <c r="C1263" i="1" s="1"/>
  <c r="H1055" i="1"/>
  <c r="C1055" i="1" s="1"/>
  <c r="H1056" i="1"/>
  <c r="C1056" i="1" s="1"/>
  <c r="H1265" i="1"/>
  <c r="C1265" i="1" s="1"/>
  <c r="H1259" i="1"/>
  <c r="C1259" i="1" s="1"/>
  <c r="P1148" i="1"/>
  <c r="H1149" i="1"/>
  <c r="C1149" i="1" s="1"/>
  <c r="H1150" i="1"/>
  <c r="C1150" i="1" s="1"/>
  <c r="H1153" i="1"/>
  <c r="C1153" i="1" s="1"/>
  <c r="H1154" i="1"/>
  <c r="C1154" i="1" s="1"/>
  <c r="H1152" i="1"/>
  <c r="C1152" i="1" s="1"/>
  <c r="H1261" i="1"/>
  <c r="C1261" i="1" s="1"/>
  <c r="H1385" i="1"/>
  <c r="C1385" i="1" s="1"/>
  <c r="H1383" i="1"/>
  <c r="C1383" i="1" s="1"/>
  <c r="H1384" i="1"/>
  <c r="C1384" i="1" s="1"/>
  <c r="P1382" i="1"/>
  <c r="H1264" i="1"/>
  <c r="C1264" i="1" s="1"/>
  <c r="H731" i="1"/>
  <c r="C731" i="1" s="1"/>
  <c r="H1258" i="1"/>
  <c r="C1258" i="1" s="1"/>
  <c r="H1106" i="1"/>
  <c r="C1106" i="1" s="1"/>
  <c r="H1104" i="1"/>
  <c r="C1104" i="1" s="1"/>
  <c r="H956" i="1"/>
  <c r="C956" i="1" s="1"/>
  <c r="H958" i="1"/>
  <c r="C958" i="1" s="1"/>
  <c r="H957" i="1"/>
  <c r="C957" i="1" s="1"/>
  <c r="H328" i="1"/>
  <c r="C328" i="1" s="1"/>
  <c r="P14" i="1"/>
  <c r="H16" i="1"/>
  <c r="P16" i="1" s="1"/>
  <c r="C16" i="1" s="1"/>
  <c r="H15" i="1"/>
  <c r="P15" i="1" s="1"/>
  <c r="C15" i="1" s="1"/>
  <c r="P1374" i="1"/>
  <c r="H1376" i="1"/>
  <c r="H1377" i="1"/>
  <c r="H1378" i="1"/>
  <c r="H1375" i="1"/>
  <c r="P1036" i="1"/>
  <c r="C1036" i="1" s="1"/>
  <c r="H1040" i="1"/>
  <c r="C1040" i="1" s="1"/>
  <c r="H1038" i="1"/>
  <c r="C1038" i="1" s="1"/>
  <c r="H1041" i="1"/>
  <c r="C1041" i="1" s="1"/>
  <c r="H1037" i="1"/>
  <c r="C1037" i="1" s="1"/>
  <c r="H1039" i="1"/>
  <c r="C1039" i="1" s="1"/>
  <c r="H832" i="1"/>
  <c r="C832" i="1" s="1"/>
  <c r="H829" i="1"/>
  <c r="C829" i="1" s="1"/>
  <c r="H831" i="1"/>
  <c r="C831" i="1" s="1"/>
  <c r="H828" i="1"/>
  <c r="C828" i="1" s="1"/>
  <c r="H642" i="1"/>
  <c r="C642" i="1" s="1"/>
  <c r="H641" i="1"/>
  <c r="C641" i="1" s="1"/>
  <c r="H643" i="1"/>
  <c r="C643" i="1" s="1"/>
  <c r="H646" i="1"/>
  <c r="C646" i="1" s="1"/>
  <c r="C640" i="1"/>
  <c r="H645" i="1"/>
  <c r="C645" i="1" s="1"/>
  <c r="H649" i="1"/>
  <c r="C649" i="1" s="1"/>
  <c r="H648" i="1"/>
  <c r="C648" i="1" s="1"/>
  <c r="H647" i="1"/>
  <c r="C647" i="1" s="1"/>
  <c r="H644" i="1"/>
  <c r="C644" i="1" s="1"/>
  <c r="C317" i="1"/>
  <c r="H318" i="1"/>
  <c r="C318" i="1" s="1"/>
  <c r="H319" i="1"/>
  <c r="C319" i="1" s="1"/>
  <c r="H320" i="1"/>
  <c r="C320" i="1" s="1"/>
  <c r="C445" i="1"/>
  <c r="H446" i="1"/>
  <c r="C446" i="1" s="1"/>
  <c r="H447" i="1"/>
  <c r="C447" i="1" s="1"/>
  <c r="H1017" i="1"/>
  <c r="C1017" i="1" s="1"/>
  <c r="H1020" i="1"/>
  <c r="C1020" i="1" s="1"/>
  <c r="H1019" i="1"/>
  <c r="C1019" i="1" s="1"/>
  <c r="P1016" i="1"/>
  <c r="C1016" i="1" s="1"/>
  <c r="H1018" i="1"/>
  <c r="C1018" i="1" s="1"/>
  <c r="H1021" i="1"/>
  <c r="C1021" i="1" s="1"/>
  <c r="H216" i="1"/>
  <c r="C216" i="1" s="1"/>
  <c r="H214" i="1"/>
  <c r="C214" i="1" s="1"/>
  <c r="C213" i="1"/>
  <c r="H215" i="1"/>
  <c r="C215" i="1" s="1"/>
  <c r="C67" i="1"/>
  <c r="H503" i="1"/>
  <c r="C503" i="1" s="1"/>
  <c r="H504" i="1"/>
  <c r="C504" i="1" s="1"/>
  <c r="C502" i="1"/>
  <c r="H329" i="1"/>
  <c r="C329" i="1" s="1"/>
  <c r="H1224" i="1"/>
  <c r="C1224" i="1" s="1"/>
  <c r="H1219" i="1"/>
  <c r="C1219" i="1" s="1"/>
  <c r="H1222" i="1"/>
  <c r="C1222" i="1" s="1"/>
  <c r="H1225" i="1"/>
  <c r="C1225" i="1" s="1"/>
  <c r="H1217" i="1"/>
  <c r="C1217" i="1" s="1"/>
  <c r="H1216" i="1"/>
  <c r="C1216" i="1" s="1"/>
  <c r="H1223" i="1"/>
  <c r="C1223" i="1" s="1"/>
  <c r="H1221" i="1"/>
  <c r="C1221" i="1" s="1"/>
  <c r="H1218" i="1"/>
  <c r="C1218" i="1" s="1"/>
  <c r="H1220" i="1"/>
  <c r="C1220" i="1" s="1"/>
  <c r="C683" i="1"/>
  <c r="H1074" i="1"/>
  <c r="P1068" i="1"/>
  <c r="H1070" i="1"/>
  <c r="H1073" i="1"/>
  <c r="H1069" i="1"/>
  <c r="H1075" i="1"/>
  <c r="H1071" i="1"/>
  <c r="H1072" i="1"/>
  <c r="H594" i="1"/>
  <c r="C594" i="1" s="1"/>
  <c r="C571" i="1"/>
  <c r="H593" i="1"/>
  <c r="C593" i="1" s="1"/>
  <c r="H574" i="1"/>
  <c r="C574" i="1" s="1"/>
  <c r="H573" i="1"/>
  <c r="C573" i="1" s="1"/>
  <c r="H572" i="1"/>
  <c r="C572" i="1" s="1"/>
  <c r="H592" i="1"/>
  <c r="C592" i="1" s="1"/>
  <c r="H1412" i="1"/>
  <c r="C1412" i="1" s="1"/>
  <c r="H1411" i="1"/>
  <c r="C1411" i="1" s="1"/>
  <c r="H1410" i="1"/>
  <c r="C1410" i="1" s="1"/>
  <c r="P896" i="1"/>
  <c r="C896" i="1" s="1"/>
  <c r="H897" i="1"/>
  <c r="C897" i="1" s="1"/>
  <c r="H900" i="1"/>
  <c r="C900" i="1" s="1"/>
  <c r="H899" i="1"/>
  <c r="C899" i="1" s="1"/>
  <c r="H901" i="1"/>
  <c r="C901" i="1" s="1"/>
  <c r="H898" i="1"/>
  <c r="C898" i="1" s="1"/>
  <c r="H190" i="1"/>
  <c r="C190" i="1" s="1"/>
  <c r="C188" i="1"/>
  <c r="H189" i="1"/>
  <c r="C189" i="1" s="1"/>
  <c r="P977" i="1"/>
  <c r="C977" i="1" s="1"/>
  <c r="H982" i="1"/>
  <c r="C982" i="1" s="1"/>
  <c r="H979" i="1"/>
  <c r="C979" i="1" s="1"/>
  <c r="H980" i="1"/>
  <c r="C980" i="1" s="1"/>
  <c r="H978" i="1"/>
  <c r="C978" i="1" s="1"/>
  <c r="H981" i="1"/>
  <c r="C981" i="1" s="1"/>
  <c r="C715" i="1"/>
  <c r="H718" i="1"/>
  <c r="C718" i="1" s="1"/>
  <c r="H717" i="1"/>
  <c r="C717" i="1" s="1"/>
  <c r="H716" i="1"/>
  <c r="C716" i="1" s="1"/>
  <c r="H719" i="1"/>
  <c r="C719" i="1" s="1"/>
  <c r="H1170" i="1"/>
  <c r="C1170" i="1" s="1"/>
  <c r="H1168" i="1"/>
  <c r="C1168" i="1" s="1"/>
  <c r="P1315" i="1"/>
  <c r="H1318" i="1"/>
  <c r="C1318" i="1" s="1"/>
  <c r="H1317" i="1"/>
  <c r="C1317" i="1" s="1"/>
  <c r="H1322" i="1"/>
  <c r="C1322" i="1" s="1"/>
  <c r="H1274" i="1"/>
  <c r="C1274" i="1" s="1"/>
  <c r="H1319" i="1"/>
  <c r="C1319" i="1" s="1"/>
  <c r="H1323" i="1"/>
  <c r="C1323" i="1" s="1"/>
  <c r="H1316" i="1"/>
  <c r="C1316" i="1" s="1"/>
  <c r="H1324" i="1"/>
  <c r="C1324" i="1" s="1"/>
  <c r="H1232" i="1"/>
  <c r="C1232" i="1" s="1"/>
  <c r="H1321" i="1"/>
  <c r="C1321" i="1" s="1"/>
  <c r="H1320" i="1"/>
  <c r="C1320" i="1" s="1"/>
  <c r="H1325" i="1"/>
  <c r="C1325" i="1" s="1"/>
  <c r="P906" i="1"/>
  <c r="C906" i="1" s="1"/>
  <c r="H909" i="1"/>
  <c r="C909" i="1" s="1"/>
  <c r="H907" i="1"/>
  <c r="C907" i="1" s="1"/>
  <c r="H910" i="1"/>
  <c r="C910" i="1" s="1"/>
  <c r="H911" i="1"/>
  <c r="C911" i="1" s="1"/>
  <c r="H908" i="1"/>
  <c r="C908" i="1" s="1"/>
  <c r="H1246" i="1"/>
  <c r="C1246" i="1" s="1"/>
  <c r="H1247" i="1"/>
  <c r="C1247" i="1" s="1"/>
  <c r="H1249" i="1"/>
  <c r="C1249" i="1" s="1"/>
  <c r="H1253" i="1"/>
  <c r="C1253" i="1" s="1"/>
  <c r="H1245" i="1"/>
  <c r="C1245" i="1" s="1"/>
  <c r="H1248" i="1"/>
  <c r="C1248" i="1" s="1"/>
  <c r="H1250" i="1"/>
  <c r="C1250" i="1" s="1"/>
  <c r="P1244" i="1"/>
  <c r="H1251" i="1"/>
  <c r="C1251" i="1" s="1"/>
  <c r="H1252" i="1"/>
  <c r="C1252" i="1" s="1"/>
  <c r="H1122" i="1"/>
  <c r="C1122" i="1" s="1"/>
  <c r="H705" i="1"/>
  <c r="C704" i="1"/>
  <c r="H110" i="1"/>
  <c r="C110" i="1" s="1"/>
  <c r="H111" i="1"/>
  <c r="C111" i="1" s="1"/>
  <c r="C109" i="1"/>
  <c r="H1362" i="1"/>
  <c r="C1362" i="1" s="1"/>
  <c r="P1354" i="1"/>
  <c r="H1358" i="1"/>
  <c r="C1358" i="1" s="1"/>
  <c r="H1361" i="1"/>
  <c r="C1361" i="1" s="1"/>
  <c r="H1355" i="1"/>
  <c r="C1355" i="1" s="1"/>
  <c r="H1360" i="1"/>
  <c r="C1360" i="1" s="1"/>
  <c r="H1359" i="1"/>
  <c r="C1359" i="1" s="1"/>
  <c r="H1357" i="1"/>
  <c r="C1357" i="1" s="1"/>
  <c r="H1356" i="1"/>
  <c r="C1356" i="1" s="1"/>
  <c r="H724" i="1"/>
  <c r="P721" i="1"/>
  <c r="H723" i="1"/>
  <c r="H722" i="1"/>
  <c r="H1095" i="1"/>
  <c r="C1095" i="1" s="1"/>
  <c r="H1093" i="1"/>
  <c r="C1093" i="1" s="1"/>
  <c r="H514" i="1"/>
  <c r="C514" i="1" s="1"/>
  <c r="H511" i="1"/>
  <c r="C511" i="1" s="1"/>
  <c r="H512" i="1"/>
  <c r="C512" i="1" s="1"/>
  <c r="H513" i="1"/>
  <c r="C513" i="1" s="1"/>
  <c r="C510" i="1"/>
  <c r="H144" i="1"/>
  <c r="C144" i="1" s="1"/>
  <c r="C142" i="1"/>
  <c r="H143" i="1"/>
  <c r="C143" i="1" s="1"/>
  <c r="P1007" i="1"/>
  <c r="C1007" i="1" s="1"/>
  <c r="H1010" i="1"/>
  <c r="C1010" i="1" s="1"/>
  <c r="H1011" i="1"/>
  <c r="C1011" i="1" s="1"/>
  <c r="H1009" i="1"/>
  <c r="C1009" i="1" s="1"/>
  <c r="H1008" i="1"/>
  <c r="C1008" i="1" s="1"/>
  <c r="C650" i="1"/>
  <c r="H664" i="1"/>
  <c r="C664" i="1" s="1"/>
  <c r="H662" i="1"/>
  <c r="C662" i="1" s="1"/>
  <c r="H661" i="1"/>
  <c r="C661" i="1" s="1"/>
  <c r="H660" i="1"/>
  <c r="C660" i="1" s="1"/>
  <c r="H670" i="1"/>
  <c r="C670" i="1" s="1"/>
  <c r="H652" i="1"/>
  <c r="C652" i="1" s="1"/>
  <c r="H659" i="1"/>
  <c r="C659" i="1" s="1"/>
  <c r="H663" i="1"/>
  <c r="C663" i="1" s="1"/>
  <c r="H651" i="1"/>
  <c r="C651" i="1" s="1"/>
  <c r="H674" i="1"/>
  <c r="C674" i="1" s="1"/>
  <c r="H673" i="1"/>
  <c r="C673" i="1" s="1"/>
  <c r="H668" i="1"/>
  <c r="C668" i="1" s="1"/>
  <c r="H669" i="1"/>
  <c r="C669" i="1" s="1"/>
  <c r="H671" i="1"/>
  <c r="C671" i="1" s="1"/>
  <c r="H672" i="1"/>
  <c r="C672" i="1" s="1"/>
  <c r="H653" i="1"/>
  <c r="C653" i="1" s="1"/>
  <c r="H675" i="1"/>
  <c r="C675" i="1" s="1"/>
  <c r="H588" i="1"/>
  <c r="P588" i="1" s="1"/>
  <c r="C588" i="1" s="1"/>
  <c r="H584" i="1"/>
  <c r="P584" i="1" s="1"/>
  <c r="C584" i="1" s="1"/>
  <c r="H583" i="1"/>
  <c r="P583" i="1" s="1"/>
  <c r="C583" i="1" s="1"/>
  <c r="H587" i="1"/>
  <c r="P587" i="1" s="1"/>
  <c r="C587" i="1" s="1"/>
  <c r="H585" i="1"/>
  <c r="H582" i="1"/>
  <c r="P582" i="1" s="1"/>
  <c r="C582" i="1" s="1"/>
  <c r="P581" i="1"/>
  <c r="H586" i="1"/>
  <c r="C283" i="1"/>
  <c r="H284" i="1"/>
  <c r="C284" i="1" s="1"/>
  <c r="H285" i="1"/>
  <c r="C285" i="1" s="1"/>
  <c r="H1097" i="1"/>
  <c r="C1097" i="1" s="1"/>
  <c r="C45" i="1"/>
  <c r="H47" i="1"/>
  <c r="C47" i="1" s="1"/>
  <c r="H46" i="1"/>
  <c r="C46" i="1" s="1"/>
  <c r="C205" i="1"/>
  <c r="H206" i="1"/>
  <c r="C206" i="1" s="1"/>
  <c r="H207" i="1"/>
  <c r="C207" i="1" s="1"/>
  <c r="H277" i="1"/>
  <c r="C277" i="1" s="1"/>
  <c r="H275" i="1"/>
  <c r="C275" i="1" s="1"/>
  <c r="C274" i="1"/>
  <c r="H276" i="1"/>
  <c r="C276" i="1" s="1"/>
  <c r="H39" i="1"/>
  <c r="C39" i="1" s="1"/>
  <c r="H38" i="1"/>
  <c r="C38" i="1" s="1"/>
  <c r="C37" i="1"/>
  <c r="H1094" i="1"/>
  <c r="C1094" i="1" s="1"/>
  <c r="H100" i="1"/>
  <c r="C100" i="1" s="1"/>
  <c r="H93" i="1"/>
  <c r="P93" i="1" s="1"/>
  <c r="C93" i="1" s="1"/>
  <c r="H96" i="1"/>
  <c r="C96" i="1" s="1"/>
  <c r="H101" i="1"/>
  <c r="C101" i="1" s="1"/>
  <c r="H107" i="1"/>
  <c r="C107" i="1" s="1"/>
  <c r="H103" i="1"/>
  <c r="C103" i="1" s="1"/>
  <c r="H104" i="1"/>
  <c r="C104" i="1" s="1"/>
  <c r="H95" i="1"/>
  <c r="P95" i="1" s="1"/>
  <c r="C95" i="1" s="1"/>
  <c r="H97" i="1"/>
  <c r="C97" i="1" s="1"/>
  <c r="H108" i="1"/>
  <c r="P108" i="1" s="1"/>
  <c r="C108" i="1" s="1"/>
  <c r="P92" i="1"/>
  <c r="F5" i="121" s="1"/>
  <c r="F11" i="121" s="1"/>
  <c r="H98" i="1"/>
  <c r="P98" i="1" s="1"/>
  <c r="C98" i="1" s="1"/>
  <c r="H102" i="1"/>
  <c r="C102" i="1" s="1"/>
  <c r="H106" i="1"/>
  <c r="C106" i="1" s="1"/>
  <c r="H94" i="1"/>
  <c r="P94" i="1" s="1"/>
  <c r="C94" i="1" s="1"/>
  <c r="H105" i="1"/>
  <c r="C105" i="1" s="1"/>
  <c r="H99" i="1"/>
  <c r="P99" i="1" s="1"/>
  <c r="C99" i="1" s="1"/>
  <c r="H756" i="1"/>
  <c r="C756" i="1" s="1"/>
  <c r="C755" i="1"/>
  <c r="H757" i="1"/>
  <c r="C757" i="1" s="1"/>
  <c r="H821" i="1"/>
  <c r="H820" i="1"/>
  <c r="H816" i="1"/>
  <c r="P814" i="1"/>
  <c r="H819" i="1"/>
  <c r="H815" i="1"/>
  <c r="C134" i="1"/>
  <c r="H135" i="1"/>
  <c r="C135" i="1" s="1"/>
  <c r="H136" i="1"/>
  <c r="C136" i="1" s="1"/>
  <c r="P1299" i="1"/>
  <c r="H1307" i="1"/>
  <c r="C1307" i="1" s="1"/>
  <c r="H1309" i="1"/>
  <c r="C1309" i="1" s="1"/>
  <c r="H1302" i="1"/>
  <c r="C1302" i="1" s="1"/>
  <c r="H1300" i="1"/>
  <c r="C1300" i="1" s="1"/>
  <c r="H1305" i="1"/>
  <c r="C1305" i="1" s="1"/>
  <c r="H1301" i="1"/>
  <c r="C1301" i="1" s="1"/>
  <c r="H1304" i="1"/>
  <c r="C1304" i="1" s="1"/>
  <c r="H1310" i="1"/>
  <c r="C1310" i="1" s="1"/>
  <c r="H1308" i="1"/>
  <c r="C1308" i="1" s="1"/>
  <c r="H1303" i="1"/>
  <c r="C1303" i="1" s="1"/>
  <c r="H1306" i="1"/>
  <c r="C1306" i="1" s="1"/>
  <c r="P1133" i="1"/>
  <c r="H1134" i="1"/>
  <c r="C1134" i="1" s="1"/>
  <c r="H1135" i="1"/>
  <c r="C1135" i="1" s="1"/>
  <c r="H1136" i="1"/>
  <c r="C1136" i="1" s="1"/>
  <c r="G614" i="1"/>
  <c r="H614" i="1" s="1"/>
  <c r="C614" i="1" s="1"/>
  <c r="H618" i="1"/>
  <c r="C618" i="1" s="1"/>
  <c r="H615" i="1"/>
  <c r="P609" i="1"/>
  <c r="H616" i="1"/>
  <c r="H617" i="1"/>
  <c r="C617" i="1" s="1"/>
  <c r="H612" i="1"/>
  <c r="H613" i="1"/>
  <c r="C613" i="1" s="1"/>
  <c r="H611" i="1"/>
  <c r="H610" i="1"/>
  <c r="P1342" i="1"/>
  <c r="H1345" i="1"/>
  <c r="C1345" i="1" s="1"/>
  <c r="H1347" i="1"/>
  <c r="C1347" i="1" s="1"/>
  <c r="H1349" i="1"/>
  <c r="C1349" i="1" s="1"/>
  <c r="H1344" i="1"/>
  <c r="C1344" i="1" s="1"/>
  <c r="H1350" i="1"/>
  <c r="C1350" i="1" s="1"/>
  <c r="H1348" i="1"/>
  <c r="C1348" i="1" s="1"/>
  <c r="H1343" i="1"/>
  <c r="C1343" i="1" s="1"/>
  <c r="H1346" i="1"/>
  <c r="C1346" i="1" s="1"/>
  <c r="P947" i="1"/>
  <c r="C947" i="1" s="1"/>
  <c r="H951" i="1"/>
  <c r="C951" i="1" s="1"/>
  <c r="H950" i="1"/>
  <c r="C950" i="1" s="1"/>
  <c r="H949" i="1"/>
  <c r="C949" i="1" s="1"/>
  <c r="H948" i="1"/>
  <c r="C948" i="1" s="1"/>
  <c r="P619" i="1"/>
  <c r="H624" i="1"/>
  <c r="C624" i="1" s="1"/>
  <c r="H625" i="1"/>
  <c r="H626" i="1"/>
  <c r="H628" i="1"/>
  <c r="C628" i="1" s="1"/>
  <c r="H621" i="1"/>
  <c r="H622" i="1"/>
  <c r="H629" i="1"/>
  <c r="C629" i="1" s="1"/>
  <c r="H623" i="1"/>
  <c r="C623" i="1" s="1"/>
  <c r="H620" i="1"/>
  <c r="C1215" i="1"/>
  <c r="D88" i="115"/>
  <c r="C88" i="115" s="1"/>
  <c r="C1409" i="1"/>
  <c r="I5" i="121" l="1"/>
  <c r="E11" i="121"/>
  <c r="I4" i="121"/>
  <c r="G127" i="31"/>
  <c r="E128" i="31"/>
  <c r="G128" i="31" s="1"/>
  <c r="C697" i="1"/>
  <c r="P699" i="1"/>
  <c r="C699" i="1" s="1"/>
  <c r="C690" i="1"/>
  <c r="P698" i="1"/>
  <c r="C698" i="1" s="1"/>
  <c r="L30" i="118"/>
  <c r="L26" i="118"/>
  <c r="L19" i="118"/>
  <c r="C1181" i="1"/>
  <c r="C1141" i="1"/>
  <c r="C1190" i="1"/>
  <c r="F20" i="118"/>
  <c r="E45" i="118"/>
  <c r="F22" i="118"/>
  <c r="F52" i="118"/>
  <c r="N27" i="118"/>
  <c r="F53" i="118"/>
  <c r="N28" i="118"/>
  <c r="F48" i="118"/>
  <c r="N23" i="118"/>
  <c r="F43" i="118"/>
  <c r="N18" i="118"/>
  <c r="F41" i="118"/>
  <c r="N16" i="118"/>
  <c r="H32" i="118"/>
  <c r="F57" i="118"/>
  <c r="F51" i="118"/>
  <c r="N26" i="118"/>
  <c r="N17" i="118"/>
  <c r="F42" i="118"/>
  <c r="F24" i="118"/>
  <c r="E49" i="118"/>
  <c r="N32" i="118"/>
  <c r="F21" i="118"/>
  <c r="E46" i="118"/>
  <c r="F56" i="118"/>
  <c r="N31" i="118"/>
  <c r="N25" i="118"/>
  <c r="F50" i="118"/>
  <c r="N33" i="118"/>
  <c r="F58" i="118"/>
  <c r="F54" i="118"/>
  <c r="N29" i="118"/>
  <c r="F55" i="118"/>
  <c r="N30" i="118"/>
  <c r="F40" i="118"/>
  <c r="N15" i="118"/>
  <c r="L32" i="118"/>
  <c r="N19" i="118"/>
  <c r="F44" i="118"/>
  <c r="C1092" i="1"/>
  <c r="C1286" i="1"/>
  <c r="C1077" i="1"/>
  <c r="J34" i="109"/>
  <c r="P971" i="1"/>
  <c r="C971" i="1" s="1"/>
  <c r="P972" i="1"/>
  <c r="C972" i="1" s="1"/>
  <c r="P970" i="1"/>
  <c r="C970" i="1" s="1"/>
  <c r="P973" i="1"/>
  <c r="C973" i="1" s="1"/>
  <c r="C969" i="1"/>
  <c r="D90" i="115"/>
  <c r="C90" i="115" s="1"/>
  <c r="P691" i="1"/>
  <c r="C691" i="1" s="1"/>
  <c r="P692" i="1"/>
  <c r="C692" i="1" s="1"/>
  <c r="C565" i="1"/>
  <c r="C152" i="1"/>
  <c r="P693" i="1"/>
  <c r="C693" i="1" s="1"/>
  <c r="D42" i="115"/>
  <c r="C42" i="115" s="1"/>
  <c r="P154" i="1"/>
  <c r="C154" i="1" s="1"/>
  <c r="C1065" i="1"/>
  <c r="C1427" i="1"/>
  <c r="H632" i="1"/>
  <c r="C632" i="1" s="1"/>
  <c r="P1067" i="1"/>
  <c r="C1067" i="1" s="1"/>
  <c r="C1061" i="1"/>
  <c r="C563" i="1"/>
  <c r="C1101" i="1"/>
  <c r="P1064" i="1"/>
  <c r="C1064" i="1" s="1"/>
  <c r="P1066" i="1"/>
  <c r="C1066" i="1" s="1"/>
  <c r="P567" i="1"/>
  <c r="C567" i="1" s="1"/>
  <c r="P564" i="1"/>
  <c r="C564" i="1" s="1"/>
  <c r="C700" i="1"/>
  <c r="P568" i="1"/>
  <c r="C568" i="1" s="1"/>
  <c r="J15" i="118"/>
  <c r="H15" i="118"/>
  <c r="L15" i="118"/>
  <c r="L20" i="118"/>
  <c r="H20" i="118"/>
  <c r="L23" i="118"/>
  <c r="H23" i="118"/>
  <c r="L18" i="118"/>
  <c r="H18" i="118"/>
  <c r="H16" i="118"/>
  <c r="L16" i="118"/>
  <c r="L17" i="118"/>
  <c r="H17" i="118"/>
  <c r="H24" i="118"/>
  <c r="L24" i="118"/>
  <c r="H21" i="118"/>
  <c r="L21" i="118"/>
  <c r="D86" i="115"/>
  <c r="C86" i="115" s="1"/>
  <c r="C1391" i="1"/>
  <c r="P65" i="1"/>
  <c r="C65" i="1" s="1"/>
  <c r="P64" i="1"/>
  <c r="C64" i="1" s="1"/>
  <c r="C63" i="1"/>
  <c r="H158" i="1"/>
  <c r="C158" i="1" s="1"/>
  <c r="C157" i="1"/>
  <c r="P1085" i="1"/>
  <c r="C1085" i="1" s="1"/>
  <c r="P1087" i="1"/>
  <c r="C1087" i="1" s="1"/>
  <c r="P1082" i="1"/>
  <c r="C1082" i="1" s="1"/>
  <c r="P1086" i="1"/>
  <c r="C1086" i="1" s="1"/>
  <c r="P1088" i="1"/>
  <c r="C1088" i="1" s="1"/>
  <c r="C1081" i="1"/>
  <c r="P1084" i="1"/>
  <c r="C1084" i="1" s="1"/>
  <c r="P1083" i="1"/>
  <c r="C1083" i="1" s="1"/>
  <c r="C1202" i="1"/>
  <c r="C1230" i="1"/>
  <c r="C1400" i="1"/>
  <c r="C1436" i="1"/>
  <c r="D92" i="115"/>
  <c r="C92" i="115" s="1"/>
  <c r="C1445" i="1"/>
  <c r="C1148" i="1"/>
  <c r="D85" i="115"/>
  <c r="C85" i="115" s="1"/>
  <c r="C1382" i="1"/>
  <c r="C14" i="1"/>
  <c r="D27" i="115"/>
  <c r="C27" i="115" s="1"/>
  <c r="P1377" i="1"/>
  <c r="C1377" i="1" s="1"/>
  <c r="P1376" i="1"/>
  <c r="C1376" i="1" s="1"/>
  <c r="C1374" i="1"/>
  <c r="P1375" i="1"/>
  <c r="C1375" i="1" s="1"/>
  <c r="P1378" i="1"/>
  <c r="C1378" i="1" s="1"/>
  <c r="C1315" i="1"/>
  <c r="C1068" i="1"/>
  <c r="P1070" i="1"/>
  <c r="C1070" i="1" s="1"/>
  <c r="P1073" i="1"/>
  <c r="C1073" i="1" s="1"/>
  <c r="P1074" i="1"/>
  <c r="C1074" i="1" s="1"/>
  <c r="P1071" i="1"/>
  <c r="C1071" i="1" s="1"/>
  <c r="P1072" i="1"/>
  <c r="C1072" i="1" s="1"/>
  <c r="P1069" i="1"/>
  <c r="C1069" i="1" s="1"/>
  <c r="P1075" i="1"/>
  <c r="C1075" i="1" s="1"/>
  <c r="C1244" i="1"/>
  <c r="C721" i="1"/>
  <c r="P723" i="1"/>
  <c r="C723" i="1" s="1"/>
  <c r="P722" i="1"/>
  <c r="C722" i="1" s="1"/>
  <c r="D102" i="115"/>
  <c r="C102" i="115" s="1"/>
  <c r="P724" i="1"/>
  <c r="C724" i="1" s="1"/>
  <c r="C1354" i="1"/>
  <c r="H706" i="1"/>
  <c r="C705" i="1"/>
  <c r="C581" i="1"/>
  <c r="P585" i="1"/>
  <c r="C585" i="1" s="1"/>
  <c r="P586" i="1"/>
  <c r="C586" i="1" s="1"/>
  <c r="F5" i="107"/>
  <c r="D36" i="115"/>
  <c r="C36" i="115" s="1"/>
  <c r="C92" i="1"/>
  <c r="D98" i="115"/>
  <c r="C98" i="115" s="1"/>
  <c r="E11" i="107"/>
  <c r="P819" i="1"/>
  <c r="C819" i="1" s="1"/>
  <c r="P820" i="1"/>
  <c r="C820" i="1" s="1"/>
  <c r="C814" i="1"/>
  <c r="P821" i="1"/>
  <c r="C821" i="1" s="1"/>
  <c r="P816" i="1"/>
  <c r="C816" i="1" s="1"/>
  <c r="P815" i="1"/>
  <c r="C815" i="1" s="1"/>
  <c r="C1342" i="1"/>
  <c r="Y614" i="1"/>
  <c r="M614" i="1"/>
  <c r="K614" i="1"/>
  <c r="L614" i="1"/>
  <c r="J614" i="1"/>
  <c r="I614" i="1"/>
  <c r="N614" i="1"/>
  <c r="C1299" i="1"/>
  <c r="E70" i="105"/>
  <c r="D119" i="115"/>
  <c r="I4" i="108"/>
  <c r="C609" i="1"/>
  <c r="P615" i="1"/>
  <c r="C615" i="1" s="1"/>
  <c r="P610" i="1"/>
  <c r="P616" i="1"/>
  <c r="C616" i="1" s="1"/>
  <c r="P611" i="1"/>
  <c r="P612" i="1"/>
  <c r="P620" i="1"/>
  <c r="C620" i="1" s="1"/>
  <c r="P625" i="1"/>
  <c r="C625" i="1" s="1"/>
  <c r="P621" i="1"/>
  <c r="C621" i="1" s="1"/>
  <c r="P622" i="1"/>
  <c r="C622" i="1" s="1"/>
  <c r="C619" i="1"/>
  <c r="P626" i="1"/>
  <c r="C626" i="1" s="1"/>
  <c r="E33" i="108"/>
  <c r="C1133" i="1"/>
  <c r="C9" i="121" l="1"/>
  <c r="C7" i="121"/>
  <c r="C5" i="121"/>
  <c r="C10" i="121"/>
  <c r="C8" i="121"/>
  <c r="C6" i="121"/>
  <c r="C4" i="121"/>
  <c r="D97" i="115"/>
  <c r="C97" i="115" s="1"/>
  <c r="H44" i="118"/>
  <c r="K44" i="118"/>
  <c r="H40" i="118"/>
  <c r="K40" i="118"/>
  <c r="H55" i="118"/>
  <c r="K55" i="118"/>
  <c r="H54" i="118"/>
  <c r="K54" i="118"/>
  <c r="H58" i="118"/>
  <c r="K58" i="118"/>
  <c r="H50" i="118"/>
  <c r="K50" i="118"/>
  <c r="H56" i="118"/>
  <c r="K56" i="118"/>
  <c r="H42" i="118"/>
  <c r="K42" i="118"/>
  <c r="H51" i="118"/>
  <c r="K51" i="118"/>
  <c r="H57" i="118"/>
  <c r="K57" i="118"/>
  <c r="H41" i="118"/>
  <c r="K41" i="118"/>
  <c r="H43" i="118"/>
  <c r="K43" i="118"/>
  <c r="H48" i="118"/>
  <c r="K48" i="118"/>
  <c r="H53" i="118"/>
  <c r="K53" i="118"/>
  <c r="H52" i="118"/>
  <c r="K52" i="118"/>
  <c r="F46" i="118"/>
  <c r="N21" i="118"/>
  <c r="F49" i="118"/>
  <c r="N24" i="118"/>
  <c r="N22" i="118"/>
  <c r="F47" i="118"/>
  <c r="H22" i="118"/>
  <c r="L22" i="118"/>
  <c r="F45" i="118"/>
  <c r="N20" i="118"/>
  <c r="D178" i="115"/>
  <c r="H633" i="1"/>
  <c r="H634" i="1" s="1"/>
  <c r="D89" i="115"/>
  <c r="C89" i="115" s="1"/>
  <c r="D33" i="115"/>
  <c r="C33" i="115" s="1"/>
  <c r="D87" i="115"/>
  <c r="C87" i="115" s="1"/>
  <c r="D91" i="115"/>
  <c r="C91" i="115" s="1"/>
  <c r="D84" i="115"/>
  <c r="C84" i="115" s="1"/>
  <c r="H707" i="1"/>
  <c r="C707" i="1" s="1"/>
  <c r="C706" i="1"/>
  <c r="D111" i="115"/>
  <c r="F11" i="107"/>
  <c r="D117" i="115" s="1"/>
  <c r="C117" i="115" s="1"/>
  <c r="I5" i="107"/>
  <c r="F70" i="105"/>
  <c r="C611" i="1"/>
  <c r="G21" i="113"/>
  <c r="D21" i="113" s="1"/>
  <c r="C610" i="1"/>
  <c r="G20" i="113"/>
  <c r="D20" i="113" s="1"/>
  <c r="J17" i="109"/>
  <c r="D161" i="115"/>
  <c r="C612" i="1"/>
  <c r="G10" i="114"/>
  <c r="D10" i="114" s="1"/>
  <c r="C244" i="115" s="1"/>
  <c r="C119" i="115"/>
  <c r="P762" i="1"/>
  <c r="C4" i="108"/>
  <c r="D120" i="115" l="1"/>
  <c r="C120" i="115" s="1"/>
  <c r="I5" i="108"/>
  <c r="C5" i="108" s="1"/>
  <c r="D95" i="115"/>
  <c r="H45" i="118"/>
  <c r="K45" i="118"/>
  <c r="H47" i="118"/>
  <c r="K47" i="118"/>
  <c r="H49" i="118"/>
  <c r="K49" i="118"/>
  <c r="H46" i="118"/>
  <c r="K46" i="118"/>
  <c r="C633" i="1"/>
  <c r="C28" i="105"/>
  <c r="C51" i="105"/>
  <c r="C48" i="105"/>
  <c r="C38" i="105"/>
  <c r="C22" i="105"/>
  <c r="C26" i="105"/>
  <c r="C67" i="105"/>
  <c r="C39" i="105"/>
  <c r="C47" i="105"/>
  <c r="C56" i="105"/>
  <c r="C25" i="105"/>
  <c r="C20" i="105"/>
  <c r="C41" i="105"/>
  <c r="C68" i="105"/>
  <c r="C69" i="105"/>
  <c r="C634" i="1"/>
  <c r="H635" i="1"/>
  <c r="C33" i="105"/>
  <c r="C30" i="105"/>
  <c r="C49" i="105"/>
  <c r="C65" i="105"/>
  <c r="C43" i="105"/>
  <c r="C27" i="105"/>
  <c r="C19" i="105"/>
  <c r="C32" i="105"/>
  <c r="C21" i="105"/>
  <c r="C31" i="105"/>
  <c r="C45" i="105"/>
  <c r="C54" i="105"/>
  <c r="C58" i="105"/>
  <c r="C50" i="105"/>
  <c r="C29" i="105"/>
  <c r="C44" i="105"/>
  <c r="C24" i="105"/>
  <c r="C59" i="105"/>
  <c r="C36" i="105"/>
  <c r="C57" i="105"/>
  <c r="C37" i="105"/>
  <c r="C63" i="105"/>
  <c r="C23" i="105"/>
  <c r="C4" i="105"/>
  <c r="C6" i="105"/>
  <c r="C5" i="105"/>
  <c r="C11" i="105"/>
  <c r="C7" i="105"/>
  <c r="C8" i="105"/>
  <c r="C9" i="105"/>
  <c r="C12" i="105"/>
  <c r="C10" i="105"/>
  <c r="C42" i="105"/>
  <c r="C18" i="105"/>
  <c r="C66" i="105"/>
  <c r="C35" i="105"/>
  <c r="C40" i="105"/>
  <c r="C64" i="105"/>
  <c r="C13" i="105"/>
  <c r="C14" i="105"/>
  <c r="C15" i="105"/>
  <c r="C16" i="105"/>
  <c r="C55" i="105"/>
  <c r="C61" i="105"/>
  <c r="C8" i="107"/>
  <c r="C7" i="107"/>
  <c r="C9" i="107"/>
  <c r="C10" i="107"/>
  <c r="C5" i="107"/>
  <c r="C112" i="115" s="1"/>
  <c r="C6" i="107"/>
  <c r="C113" i="115" s="1"/>
  <c r="C62" i="105"/>
  <c r="C34" i="105"/>
  <c r="C46" i="105"/>
  <c r="C53" i="105"/>
  <c r="C52" i="105"/>
  <c r="C60" i="105"/>
  <c r="C17" i="105"/>
  <c r="C111" i="115"/>
  <c r="D109" i="115"/>
  <c r="J73" i="109"/>
  <c r="J80" i="109"/>
  <c r="J72" i="109"/>
  <c r="J78" i="109"/>
  <c r="G15" i="113"/>
  <c r="D15" i="113" s="1"/>
  <c r="G16" i="113"/>
  <c r="D16" i="113" s="1"/>
  <c r="C238" i="115" s="1"/>
  <c r="J74" i="109"/>
  <c r="J83" i="109"/>
  <c r="J77" i="109"/>
  <c r="J71" i="109"/>
  <c r="J76" i="109"/>
  <c r="J81" i="109"/>
  <c r="J82" i="109"/>
  <c r="J75" i="109"/>
  <c r="G15" i="114"/>
  <c r="D15" i="114" s="1"/>
  <c r="C762" i="1"/>
  <c r="G14" i="114"/>
  <c r="D14" i="114" s="1"/>
  <c r="C247" i="115" s="1"/>
  <c r="J79" i="109"/>
  <c r="G17" i="113"/>
  <c r="D17" i="113" s="1"/>
  <c r="C239" i="115" s="1"/>
  <c r="D121" i="115" l="1"/>
  <c r="C121" i="115" s="1"/>
  <c r="I6" i="108"/>
  <c r="C114" i="115"/>
  <c r="H636" i="1"/>
  <c r="C635" i="1"/>
  <c r="J11" i="109"/>
  <c r="D155" i="115"/>
  <c r="D149" i="115" s="1"/>
  <c r="D213" i="115" s="1"/>
  <c r="D214" i="115" s="1"/>
  <c r="D211" i="115"/>
  <c r="J84" i="109"/>
  <c r="C6" i="108" l="1"/>
  <c r="C636" i="1"/>
  <c r="H637" i="1"/>
  <c r="C75" i="109"/>
  <c r="C76" i="109"/>
  <c r="C14" i="109"/>
  <c r="C26" i="109"/>
  <c r="C11" i="109"/>
  <c r="C30" i="109"/>
  <c r="C36" i="109"/>
  <c r="C60" i="109"/>
  <c r="C27" i="109"/>
  <c r="C37" i="109"/>
  <c r="C77" i="109"/>
  <c r="C78" i="109"/>
  <c r="C25" i="109"/>
  <c r="C15" i="109"/>
  <c r="C38" i="109"/>
  <c r="C44" i="109"/>
  <c r="C65" i="109"/>
  <c r="C35" i="109"/>
  <c r="C45" i="109"/>
  <c r="C82" i="109"/>
  <c r="C18" i="109"/>
  <c r="C61" i="109"/>
  <c r="C52" i="109"/>
  <c r="C42" i="109"/>
  <c r="C32" i="109"/>
  <c r="C83" i="109"/>
  <c r="C80" i="109"/>
  <c r="C20" i="109"/>
  <c r="C24" i="109"/>
  <c r="C54" i="109"/>
  <c r="C28" i="109"/>
  <c r="C34" i="109"/>
  <c r="C59" i="109"/>
  <c r="C81" i="109"/>
  <c r="C74" i="109"/>
  <c r="C12" i="109"/>
  <c r="C16" i="109"/>
  <c r="C46" i="109"/>
  <c r="C58" i="109"/>
  <c r="C62" i="109"/>
  <c r="C53" i="109"/>
  <c r="C79" i="109"/>
  <c r="C72" i="109"/>
  <c r="C21" i="109"/>
  <c r="C23" i="109"/>
  <c r="C55" i="109"/>
  <c r="C49" i="109"/>
  <c r="C51" i="109"/>
  <c r="C29" i="109"/>
  <c r="C73" i="109"/>
  <c r="C70" i="109"/>
  <c r="C17" i="109"/>
  <c r="C19" i="109"/>
  <c r="C47" i="109"/>
  <c r="C41" i="109"/>
  <c r="C43" i="109"/>
  <c r="C71" i="109"/>
  <c r="C68" i="109"/>
  <c r="C13" i="109"/>
  <c r="C64" i="109"/>
  <c r="C39" i="109"/>
  <c r="C33" i="109"/>
  <c r="C56" i="109"/>
  <c r="C69" i="109"/>
  <c r="C63" i="109"/>
  <c r="C31" i="109"/>
  <c r="C66" i="109"/>
  <c r="C48" i="109"/>
  <c r="C67" i="109"/>
  <c r="C22" i="109"/>
  <c r="C84" i="109"/>
  <c r="C57" i="109"/>
  <c r="C50" i="109"/>
  <c r="C40" i="109"/>
  <c r="I7" i="108" l="1"/>
  <c r="D122" i="115"/>
  <c r="C115" i="115"/>
  <c r="C116" i="115"/>
  <c r="H638" i="1"/>
  <c r="C637" i="1"/>
  <c r="C122" i="115" l="1"/>
  <c r="C7" i="108"/>
  <c r="H639" i="1"/>
  <c r="E46" i="74"/>
  <c r="E15" i="90" s="1"/>
  <c r="E38" i="74"/>
  <c r="E45" i="74"/>
  <c r="E58" i="74"/>
  <c r="F43" i="74"/>
  <c r="F59" i="74"/>
  <c r="F39" i="74"/>
  <c r="E43" i="74"/>
  <c r="E40" i="74"/>
  <c r="E9" i="90" s="1"/>
  <c r="E51" i="74"/>
  <c r="E20" i="90" s="1"/>
  <c r="F45" i="74"/>
  <c r="F58" i="74"/>
  <c r="E44" i="74"/>
  <c r="F56" i="74"/>
  <c r="E55" i="74"/>
  <c r="E41" i="74"/>
  <c r="F49" i="74"/>
  <c r="F18" i="90" s="1"/>
  <c r="E39" i="74"/>
  <c r="C638" i="1"/>
  <c r="F44" i="74"/>
  <c r="F42" i="74"/>
  <c r="E48" i="74"/>
  <c r="E17" i="90" s="1"/>
  <c r="E56" i="74"/>
  <c r="F52" i="74"/>
  <c r="F21" i="90" s="1"/>
  <c r="E42" i="74"/>
  <c r="F57" i="74"/>
  <c r="F35" i="74"/>
  <c r="F4" i="90" s="1"/>
  <c r="E57" i="74"/>
  <c r="F54" i="74"/>
  <c r="F38" i="74"/>
  <c r="E52" i="74"/>
  <c r="F50" i="74"/>
  <c r="F19" i="90" s="1"/>
  <c r="D123" i="115" l="1"/>
  <c r="I8" i="108"/>
  <c r="J57" i="74"/>
  <c r="J56" i="74"/>
  <c r="J52" i="74"/>
  <c r="E21" i="90"/>
  <c r="H39" i="74"/>
  <c r="F8" i="90"/>
  <c r="G39" i="74"/>
  <c r="G42" i="74"/>
  <c r="H42" i="74"/>
  <c r="F11" i="90"/>
  <c r="J44" i="74"/>
  <c r="E13" i="90"/>
  <c r="F12" i="90"/>
  <c r="G43" i="74"/>
  <c r="H43" i="74"/>
  <c r="H44" i="74"/>
  <c r="G44" i="74"/>
  <c r="F13" i="90"/>
  <c r="J58" i="74"/>
  <c r="F14" i="90"/>
  <c r="G45" i="74"/>
  <c r="H45" i="74"/>
  <c r="E14" i="90"/>
  <c r="J45" i="74"/>
  <c r="E8" i="90"/>
  <c r="J39" i="74"/>
  <c r="J38" i="74"/>
  <c r="E7" i="90"/>
  <c r="F7" i="90"/>
  <c r="H38" i="74"/>
  <c r="G38" i="74"/>
  <c r="E11" i="90"/>
  <c r="J42" i="74"/>
  <c r="E10" i="90"/>
  <c r="J43" i="74"/>
  <c r="E12" i="90"/>
  <c r="F41" i="74"/>
  <c r="F36" i="74"/>
  <c r="E37" i="74"/>
  <c r="E50" i="74"/>
  <c r="H50" i="74" s="1"/>
  <c r="F37" i="74"/>
  <c r="E47" i="74"/>
  <c r="E36" i="74"/>
  <c r="F47" i="74"/>
  <c r="E35" i="74"/>
  <c r="E49" i="74"/>
  <c r="E54" i="74"/>
  <c r="J54" i="74" s="1"/>
  <c r="F46" i="74"/>
  <c r="C639" i="1"/>
  <c r="F51" i="74"/>
  <c r="E53" i="74"/>
  <c r="E59" i="74"/>
  <c r="J59" i="74" s="1"/>
  <c r="F48" i="74"/>
  <c r="F53" i="74"/>
  <c r="F22" i="90" s="1"/>
  <c r="F40" i="74"/>
  <c r="F55" i="74"/>
  <c r="J55" i="74" s="1"/>
  <c r="C8" i="108" l="1"/>
  <c r="C123" i="115"/>
  <c r="J49" i="74"/>
  <c r="E18" i="90"/>
  <c r="G49" i="74"/>
  <c r="F5" i="90"/>
  <c r="H36" i="74"/>
  <c r="G36" i="74"/>
  <c r="H48" i="74"/>
  <c r="F17" i="90"/>
  <c r="G48" i="74"/>
  <c r="E4" i="90"/>
  <c r="J35" i="74"/>
  <c r="G35" i="74"/>
  <c r="H35" i="74"/>
  <c r="G41" i="74"/>
  <c r="F10" i="90"/>
  <c r="H41" i="74"/>
  <c r="F16" i="90"/>
  <c r="H47" i="74"/>
  <c r="G47" i="74"/>
  <c r="F9" i="90"/>
  <c r="G40" i="74"/>
  <c r="J40" i="74"/>
  <c r="E22" i="90"/>
  <c r="J53" i="74"/>
  <c r="E5" i="90"/>
  <c r="J36" i="74"/>
  <c r="E16" i="90"/>
  <c r="J47" i="74"/>
  <c r="F20" i="90"/>
  <c r="J51" i="74"/>
  <c r="F6" i="90"/>
  <c r="G37" i="74"/>
  <c r="J41" i="74"/>
  <c r="F15" i="90"/>
  <c r="J46" i="74"/>
  <c r="H46" i="74"/>
  <c r="G46" i="74"/>
  <c r="G50" i="74"/>
  <c r="J50" i="74"/>
  <c r="E19" i="90"/>
  <c r="J48" i="74"/>
  <c r="H37" i="74"/>
  <c r="E6" i="90"/>
  <c r="J37" i="74"/>
  <c r="H49" i="74"/>
  <c r="D124" i="115" l="1"/>
  <c r="I9" i="108"/>
  <c r="B53" i="74"/>
  <c r="B41" i="74"/>
  <c r="B46" i="74"/>
  <c r="B56" i="74"/>
  <c r="B45" i="74"/>
  <c r="B44" i="74"/>
  <c r="B50" i="74"/>
  <c r="B36" i="74"/>
  <c r="B51" i="74"/>
  <c r="B57" i="74"/>
  <c r="B37" i="74"/>
  <c r="B40" i="74"/>
  <c r="B54" i="74"/>
  <c r="B35" i="74"/>
  <c r="B49" i="74"/>
  <c r="B43" i="74"/>
  <c r="B38" i="74"/>
  <c r="B55" i="74"/>
  <c r="B59" i="74"/>
  <c r="B39" i="74"/>
  <c r="B58" i="74"/>
  <c r="B52" i="74"/>
  <c r="B47" i="74"/>
  <c r="B42" i="74"/>
  <c r="B48" i="74"/>
  <c r="C9" i="108" l="1"/>
  <c r="C124" i="115"/>
  <c r="I10" i="108" l="1"/>
  <c r="D125" i="115"/>
  <c r="C125" i="115" l="1"/>
  <c r="C10" i="108"/>
  <c r="D126" i="115" l="1"/>
  <c r="C126" i="115" s="1"/>
  <c r="I11" i="108"/>
  <c r="C11" i="108" s="1"/>
  <c r="D127" i="115" l="1"/>
  <c r="C127" i="115" s="1"/>
  <c r="I12" i="108"/>
  <c r="C12" i="108" s="1"/>
  <c r="D128" i="115" l="1"/>
  <c r="C128" i="115" s="1"/>
  <c r="I13" i="108"/>
  <c r="C13" i="108" s="1"/>
  <c r="D129" i="115" l="1"/>
  <c r="C129" i="115" s="1"/>
  <c r="I14" i="108"/>
  <c r="C14" i="108" s="1"/>
  <c r="D130" i="115" l="1"/>
  <c r="C130" i="115" s="1"/>
  <c r="I15" i="108"/>
  <c r="C15" i="108" s="1"/>
  <c r="D131" i="115" l="1"/>
  <c r="C131" i="115" s="1"/>
  <c r="I16" i="108"/>
  <c r="C16" i="108" s="1"/>
  <c r="I17" i="108" l="1"/>
  <c r="C17" i="108" s="1"/>
  <c r="D132" i="115"/>
  <c r="C132" i="115" s="1"/>
  <c r="D133" i="115" l="1"/>
  <c r="C133" i="115" s="1"/>
  <c r="I18" i="108"/>
  <c r="C18" i="108" s="1"/>
  <c r="D134" i="115" l="1"/>
  <c r="C134" i="115" s="1"/>
  <c r="I19" i="108"/>
  <c r="C19" i="108" s="1"/>
  <c r="D135" i="115" l="1"/>
  <c r="C135" i="115" s="1"/>
  <c r="I20" i="108"/>
  <c r="C20" i="108" s="1"/>
  <c r="D136" i="115" l="1"/>
  <c r="C136" i="115" s="1"/>
  <c r="I21" i="108"/>
  <c r="C21" i="108" s="1"/>
  <c r="D137" i="115" l="1"/>
  <c r="C137" i="115" s="1"/>
  <c r="I22" i="108"/>
  <c r="C22" i="108" s="1"/>
  <c r="D138" i="115" l="1"/>
  <c r="C138" i="115" s="1"/>
  <c r="I23" i="108"/>
  <c r="C23" i="108" s="1"/>
  <c r="D139" i="115" l="1"/>
  <c r="C139" i="115" s="1"/>
  <c r="I24" i="108"/>
  <c r="C24" i="108" s="1"/>
  <c r="D140" i="115" l="1"/>
  <c r="C140" i="115" s="1"/>
  <c r="I25" i="108"/>
  <c r="C25" i="108" s="1"/>
  <c r="D141" i="115" l="1"/>
  <c r="C141" i="115" s="1"/>
  <c r="I26" i="108"/>
  <c r="C26" i="108" s="1"/>
  <c r="I27" i="108" l="1"/>
  <c r="C27" i="108" s="1"/>
  <c r="D142" i="115"/>
  <c r="C142" i="115" s="1"/>
  <c r="D143" i="115" l="1"/>
  <c r="C143" i="115" s="1"/>
  <c r="I28" i="108"/>
  <c r="C28" i="108" s="1"/>
  <c r="D144" i="115" l="1"/>
  <c r="C144" i="115" s="1"/>
  <c r="I29" i="108"/>
  <c r="C29" i="108" s="1"/>
  <c r="I30" i="108" l="1"/>
  <c r="C30" i="108" s="1"/>
  <c r="D145" i="115"/>
  <c r="C145" i="115" s="1"/>
  <c r="D146" i="115" l="1"/>
  <c r="C146" i="115" s="1"/>
  <c r="I31" i="108"/>
  <c r="C31" i="108" s="1"/>
  <c r="D147" i="115" l="1"/>
  <c r="I32" i="108"/>
  <c r="C32" i="108" s="1"/>
  <c r="F33" i="108"/>
  <c r="C147" i="115" l="1"/>
  <c r="D118" i="115"/>
  <c r="D148" i="115" s="1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Mã
</t>
        </r>
      </text>
    </comment>
  </commentList>
</comments>
</file>

<file path=xl/sharedStrings.xml><?xml version="1.0" encoding="utf-8"?>
<sst xmlns="http://schemas.openxmlformats.org/spreadsheetml/2006/main" count="18757" uniqueCount="5411">
  <si>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</si>
  <si>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</si>
  <si>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</si>
  <si>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</si>
  <si>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</si>
  <si>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</si>
  <si>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</si>
  <si>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</si>
  <si>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</si>
  <si>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</si>
  <si>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</si>
  <si>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</si>
  <si>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</si>
  <si>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</si>
  <si>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</si>
  <si>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</si>
  <si>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</si>
  <si>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</si>
  <si>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</si>
  <si>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</si>
  <si>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</si>
  <si>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</si>
  <si>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</si>
  <si>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</si>
  <si>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</si>
  <si>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</si>
  <si>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</si>
  <si>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</si>
  <si>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</si>
  <si>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</si>
  <si>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</si>
  <si>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</si>
  <si>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</si>
  <si>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</si>
  <si>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</si>
  <si>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</si>
  <si>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</si>
  <si>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</si>
  <si>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</si>
  <si>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</si>
  <si>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</si>
  <si>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</si>
  <si>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</si>
  <si>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</si>
  <si>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</si>
  <si>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</si>
  <si>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</si>
  <si>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</si>
  <si>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</si>
  <si>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</si>
  <si>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</si>
  <si>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</si>
  <si>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</si>
  <si>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</si>
  <si>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</si>
  <si>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</si>
  <si>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</si>
  <si>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</si>
  <si>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</si>
  <si>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</si>
  <si>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</si>
  <si>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</si>
  <si>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</si>
  <si>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</si>
  <si>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</si>
  <si>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</si>
  <si>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</si>
  <si>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</si>
  <si>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</si>
  <si>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</si>
  <si>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</si>
  <si>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</si>
  <si>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</si>
  <si>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</si>
  <si>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</si>
  <si>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</si>
  <si>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</si>
  <si>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</si>
  <si>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</si>
  <si>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</si>
  <si>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</si>
  <si>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</si>
  <si>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</si>
  <si>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</si>
  <si>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</si>
  <si>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</si>
  <si>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</si>
  <si>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</si>
  <si>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</si>
  <si>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</si>
  <si>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</si>
  <si>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</si>
  <si>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</si>
  <si>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</si>
  <si>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</si>
  <si>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</si>
  <si>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</si>
  <si>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</si>
  <si>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</si>
  <si>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</si>
  <si>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</si>
  <si>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</si>
  <si>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</si>
  <si>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</si>
  <si>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</si>
  <si>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</si>
  <si>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</si>
  <si>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</si>
  <si>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</si>
  <si>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</si>
  <si>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</si>
  <si>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</si>
  <si>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</si>
  <si>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</si>
  <si>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</si>
  <si>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</si>
  <si>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</si>
  <si>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</si>
  <si>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</si>
  <si>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</si>
  <si>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</si>
  <si>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</si>
  <si>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</si>
  <si>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</si>
  <si>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</si>
  <si>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</si>
  <si>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</si>
  <si>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</si>
  <si>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</si>
  <si>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</si>
  <si>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</si>
  <si>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</si>
  <si>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</si>
  <si>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</si>
  <si>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</si>
  <si>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</si>
  <si>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</si>
  <si>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</si>
  <si>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</si>
  <si>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</si>
  <si>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</si>
  <si>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</si>
  <si>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</si>
  <si>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</si>
  <si>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</si>
  <si>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</si>
  <si>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</si>
  <si>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</si>
  <si>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</si>
  <si>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</si>
  <si>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</si>
  <si>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</si>
  <si>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</si>
  <si>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</si>
  <si>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</si>
  <si>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</si>
  <si>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</si>
  <si>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</si>
  <si>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</si>
  <si>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</si>
  <si>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</si>
  <si>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</si>
  <si>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</si>
  <si>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</si>
  <si>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</si>
  <si>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</si>
  <si>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</si>
  <si>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</si>
  <si>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</si>
  <si>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</si>
  <si>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</si>
  <si>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</si>
  <si>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</si>
  <si>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</si>
  <si>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</si>
  <si>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</si>
  <si>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</si>
  <si>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</si>
  <si>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</si>
  <si>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</si>
  <si>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</si>
  <si>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</si>
  <si>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</si>
  <si>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</si>
  <si>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</si>
  <si>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</si>
  <si>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</si>
  <si>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</si>
  <si>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</si>
  <si>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</si>
  <si>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</si>
  <si>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</si>
  <si>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</si>
  <si>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</si>
  <si>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</si>
  <si>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</si>
  <si>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</si>
  <si>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</si>
  <si>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</si>
  <si>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</si>
  <si>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</si>
  <si>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</si>
  <si>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</si>
  <si>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</si>
  <si>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</si>
  <si>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</si>
  <si>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</si>
  <si>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</si>
  <si>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</si>
  <si>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</si>
  <si>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</si>
  <si>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</si>
  <si>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</si>
  <si>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</si>
  <si>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</si>
  <si>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</si>
  <si>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</si>
  <si>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</si>
  <si>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</si>
  <si>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</si>
  <si>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</si>
  <si>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</si>
  <si>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</si>
  <si>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</si>
  <si>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</si>
  <si>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</si>
  <si>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</si>
  <si>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</si>
  <si>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</si>
  <si>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</si>
  <si>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</si>
  <si>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</si>
  <si>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</si>
  <si>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</si>
  <si>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</si>
  <si>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</si>
  <si>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</si>
  <si>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</si>
  <si>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</si>
  <si>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</si>
  <si>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</si>
  <si>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</si>
  <si>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</si>
  <si>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</si>
  <si>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</si>
  <si>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</si>
  <si>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</si>
  <si>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</si>
  <si>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</si>
  <si>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</si>
  <si>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</si>
  <si>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</si>
  <si>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</si>
  <si>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</si>
  <si>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</si>
  <si>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</si>
  <si>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</si>
  <si>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</si>
  <si>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</si>
  <si>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</si>
  <si>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</si>
  <si>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</si>
  <si>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</si>
  <si>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</si>
  <si>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</si>
  <si>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</si>
  <si>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</si>
  <si>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</si>
  <si>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</si>
  <si>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</si>
  <si>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</si>
  <si>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</si>
  <si>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</si>
  <si>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</si>
  <si>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</si>
  <si>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</si>
  <si>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</si>
  <si>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</si>
  <si>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</si>
  <si>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</si>
  <si>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</si>
  <si>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</si>
  <si>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</si>
  <si>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</si>
  <si>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</si>
  <si>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</si>
  <si>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</si>
  <si>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</si>
  <si>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</si>
  <si>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</si>
  <si>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</si>
  <si>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</si>
  <si>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</si>
  <si>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</si>
  <si>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</si>
  <si>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</si>
  <si>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</si>
  <si>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</si>
  <si>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</si>
  <si>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</si>
  <si>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</si>
  <si>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</si>
  <si>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</si>
  <si>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</si>
  <si>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</si>
  <si>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</si>
  <si>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</si>
  <si>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</si>
  <si>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</si>
  <si>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</si>
  <si>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</si>
  <si>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</si>
  <si>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</si>
  <si>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</si>
  <si>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</si>
  <si>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</si>
  <si>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</si>
  <si>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</si>
  <si>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</si>
  <si>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</si>
  <si>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</si>
  <si>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</si>
  <si>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</si>
  <si>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</si>
  <si>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</si>
  <si>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</si>
  <si>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</si>
  <si>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</si>
  <si>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</si>
  <si>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</si>
  <si>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</si>
  <si>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</si>
  <si>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</si>
  <si>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</si>
  <si>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</si>
  <si>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</si>
  <si>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</si>
  <si>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</si>
  <si>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</si>
  <si>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</si>
  <si>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</si>
  <si>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</si>
  <si>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</si>
  <si>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</si>
  <si>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</si>
  <si>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</si>
  <si>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</si>
  <si>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</si>
  <si>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</si>
  <si>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</si>
  <si>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</si>
  <si>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</si>
  <si>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</si>
  <si>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</si>
  <si>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</si>
  <si>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</si>
  <si>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</si>
  <si>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</si>
  <si>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</si>
  <si>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</si>
  <si>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</si>
  <si>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</si>
  <si>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</si>
  <si>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</si>
  <si>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</si>
  <si>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</si>
  <si>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</si>
  <si>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</si>
  <si>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</si>
  <si>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</si>
  <si>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</si>
  <si>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</si>
  <si>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</si>
  <si>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</si>
  <si>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</si>
  <si>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</si>
  <si>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</si>
  <si>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</si>
  <si>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</si>
  <si>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</si>
  <si>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</si>
  <si>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</si>
  <si>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</si>
  <si>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</si>
  <si>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</si>
  <si>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</si>
  <si>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</si>
  <si>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</si>
  <si>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</si>
  <si>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</si>
  <si>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</si>
  <si>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</si>
  <si>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</si>
  <si>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</si>
  <si>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</si>
  <si>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</si>
  <si>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</si>
  <si>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</si>
  <si>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</si>
  <si>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</si>
  <si>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</si>
  <si>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</si>
  <si>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</si>
  <si>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</si>
  <si>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</si>
  <si>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</si>
  <si>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</si>
  <si>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</si>
  <si>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</si>
  <si>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</si>
  <si>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</si>
  <si>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</si>
  <si>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</si>
  <si>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</si>
  <si>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</si>
  <si>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</si>
  <si>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</si>
  <si>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</si>
  <si>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</si>
  <si>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</si>
  <si>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</si>
  <si>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</si>
  <si>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</si>
  <si>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</si>
  <si>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</si>
  <si>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</si>
  <si>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</si>
  <si>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</si>
  <si>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</si>
  <si>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</si>
  <si>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</si>
  <si>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</si>
  <si>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</si>
  <si>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</si>
  <si>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</si>
  <si>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</si>
  <si>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</si>
  <si>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</si>
  <si>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</si>
  <si>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</si>
  <si>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</si>
  <si>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</si>
  <si>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</si>
  <si>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</si>
  <si>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</si>
  <si>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</si>
  <si>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</si>
  <si>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</si>
  <si>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</si>
  <si>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</si>
  <si>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</si>
  <si>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</si>
  <si>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</si>
  <si>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</si>
  <si>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</si>
  <si>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</si>
  <si>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</si>
  <si>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</si>
  <si>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</si>
  <si>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</si>
  <si>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</si>
  <si>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</si>
  <si>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</si>
  <si>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</si>
  <si>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</si>
  <si>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</si>
  <si>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</si>
  <si>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</si>
  <si>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</si>
  <si>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</si>
  <si>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</si>
  <si>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</si>
  <si>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</si>
  <si>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</si>
  <si>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</si>
  <si>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</si>
  <si>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</si>
  <si>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</si>
  <si>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</si>
  <si>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</si>
  <si>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</si>
  <si>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</si>
  <si>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</si>
  <si>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</si>
  <si>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</si>
  <si>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</si>
  <si>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</si>
  <si>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</si>
  <si>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</si>
  <si>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</si>
  <si>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</si>
  <si>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</si>
  <si>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</si>
  <si>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</si>
  <si>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</si>
  <si>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</si>
  <si>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</si>
  <si>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</si>
  <si>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</si>
  <si>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</si>
  <si>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</si>
  <si>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</si>
  <si>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</si>
  <si>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</si>
  <si>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</si>
  <si>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</si>
  <si>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</si>
  <si>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</si>
  <si>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</si>
  <si>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</si>
  <si>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</si>
  <si>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</si>
  <si>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</si>
  <si>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</si>
  <si>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</si>
  <si>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</si>
  <si>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</si>
  <si>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</si>
  <si>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</si>
  <si>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</si>
  <si>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</si>
  <si>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</si>
  <si>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</si>
  <si>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</si>
  <si>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</si>
  <si>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</si>
  <si>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</si>
  <si>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</si>
  <si>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</si>
  <si>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</si>
  <si>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</si>
  <si>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</si>
  <si>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</si>
  <si>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</si>
  <si>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</si>
  <si>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</si>
  <si>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</si>
  <si>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</si>
  <si>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</si>
  <si>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</si>
  <si>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</si>
  <si>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</si>
  <si>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</si>
  <si>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</si>
  <si>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</si>
  <si>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</si>
  <si>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</si>
  <si>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</si>
  <si>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</si>
  <si>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</si>
  <si>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</si>
  <si>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</si>
  <si>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</si>
  <si>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</si>
  <si>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</si>
  <si>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</si>
  <si>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</si>
  <si>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</si>
  <si>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</si>
  <si>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</si>
  <si>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</si>
  <si>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</si>
  <si>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</si>
  <si>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</si>
  <si>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</si>
  <si>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</si>
  <si>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</si>
  <si>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</si>
  <si>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</si>
  <si>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</si>
  <si>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</si>
  <si>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</si>
  <si>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</si>
  <si>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</si>
  <si>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</si>
  <si>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</si>
  <si>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</si>
  <si>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</si>
  <si>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</si>
  <si>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</si>
  <si>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</si>
  <si>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</si>
  <si>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</si>
  <si>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</si>
  <si>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</si>
  <si>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</si>
  <si>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</si>
  <si>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</si>
  <si>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</si>
  <si>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</si>
  <si>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</si>
  <si>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</si>
  <si>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</si>
  <si>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</si>
  <si>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</si>
  <si>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</si>
  <si>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</si>
  <si>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</si>
  <si>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</si>
  <si>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</si>
  <si>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</si>
  <si>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</si>
  <si>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</si>
  <si>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</si>
  <si>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</si>
  <si>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</si>
  <si>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</si>
  <si>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</si>
  <si>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</si>
  <si>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</si>
  <si>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</si>
  <si>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</si>
  <si>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</si>
  <si>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</si>
  <si>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</si>
  <si>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</si>
  <si>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</si>
  <si>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</si>
  <si>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</si>
  <si>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</si>
  <si>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</si>
  <si>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</si>
  <si>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</si>
  <si>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</si>
  <si>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</si>
  <si>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</si>
  <si>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</si>
  <si>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</si>
  <si>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</si>
  <si>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</si>
  <si>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</si>
  <si>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</si>
  <si>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</si>
  <si>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</si>
  <si>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</si>
  <si>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</si>
  <si>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</si>
  <si>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</si>
  <si>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</si>
  <si>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</si>
  <si>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</si>
  <si>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</si>
  <si>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</si>
  <si>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</si>
  <si>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</si>
  <si>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</si>
  <si>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</si>
  <si>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</si>
  <si>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</si>
  <si>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</si>
  <si>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</si>
  <si>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</si>
  <si>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</si>
  <si>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</si>
  <si>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</si>
  <si>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</si>
  <si>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</si>
  <si>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</si>
  <si>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</si>
  <si>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</si>
  <si>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</si>
  <si>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</si>
  <si>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</si>
  <si>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</si>
  <si>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</si>
  <si>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</si>
  <si>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</si>
  <si>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</si>
  <si>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</si>
  <si>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</si>
  <si>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</si>
  <si>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</si>
  <si>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</si>
  <si>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</si>
  <si>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</si>
  <si>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</si>
  <si>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</si>
  <si>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</si>
  <si>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</si>
  <si>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</si>
  <si>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</si>
  <si>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</si>
  <si>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</si>
  <si>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</si>
  <si>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</si>
  <si>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</si>
  <si>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</si>
  <si>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</si>
  <si>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</si>
  <si>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</si>
  <si>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</si>
  <si>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</si>
  <si>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</si>
  <si>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</si>
  <si>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</si>
  <si>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</si>
  <si>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</si>
  <si>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</si>
  <si>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</si>
  <si>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</si>
  <si>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</si>
  <si>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</si>
  <si>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</si>
  <si>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</si>
  <si>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</si>
  <si>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</si>
  <si>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</si>
  <si>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</si>
  <si>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</si>
  <si>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</si>
  <si>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</si>
  <si>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</si>
  <si>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</si>
  <si>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</si>
  <si>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</si>
  <si>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</si>
  <si>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</si>
  <si>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</si>
  <si>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</si>
  <si>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</si>
  <si>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</si>
  <si>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</si>
  <si>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</si>
  <si>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</si>
  <si>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</si>
  <si>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</si>
  <si>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</si>
  <si>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</si>
  <si>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</si>
  <si>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</si>
  <si>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</si>
  <si>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</si>
  <si>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</si>
  <si>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</si>
  <si>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</si>
  <si>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</si>
  <si>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</si>
  <si>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</si>
  <si>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</si>
  <si>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</si>
  <si>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</si>
  <si>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</si>
  <si>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</si>
  <si>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</si>
  <si>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</si>
  <si>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</si>
  <si>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</si>
  <si>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</si>
  <si>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</si>
  <si>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</si>
  <si>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</si>
  <si>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</si>
  <si>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</si>
  <si>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</si>
  <si>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</si>
  <si>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</si>
  <si>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</si>
  <si>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</si>
  <si>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</si>
  <si>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</si>
  <si>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</si>
  <si>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</si>
  <si>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</si>
  <si>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</si>
  <si>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</si>
  <si>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</si>
  <si>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</si>
  <si>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</si>
  <si>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</si>
  <si>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</si>
  <si>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</si>
  <si>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</si>
  <si>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</si>
  <si>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</si>
  <si>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</si>
  <si>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</si>
  <si>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</si>
  <si>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</si>
  <si>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</si>
  <si>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</si>
  <si>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</si>
  <si>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</si>
  <si>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</si>
  <si>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</si>
  <si>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</si>
  <si>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</si>
  <si>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</si>
  <si>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</si>
  <si>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</si>
  <si>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</si>
  <si>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</si>
  <si>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</si>
  <si>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</si>
  <si>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</si>
  <si>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</si>
  <si>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</si>
  <si>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</si>
  <si>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</si>
  <si>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</si>
  <si>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</si>
  <si>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</si>
  <si>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</si>
  <si>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</si>
  <si>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</si>
  <si>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</si>
  <si>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</si>
  <si>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</si>
  <si>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</si>
  <si>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</si>
  <si>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</si>
  <si>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</si>
  <si>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</si>
  <si>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</si>
  <si>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</si>
  <si>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</si>
  <si>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</si>
  <si>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</si>
  <si>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</si>
  <si>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</si>
  <si>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</si>
  <si>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</si>
  <si>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</si>
  <si>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</si>
  <si>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</si>
  <si>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</si>
  <si>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</si>
  <si>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</si>
  <si>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</si>
  <si>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</si>
  <si>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</si>
  <si>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</si>
  <si>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</si>
  <si>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</si>
  <si>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</si>
  <si>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</si>
  <si>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</si>
  <si>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</si>
  <si>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</si>
  <si>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</si>
  <si>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</si>
  <si>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</si>
  <si>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</si>
  <si>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</si>
  <si>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</si>
  <si>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</si>
  <si>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</si>
  <si>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</si>
  <si>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</si>
  <si>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</si>
  <si>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</si>
  <si>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</si>
  <si>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</si>
  <si>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</si>
  <si>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</si>
  <si>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</si>
  <si>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</si>
  <si>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</si>
  <si>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</si>
  <si>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</si>
  <si>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</si>
  <si>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</si>
  <si>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</si>
  <si>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</si>
  <si>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</si>
  <si>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</si>
  <si>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</si>
  <si>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</si>
  <si>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</si>
  <si>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</si>
  <si>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</si>
  <si>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</si>
  <si>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</si>
  <si>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</si>
  <si>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</si>
  <si>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</si>
  <si>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</si>
  <si>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</si>
  <si>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</si>
  <si>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</si>
  <si>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</si>
  <si>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</si>
  <si>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</si>
  <si>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</si>
  <si>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</si>
  <si>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</si>
  <si>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</si>
  <si>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</si>
  <si>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</si>
  <si>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</si>
  <si>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</si>
  <si>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</si>
  <si>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</si>
  <si>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</si>
  <si>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</si>
  <si>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</si>
  <si>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</si>
  <si>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</si>
  <si>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</si>
  <si>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</si>
  <si>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</si>
  <si>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</si>
  <si>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</si>
  <si>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</si>
  <si>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</si>
  <si>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</si>
  <si>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</si>
  <si>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</si>
  <si>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</si>
  <si>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</si>
  <si>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</si>
  <si>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</si>
  <si>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</si>
  <si>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</si>
  <si>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</si>
  <si>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</si>
  <si>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</si>
  <si>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</si>
  <si>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</si>
  <si>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</si>
  <si>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</si>
  <si>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</si>
  <si>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</si>
  <si>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</si>
  <si>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</si>
  <si>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</si>
  <si>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</si>
  <si>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</si>
  <si>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</si>
  <si>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</si>
  <si>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</si>
  <si>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</si>
  <si>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</si>
  <si>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</si>
  <si>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</si>
  <si>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</si>
  <si>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</si>
  <si>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</si>
  <si>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</si>
  <si>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</si>
  <si>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</si>
  <si>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</si>
  <si>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</si>
  <si>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</si>
  <si>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</si>
  <si>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</si>
  <si>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</si>
  <si>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</si>
  <si>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</si>
  <si>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</si>
  <si>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</si>
  <si>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</si>
  <si>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</si>
  <si>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</si>
  <si>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</si>
  <si>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</si>
  <si>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</si>
  <si>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</si>
  <si>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</si>
  <si>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</si>
  <si>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</si>
  <si>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</si>
  <si>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</si>
  <si>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</si>
  <si>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</si>
  <si>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</si>
  <si>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</si>
  <si>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</si>
  <si>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</si>
  <si>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</si>
  <si>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</si>
  <si>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</si>
  <si>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</si>
  <si>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</si>
  <si>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</si>
  <si>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</si>
  <si>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</si>
  <si>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</si>
  <si>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</si>
  <si>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</si>
  <si>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</si>
  <si>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</si>
  <si>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</si>
  <si>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</si>
  <si>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</si>
  <si>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</si>
  <si>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</si>
  <si>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</si>
  <si>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</si>
  <si>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</si>
  <si>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</si>
  <si>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</si>
  <si>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</si>
  <si>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</si>
  <si>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</si>
  <si>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</si>
  <si>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</si>
  <si>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</si>
  <si>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</si>
  <si>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</si>
  <si>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</si>
  <si>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</si>
  <si>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</si>
  <si>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</si>
  <si>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</si>
  <si>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</si>
  <si>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</si>
  <si>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</si>
  <si>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</si>
  <si>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</si>
  <si>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</si>
  <si>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</si>
  <si>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</si>
  <si>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</si>
  <si>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</si>
  <si>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</si>
  <si>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</si>
  <si>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</si>
  <si>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</si>
  <si>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</si>
  <si>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</si>
  <si>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</si>
  <si>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</si>
  <si>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</si>
  <si>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</si>
  <si>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</si>
  <si>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</si>
  <si>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</si>
  <si>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</si>
  <si>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</si>
  <si>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</si>
  <si>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</si>
  <si>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</si>
  <si>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</si>
  <si>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</si>
  <si>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</si>
  <si>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</si>
  <si>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</si>
  <si>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</si>
  <si>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</si>
  <si>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</si>
  <si>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</si>
  <si>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</si>
  <si>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</si>
  <si>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</si>
  <si>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</si>
  <si>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</si>
  <si>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</si>
  <si>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</si>
  <si>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</si>
  <si>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</si>
  <si>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</si>
  <si>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</si>
  <si>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</si>
  <si>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</si>
  <si>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</si>
  <si>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</si>
  <si>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</si>
  <si>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</si>
  <si>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</si>
  <si>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</si>
  <si>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</si>
  <si>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</si>
  <si>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</si>
  <si>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</si>
  <si>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</si>
  <si>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</si>
  <si>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</si>
  <si>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</si>
  <si>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</si>
  <si>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</si>
  <si>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</si>
  <si>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</si>
  <si>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</si>
  <si>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</si>
  <si>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</si>
  <si>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</si>
  <si>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</si>
  <si>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</si>
  <si>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</si>
  <si>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</si>
  <si>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</si>
  <si>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</si>
  <si>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</si>
  <si>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</si>
  <si>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</si>
  <si>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</si>
  <si>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</si>
  <si>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</si>
  <si>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</si>
  <si>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</si>
  <si>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</si>
  <si>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</si>
  <si>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</si>
  <si>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</si>
  <si>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</si>
  <si>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</si>
  <si>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</si>
  <si>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</si>
  <si>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</si>
  <si>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</si>
  <si>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</si>
  <si>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</si>
  <si>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</si>
  <si>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</si>
  <si>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</si>
  <si>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</si>
  <si>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</si>
  <si>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</si>
  <si>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</si>
  <si>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</si>
  <si>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</si>
  <si>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</si>
  <si>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</si>
  <si>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</si>
  <si>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</si>
  <si>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</si>
  <si>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</si>
  <si>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</si>
  <si>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</si>
  <si>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</si>
  <si>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</si>
  <si>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</si>
  <si>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</si>
  <si>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</si>
  <si>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</si>
  <si>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</si>
  <si>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</si>
  <si>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</si>
  <si>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</si>
  <si>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</si>
  <si>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</si>
  <si>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</si>
  <si>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</si>
  <si>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</si>
  <si>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</si>
  <si>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</si>
  <si>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</si>
  <si>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</si>
  <si>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</si>
  <si>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</si>
  <si>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</si>
  <si>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</si>
  <si>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</si>
  <si>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</si>
  <si>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</si>
  <si>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</si>
  <si>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</si>
  <si>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</si>
  <si>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</si>
  <si>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</si>
  <si>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</si>
  <si>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</si>
  <si>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</si>
  <si>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</si>
  <si>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</si>
  <si>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</si>
  <si>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</si>
  <si>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</si>
  <si>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</si>
  <si>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</si>
  <si>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</si>
  <si>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</si>
  <si>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</si>
  <si>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</si>
  <si>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</si>
  <si>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</si>
  <si>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</si>
  <si>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</si>
  <si>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</si>
  <si>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</si>
  <si>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</si>
  <si>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</si>
  <si>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</si>
  <si>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</si>
  <si>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</si>
  <si>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</si>
  <si>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</si>
  <si>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</si>
  <si>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</si>
  <si>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</si>
  <si>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</si>
  <si>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</si>
  <si>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</si>
  <si>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</si>
  <si>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</si>
  <si>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</si>
  <si>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</si>
  <si>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</si>
  <si>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</si>
  <si>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</si>
  <si>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</si>
  <si>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</si>
  <si>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</si>
  <si>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</si>
  <si>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</si>
  <si>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</si>
  <si>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</si>
  <si>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</si>
  <si>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</si>
  <si>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</si>
  <si>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</si>
  <si>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</si>
  <si>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</si>
  <si>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</si>
  <si>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</si>
  <si>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</si>
  <si>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</si>
  <si>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</si>
  <si>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</si>
  <si>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</si>
  <si>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</si>
  <si>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</si>
  <si>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</si>
  <si>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</si>
  <si>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</si>
  <si>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</si>
  <si>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</si>
  <si>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</si>
  <si>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</si>
  <si>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</si>
  <si>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</si>
  <si>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</si>
  <si>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</si>
  <si>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</si>
  <si>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</si>
  <si>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</si>
  <si>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</si>
  <si>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</si>
  <si>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</si>
  <si>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</si>
  <si>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</si>
  <si>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</si>
  <si>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</si>
  <si>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</si>
  <si>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</si>
  <si>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</si>
  <si>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</si>
  <si>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</si>
  <si>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</si>
  <si>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</si>
  <si>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</si>
  <si>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</si>
  <si>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</si>
  <si>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</si>
  <si>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</si>
  <si>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</si>
  <si>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</si>
  <si>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</si>
  <si>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</si>
  <si>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</si>
  <si>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</si>
  <si>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</si>
  <si>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</si>
  <si>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</si>
  <si>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</si>
  <si>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</si>
  <si>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</si>
  <si>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</si>
  <si>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</si>
  <si>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</si>
  <si>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</si>
  <si>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</si>
  <si>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</si>
  <si>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</si>
  <si>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</si>
  <si>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</si>
  <si>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</si>
  <si>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</si>
  <si>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</si>
  <si>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</si>
  <si>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</si>
  <si>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</si>
  <si>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</si>
  <si>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</si>
  <si>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</si>
  <si>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</si>
  <si>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</si>
  <si>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</si>
  <si>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</si>
  <si>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</si>
  <si>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</si>
  <si>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</si>
  <si>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</si>
  <si>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</si>
  <si>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</si>
  <si>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</si>
  <si>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</si>
  <si>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</si>
  <si>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</si>
  <si>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</si>
  <si>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</si>
  <si>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</si>
  <si>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</si>
  <si>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</si>
  <si>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</si>
  <si>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</si>
  <si>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</si>
  <si>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</si>
  <si>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</si>
  <si>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</si>
  <si>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</si>
  <si>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</si>
  <si>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</si>
  <si>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</si>
  <si>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</si>
  <si>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</si>
  <si>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</si>
  <si>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</si>
  <si>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</si>
  <si>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</si>
  <si>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</si>
  <si>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</si>
  <si>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</si>
  <si>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</si>
  <si>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</si>
  <si>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</si>
  <si>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</si>
  <si>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</si>
  <si>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</si>
  <si>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</si>
  <si>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</si>
  <si>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</si>
  <si>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</si>
  <si>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</si>
  <si>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</si>
  <si>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</si>
  <si>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</si>
  <si>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</si>
  <si>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</si>
  <si>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</si>
  <si>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</si>
  <si>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</si>
  <si>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</si>
  <si>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</si>
  <si>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</si>
  <si>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</si>
  <si>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</si>
  <si>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</si>
  <si>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</si>
  <si>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</si>
  <si>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</si>
  <si>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</si>
  <si>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</si>
  <si>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</si>
  <si>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</si>
  <si>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</si>
  <si>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</si>
  <si>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</si>
  <si>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</si>
  <si>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</si>
  <si>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</si>
  <si>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</si>
  <si>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</si>
  <si>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</si>
  <si>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</si>
  <si>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</si>
  <si>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</si>
  <si>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</si>
  <si>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</si>
  <si>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</si>
  <si>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</si>
  <si>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</si>
  <si>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</si>
  <si>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</si>
  <si>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</si>
  <si>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</si>
  <si>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</si>
  <si>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</si>
  <si>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</si>
  <si>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</si>
  <si>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</si>
  <si>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</si>
  <si>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</si>
  <si>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</si>
  <si>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</si>
  <si>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</si>
  <si>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</si>
  <si>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</si>
  <si>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</si>
  <si>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</si>
  <si>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</si>
  <si>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</si>
  <si>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</si>
  <si>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</si>
  <si>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</si>
  <si>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</si>
  <si>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</si>
  <si>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</si>
  <si>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</si>
  <si>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</si>
  <si>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</si>
  <si>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</si>
  <si>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</si>
  <si>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</si>
  <si>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</si>
  <si>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</si>
  <si>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</si>
  <si>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</si>
  <si>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</si>
  <si>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</si>
  <si>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</si>
  <si>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</si>
  <si>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</si>
  <si>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</si>
  <si>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</si>
  <si>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</si>
  <si>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</si>
  <si>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</si>
  <si>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</si>
  <si>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</si>
  <si>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</si>
  <si>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</si>
  <si>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</si>
  <si>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</si>
  <si>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</si>
  <si>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</si>
  <si>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</si>
  <si>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</si>
  <si>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</si>
  <si>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</si>
  <si>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</si>
  <si>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</si>
  <si>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</si>
  <si>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</si>
  <si>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</si>
  <si>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</si>
  <si>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</si>
  <si>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</si>
  <si>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</si>
  <si>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</si>
  <si>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</si>
  <si>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</si>
  <si>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</si>
  <si>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</si>
  <si>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</si>
  <si>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</si>
  <si>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</si>
  <si>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</si>
  <si>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</si>
  <si>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</si>
  <si>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</si>
  <si>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</si>
  <si>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</si>
  <si>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</si>
  <si>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</si>
  <si>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</si>
  <si>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</si>
  <si>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</si>
  <si>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</si>
  <si>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</si>
  <si>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</si>
  <si>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</si>
  <si>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</si>
  <si>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</si>
  <si>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</si>
  <si>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</si>
  <si>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</si>
  <si>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</si>
  <si>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</si>
  <si>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</si>
  <si>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</si>
  <si>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</si>
  <si>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</si>
  <si>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</si>
  <si>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</si>
  <si>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</si>
  <si>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</si>
  <si>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</si>
  <si>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</si>
  <si>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</si>
  <si>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</si>
  <si>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</si>
  <si>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</si>
  <si>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</si>
  <si>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</si>
  <si>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</si>
  <si>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</si>
  <si>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</si>
  <si>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</si>
  <si>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</si>
  <si>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</si>
  <si>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</si>
  <si>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</si>
  <si>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</si>
  <si>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</si>
  <si>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</si>
  <si>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</si>
  <si>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</si>
  <si>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</si>
  <si>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</si>
  <si>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</si>
  <si>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</si>
  <si>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</si>
  <si>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</si>
  <si>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</si>
  <si>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</si>
  <si>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</si>
  <si>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</si>
  <si>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</si>
  <si>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</si>
  <si>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</si>
  <si>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</si>
  <si>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</si>
  <si>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</si>
  <si>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</si>
  <si>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</si>
  <si>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</si>
  <si>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</si>
  <si>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</si>
  <si>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</si>
  <si>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</si>
  <si>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</si>
  <si>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</si>
  <si>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</si>
  <si>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</si>
  <si>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</si>
  <si>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</si>
  <si>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</si>
  <si>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</si>
  <si>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</si>
  <si>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</si>
  <si>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</si>
  <si>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</si>
  <si>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</si>
  <si>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</si>
  <si>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</si>
  <si>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</si>
  <si>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</si>
  <si>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</si>
  <si>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</si>
  <si>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</si>
  <si>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</si>
  <si>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</si>
  <si>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</si>
  <si>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</si>
  <si>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</si>
  <si>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</si>
  <si>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</si>
  <si>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</si>
  <si>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</si>
  <si>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</si>
  <si>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</si>
  <si>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</si>
  <si>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</si>
  <si>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</si>
  <si>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</si>
  <si>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</si>
  <si>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</si>
  <si>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</si>
  <si>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</si>
  <si>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</si>
  <si>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</si>
  <si>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</si>
  <si>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</si>
  <si>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</si>
  <si>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</si>
  <si>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</si>
  <si>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</si>
  <si>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</si>
  <si>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</si>
  <si>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</si>
  <si>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</si>
  <si>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</si>
  <si>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</si>
  <si>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</si>
  <si>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</si>
  <si>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</si>
  <si>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</si>
  <si>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</si>
  <si>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</si>
  <si>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</si>
  <si>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</si>
  <si>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</si>
  <si>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</si>
  <si>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</si>
  <si>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</si>
  <si>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</si>
  <si>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</si>
  <si>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</si>
  <si>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</si>
  <si>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</si>
  <si>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</si>
  <si>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</si>
  <si>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</si>
  <si>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</si>
  <si>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</si>
  <si>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</si>
  <si>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</si>
  <si>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</si>
  <si>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</si>
  <si>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</si>
  <si>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</si>
  <si>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</si>
  <si>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</si>
  <si>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</si>
  <si>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</si>
  <si>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</si>
  <si>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</si>
  <si>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</si>
  <si>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</si>
  <si>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</si>
  <si>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</si>
  <si>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</si>
  <si>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</si>
  <si>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</si>
  <si>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</si>
  <si>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</si>
  <si>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</si>
  <si>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</si>
  <si>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</si>
  <si>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</si>
  <si>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</si>
  <si>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</si>
  <si>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</si>
  <si>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</si>
  <si>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</si>
  <si>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</si>
  <si>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</si>
  <si>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</si>
  <si>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</si>
  <si>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</si>
  <si>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</si>
  <si>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</si>
  <si>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</si>
  <si>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</si>
  <si>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</si>
  <si>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</si>
  <si>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</si>
  <si>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</si>
  <si>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</si>
  <si>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</si>
  <si>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</si>
  <si>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</si>
  <si>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</si>
  <si>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</si>
  <si>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</si>
  <si>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</si>
  <si>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</si>
  <si>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</si>
  <si>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</si>
  <si>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</si>
  <si>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</si>
  <si>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</si>
  <si>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</si>
  <si>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</si>
  <si>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</si>
  <si>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</si>
  <si>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</si>
  <si>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</si>
  <si>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</si>
  <si>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</si>
  <si>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</si>
  <si>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</si>
  <si>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</si>
  <si>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</si>
  <si>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</si>
  <si>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</si>
  <si>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</si>
  <si>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</si>
  <si>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</si>
  <si>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</si>
  <si>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</si>
  <si>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</si>
  <si>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</si>
  <si>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</si>
  <si>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</si>
  <si>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</si>
  <si>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</si>
  <si>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</si>
  <si>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</si>
  <si>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</si>
  <si>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</si>
  <si>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</si>
  <si>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</si>
  <si>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</si>
  <si>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</si>
  <si>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</si>
  <si>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</si>
  <si>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</si>
  <si>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</si>
  <si>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</si>
  <si>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</si>
  <si>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</si>
  <si>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</si>
  <si>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</si>
  <si>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</si>
  <si>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</si>
  <si>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</si>
  <si>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</si>
  <si>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</si>
  <si>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</si>
  <si>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</si>
  <si>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</si>
  <si>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</si>
  <si>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</si>
  <si>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</si>
  <si>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</si>
  <si>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</si>
  <si>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</si>
  <si>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</si>
  <si>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</si>
  <si>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</si>
  <si>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</si>
  <si>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</si>
  <si>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</si>
  <si>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</si>
  <si>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</si>
  <si>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</si>
  <si>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</si>
  <si>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</si>
  <si>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</si>
  <si>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</si>
  <si>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</si>
  <si>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</si>
  <si>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</si>
  <si>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</si>
  <si>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</si>
  <si>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</si>
  <si>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</si>
  <si>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</si>
  <si>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</si>
  <si>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</si>
  <si>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</si>
  <si>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</si>
  <si>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</si>
  <si>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</si>
  <si>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</si>
  <si>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</si>
  <si>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</si>
  <si>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</si>
  <si>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</si>
  <si>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</si>
  <si>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</si>
  <si>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</si>
  <si>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</si>
  <si>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</si>
  <si>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</si>
  <si>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</si>
  <si>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</si>
  <si>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</si>
  <si>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</si>
  <si>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</si>
  <si>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</si>
  <si>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</si>
  <si>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</si>
  <si>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</si>
  <si>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</si>
  <si>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</si>
  <si>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</si>
  <si>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</si>
  <si>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</si>
  <si>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</si>
  <si>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</si>
  <si>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</si>
  <si>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</si>
  <si>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</si>
  <si>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</si>
  <si>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</si>
  <si>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</si>
  <si>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</si>
  <si>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</si>
  <si>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</si>
  <si>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</si>
  <si>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</si>
  <si>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</si>
  <si>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</si>
  <si>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</si>
  <si>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</si>
  <si>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</si>
  <si>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</si>
  <si>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</si>
  <si>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</si>
  <si>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</si>
  <si>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</si>
  <si>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</si>
  <si>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</si>
  <si>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</si>
  <si>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</si>
  <si>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</si>
  <si>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</si>
  <si>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</si>
  <si>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</si>
  <si>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</si>
  <si>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</si>
  <si>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</si>
  <si>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</si>
  <si>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</si>
  <si>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</si>
  <si>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</si>
  <si>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</si>
  <si>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</si>
  <si>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</si>
  <si>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</si>
  <si>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</si>
  <si>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</si>
  <si>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</si>
  <si>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</si>
  <si>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</si>
  <si>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</si>
  <si>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</si>
  <si>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</si>
  <si>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</si>
  <si>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</si>
  <si>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</si>
  <si>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</si>
  <si>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</si>
  <si>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</si>
  <si>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</si>
  <si>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</si>
  <si>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</si>
  <si>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</si>
  <si>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</si>
  <si>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</si>
  <si>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</si>
  <si>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</si>
  <si>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</si>
  <si>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</si>
  <si>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</si>
  <si>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</si>
  <si>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</si>
  <si>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</si>
  <si>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</si>
  <si>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</si>
  <si>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</si>
  <si>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</si>
  <si>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</si>
  <si>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</si>
  <si>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</si>
  <si>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</si>
  <si>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</si>
  <si>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</si>
  <si>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</si>
  <si>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</si>
  <si>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</si>
  <si>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</si>
  <si>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</si>
  <si>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</si>
  <si>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</si>
  <si>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</si>
  <si>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</si>
  <si>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</si>
  <si>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</si>
  <si>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</si>
  <si>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</si>
  <si>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</si>
  <si>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</si>
  <si>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</si>
  <si>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</si>
  <si>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</si>
  <si>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</si>
  <si>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</si>
  <si>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</si>
  <si>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</si>
  <si>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</si>
  <si>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</si>
  <si>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</si>
  <si>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</si>
  <si>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</si>
  <si>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</si>
  <si>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</si>
  <si>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</si>
  <si>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</si>
  <si>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</si>
  <si>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</si>
  <si>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</si>
  <si>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</si>
  <si>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</si>
  <si>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</si>
  <si>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</si>
  <si>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</si>
  <si>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</si>
  <si>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</si>
  <si>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</si>
  <si>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</si>
  <si>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</si>
  <si>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</si>
  <si>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</si>
  <si>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</si>
  <si>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</si>
  <si>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</si>
  <si>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</si>
  <si>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</si>
  <si>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</si>
  <si>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</si>
  <si>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</si>
  <si>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</si>
  <si>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</si>
  <si>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</si>
  <si>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</si>
  <si>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</si>
  <si>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</si>
  <si>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</si>
  <si>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</si>
  <si>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</si>
  <si>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</si>
  <si>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</si>
  <si>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</si>
  <si>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</si>
  <si>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</si>
  <si>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</si>
  <si>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</si>
  <si>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</si>
  <si>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</si>
  <si>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</si>
  <si>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</si>
  <si>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</si>
  <si>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</si>
  <si>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</si>
  <si>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</si>
  <si>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</si>
  <si>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</si>
  <si>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</si>
  <si>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</si>
  <si>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</si>
  <si>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</si>
  <si>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</si>
  <si>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</si>
  <si>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</si>
  <si>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</si>
  <si>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</si>
  <si>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</si>
  <si>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</si>
  <si>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</si>
  <si>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</si>
  <si>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</si>
  <si>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</si>
  <si>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</si>
  <si>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</si>
  <si>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</si>
  <si>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</si>
  <si>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</si>
  <si>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</si>
  <si>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</si>
  <si>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</si>
  <si>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</si>
  <si>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</si>
  <si>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</si>
  <si>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</si>
  <si>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</si>
  <si>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</si>
  <si>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</si>
  <si>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</si>
  <si>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</si>
  <si>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</si>
  <si>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</si>
  <si>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</si>
  <si>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</si>
  <si>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</si>
  <si>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</si>
  <si>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</si>
  <si>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</si>
  <si>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</si>
  <si>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</si>
  <si>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</si>
  <si>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</si>
  <si>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</si>
  <si>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</si>
  <si>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</si>
  <si>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</si>
  <si>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</si>
  <si>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</si>
  <si>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</si>
  <si>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</si>
  <si>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</si>
  <si>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</si>
  <si>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</si>
  <si>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</si>
  <si>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</si>
  <si>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</si>
  <si>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</si>
  <si>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</si>
  <si>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</si>
  <si>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</si>
  <si>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</si>
  <si>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</si>
  <si>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</si>
  <si>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</si>
  <si>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</si>
  <si>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</si>
  <si>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</si>
  <si>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</si>
  <si>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</si>
  <si>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</si>
  <si>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</si>
  <si>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</si>
  <si>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</si>
  <si>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</si>
  <si>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</si>
  <si>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</si>
  <si>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</si>
  <si>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</si>
  <si>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</si>
  <si>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</si>
  <si>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</si>
  <si>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</si>
  <si>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</si>
  <si>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</si>
  <si>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</si>
  <si>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</si>
  <si>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</si>
  <si>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</si>
  <si>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</si>
  <si>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</si>
  <si>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</si>
  <si>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</si>
  <si>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</si>
  <si>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</si>
  <si>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</si>
  <si>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</si>
  <si>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</si>
  <si>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</si>
  <si>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</si>
  <si>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</si>
  <si>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</si>
  <si>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</si>
  <si>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</si>
  <si>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</si>
  <si>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</si>
  <si>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</si>
  <si>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</si>
  <si>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</si>
  <si>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</si>
  <si>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</si>
  <si>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</si>
  <si>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</si>
  <si>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</si>
  <si>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</si>
  <si>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</si>
  <si>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</si>
  <si>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</si>
  <si>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</si>
  <si>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</si>
  <si>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</si>
  <si>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</si>
  <si>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</si>
  <si>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</si>
  <si>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</si>
  <si>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</si>
  <si>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</si>
  <si>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</si>
  <si>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</si>
  <si>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</si>
  <si>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</si>
  <si>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</si>
  <si>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</si>
  <si>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</si>
  <si>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</si>
  <si>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</si>
  <si>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</si>
  <si>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</si>
  <si>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</si>
  <si>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</si>
  <si>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</si>
  <si>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</si>
  <si>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</si>
  <si>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</si>
  <si>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</si>
  <si>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</si>
  <si>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</si>
  <si>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</si>
  <si>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</si>
  <si>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</si>
  <si>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</si>
  <si>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</si>
  <si>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</si>
  <si>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</si>
  <si>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</si>
  <si>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</si>
  <si>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</si>
  <si>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</si>
  <si>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</si>
  <si>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</si>
  <si>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</si>
  <si>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</si>
  <si>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</si>
  <si>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</si>
  <si>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</si>
  <si>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</si>
  <si>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</si>
  <si>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</si>
  <si>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</si>
  <si>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</si>
  <si>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</si>
  <si>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</si>
  <si>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</si>
  <si>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</si>
  <si>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</si>
  <si>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</si>
  <si>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</si>
  <si>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</si>
  <si>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</si>
  <si>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</si>
  <si>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</si>
  <si>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</si>
  <si>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</si>
  <si>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</si>
  <si>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</si>
  <si>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</si>
  <si>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</si>
  <si>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</si>
  <si>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</si>
  <si>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</si>
  <si>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</si>
  <si>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</si>
  <si>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</si>
  <si>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</si>
  <si>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</si>
  <si>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</si>
  <si>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</si>
  <si>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</si>
  <si>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</si>
  <si>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</si>
  <si>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</si>
  <si>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</si>
  <si>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</si>
  <si>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</si>
  <si>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</si>
  <si>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</si>
  <si>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</si>
  <si>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</si>
  <si>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</si>
  <si>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</si>
  <si>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</si>
  <si>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</si>
  <si>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</si>
  <si>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</si>
  <si>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</si>
  <si>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</si>
  <si>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</si>
  <si>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</si>
  <si>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</si>
  <si>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</si>
  <si>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</si>
  <si>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</si>
  <si>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</si>
  <si>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</si>
  <si>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</si>
  <si>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</si>
  <si>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</si>
  <si>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</si>
  <si>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</si>
  <si>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</si>
  <si>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</si>
  <si>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</si>
  <si>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</si>
  <si>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</si>
  <si>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</si>
  <si>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</si>
  <si>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</si>
  <si>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</si>
  <si>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</si>
  <si>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</si>
  <si>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</si>
  <si>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</si>
  <si>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</si>
  <si>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</si>
  <si>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</si>
  <si>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</si>
  <si>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</si>
  <si>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</si>
  <si>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</si>
  <si>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</si>
  <si>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</si>
  <si>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</si>
  <si>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</si>
  <si>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</si>
  <si>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</si>
  <si>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</si>
  <si>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</si>
  <si>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</si>
  <si>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</si>
  <si>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</si>
  <si>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</si>
  <si>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</si>
  <si>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</si>
  <si>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</si>
  <si>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</si>
  <si>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</si>
  <si>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</si>
  <si>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</si>
  <si>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</si>
  <si>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</si>
  <si>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</si>
  <si>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</si>
  <si>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</si>
  <si>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</si>
  <si>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</si>
  <si>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</si>
  <si>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</si>
  <si>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</si>
  <si>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</si>
  <si>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</si>
  <si>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</si>
  <si>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</si>
  <si>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</si>
  <si>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</si>
  <si>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</si>
  <si>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</si>
  <si>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</si>
  <si>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</si>
  <si>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</si>
  <si>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</si>
  <si>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</si>
  <si>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</si>
  <si>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</si>
  <si>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</si>
  <si>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</si>
  <si>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</si>
  <si>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</si>
  <si>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</si>
  <si>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</si>
  <si>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</si>
  <si>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</si>
  <si>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</si>
  <si>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</si>
  <si>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</si>
  <si>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</si>
  <si>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</si>
  <si>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</si>
  <si>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</si>
  <si>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</si>
  <si>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</si>
  <si>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</si>
  <si>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</si>
  <si>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</si>
  <si>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</si>
  <si>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</si>
  <si>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</si>
  <si>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</si>
  <si>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</si>
  <si>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</si>
  <si>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</si>
  <si>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</si>
  <si>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</si>
  <si>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</si>
  <si>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</si>
  <si>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</si>
  <si>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</si>
  <si>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</si>
  <si>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</si>
  <si>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</si>
  <si>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</si>
  <si>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</si>
  <si>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</si>
  <si>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</si>
  <si>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</si>
  <si>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</si>
  <si>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</si>
  <si>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</si>
  <si>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</si>
  <si>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</si>
  <si>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</si>
  <si>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</si>
  <si>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</si>
  <si>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</si>
  <si>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</si>
  <si>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</si>
  <si>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</si>
  <si>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</si>
  <si>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</si>
  <si>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</si>
  <si>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</si>
  <si>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</si>
  <si>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</si>
  <si>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</si>
  <si>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</si>
  <si>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</si>
  <si>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</si>
  <si>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</si>
  <si>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</si>
  <si>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</si>
  <si>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</si>
  <si>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</si>
  <si>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</si>
  <si>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</si>
  <si>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</si>
  <si>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</si>
  <si>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</si>
  <si>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</si>
  <si>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</si>
  <si>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</si>
  <si>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</si>
  <si>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</si>
  <si>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</si>
  <si>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</si>
  <si>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</si>
  <si>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</si>
  <si>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</si>
  <si>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</si>
  <si>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</si>
  <si>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</si>
  <si>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</si>
  <si>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</si>
  <si>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</si>
  <si>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</si>
  <si>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</si>
  <si>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</si>
  <si>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</si>
  <si>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</si>
  <si>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</si>
  <si>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</si>
  <si>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</si>
  <si>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</si>
  <si>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</si>
  <si>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</si>
  <si>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</si>
  <si>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</si>
  <si>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</si>
  <si>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</si>
  <si>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</si>
  <si>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</si>
  <si>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</si>
  <si>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</si>
  <si>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</si>
  <si>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</si>
  <si>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</si>
  <si>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</si>
  <si>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</si>
  <si>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</si>
  <si>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</si>
  <si>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</si>
  <si>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</si>
  <si>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</si>
  <si>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</si>
  <si>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</si>
  <si>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</si>
  <si>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</si>
  <si>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</si>
  <si>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</si>
  <si>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</si>
  <si>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</si>
  <si>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</si>
  <si>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</si>
  <si>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</si>
  <si>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</si>
  <si>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</si>
  <si>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</si>
  <si>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</si>
  <si>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</si>
  <si>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</si>
  <si>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</si>
  <si>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</si>
  <si>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</si>
  <si>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</si>
  <si>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</si>
  <si>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</si>
  <si>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</si>
  <si>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</si>
  <si>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</si>
  <si>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</si>
  <si>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</si>
  <si>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</si>
  <si>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</si>
  <si>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</si>
  <si>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</si>
  <si>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</si>
  <si>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</si>
  <si>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</si>
  <si>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</si>
  <si>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</si>
  <si>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</si>
  <si>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</si>
  <si>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</si>
  <si>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</si>
  <si>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</si>
  <si>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</si>
  <si>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</si>
  <si>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</si>
  <si>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</si>
  <si>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</si>
  <si>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</si>
  <si>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</si>
  <si>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</si>
  <si>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</si>
  <si>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</si>
  <si>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</si>
  <si>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</si>
  <si>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</si>
  <si>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</si>
  <si>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</si>
  <si>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</si>
  <si>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</si>
  <si>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</si>
  <si>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</si>
  <si>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</si>
  <si>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</si>
  <si>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</si>
  <si>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</si>
  <si>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</si>
  <si>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</si>
  <si>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</si>
  <si>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</si>
  <si>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</si>
  <si>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</si>
  <si>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</si>
  <si>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</si>
  <si>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</si>
  <si>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</si>
  <si>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</si>
  <si>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</si>
  <si>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</si>
  <si>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</si>
  <si>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</si>
  <si>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</si>
  <si>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</si>
  <si>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</si>
  <si>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</si>
  <si>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</si>
  <si>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</si>
  <si>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</si>
  <si>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</si>
  <si>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</si>
  <si>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</si>
  <si>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</si>
  <si>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</si>
  <si>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</si>
  <si>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</si>
  <si>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</si>
  <si>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</si>
  <si>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</si>
  <si>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</si>
  <si>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</si>
  <si>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</si>
  <si>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</si>
  <si>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</si>
  <si>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</si>
  <si>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</si>
  <si>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</si>
  <si>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</si>
  <si>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</si>
  <si>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</si>
  <si>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</si>
  <si>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</si>
  <si>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</si>
  <si>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</si>
  <si>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</si>
  <si>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</si>
  <si>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</si>
  <si>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</si>
  <si>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</si>
  <si>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</si>
  <si>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</si>
  <si>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</si>
  <si>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</si>
  <si>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</si>
  <si>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</si>
  <si>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</si>
  <si>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</si>
  <si>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</si>
  <si>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</si>
  <si>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</si>
  <si>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</si>
  <si>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</si>
  <si>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</si>
  <si>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</si>
  <si>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</si>
  <si>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</si>
  <si>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</si>
  <si>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</si>
  <si>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</si>
  <si>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</si>
  <si>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</si>
  <si>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</si>
  <si>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</si>
  <si>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</si>
  <si>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</si>
  <si>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</si>
  <si>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</si>
  <si>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</si>
  <si>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</si>
  <si>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</si>
  <si>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</si>
  <si>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</si>
  <si>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</si>
  <si>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</si>
  <si>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</si>
  <si>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</si>
  <si>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</si>
  <si>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</si>
  <si>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</si>
  <si>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</si>
  <si>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</si>
  <si>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</si>
  <si>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</si>
  <si>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</si>
  <si>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</si>
  <si>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</si>
  <si>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</si>
  <si>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</si>
  <si>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</si>
  <si>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</si>
  <si>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</si>
  <si>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</si>
  <si>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</si>
  <si>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</si>
  <si>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</si>
  <si>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</si>
  <si>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</si>
  <si>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</si>
  <si>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</si>
  <si>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</si>
  <si>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</si>
  <si>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</si>
  <si>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</si>
  <si>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</si>
  <si>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</si>
  <si>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</si>
  <si>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</si>
  <si>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</si>
  <si>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</si>
  <si>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</si>
  <si>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</si>
  <si>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</si>
  <si>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</si>
  <si>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</si>
  <si>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</si>
  <si>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</si>
  <si>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</si>
  <si>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</si>
  <si>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</si>
  <si>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</si>
  <si>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</si>
  <si>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</si>
  <si>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</si>
  <si>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</si>
  <si>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</si>
  <si>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</si>
  <si>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</si>
  <si>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</si>
  <si>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</si>
  <si>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</si>
  <si>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</si>
  <si>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</si>
  <si>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</si>
  <si>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</si>
  <si>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</si>
  <si>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</si>
  <si>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</si>
  <si>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</si>
  <si>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</si>
  <si>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</si>
  <si>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</si>
  <si>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</si>
  <si>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</si>
  <si>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</si>
  <si>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</si>
  <si>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</si>
  <si>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</si>
  <si>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</si>
  <si>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</si>
  <si>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</si>
  <si>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</si>
  <si>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</si>
  <si>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</si>
  <si>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</si>
  <si>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</si>
  <si>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</si>
  <si>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</si>
  <si>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</si>
  <si>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</si>
  <si>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</si>
  <si>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</si>
  <si>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</si>
  <si>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</si>
  <si>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</si>
  <si>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</si>
  <si>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</si>
  <si>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</si>
  <si>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</si>
  <si>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</si>
  <si>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</si>
  <si>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</si>
  <si>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</si>
  <si>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</si>
  <si>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</si>
  <si>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</si>
  <si>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</si>
  <si>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</si>
  <si>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</si>
  <si>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</si>
  <si>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</si>
  <si>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</si>
  <si>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</si>
  <si>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</si>
  <si>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</si>
  <si>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</si>
  <si>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</si>
  <si>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</si>
  <si>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</si>
  <si>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</si>
  <si>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</si>
  <si>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</si>
  <si>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</si>
  <si>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</si>
  <si>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</si>
  <si>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</si>
  <si>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</si>
  <si>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</si>
  <si>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</si>
  <si>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</si>
  <si>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</si>
  <si>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</si>
  <si>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</si>
  <si>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</si>
  <si>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</si>
  <si>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</si>
  <si>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</si>
  <si>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</si>
  <si>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</si>
  <si>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</si>
  <si>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</si>
  <si>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</si>
  <si>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</si>
  <si>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</si>
  <si>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</si>
  <si>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</si>
  <si>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</si>
  <si>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</si>
  <si>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</si>
  <si>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</si>
  <si>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</si>
  <si>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</si>
  <si>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</si>
  <si>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</si>
  <si>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</si>
  <si>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</si>
  <si>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</si>
  <si>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</si>
  <si>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</si>
  <si>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</si>
  <si>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</si>
  <si>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</si>
  <si>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</si>
  <si>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</si>
  <si>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</si>
  <si>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</si>
  <si>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</si>
  <si>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</si>
  <si>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</si>
  <si>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</si>
  <si>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</si>
  <si>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</si>
  <si>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</si>
  <si>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</si>
  <si>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</si>
  <si>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</si>
  <si>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</si>
  <si>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</si>
  <si>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</si>
  <si>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</si>
  <si>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</si>
  <si>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</si>
  <si>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</si>
  <si>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</si>
  <si>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</si>
  <si>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</si>
  <si>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</si>
  <si>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</si>
  <si>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</si>
  <si>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</si>
  <si>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</si>
  <si>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</si>
  <si>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</si>
  <si>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</si>
  <si>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</si>
  <si>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</si>
  <si>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</si>
  <si>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</si>
  <si>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</si>
  <si>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</si>
  <si>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</si>
  <si>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</si>
  <si>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</si>
  <si>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</si>
  <si>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</si>
  <si>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</si>
  <si>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</si>
  <si>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</si>
  <si>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</si>
  <si>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</si>
  <si>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</si>
  <si>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</si>
  <si>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</si>
  <si>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</si>
  <si>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</si>
  <si>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</si>
  <si>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</si>
  <si>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</si>
  <si>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</si>
  <si>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</si>
  <si>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</si>
  <si>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</si>
  <si>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</si>
  <si>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</si>
  <si>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</si>
  <si>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</si>
  <si>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</si>
  <si>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</si>
  <si>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</si>
  <si>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</si>
  <si>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</si>
  <si>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</si>
  <si>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</si>
  <si>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</si>
  <si>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</si>
  <si>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</si>
  <si>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</si>
  <si>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</si>
  <si>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</si>
  <si>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</si>
  <si>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</si>
  <si>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</si>
  <si>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</si>
  <si>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</si>
  <si>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</si>
  <si>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</si>
  <si>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</si>
  <si>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</si>
  <si>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</si>
  <si>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</si>
  <si>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</si>
  <si>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</si>
  <si>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</si>
  <si>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</si>
  <si>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</si>
  <si>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</si>
  <si>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</si>
  <si>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</si>
  <si>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</si>
  <si>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</si>
  <si>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</si>
  <si>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</si>
  <si>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</si>
  <si>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</si>
  <si>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</si>
  <si>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</si>
  <si>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</si>
  <si>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</si>
  <si>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</si>
  <si>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</si>
  <si>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</si>
  <si>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</si>
  <si>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</si>
  <si>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</si>
  <si>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</si>
  <si>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</si>
  <si>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</si>
  <si>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</si>
  <si>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</si>
  <si>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</si>
  <si>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</si>
  <si>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</si>
  <si>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</si>
  <si>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</si>
  <si>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</si>
  <si>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</si>
  <si>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</si>
  <si>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</si>
  <si>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</si>
  <si>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</si>
  <si>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</si>
  <si>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</si>
  <si>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</si>
  <si>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</si>
  <si>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</si>
  <si>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</si>
  <si>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</si>
  <si>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</si>
  <si>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</si>
  <si>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</si>
  <si>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</si>
  <si>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</si>
  <si>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</si>
  <si>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</si>
  <si>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</si>
  <si>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</si>
  <si>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</si>
  <si>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</si>
  <si>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</si>
  <si>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</si>
  <si>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</si>
  <si>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</si>
  <si>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</si>
  <si>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</si>
  <si>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</si>
  <si>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</si>
  <si>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</si>
  <si>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</si>
  <si>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</si>
  <si>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</si>
  <si>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</si>
  <si>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</si>
  <si>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</si>
  <si>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</si>
  <si>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</si>
  <si>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</si>
  <si>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</si>
  <si>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</si>
  <si>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</si>
  <si>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</si>
  <si>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</si>
  <si>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</si>
  <si>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</si>
  <si>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</si>
  <si>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</si>
  <si>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</si>
  <si>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</si>
  <si>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</si>
  <si>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</si>
  <si>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</si>
  <si>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</si>
  <si>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</si>
  <si>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</si>
  <si>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</si>
  <si>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</si>
  <si>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</si>
  <si>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</si>
  <si>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</si>
  <si>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</si>
  <si>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</si>
  <si>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</si>
  <si>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</si>
  <si>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</si>
  <si>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</si>
  <si>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</si>
  <si>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</si>
  <si>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</si>
  <si>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</si>
  <si>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</si>
  <si>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</si>
  <si>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</si>
  <si>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</si>
  <si>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</si>
  <si>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</si>
  <si>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</si>
  <si>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</si>
  <si>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</si>
  <si>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</si>
  <si>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</si>
  <si>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</si>
  <si>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</si>
  <si>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</si>
  <si>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</si>
  <si>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</si>
  <si>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</si>
  <si>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</si>
  <si>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</si>
  <si>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</si>
  <si>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</si>
  <si>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</si>
  <si>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</si>
  <si>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</si>
  <si>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</si>
  <si>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</si>
  <si>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</si>
  <si>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</si>
  <si>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</si>
  <si>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</si>
  <si>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</si>
  <si>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</si>
  <si>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</si>
  <si>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</si>
  <si>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</si>
  <si>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</si>
  <si>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</si>
  <si>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</si>
  <si>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</si>
  <si>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</si>
  <si>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</si>
  <si>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</si>
  <si>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</si>
  <si>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</si>
  <si>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</si>
  <si>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</si>
  <si>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</si>
  <si>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</si>
  <si>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</si>
  <si>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</si>
  <si>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</si>
  <si>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</si>
  <si>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</si>
  <si>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</si>
  <si>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</si>
  <si>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</si>
  <si>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</si>
  <si>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</si>
  <si>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</si>
  <si>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</si>
  <si>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</si>
  <si>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</si>
  <si>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</si>
  <si>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</si>
  <si>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</si>
  <si>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</si>
  <si>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</si>
  <si>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</si>
  <si>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</si>
  <si>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</si>
  <si>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</si>
  <si>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</si>
  <si>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</si>
  <si>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</si>
  <si>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</si>
  <si>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</si>
  <si>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</si>
  <si>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</si>
  <si>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</si>
  <si>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</si>
  <si>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</si>
  <si>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</si>
  <si>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</si>
  <si>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</si>
  <si>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</si>
  <si>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</si>
  <si>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</si>
  <si>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</si>
  <si>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</si>
  <si>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</si>
  <si>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</si>
  <si>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</si>
  <si>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</si>
  <si>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</si>
  <si>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</si>
  <si>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</si>
  <si>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</si>
  <si>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</si>
  <si>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</si>
  <si>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</si>
  <si>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</si>
  <si>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</si>
  <si>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</si>
  <si>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</si>
  <si>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</si>
  <si>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</si>
  <si>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</si>
  <si>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</si>
  <si>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</si>
  <si>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</si>
  <si>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</si>
  <si>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</si>
  <si>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</si>
  <si>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</si>
  <si>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</si>
  <si>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</si>
  <si>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</si>
  <si>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</si>
  <si>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</si>
  <si>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</si>
  <si>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</si>
  <si>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</si>
  <si>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</si>
  <si>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</si>
  <si>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</si>
  <si>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</si>
  <si>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</si>
  <si>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</si>
  <si>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</si>
  <si>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</si>
  <si>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</si>
  <si>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</si>
  <si>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</si>
  <si>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</si>
  <si>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</si>
  <si>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</si>
  <si>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</si>
  <si>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</si>
  <si>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</si>
  <si>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</si>
  <si>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</si>
  <si>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</si>
  <si>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</si>
  <si>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</si>
  <si>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</si>
  <si>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</si>
  <si>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</si>
  <si>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</si>
  <si>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</si>
  <si>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</si>
  <si>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</si>
  <si>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</si>
  <si>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</si>
  <si>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</si>
  <si>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</si>
  <si>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</si>
  <si>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</si>
  <si>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</si>
  <si>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</si>
  <si>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</si>
  <si>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</si>
  <si>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</si>
  <si>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</si>
  <si>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</si>
  <si>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</si>
  <si>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</si>
  <si>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</si>
  <si>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</si>
  <si>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</si>
  <si>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</si>
  <si>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</si>
  <si>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</si>
  <si>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</si>
  <si>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</si>
  <si>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</si>
  <si>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</si>
  <si>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</si>
  <si>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</si>
  <si>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</si>
  <si>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</si>
  <si>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</si>
  <si>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</si>
  <si>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</si>
  <si>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</si>
  <si>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</si>
  <si>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</si>
  <si>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</si>
  <si>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</si>
  <si>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</si>
  <si>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</si>
  <si>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</si>
  <si>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</si>
  <si>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</si>
  <si>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</si>
  <si>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</si>
  <si>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</si>
  <si>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</si>
  <si>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</si>
  <si>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</si>
  <si>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</si>
  <si>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</si>
  <si>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</si>
  <si>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</si>
  <si>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</si>
  <si>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</si>
  <si>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</si>
  <si>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</si>
  <si>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</si>
  <si>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</si>
  <si>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</si>
  <si>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</si>
  <si>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</si>
  <si>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</si>
  <si>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</si>
  <si>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</si>
  <si>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</si>
  <si>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</si>
  <si>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</si>
  <si>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</si>
  <si>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</si>
  <si>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</si>
  <si>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</si>
  <si>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</si>
  <si>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</si>
  <si>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</si>
  <si>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</si>
  <si>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</si>
  <si>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</si>
  <si>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</si>
  <si>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</si>
  <si>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</si>
  <si>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</si>
  <si>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</si>
  <si>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</si>
  <si>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</si>
  <si>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</si>
  <si>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</si>
  <si>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</si>
  <si>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</si>
  <si>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</si>
  <si>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</si>
  <si>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</si>
  <si>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</si>
  <si>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</si>
  <si>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</si>
  <si>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</si>
  <si>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</si>
  <si>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</si>
  <si>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</si>
  <si>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</si>
  <si>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</si>
  <si>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</si>
  <si>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</si>
  <si>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</si>
  <si>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</si>
  <si>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</si>
  <si>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</si>
  <si>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</si>
  <si>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</si>
  <si>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</si>
  <si>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</si>
  <si>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</si>
  <si>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</si>
  <si>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</si>
  <si>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</si>
  <si>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</si>
  <si>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</si>
  <si>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</si>
  <si>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</si>
  <si>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</si>
  <si>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</si>
  <si>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</si>
  <si>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</si>
  <si>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</si>
  <si>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</si>
  <si>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</si>
  <si>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</si>
  <si>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</si>
  <si>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</si>
  <si>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</si>
  <si>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</si>
  <si>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</si>
  <si>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</si>
  <si>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</si>
  <si>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</si>
  <si>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</si>
  <si>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</si>
  <si>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</si>
  <si>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</si>
  <si>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</si>
  <si>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</si>
  <si>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</si>
  <si>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</si>
  <si>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</si>
  <si>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</si>
  <si>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</si>
  <si>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</si>
  <si>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</si>
  <si>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</si>
  <si>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</si>
  <si>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</si>
  <si>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</si>
  <si>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</si>
  <si>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</si>
  <si>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</si>
  <si>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</si>
  <si>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</si>
  <si>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</si>
  <si>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</si>
  <si>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</si>
  <si>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</si>
  <si>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</si>
  <si>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</si>
  <si>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</si>
  <si>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</si>
  <si>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</si>
  <si>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</si>
  <si>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</si>
  <si>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</si>
  <si>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</si>
  <si>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</si>
  <si>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</si>
  <si>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</si>
  <si>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</si>
  <si>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</si>
  <si>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</si>
  <si>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</si>
  <si>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</si>
  <si>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</si>
  <si>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</si>
  <si>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</si>
  <si>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</si>
  <si>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</si>
  <si>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</si>
  <si>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</si>
  <si>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</si>
  <si>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</si>
  <si>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</si>
  <si>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</si>
  <si>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</si>
  <si>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</si>
  <si>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</si>
  <si>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</si>
  <si>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</si>
  <si>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</si>
  <si>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</si>
  <si>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</si>
  <si>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</si>
  <si>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</si>
  <si>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</si>
  <si>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</si>
  <si>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</si>
  <si>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</si>
  <si>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</si>
  <si>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</si>
  <si>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</si>
  <si>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</si>
  <si>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</si>
  <si>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</si>
  <si>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</si>
  <si>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</si>
  <si>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</si>
  <si>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</si>
  <si>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</si>
  <si>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</si>
  <si>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</si>
  <si>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</si>
  <si>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</si>
  <si>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</si>
  <si>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</si>
  <si>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</si>
  <si>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</si>
  <si>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</si>
  <si>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</si>
  <si>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</si>
  <si>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</si>
  <si>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</si>
  <si>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</si>
  <si>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</si>
  <si>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</si>
  <si>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</si>
  <si>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</si>
  <si>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</si>
  <si>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</si>
  <si>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</si>
  <si>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</si>
  <si>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</si>
  <si>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</si>
  <si>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</si>
  <si>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</si>
  <si>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</si>
  <si>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</si>
  <si>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</si>
  <si>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</si>
  <si>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</si>
  <si>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</si>
  <si>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</si>
  <si>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</si>
  <si>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</si>
  <si>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</si>
  <si>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</si>
  <si>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</si>
  <si>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</si>
  <si>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</si>
  <si>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</si>
  <si>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</si>
  <si>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</si>
  <si>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</si>
  <si>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</si>
  <si>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</si>
  <si>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</si>
  <si>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</si>
  <si>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</si>
  <si>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</si>
  <si>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</si>
  <si>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</si>
  <si>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</si>
  <si>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</si>
  <si>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</si>
  <si>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</si>
  <si>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</si>
  <si>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</si>
  <si>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</si>
  <si>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</si>
  <si>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</si>
  <si>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</si>
  <si>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</si>
  <si>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</si>
  <si>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</si>
  <si>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</si>
  <si>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</si>
  <si>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</si>
  <si>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</si>
  <si>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</si>
  <si>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</si>
  <si>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</si>
  <si>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</si>
  <si>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</si>
  <si>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</si>
  <si>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</si>
  <si>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</si>
  <si>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</si>
  <si>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</si>
  <si>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</si>
  <si>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</si>
  <si>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</si>
  <si>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</si>
  <si>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</si>
  <si>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</si>
  <si>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</si>
  <si>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</si>
  <si>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</si>
  <si>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</si>
  <si>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</si>
  <si>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</si>
  <si>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</si>
  <si>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</si>
  <si>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</si>
  <si>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</si>
  <si>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</si>
  <si>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</si>
  <si>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</si>
  <si>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</si>
  <si>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</si>
  <si>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</si>
  <si>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</si>
  <si>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</si>
  <si>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</si>
  <si>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</si>
  <si>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</si>
  <si>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</si>
  <si>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</si>
  <si>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</si>
  <si>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</si>
  <si>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</si>
  <si>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</si>
  <si>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</si>
  <si>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</si>
  <si>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</si>
  <si>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</si>
  <si>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</si>
  <si>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</si>
  <si>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</si>
  <si>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</si>
  <si>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</si>
  <si>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</si>
  <si>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</si>
  <si>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</si>
  <si>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</si>
  <si>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</si>
  <si>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</si>
  <si>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</si>
  <si>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</si>
  <si>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</si>
  <si>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</si>
  <si>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</si>
  <si>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</si>
  <si>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</si>
  <si>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</si>
  <si>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</si>
  <si>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</si>
  <si>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</si>
  <si>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</si>
  <si>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</si>
  <si>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</si>
  <si>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</si>
  <si>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</si>
  <si>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</si>
  <si>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</si>
  <si>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</si>
  <si>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</si>
  <si>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</si>
  <si>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</si>
  <si>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</si>
  <si>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</si>
  <si>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</si>
  <si>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</si>
  <si>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</si>
  <si>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</si>
  <si>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</si>
  <si>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</si>
  <si>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</si>
  <si>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</si>
  <si>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</si>
  <si>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</si>
  <si>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</si>
  <si>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</si>
  <si>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</si>
  <si>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</si>
  <si>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</si>
  <si>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</si>
  <si>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</si>
  <si>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</si>
  <si>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</si>
  <si>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</si>
  <si>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</si>
  <si>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</si>
  <si>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</si>
  <si>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</si>
  <si>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</si>
  <si>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</si>
  <si>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</si>
  <si>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</si>
  <si>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</si>
  <si>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</si>
  <si>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</si>
  <si>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</si>
  <si>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</si>
  <si>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</si>
  <si>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</si>
  <si>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</si>
  <si>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</si>
  <si>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</si>
  <si>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</si>
  <si>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</si>
  <si>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</si>
  <si>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</si>
  <si>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</si>
  <si>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</si>
  <si>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</si>
  <si>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</si>
  <si>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</si>
  <si>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</si>
  <si>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</si>
  <si>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</si>
  <si>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</si>
  <si>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</si>
  <si>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</si>
  <si>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</si>
  <si>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</si>
  <si>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</si>
  <si>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</si>
  <si>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</si>
  <si>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</si>
  <si>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</si>
  <si>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</si>
  <si>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</si>
  <si>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</si>
  <si>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</si>
  <si>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</si>
  <si>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</si>
  <si>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</si>
  <si>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</si>
  <si>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</si>
  <si>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</si>
  <si>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</si>
  <si>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</si>
  <si>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</si>
  <si>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</si>
  <si>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</si>
  <si>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</si>
  <si>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</si>
  <si>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</si>
  <si>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</si>
  <si>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</si>
  <si>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</si>
  <si>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</si>
  <si>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</si>
  <si>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</si>
  <si>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</si>
  <si>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</si>
  <si>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</si>
  <si>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</si>
  <si>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</si>
  <si>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</si>
  <si>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</si>
  <si>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</si>
  <si>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</si>
  <si>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</si>
  <si>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</si>
  <si>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</si>
  <si>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</si>
  <si>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</si>
  <si>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</si>
  <si>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</si>
  <si>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</si>
  <si>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</si>
  <si>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</si>
  <si>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</si>
  <si>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</si>
  <si>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</si>
  <si>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</si>
  <si>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</si>
  <si>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</si>
  <si>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</si>
  <si>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</si>
  <si>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</si>
  <si>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</si>
  <si>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</si>
  <si>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</si>
  <si>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</si>
  <si>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</si>
  <si>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</si>
  <si>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</si>
  <si>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</si>
  <si>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</si>
  <si>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</si>
  <si>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</si>
  <si>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</si>
  <si>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</si>
  <si>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</si>
  <si>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</si>
  <si>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</si>
  <si>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</si>
  <si>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</si>
  <si>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</si>
  <si>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</si>
  <si>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</si>
  <si>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</si>
  <si>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</si>
  <si>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</si>
  <si>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</si>
  <si>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</si>
  <si>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</si>
  <si>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</si>
  <si>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</si>
  <si>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</si>
  <si>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</si>
  <si>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</si>
  <si>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</si>
  <si>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</si>
  <si>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</si>
  <si>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</si>
  <si>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</si>
  <si>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</si>
  <si>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</si>
  <si>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</si>
  <si>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</si>
  <si>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</si>
  <si>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</si>
  <si>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</si>
  <si>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</si>
  <si>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</si>
  <si>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</si>
  <si>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</si>
  <si>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</si>
  <si>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</si>
  <si>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</si>
  <si>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</si>
  <si>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</si>
  <si>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</si>
  <si>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</si>
  <si>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</si>
  <si>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</si>
  <si>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</si>
  <si>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</si>
  <si>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</si>
  <si>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</si>
  <si>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</si>
  <si>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</si>
  <si>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</si>
  <si>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</si>
  <si>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</si>
  <si>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</si>
  <si>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</si>
  <si>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</si>
  <si>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</si>
  <si>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</si>
  <si>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</si>
  <si>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</si>
  <si>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</si>
  <si>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</si>
  <si>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</si>
  <si>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</si>
  <si>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</si>
  <si>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</si>
  <si>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</si>
  <si>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</si>
  <si>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</si>
  <si>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</si>
  <si>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</si>
  <si>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</si>
  <si>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</si>
  <si>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</si>
  <si>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</si>
  <si>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</si>
  <si>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</si>
  <si>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</si>
  <si>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</si>
  <si>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</si>
  <si>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</si>
  <si>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</si>
  <si>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</si>
  <si>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</si>
  <si>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</si>
  <si>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</si>
  <si>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</si>
  <si>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</si>
  <si>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</si>
  <si>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</si>
  <si>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</si>
  <si>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</si>
  <si>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</si>
  <si>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</si>
  <si>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</si>
  <si>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</si>
  <si>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</si>
  <si>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</si>
  <si>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</si>
  <si>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</si>
  <si>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</si>
  <si>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</si>
  <si>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</si>
  <si>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</si>
  <si>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</si>
  <si>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</si>
  <si>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</si>
  <si>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</si>
  <si>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</si>
  <si>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</si>
  <si>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</si>
  <si>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</si>
  <si>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</si>
  <si>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</si>
  <si>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</si>
  <si>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</si>
  <si>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</si>
  <si>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</si>
  <si>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</si>
  <si>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</si>
  <si>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</si>
  <si>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</si>
  <si>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</si>
  <si>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</si>
  <si>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</si>
  <si>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</si>
  <si>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</si>
  <si>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</si>
  <si>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</si>
  <si>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</si>
  <si>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</si>
  <si>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</si>
  <si>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</si>
  <si>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</si>
  <si>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</si>
  <si>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</si>
  <si>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</si>
  <si>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</si>
  <si>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</si>
  <si>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</si>
  <si>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</si>
  <si>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</si>
  <si>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</si>
  <si>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</si>
  <si>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</si>
  <si>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</si>
  <si>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</si>
  <si>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</si>
  <si>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</si>
  <si>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</si>
  <si>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</si>
  <si>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</si>
  <si>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</si>
  <si>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</si>
  <si>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</si>
  <si>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</si>
  <si>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</si>
  <si>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</si>
  <si>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</si>
  <si>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</si>
  <si>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</si>
  <si>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</si>
  <si>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</si>
  <si>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</si>
  <si>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</si>
  <si>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</si>
  <si>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</si>
  <si>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</si>
  <si>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</si>
  <si>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</si>
  <si>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</si>
  <si>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</si>
  <si>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</si>
  <si>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</si>
  <si>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</si>
  <si>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</si>
  <si>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</si>
  <si>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</si>
  <si>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</si>
  <si>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</si>
  <si>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</si>
  <si>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</si>
  <si>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</si>
  <si>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</si>
  <si>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</si>
  <si>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</si>
  <si>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</si>
  <si>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</si>
  <si>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</si>
  <si>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</si>
  <si>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</si>
  <si>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</si>
  <si>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</si>
  <si>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</si>
  <si>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</si>
  <si>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</si>
  <si>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</si>
  <si>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</si>
  <si>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</si>
  <si>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</si>
  <si>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</si>
  <si>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</si>
  <si>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</si>
  <si>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</si>
  <si>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</si>
  <si>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</si>
  <si>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</si>
  <si>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</si>
  <si>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</si>
  <si>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</si>
  <si>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</si>
  <si>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</si>
  <si>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</si>
  <si>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</si>
  <si>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</si>
  <si>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</si>
  <si>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</si>
  <si>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</si>
  <si>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</si>
  <si>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</si>
  <si>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</si>
  <si>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</si>
  <si>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</si>
  <si>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</si>
  <si>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</si>
  <si>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</si>
  <si>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</si>
  <si>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</si>
  <si>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</si>
  <si>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</si>
  <si>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</si>
  <si>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</si>
  <si>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</si>
  <si>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</si>
  <si>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</si>
  <si>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</si>
  <si>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</si>
  <si>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</si>
  <si>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</si>
  <si>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</si>
  <si>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</si>
  <si>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</si>
  <si>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</si>
  <si>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</si>
  <si>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</si>
  <si>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</si>
  <si>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</si>
  <si>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</si>
  <si>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</si>
  <si>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</si>
  <si>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</si>
  <si>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</si>
  <si>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</si>
  <si>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</si>
  <si>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</si>
  <si>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</si>
  <si>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</si>
  <si>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</si>
  <si>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</si>
  <si>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</si>
  <si>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</si>
  <si>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</si>
  <si>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</si>
  <si>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</si>
  <si>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</si>
  <si>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</si>
  <si>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</si>
  <si>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</si>
  <si>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</si>
  <si>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</si>
  <si>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</si>
  <si>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</si>
  <si>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</si>
  <si>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</si>
  <si>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</si>
  <si>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</si>
  <si>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</si>
  <si>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</si>
  <si>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</si>
  <si>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</si>
  <si>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</si>
  <si>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</si>
  <si>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</si>
  <si>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</si>
  <si>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</si>
  <si>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</si>
  <si>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</si>
  <si>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</si>
  <si>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</si>
  <si>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</si>
  <si>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</si>
  <si>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</si>
  <si>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</si>
  <si>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</si>
  <si>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</si>
  <si>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</si>
  <si>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</si>
  <si>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</si>
  <si>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</si>
  <si>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</si>
  <si>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</si>
  <si>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</si>
  <si>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</si>
  <si>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</si>
  <si>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</si>
  <si>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</si>
  <si>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</si>
  <si>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</si>
  <si>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</si>
  <si>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</si>
  <si>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</si>
  <si>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</si>
  <si>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</si>
  <si>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</si>
  <si>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</si>
  <si>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</si>
  <si>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</si>
  <si>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</si>
  <si>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</si>
  <si>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</si>
  <si>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</si>
  <si>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</si>
  <si>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</si>
  <si>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</si>
  <si>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</si>
  <si>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</si>
  <si>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</si>
  <si>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</si>
  <si>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</si>
  <si>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</si>
  <si>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</si>
  <si>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</si>
  <si>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</si>
  <si>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</si>
  <si>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</si>
  <si>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</si>
  <si>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</si>
  <si>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</si>
  <si>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</si>
  <si>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</si>
  <si>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</si>
  <si>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</si>
  <si>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</si>
  <si>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</si>
  <si>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</si>
  <si>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</si>
  <si>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</si>
  <si>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</si>
  <si>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</si>
  <si>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</si>
  <si>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</si>
  <si>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</si>
  <si>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</si>
  <si>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</si>
  <si>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</si>
  <si>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</si>
  <si>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</si>
  <si>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</si>
  <si>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</si>
  <si>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</si>
  <si>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</si>
  <si>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</si>
  <si>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</si>
  <si>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</si>
  <si>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</si>
  <si>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</si>
  <si>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</si>
  <si>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</si>
  <si>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</si>
  <si>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</si>
  <si>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</si>
  <si>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</si>
  <si>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</si>
  <si>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</si>
  <si>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</si>
  <si>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</si>
  <si>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</si>
  <si>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</si>
  <si>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</si>
  <si>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</si>
  <si>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</si>
  <si>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</si>
  <si>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</si>
  <si>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</si>
  <si>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</si>
  <si>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</si>
  <si>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</si>
  <si>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</si>
  <si>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</si>
  <si>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</si>
  <si>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</si>
  <si>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</si>
  <si>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</si>
  <si>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</si>
  <si>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</si>
  <si>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</si>
  <si>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</si>
  <si>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</si>
  <si>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</si>
  <si>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</si>
  <si>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</si>
  <si>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</si>
  <si>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</si>
  <si>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</si>
  <si>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</si>
  <si>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</si>
  <si>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</si>
  <si>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</si>
  <si>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</si>
  <si>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</si>
  <si>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</si>
  <si>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</si>
  <si>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</si>
  <si>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</si>
  <si>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</si>
  <si>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</si>
  <si>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</si>
  <si>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</si>
  <si>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</si>
  <si>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</si>
  <si>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</si>
  <si>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</si>
  <si>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</si>
  <si>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</si>
  <si>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</si>
  <si>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</si>
  <si>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</si>
  <si>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</si>
  <si>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</si>
  <si>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</si>
  <si>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</si>
  <si>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</si>
  <si>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</si>
  <si>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</si>
  <si>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</si>
  <si>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</si>
  <si>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</si>
  <si>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</si>
  <si>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</si>
  <si>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</si>
  <si>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</si>
  <si>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</si>
  <si>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</si>
  <si>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</si>
  <si>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</si>
  <si>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</si>
  <si>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</si>
  <si>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</si>
  <si>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</si>
  <si>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</si>
  <si>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</si>
  <si>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</si>
  <si>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</si>
  <si>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</si>
  <si>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</si>
  <si>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</si>
  <si>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</si>
  <si>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</si>
  <si>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</si>
  <si>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</si>
  <si>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</si>
  <si>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</si>
  <si>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</si>
  <si>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</si>
  <si>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</si>
  <si>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</si>
  <si>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</si>
  <si>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</si>
  <si>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</si>
  <si>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</si>
  <si>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</si>
  <si>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</si>
  <si>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</si>
  <si>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</si>
  <si>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</si>
  <si>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</si>
  <si>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</si>
  <si>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</si>
  <si>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</si>
  <si>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</si>
  <si>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</si>
  <si>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</si>
  <si>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</si>
  <si>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</si>
  <si>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</si>
  <si>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</si>
  <si>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</si>
  <si>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</si>
  <si>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</si>
  <si>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</si>
  <si>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</si>
  <si>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</si>
  <si>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</si>
  <si>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</si>
  <si>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</si>
  <si>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</si>
  <si>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</si>
  <si>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</si>
  <si>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</si>
  <si>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</si>
  <si>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</si>
  <si>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</si>
  <si>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</si>
  <si>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</si>
  <si>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</si>
  <si>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</si>
  <si>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</si>
  <si>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</si>
  <si>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</si>
  <si>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</si>
  <si>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</si>
  <si>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</si>
  <si>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</si>
  <si>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</si>
  <si>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</si>
  <si>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</si>
  <si>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</si>
  <si>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</si>
  <si>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</si>
  <si>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</si>
  <si>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</si>
  <si>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</si>
  <si>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</si>
  <si>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</si>
  <si>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</si>
  <si>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</si>
  <si>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</si>
  <si>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</si>
  <si>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</si>
  <si>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</si>
  <si>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</si>
  <si>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</si>
  <si>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</si>
  <si>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</si>
  <si>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</si>
  <si>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</si>
  <si>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</si>
  <si>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</si>
  <si>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</si>
  <si>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</si>
  <si>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</si>
  <si>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</si>
  <si>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</si>
  <si>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</si>
  <si>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</si>
  <si>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</si>
  <si>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</si>
  <si>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</si>
  <si>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</si>
  <si>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</si>
  <si>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</si>
  <si>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</si>
  <si>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</si>
  <si>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</si>
  <si>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</si>
  <si>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</si>
  <si>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</si>
  <si>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</si>
  <si>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</si>
  <si>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</si>
  <si>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</si>
  <si>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</si>
  <si>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</si>
  <si>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</si>
  <si>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</si>
  <si>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</si>
  <si>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</si>
  <si>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</si>
  <si>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</si>
  <si>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</si>
  <si>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</si>
  <si>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</si>
  <si>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</si>
  <si>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</si>
  <si>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</si>
  <si>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</si>
  <si>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</si>
  <si>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</si>
  <si>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</si>
  <si>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</si>
  <si>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</si>
  <si>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</si>
  <si>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</si>
  <si>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</si>
  <si>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</si>
  <si>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</si>
  <si>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</si>
  <si>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</si>
  <si>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</si>
  <si>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</si>
  <si>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</si>
  <si>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</si>
  <si>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</si>
  <si>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</si>
  <si>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</si>
  <si>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</si>
  <si>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</si>
  <si>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</si>
  <si>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</si>
  <si>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</si>
  <si>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</si>
  <si>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</si>
  <si>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</si>
  <si>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</si>
  <si>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</si>
  <si>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</si>
  <si>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</si>
  <si>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</si>
  <si>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</si>
  <si>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</si>
  <si>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</si>
  <si>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</si>
  <si>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</si>
  <si>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</si>
  <si>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</si>
  <si>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</si>
  <si>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</si>
  <si>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</si>
  <si>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</si>
  <si>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</si>
  <si>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</si>
  <si>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</si>
  <si>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</si>
  <si>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</si>
  <si>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</si>
  <si>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</si>
  <si>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</si>
  <si>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</si>
  <si>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</si>
  <si>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</si>
  <si>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</si>
  <si>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</si>
  <si>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</si>
  <si>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</si>
  <si>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</si>
  <si>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</si>
  <si>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</si>
  <si>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</si>
  <si>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</si>
  <si>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</si>
  <si>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</si>
  <si>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</si>
  <si>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</si>
  <si>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</si>
  <si>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</si>
  <si>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</si>
  <si>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</si>
  <si>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</si>
  <si>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</si>
  <si>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</si>
  <si>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</si>
  <si>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</si>
  <si>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</si>
  <si>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</si>
  <si>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</si>
  <si>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</si>
  <si>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</si>
  <si>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</si>
  <si>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</si>
  <si>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</si>
  <si>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</si>
  <si>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</si>
  <si>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</si>
  <si>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</si>
  <si>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</si>
  <si>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</si>
  <si>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</si>
  <si>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</si>
  <si>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</si>
  <si>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</si>
  <si>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</si>
  <si>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</si>
  <si>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</si>
  <si>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</si>
  <si>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</si>
  <si>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</si>
  <si>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</si>
  <si>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</si>
  <si>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</si>
  <si>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</si>
  <si>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</si>
  <si>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</si>
  <si>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</si>
  <si>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</si>
  <si>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</si>
  <si>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</si>
  <si>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</si>
  <si>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</si>
  <si>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</si>
  <si>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</si>
  <si>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</si>
  <si>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</si>
  <si>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</si>
  <si>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</si>
  <si>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</si>
  <si>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</si>
  <si>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</si>
  <si>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</si>
  <si>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</si>
  <si>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</si>
  <si>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</si>
  <si>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</si>
  <si>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</si>
  <si>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</si>
  <si>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</si>
  <si>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</si>
  <si>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</si>
  <si>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</si>
  <si>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</si>
  <si>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</si>
  <si>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</si>
  <si>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</si>
  <si>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</si>
  <si>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</si>
  <si>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</si>
  <si>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</si>
  <si>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</si>
  <si>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</si>
  <si>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</si>
  <si>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</si>
  <si>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</si>
  <si>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</si>
  <si>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</si>
  <si>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</si>
  <si>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</si>
  <si>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</si>
  <si>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</si>
  <si>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</si>
  <si>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</si>
  <si>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</si>
  <si>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</si>
  <si>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</si>
  <si>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</si>
  <si>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</si>
  <si>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</si>
  <si>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</si>
  <si>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</si>
  <si>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</si>
  <si>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</si>
  <si>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</si>
  <si>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</si>
  <si>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</si>
  <si>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</si>
  <si>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</si>
  <si>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</si>
  <si>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</si>
  <si>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</si>
  <si>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</si>
  <si>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</si>
  <si>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</si>
  <si>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</si>
  <si>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</si>
  <si>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</si>
  <si>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</si>
  <si>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</si>
  <si>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</si>
  <si>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</si>
  <si>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</si>
  <si>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</si>
  <si>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</si>
  <si>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</si>
  <si>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</si>
  <si>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</si>
  <si>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</si>
  <si>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</si>
  <si>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</si>
  <si>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</si>
  <si>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</si>
  <si>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</si>
  <si>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</si>
  <si>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</si>
  <si>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</si>
  <si>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</si>
  <si>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</si>
  <si>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</si>
  <si>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</si>
  <si>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</si>
  <si>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</si>
  <si>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</si>
  <si>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</si>
  <si>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</si>
  <si>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</si>
  <si>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</si>
  <si>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</si>
  <si>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</si>
  <si>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</si>
  <si>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</si>
  <si>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</si>
  <si>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</si>
  <si>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</si>
  <si>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</si>
  <si>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</si>
  <si>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</si>
  <si>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</si>
  <si>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</si>
  <si>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</si>
  <si>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</si>
  <si>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</si>
  <si>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</si>
  <si>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</si>
  <si>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</si>
  <si>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</si>
  <si>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</si>
  <si>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</si>
  <si>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</si>
  <si>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</si>
  <si>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</si>
  <si>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</si>
  <si>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</si>
  <si>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</si>
  <si>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</si>
  <si>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</si>
  <si>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</si>
  <si>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</si>
  <si>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</si>
  <si>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</si>
  <si>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</si>
  <si>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</si>
  <si>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</si>
  <si>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</si>
  <si>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</si>
  <si>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</si>
  <si>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</si>
  <si>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</si>
  <si>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</si>
  <si>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</si>
  <si>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</si>
  <si>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</si>
  <si>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</si>
  <si>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</si>
  <si>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</si>
  <si>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</si>
  <si>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</si>
  <si>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</si>
  <si>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</si>
  <si>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</si>
  <si>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</si>
  <si>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</si>
  <si>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</si>
  <si>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</si>
  <si>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</si>
  <si>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</si>
  <si>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</si>
  <si>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</si>
  <si>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</si>
  <si>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</si>
  <si>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</si>
  <si>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</si>
  <si>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</si>
  <si>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</si>
  <si>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</si>
  <si>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</si>
  <si>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</si>
  <si>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</si>
  <si>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</si>
  <si>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</si>
  <si>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</si>
  <si>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</si>
  <si>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</si>
  <si>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</si>
  <si>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</si>
  <si>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</si>
  <si>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</si>
  <si>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</si>
  <si>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</si>
  <si>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</si>
  <si>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</si>
  <si>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</si>
  <si>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</si>
  <si>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</si>
  <si>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</si>
  <si>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</si>
  <si>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</si>
  <si>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</si>
  <si>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</si>
  <si>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</si>
  <si>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</si>
  <si>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</si>
  <si>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</si>
  <si>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</si>
  <si>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</si>
  <si>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</si>
  <si>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</si>
  <si>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</si>
  <si>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</si>
  <si>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</si>
  <si>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</si>
  <si>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</si>
  <si>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</si>
  <si>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</si>
  <si>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mã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</si>
  <si>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</si>
  <si>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</si>
  <si>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</si>
  <si>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</si>
  <si>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</si>
  <si>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</si>
  <si>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</si>
  <si>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</si>
  <si>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</si>
  <si>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</si>
  <si>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</si>
  <si>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</si>
  <si>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</si>
  <si>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</si>
  <si>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</si>
  <si>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</si>
  <si>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</si>
  <si>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</si>
  <si>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</si>
  <si>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</si>
  <si>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</si>
  <si>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</si>
  <si>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</si>
  <si>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</si>
  <si>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</si>
  <si>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</si>
  <si>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</si>
  <si>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</si>
  <si>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</si>
  <si>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</si>
  <si>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</si>
  <si>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</si>
  <si>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Đơn vị</t>
  </si>
  <si>
    <t>Số lượng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</si>
  <si>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</si>
  <si>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</si>
  <si>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</si>
  <si>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</si>
  <si>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</si>
  <si>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</si>
  <si>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</si>
  <si>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>BẢNG I: NỘI DUNG CÔNG VIỆC VÀ KHỐI LƯỢNG CHỦ YẾU</t>
  </si>
  <si>
    <t>NGƯỜI GHI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</si>
  <si>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</si>
  <si>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</si>
  <si>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</si>
  <si>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</si>
  <si>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</si>
  <si>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</si>
  <si>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</si>
  <si>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</si>
  <si>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</si>
  <si>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</si>
  <si>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</si>
  <si>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</si>
  <si>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</si>
  <si>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</si>
  <si>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</si>
  <si>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</si>
  <si>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</si>
  <si>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</si>
  <si>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</si>
  <si>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</si>
  <si>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</si>
  <si>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</si>
  <si>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</si>
  <si>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</si>
  <si>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</si>
  <si>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</si>
  <si>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</si>
  <si>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</si>
  <si>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</si>
  <si>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</si>
  <si>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</si>
  <si>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</si>
  <si>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</si>
  <si>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</si>
  <si>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</si>
  <si>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</si>
  <si>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</si>
  <si>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</si>
  <si>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</si>
  <si>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</si>
  <si>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</si>
  <si>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</si>
  <si>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</si>
  <si>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</si>
  <si>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</si>
  <si>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</si>
  <si>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</si>
  <si>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</si>
  <si>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</si>
  <si>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</si>
  <si>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</si>
  <si>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</si>
  <si>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</si>
  <si>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</si>
  <si>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</si>
  <si>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</si>
  <si>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</si>
  <si>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</si>
  <si>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</si>
  <si>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</si>
  <si>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</si>
  <si>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</si>
  <si>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</si>
  <si>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</si>
  <si>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</si>
  <si>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</si>
  <si>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</si>
  <si>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</si>
  <si>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</si>
  <si>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</si>
  <si>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</si>
  <si>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</si>
  <si>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</si>
  <si>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</si>
  <si>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</si>
  <si>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</si>
  <si>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</si>
  <si>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</si>
  <si>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</si>
  <si>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</si>
  <si>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</si>
  <si>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</si>
  <si>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</si>
  <si>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</si>
  <si>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</si>
  <si>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</si>
  <si>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</si>
  <si>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</si>
  <si>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</si>
  <si>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</si>
  <si>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</si>
  <si>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</si>
  <si>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</si>
  <si>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</si>
  <si>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</si>
  <si>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</si>
  <si>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</si>
  <si>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</si>
  <si>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</si>
  <si>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</si>
  <si>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</si>
  <si>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</si>
  <si>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</si>
  <si>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</si>
  <si>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</si>
  <si>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</si>
  <si>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</si>
  <si>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</si>
  <si>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</si>
  <si>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</si>
  <si>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</si>
  <si>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</si>
  <si>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</si>
  <si>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</si>
  <si>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</si>
  <si>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</si>
  <si>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</si>
  <si>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</si>
  <si>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</si>
  <si>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</si>
  <si>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</si>
  <si>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</si>
  <si>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</si>
  <si>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</si>
  <si>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</si>
  <si>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</si>
  <si>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</si>
  <si>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</si>
  <si>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</si>
  <si>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</si>
  <si>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</si>
  <si>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</si>
  <si>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</si>
  <si>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</si>
  <si>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</si>
  <si>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</si>
  <si>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</si>
  <si>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</si>
  <si>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</si>
  <si>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</si>
  <si>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</si>
  <si>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</si>
  <si>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</si>
  <si>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</si>
  <si>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</si>
  <si>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</si>
  <si>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</si>
  <si>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</si>
  <si>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</si>
  <si>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</si>
  <si>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</si>
  <si>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</si>
  <si>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</si>
  <si>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</si>
  <si>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</si>
  <si>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</si>
  <si>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</si>
  <si>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</si>
  <si>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</si>
  <si>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</si>
  <si>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</si>
  <si>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</si>
  <si>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</si>
  <si>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</si>
  <si>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</si>
  <si>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</si>
  <si>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</si>
  <si>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</si>
  <si>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</si>
  <si>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</si>
  <si>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</si>
  <si>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</si>
  <si>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</si>
  <si>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</si>
  <si>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</si>
  <si>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</si>
  <si>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</si>
  <si>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</si>
  <si>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</si>
  <si>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</si>
  <si>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</si>
  <si>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</si>
  <si>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</si>
  <si>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</si>
  <si>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</si>
  <si>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</si>
  <si>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</si>
  <si>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</si>
  <si>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</si>
  <si>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</si>
  <si>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</si>
  <si>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</si>
  <si>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</si>
  <si>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</si>
  <si>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</si>
  <si>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</si>
  <si>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</si>
  <si>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</si>
  <si>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</si>
  <si>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</si>
  <si>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</si>
  <si>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</si>
  <si>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</si>
  <si>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</si>
  <si>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</si>
  <si>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</si>
  <si>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</si>
  <si>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</si>
  <si>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</si>
  <si>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</si>
  <si>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</si>
  <si>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</si>
  <si>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</si>
  <si>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</si>
  <si>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</si>
  <si>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</si>
  <si>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</si>
  <si>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</si>
  <si>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</si>
  <si>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</si>
  <si>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</si>
  <si>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</si>
  <si>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</si>
  <si>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</si>
  <si>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</si>
  <si>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</si>
  <si>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</si>
  <si>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</si>
  <si>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</si>
  <si>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</si>
  <si>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</si>
  <si>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</si>
  <si>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</si>
  <si>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</si>
  <si>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</si>
  <si>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</si>
  <si>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</si>
  <si>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</si>
  <si>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</si>
  <si>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</si>
  <si>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</si>
  <si>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</si>
  <si>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</si>
  <si>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</si>
  <si>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</si>
  <si>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</si>
  <si>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</si>
  <si>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</si>
  <si>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</si>
  <si>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</si>
  <si>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</si>
  <si>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</si>
  <si>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</si>
  <si>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</si>
  <si>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</si>
  <si>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</si>
  <si>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</si>
  <si>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</si>
  <si>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</si>
  <si>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</si>
  <si>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</si>
  <si>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</si>
  <si>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</si>
  <si>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</si>
  <si>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</si>
  <si>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</si>
  <si>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</si>
  <si>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</si>
  <si>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</si>
  <si>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</si>
  <si>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</si>
  <si>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</si>
  <si>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</si>
  <si>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</si>
  <si>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</si>
  <si>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</si>
  <si>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</si>
  <si>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</si>
  <si>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</si>
  <si>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</si>
  <si>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</si>
  <si>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</si>
  <si>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</si>
  <si>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</si>
  <si>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</si>
  <si>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</si>
  <si>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</si>
  <si>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</si>
  <si>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</si>
  <si>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</si>
  <si>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</si>
  <si>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</si>
  <si>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</si>
  <si>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</si>
  <si>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</si>
  <si>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</si>
  <si>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</si>
  <si>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</si>
  <si>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</si>
  <si>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</si>
  <si>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</si>
  <si>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</si>
  <si>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</si>
  <si>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</si>
  <si>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</si>
  <si>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</si>
  <si>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</si>
  <si>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</si>
  <si>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</si>
  <si>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</si>
  <si>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</si>
  <si>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</si>
  <si>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</si>
  <si>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</si>
  <si>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</si>
  <si>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</si>
  <si>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</si>
  <si>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</si>
  <si>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</si>
  <si>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</si>
  <si>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</si>
  <si>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</si>
  <si>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</si>
  <si>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</si>
  <si>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</si>
  <si>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</si>
  <si>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</si>
  <si>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</si>
  <si>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</si>
  <si>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</si>
  <si>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</si>
  <si>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</si>
  <si>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</si>
  <si>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</si>
  <si>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</si>
  <si>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</si>
  <si>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</si>
  <si>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</si>
  <si>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</si>
  <si>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</si>
  <si>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</si>
  <si>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</si>
  <si>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</si>
  <si>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</si>
  <si>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</si>
  <si>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</si>
  <si>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Từ cột ………..</t>
  </si>
  <si>
    <t>Đến cột ……….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</si>
  <si>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</si>
  <si>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</si>
  <si>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</si>
  <si>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</si>
  <si>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</si>
  <si>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</si>
  <si>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</si>
  <si>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</si>
  <si>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</si>
  <si>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 xml:space="preserve">PHAT </t>
  </si>
  <si>
    <t>Phaát sinh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</si>
  <si>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</si>
  <si>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</si>
  <si>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</si>
  <si>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</si>
  <si>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</si>
  <si>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</si>
  <si>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</si>
  <si>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</si>
  <si>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</si>
  <si>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</si>
  <si>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</si>
  <si>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</si>
  <si>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</si>
  <si>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</si>
  <si>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</si>
  <si>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</si>
  <si>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</si>
  <si>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</si>
  <si>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</si>
  <si>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</si>
  <si>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</si>
  <si>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</si>
  <si>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</si>
  <si>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</si>
  <si>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</si>
  <si>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</si>
  <si>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</si>
  <si>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</si>
  <si>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</si>
  <si>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</si>
  <si>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</si>
  <si>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</si>
  <si>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</si>
  <si>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</si>
  <si>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</si>
  <si>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</si>
  <si>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</si>
  <si>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</si>
  <si>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</si>
  <si>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</si>
  <si>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</si>
  <si>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</si>
  <si>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</si>
  <si>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</si>
  <si>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</si>
  <si>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</si>
  <si>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</si>
  <si>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</si>
  <si>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</si>
  <si>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</si>
  <si>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</si>
  <si>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</si>
  <si>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</si>
  <si>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</si>
  <si>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</si>
  <si>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</si>
  <si>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</si>
  <si>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</si>
  <si>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</si>
  <si>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</si>
  <si>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</si>
  <si>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</si>
  <si>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</si>
  <si>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</si>
  <si>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</si>
  <si>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</si>
  <si>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</si>
  <si>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</si>
  <si>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</si>
  <si>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</si>
  <si>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</si>
  <si>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</si>
  <si>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</si>
  <si>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</si>
  <si>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</si>
  <si>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</si>
  <si>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</si>
  <si>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</si>
  <si>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</si>
  <si>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</si>
  <si>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</si>
  <si>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</si>
  <si>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</si>
  <si>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</si>
  <si>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</si>
  <si>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</si>
  <si>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</si>
  <si>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</si>
  <si>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</si>
  <si>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</si>
  <si>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</si>
  <si>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</si>
  <si>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</si>
  <si>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</si>
  <si>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</si>
  <si>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</si>
  <si>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</si>
  <si>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</si>
  <si>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</si>
  <si>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</si>
  <si>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</si>
  <si>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</si>
  <si>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</si>
  <si>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</si>
  <si>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</si>
  <si>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</si>
  <si>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</si>
  <si>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</si>
  <si>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</si>
  <si>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</si>
  <si>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</si>
  <si>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</si>
  <si>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</si>
  <si>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</si>
  <si>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</si>
  <si>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</si>
  <si>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</si>
  <si>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</si>
  <si>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</si>
  <si>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</si>
  <si>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</si>
  <si>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</si>
  <si>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</si>
  <si>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</si>
  <si>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</si>
  <si>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</si>
  <si>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</si>
  <si>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</si>
  <si>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</si>
  <si>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</si>
  <si>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</si>
  <si>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</si>
  <si>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</si>
  <si>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</si>
  <si>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</si>
  <si>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</si>
  <si>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</si>
  <si>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</si>
  <si>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</si>
  <si>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</si>
  <si>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</si>
  <si>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</si>
  <si>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</si>
  <si>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</si>
  <si>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</si>
  <si>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</si>
  <si>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</si>
  <si>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</si>
  <si>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</si>
  <si>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</si>
  <si>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</si>
  <si>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</si>
  <si>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</si>
  <si>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</si>
  <si>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</si>
  <si>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</si>
  <si>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</si>
  <si>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</si>
  <si>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</si>
  <si>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</si>
  <si>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</si>
  <si>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</si>
  <si>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</si>
  <si>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</si>
  <si>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</si>
  <si>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</si>
  <si>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</si>
  <si>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</si>
  <si>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</si>
  <si>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</si>
  <si>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</si>
  <si>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</si>
  <si>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</si>
  <si>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</si>
  <si>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</si>
  <si>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</si>
  <si>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</si>
  <si>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</si>
  <si>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</si>
  <si>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</si>
  <si>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</si>
  <si>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</si>
  <si>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</si>
  <si>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</si>
  <si>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</si>
  <si>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</si>
  <si>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</si>
  <si>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</si>
  <si>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</si>
  <si>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</si>
  <si>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</si>
  <si>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</si>
  <si>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</si>
  <si>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</si>
  <si>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</si>
  <si>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</si>
  <si>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</si>
  <si>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</si>
  <si>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</si>
  <si>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</si>
  <si>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</si>
  <si>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</si>
  <si>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</si>
  <si>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</si>
  <si>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</si>
  <si>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</si>
  <si>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</si>
  <si>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</si>
  <si>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</si>
  <si>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</si>
  <si>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</si>
  <si>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</si>
  <si>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</si>
  <si>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</si>
  <si>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</si>
  <si>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</si>
  <si>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</si>
  <si>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</si>
  <si>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</si>
  <si>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</si>
  <si>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</si>
  <si>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</si>
  <si>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</si>
  <si>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</si>
  <si>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</si>
  <si>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</si>
  <si>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</si>
  <si>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</si>
  <si>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</si>
  <si>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</si>
  <si>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</si>
  <si>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</si>
  <si>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</si>
  <si>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</si>
  <si>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</si>
  <si>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</si>
  <si>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</si>
  <si>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</si>
  <si>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</si>
  <si>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</si>
  <si>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</si>
  <si>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</si>
  <si>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</si>
  <si>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</si>
  <si>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</si>
  <si>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</si>
  <si>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</si>
  <si>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</si>
  <si>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</si>
  <si>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</si>
  <si>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</si>
  <si>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</si>
  <si>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</si>
  <si>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</si>
  <si>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</si>
  <si>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</si>
  <si>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</si>
  <si>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</si>
  <si>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</si>
  <si>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</si>
  <si>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Cọc tiếp đất ? 16- 2,4m + kẹp cọc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</si>
  <si>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</si>
  <si>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</si>
  <si>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</si>
  <si>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</si>
  <si>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</si>
  <si>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</si>
  <si>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</si>
  <si>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</si>
  <si>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</si>
  <si>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</si>
  <si>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</si>
  <si>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</si>
  <si>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</si>
  <si>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</si>
  <si>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</si>
  <si>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</si>
  <si>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</si>
  <si>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</si>
  <si>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</si>
  <si>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</si>
  <si>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</si>
  <si>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</si>
  <si>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</si>
  <si>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</si>
  <si>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</si>
  <si>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</si>
  <si>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</si>
  <si>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</si>
  <si>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</si>
  <si>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</si>
  <si>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</si>
  <si>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</si>
  <si>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</si>
  <si>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</si>
  <si>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</si>
  <si>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</si>
  <si>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</si>
  <si>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</si>
  <si>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</si>
  <si>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</si>
  <si>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</si>
  <si>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</si>
  <si>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</si>
  <si>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</si>
  <si>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</si>
  <si>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</si>
  <si>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</si>
  <si>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</si>
  <si>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</si>
  <si>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</si>
  <si>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</si>
  <si>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</si>
  <si>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</si>
  <si>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</si>
  <si>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</si>
  <si>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</si>
  <si>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</si>
  <si>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</si>
  <si>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</si>
  <si>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</si>
  <si>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</si>
  <si>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</si>
  <si>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</si>
  <si>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</si>
  <si>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</si>
  <si>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</si>
  <si>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</si>
  <si>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</si>
  <si>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</si>
  <si>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</si>
  <si>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</si>
  <si>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</si>
  <si>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</si>
  <si>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</si>
  <si>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</si>
  <si>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</si>
  <si>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</si>
  <si>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</si>
  <si>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</si>
  <si>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</si>
  <si>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</si>
  <si>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</si>
  <si>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</si>
  <si>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</si>
  <si>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</si>
  <si>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</si>
  <si>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</si>
  <si>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</si>
  <si>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</si>
  <si>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</si>
  <si>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</si>
  <si>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</si>
  <si>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</si>
  <si>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Đội trưởng thi công</t>
  </si>
  <si>
    <t>Giám sát A</t>
  </si>
  <si>
    <t>Nguyễn Tân Long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</si>
  <si>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</si>
  <si>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</si>
  <si>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</si>
  <si>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</si>
  <si>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</si>
  <si>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</si>
  <si>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</si>
  <si>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</si>
  <si>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</si>
  <si>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</si>
  <si>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</si>
  <si>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</si>
  <si>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</si>
  <si>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</si>
  <si>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</si>
  <si>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</si>
  <si>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</si>
  <si>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</si>
  <si>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</si>
  <si>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</si>
  <si>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</si>
  <si>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</si>
  <si>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</si>
  <si>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</si>
  <si>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</si>
  <si>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</si>
  <si>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</si>
  <si>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</si>
  <si>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</si>
  <si>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</si>
  <si>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</si>
  <si>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</si>
  <si>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</si>
  <si>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</si>
  <si>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</si>
  <si>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</si>
  <si>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</si>
  <si>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</si>
  <si>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</si>
  <si>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</si>
  <si>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</si>
  <si>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</si>
  <si>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</si>
  <si>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</si>
  <si>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</si>
  <si>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</si>
  <si>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</si>
  <si>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</si>
  <si>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</si>
  <si>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</si>
  <si>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</si>
  <si>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</si>
  <si>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</si>
  <si>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</si>
  <si>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</si>
  <si>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</si>
  <si>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</si>
  <si>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</si>
  <si>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</si>
  <si>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</si>
  <si>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</si>
  <si>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</si>
  <si>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</si>
  <si>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</si>
  <si>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</si>
  <si>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</si>
  <si>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</si>
  <si>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</si>
  <si>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</si>
  <si>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</si>
  <si>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</si>
  <si>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</si>
  <si>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</si>
  <si>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</si>
  <si>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</si>
  <si>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</si>
  <si>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</si>
  <si>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</si>
  <si>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</si>
  <si>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</si>
  <si>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</si>
  <si>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</si>
  <si>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</si>
  <si>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</si>
  <si>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</si>
  <si>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</si>
  <si>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</si>
  <si>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</si>
  <si>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</si>
  <si>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</si>
  <si>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</si>
  <si>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</si>
  <si>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</si>
  <si>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</si>
  <si>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</si>
  <si>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</si>
  <si>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</si>
  <si>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</si>
  <si>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</si>
  <si>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</si>
  <si>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</si>
  <si>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</si>
  <si>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</si>
  <si>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</si>
  <si>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</si>
  <si>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</si>
  <si>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</si>
  <si>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</si>
  <si>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</si>
  <si>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</si>
  <si>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</si>
  <si>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</si>
  <si>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</si>
  <si>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</si>
  <si>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</si>
  <si>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</si>
  <si>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</si>
  <si>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</si>
  <si>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</si>
  <si>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</si>
  <si>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</si>
  <si>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</si>
  <si>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</si>
  <si>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</si>
  <si>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</si>
  <si>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</si>
  <si>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</si>
  <si>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</si>
  <si>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</si>
  <si>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</si>
  <si>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</si>
  <si>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</si>
  <si>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</si>
  <si>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</si>
  <si>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</si>
  <si>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</si>
  <si>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</si>
  <si>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</si>
  <si>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</si>
  <si>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</si>
  <si>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</si>
  <si>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</si>
  <si>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</si>
  <si>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</si>
  <si>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</si>
  <si>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</si>
  <si>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</si>
  <si>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</si>
  <si>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</si>
  <si>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</si>
  <si>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</si>
  <si>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</si>
  <si>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</si>
  <si>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</si>
  <si>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</si>
  <si>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</si>
  <si>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</si>
  <si>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</si>
  <si>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</si>
  <si>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</si>
  <si>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</si>
  <si>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</si>
  <si>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</si>
  <si>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</si>
  <si>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</si>
  <si>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</si>
  <si>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</si>
  <si>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</si>
  <si>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</si>
  <si>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</si>
  <si>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</si>
  <si>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</si>
  <si>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</si>
  <si>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</si>
  <si>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</si>
  <si>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</si>
  <si>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</si>
  <si>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</si>
  <si>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</si>
  <si>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</si>
  <si>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</si>
  <si>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</si>
  <si>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</si>
  <si>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</si>
  <si>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</si>
  <si>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</si>
  <si>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</si>
  <si>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</si>
  <si>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</si>
  <si>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</si>
  <si>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</si>
  <si>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</si>
  <si>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</si>
  <si>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</si>
  <si>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</si>
  <si>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</si>
  <si>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</si>
  <si>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</si>
  <si>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</si>
  <si>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</si>
  <si>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</si>
  <si>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</si>
  <si>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</si>
  <si>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</si>
  <si>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Xuân Lộc, ngày 10 tháng 10 năm 2019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</si>
  <si>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</si>
  <si>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</si>
  <si>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</si>
  <si>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</si>
  <si>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</si>
  <si>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</si>
  <si>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</si>
  <si>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</si>
  <si>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</si>
  <si>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</si>
  <si>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</si>
  <si>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</si>
  <si>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</si>
  <si>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</si>
  <si>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</si>
  <si>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</si>
  <si>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</si>
  <si>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</si>
  <si>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</si>
  <si>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</si>
  <si>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</si>
  <si>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</si>
  <si>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</si>
  <si>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</si>
  <si>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</si>
  <si>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</si>
  <si>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</si>
  <si>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</si>
  <si>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</si>
  <si>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</si>
  <si>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</si>
  <si>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</si>
  <si>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</si>
  <si>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</si>
  <si>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</si>
  <si>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</si>
  <si>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</si>
  <si>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</si>
  <si>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</si>
  <si>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</si>
  <si>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</si>
  <si>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</si>
  <si>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</si>
  <si>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</si>
  <si>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</si>
  <si>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</si>
  <si>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Ghi chú: - Cắt điện thi công ngày 19/10/2019 thay dây trung thế từ trụ 089A đến trụ 120A</t>
  </si>
  <si>
    <t>Tỉ lệ so với dự toán</t>
  </si>
  <si>
    <t>19/10/2019
kéo dây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</si>
  <si>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</si>
  <si>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</si>
  <si>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</si>
  <si>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</si>
  <si>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</si>
  <si>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</si>
  <si>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12/09/2019
Móng</t>
  </si>
  <si>
    <t>03/10/2019
Móng</t>
  </si>
  <si>
    <t>90A, 91A, 97A, 98A, 99A, 102A, 105A, 106A, 107A, 108A, 111A, 111B, 114A, 115, 116A, 117A, 121A, 123A, 124A, 127A, 128A, 131A, 133A</t>
  </si>
  <si>
    <t>140A, 141A, 143A, 144A, 145B, 146A, 150A, 151A, 152A, 154A, 159A, 162A, 163A, 168A</t>
  </si>
  <si>
    <t>Vị trí móng</t>
  </si>
  <si>
    <t>Móng trụ bê tông 12m M12</t>
  </si>
  <si>
    <t>Móng trụ bê tông 12m có đà cản M12a</t>
  </si>
  <si>
    <t>Móng bê tông trụ 14m M14a</t>
  </si>
  <si>
    <t xml:space="preserve">92A, 93A, 94A, 96A, 100A, 102, 103A, 104A, 107, 109A, 110A, 112A, 115A, 118A, 119A, 122A, 125A, 126A, 128, 129A, 130A, 134A, 135A </t>
  </si>
  <si>
    <t>137A, 138A, 139B, 147A, 148A, 149A, 153A, 155A, 156A, 158A, 160A, 165A, 167A, 169A, 170A, 172A, 173A</t>
  </si>
  <si>
    <t>101, 106, 116, 123, 127, 137</t>
  </si>
  <si>
    <t>147, 148, 150, 161, 164, 169, 171, 171A, 172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</si>
  <si>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</si>
  <si>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</si>
  <si>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</si>
  <si>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</si>
  <si>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</si>
  <si>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</si>
  <si>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</si>
  <si>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89a, 90a, 91a, 92a, 93a, 94a, 95a, 96a, 97a, 98a, 99a, 100a, 101a, 102, 102a, 103a, 104a, 105a, 106a, 107, 107a, 108a, 109a, 110a, 111a, 111b, 112a, 113a, 114a, 115, 115a, 116a, 117a, 118a, 119a, 120a, 121a, 122a, 123a, 124a, 125a, 126a, 127a, 128, 128a, 129, 129a, 130a, 131a, 133a, 134a, 135a, 136a</t>
  </si>
  <si>
    <t>147, 148, 150, 161, 164, 169, 171, 171a, 172</t>
  </si>
  <si>
    <t>137A, 138A, 139B, 140A, 141A, 142A, 143A, 144A, 145B, 146A, 147A, 148A, 149A, 150A, 151A, 152A, 153A, 154A, 155A, 156A, 157A, 158A, 159A, 160A, 162A, 163A, 164A, 165A, 167A, 168A, 169A, 170A, 172A, 173A</t>
  </si>
  <si>
    <t>Đào móng trụ Móng trụ bê tông 12m M12 tại các vị trí: 140A, 141A, 143A, 144A, 145B, 146A, 150A, 151A, 152A, 154A, 159A, 162A, 163A, 168A</t>
  </si>
  <si>
    <t>Đào móng trụ Móng trụ bê tông 12m có đà cản M12a tại các vị trí: 137A, 138A, 139B, 147A, 148A, 149A, 153A, 155A, 156A, 158A, 160A, 165A, 167A, 169A, 170A, 172A, 173A</t>
  </si>
  <si>
    <t>Đào móng trụ Móng bê tông trụ đôi 12m tại các vị trí: 142A, 157A, 164A</t>
  </si>
  <si>
    <t>Đào móng trụ Móng bê tông trụ 14m M14a tại các vị trí: 147, 148, 150, 161, 164, 169, 171, 171A, 172</t>
  </si>
  <si>
    <t>Đào móng trụ Bộ móng neo xòe cho chằng xuống: NXX tại các vị trí: 171</t>
  </si>
  <si>
    <t>Thiết bị</t>
  </si>
  <si>
    <t>19,20</t>
  </si>
  <si>
    <t>19, 21</t>
  </si>
  <si>
    <t>22, 26</t>
  </si>
  <si>
    <t>06/10/2019
trồng trụ, bê tông, đà cản, neo</t>
  </si>
  <si>
    <t>13/10/2019
trồng trụ, bê tông, đà cản, neo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</si>
</sst>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</numFmts>
  <fonts count="181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sz val="13"/>
      <color theme="1"/>
      <name val="Times New Roman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sz val="11"/>
      <name val="Calibri"/>
      <family val="2"/>
      <scheme val="minor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0"/>
      <color rgb="FFFF0000"/>
      <name val="Times New Roman"/>
      <family val="1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3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</borders>
  <cellStyleXfs count="31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9" fillId="0" borderId="0"/>
    <xf numFmtId="0" fontId="96" fillId="0" borderId="0"/>
    <xf numFmtId="9" fontId="45" fillId="0" borderId="0" applyFont="0" applyFill="0" applyBorder="0" applyAlignment="0" applyProtection="0"/>
  </cellStyleXfs>
  <cellXfs count="2656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4" fillId="0" borderId="0" xfId="19" applyFont="1" applyAlignment="1">
      <alignment horizontal="centerContinuous" vertic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3" fillId="0" borderId="0" xfId="19" applyFont="1" applyAlignment="1">
      <alignment horizontal="center" vertical="center"/>
    </xf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91" fillId="0" borderId="0" xfId="19" applyAlignment="1">
      <alignment horizontal="centerContinuous" vertical="center"/>
    </xf>
    <xf numFmtId="0" fontId="117" fillId="0" borderId="0" xfId="19" applyFont="1" applyAlignment="1">
      <alignment horizontal="center" vertical="center"/>
    </xf>
    <xf numFmtId="0" fontId="128" fillId="0" borderId="3" xfId="19" applyFont="1" applyFill="1" applyBorder="1" applyAlignment="1">
      <alignment horizontal="center" vertical="center"/>
    </xf>
    <xf numFmtId="0" fontId="128" fillId="0" borderId="3" xfId="19" applyFont="1" applyFill="1" applyBorder="1" applyAlignment="1">
      <alignment vertical="center" wrapText="1"/>
    </xf>
    <xf numFmtId="0" fontId="128" fillId="0" borderId="3" xfId="19" applyFont="1" applyFill="1" applyBorder="1"/>
    <xf numFmtId="0" fontId="114" fillId="0" borderId="0" xfId="19" applyFont="1" applyAlignment="1">
      <alignment horizontal="right" vertical="center"/>
    </xf>
    <xf numFmtId="0" fontId="93" fillId="0" borderId="0" xfId="19" applyFont="1" applyFill="1" applyBorder="1" applyAlignment="1">
      <alignment horizontal="center" vertical="center"/>
    </xf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 wrapText="1"/>
    </xf>
    <xf numFmtId="169" fontId="121" fillId="0" borderId="3" xfId="19" applyNumberFormat="1" applyFont="1" applyBorder="1" applyAlignment="1">
      <alignment horizontal="center" vertical="center" wrapText="1"/>
    </xf>
    <xf numFmtId="181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31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1" fontId="121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5" fillId="16" borderId="24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Font="1" applyFill="1" applyBorder="1" applyAlignment="1" applyProtection="1">
      <alignment horizontal="centerContinuous" vertical="center" wrapText="1"/>
    </xf>
    <xf numFmtId="0" fontId="135" fillId="16" borderId="25" xfId="0" applyFont="1" applyFill="1" applyBorder="1" applyAlignment="1" applyProtection="1">
      <alignment horizontal="centerContinuous" vertical="center" wrapText="1"/>
    </xf>
    <xf numFmtId="0" fontId="136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40" fillId="3" borderId="6" xfId="0" applyFont="1" applyFill="1" applyBorder="1" applyAlignment="1" applyProtection="1">
      <alignment vertical="center"/>
      <protection hidden="1"/>
    </xf>
    <xf numFmtId="0" fontId="140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5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5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41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41" fillId="0" borderId="6" xfId="13" applyNumberFormat="1" applyFont="1" applyFill="1" applyBorder="1" applyAlignment="1" applyProtection="1">
      <alignment horizontal="center" vertical="center"/>
    </xf>
    <xf numFmtId="164" fontId="141" fillId="0" borderId="6" xfId="2" applyNumberFormat="1" applyFont="1" applyBorder="1" applyAlignment="1" applyProtection="1">
      <alignment horizontal="center" vertical="center"/>
    </xf>
    <xf numFmtId="164" fontId="141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41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41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41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8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41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41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42" fillId="0" borderId="0" xfId="10" quotePrefix="1" applyNumberFormat="1" applyFont="1" applyFill="1" applyAlignment="1" applyProtection="1">
      <alignment horizontal="center" vertical="center"/>
    </xf>
    <xf numFmtId="171" fontId="142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41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41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9" applyNumberFormat="1" applyFont="1" applyFill="1" applyAlignment="1">
      <alignment horizontal="center" vertical="center" wrapText="1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40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5" fillId="0" borderId="6" xfId="0" applyFont="1" applyFill="1" applyBorder="1" applyAlignment="1" applyProtection="1">
      <alignment horizontal="center" vertical="center"/>
      <protection hidden="1"/>
    </xf>
    <xf numFmtId="0" fontId="146" fillId="0" borderId="0" xfId="0" applyFont="1" applyFill="1">
      <alignment horizontal="center" vertical="center"/>
    </xf>
    <xf numFmtId="0" fontId="146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7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7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7" fillId="0" borderId="16" xfId="27" applyNumberFormat="1" applyFont="1" applyFill="1" applyBorder="1" applyProtection="1"/>
    <xf numFmtId="3" fontId="148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8" fillId="0" borderId="0" xfId="27" applyNumberFormat="1" applyFont="1" applyFill="1" applyBorder="1" applyProtection="1"/>
    <xf numFmtId="3" fontId="148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9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6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3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50" fillId="7" borderId="3" xfId="27" applyNumberFormat="1" applyFont="1" applyFill="1" applyBorder="1" applyAlignment="1" applyProtection="1">
      <alignment horizontal="center"/>
    </xf>
    <xf numFmtId="3" fontId="139" fillId="18" borderId="6" xfId="15" applyNumberFormat="1" applyFont="1" applyFill="1" applyBorder="1" applyAlignment="1" applyProtection="1">
      <alignment vertical="center" wrapText="1"/>
    </xf>
    <xf numFmtId="3" fontId="139" fillId="18" borderId="6" xfId="15" applyNumberFormat="1" applyFont="1" applyFill="1" applyBorder="1" applyAlignment="1" applyProtection="1">
      <alignment vertical="center"/>
    </xf>
    <xf numFmtId="3" fontId="139" fillId="18" borderId="22" xfId="13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 wrapText="1"/>
    </xf>
    <xf numFmtId="3" fontId="139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40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40" fillId="3" borderId="6" xfId="0" applyFont="1" applyFill="1" applyBorder="1" applyAlignment="1" applyProtection="1">
      <alignment vertical="center" wrapText="1"/>
      <protection hidden="1"/>
    </xf>
    <xf numFmtId="0" fontId="140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164" fontId="143" fillId="0" borderId="6" xfId="2" applyNumberFormat="1" applyFont="1" applyFill="1" applyBorder="1" applyAlignment="1" applyProtection="1">
      <alignment vertical="center"/>
      <protection hidden="1"/>
    </xf>
    <xf numFmtId="164" fontId="143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6" fillId="0" borderId="0" xfId="0" applyFont="1">
      <alignment horizontal="center" vertical="center"/>
    </xf>
    <xf numFmtId="0" fontId="146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6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6" fillId="0" borderId="115" xfId="0" applyFont="1" applyBorder="1">
      <alignment horizontal="center" vertical="center"/>
    </xf>
    <xf numFmtId="0" fontId="146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8" fillId="0" borderId="13" xfId="0" applyFont="1" applyBorder="1" applyAlignment="1">
      <alignment horizontal="left" vertical="center" wrapText="1"/>
    </xf>
    <xf numFmtId="181" fontId="98" fillId="0" borderId="13" xfId="0" applyNumberFormat="1" applyFont="1" applyBorder="1" applyAlignment="1">
      <alignment horizontal="center" vertical="center" wrapText="1"/>
    </xf>
    <xf numFmtId="0" fontId="98" fillId="0" borderId="13" xfId="0" applyFont="1" applyBorder="1" applyAlignment="1">
      <alignment horizontal="justify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left" vertical="center" wrapText="1"/>
    </xf>
    <xf numFmtId="181" fontId="98" fillId="0" borderId="12" xfId="0" applyNumberFormat="1" applyFont="1" applyBorder="1" applyAlignment="1">
      <alignment horizontal="center" vertical="center" wrapText="1"/>
    </xf>
    <xf numFmtId="0" fontId="98" fillId="0" borderId="12" xfId="0" applyFont="1" applyBorder="1" applyAlignment="1">
      <alignment horizontal="justify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127" fillId="0" borderId="0" xfId="0" applyFont="1">
      <alignment horizontal="center" vertical="center"/>
    </xf>
    <xf numFmtId="0" fontId="152" fillId="0" borderId="0" xfId="0" applyFont="1" applyFill="1" applyBorder="1" applyAlignment="1">
      <alignment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3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4" fillId="0" borderId="0" xfId="0" applyFont="1" applyFill="1" applyBorder="1" applyAlignment="1" applyProtection="1">
      <alignment horizontal="left"/>
    </xf>
    <xf numFmtId="0" fontId="154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5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6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137" fillId="0" borderId="0" xfId="19" applyFont="1"/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109" fillId="19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6" fillId="0" borderId="0" xfId="0" applyFont="1" applyFill="1" applyBorder="1" applyAlignment="1">
      <alignment vertical="center"/>
    </xf>
    <xf numFmtId="0" fontId="156" fillId="0" borderId="0" xfId="0" applyFont="1" applyAlignment="1">
      <alignment vertical="center"/>
    </xf>
    <xf numFmtId="0" fontId="156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6" fillId="0" borderId="0" xfId="0" applyFont="1" applyBorder="1" applyAlignment="1">
      <alignment horizontal="center" vertical="center" wrapText="1"/>
    </xf>
    <xf numFmtId="3" fontId="157" fillId="0" borderId="6" xfId="13" applyNumberFormat="1" applyFont="1" applyFill="1" applyBorder="1" applyAlignment="1" applyProtection="1">
      <alignment horizontal="center" vertical="center"/>
    </xf>
    <xf numFmtId="168" fontId="157" fillId="19" borderId="6" xfId="13" applyNumberFormat="1" applyFont="1" applyFill="1" applyBorder="1" applyAlignment="1" applyProtection="1">
      <alignment horizontal="center" vertical="center"/>
    </xf>
    <xf numFmtId="3" fontId="157" fillId="19" borderId="6" xfId="13" applyNumberFormat="1" applyFont="1" applyFill="1" applyBorder="1" applyAlignment="1" applyProtection="1">
      <alignment horizontal="center" vertical="center"/>
    </xf>
    <xf numFmtId="3" fontId="145" fillId="19" borderId="6" xfId="13" applyNumberFormat="1" applyFont="1" applyFill="1" applyBorder="1" applyAlignment="1" applyProtection="1">
      <alignment horizontal="center" vertical="center"/>
    </xf>
    <xf numFmtId="4" fontId="157" fillId="19" borderId="6" xfId="13" applyNumberFormat="1" applyFont="1" applyFill="1" applyBorder="1" applyAlignment="1" applyProtection="1">
      <alignment horizontal="center" vertical="center"/>
    </xf>
    <xf numFmtId="168" fontId="145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7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6" fillId="16" borderId="12" xfId="0" applyNumberFormat="1" applyFont="1" applyFill="1" applyBorder="1" applyAlignment="1" applyProtection="1">
      <alignment horizontal="center" vertical="center" shrinkToFit="1"/>
    </xf>
    <xf numFmtId="0" fontId="157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169" fontId="109" fillId="0" borderId="3" xfId="19" applyNumberFormat="1" applyFont="1" applyBorder="1" applyAlignment="1">
      <alignment horizontal="center" vertical="center"/>
    </xf>
    <xf numFmtId="0" fontId="151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6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8" fillId="0" borderId="0" xfId="19" applyFont="1"/>
    <xf numFmtId="0" fontId="158" fillId="0" borderId="0" xfId="19" applyFont="1" applyFill="1"/>
    <xf numFmtId="0" fontId="159" fillId="0" borderId="0" xfId="19" applyFont="1" applyFill="1"/>
    <xf numFmtId="0" fontId="152" fillId="0" borderId="0" xfId="0" applyFont="1" applyFill="1" applyAlignment="1">
      <alignment horizontal="left" vertical="center" shrinkToFit="1"/>
    </xf>
    <xf numFmtId="43" fontId="152" fillId="0" borderId="0" xfId="0" applyNumberFormat="1" applyFont="1" applyFill="1" applyAlignment="1">
      <alignment horizontal="left" vertical="center" shrinkToFit="1"/>
    </xf>
    <xf numFmtId="0" fontId="152" fillId="0" borderId="0" xfId="0" applyFont="1" applyBorder="1" applyAlignment="1" applyProtection="1">
      <alignment horizontal="left" vertical="center"/>
    </xf>
    <xf numFmtId="0" fontId="152" fillId="0" borderId="0" xfId="0" applyFont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159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0" fontId="160" fillId="0" borderId="0" xfId="0" applyFont="1" applyBorder="1" applyAlignment="1" applyProtection="1"/>
    <xf numFmtId="0" fontId="83" fillId="0" borderId="0" xfId="15" applyFont="1" applyFill="1" applyAlignment="1" applyProtection="1">
      <alignment vertical="center" shrinkToFit="1"/>
    </xf>
    <xf numFmtId="0" fontId="123" fillId="0" borderId="3" xfId="0" applyFont="1" applyBorder="1" applyAlignment="1">
      <alignment horizontal="center" vertical="center" wrapText="1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6" fillId="0" borderId="101" xfId="0" applyFont="1" applyBorder="1" applyAlignment="1">
      <alignment horizontal="left" vertical="center" wrapText="1"/>
    </xf>
    <xf numFmtId="0" fontId="146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6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61" fillId="0" borderId="15" xfId="0" applyFont="1" applyBorder="1" applyAlignment="1" applyProtection="1">
      <alignment horizontal="center" vertical="center"/>
    </xf>
    <xf numFmtId="0" fontId="161" fillId="0" borderId="17" xfId="0" applyFont="1" applyBorder="1" applyAlignment="1" applyProtection="1">
      <alignment horizontal="center" vertical="center"/>
    </xf>
    <xf numFmtId="0" fontId="161" fillId="0" borderId="3" xfId="0" applyFont="1" applyBorder="1" applyAlignment="1" applyProtection="1">
      <alignment horizontal="center" vertical="center"/>
    </xf>
    <xf numFmtId="0" fontId="161" fillId="0" borderId="26" xfId="0" applyFont="1" applyBorder="1" applyAlignment="1" applyProtection="1">
      <alignment horizontal="center" vertical="center"/>
    </xf>
    <xf numFmtId="0" fontId="161" fillId="0" borderId="6" xfId="0" applyFont="1" applyBorder="1" applyAlignment="1" applyProtection="1">
      <alignment horizontal="center" vertical="center"/>
    </xf>
    <xf numFmtId="164" fontId="161" fillId="3" borderId="6" xfId="2" applyNumberFormat="1" applyFont="1" applyFill="1" applyBorder="1" applyAlignment="1" applyProtection="1">
      <alignment vertical="center"/>
    </xf>
    <xf numFmtId="167" fontId="161" fillId="0" borderId="6" xfId="2" applyNumberFormat="1" applyFont="1" applyBorder="1" applyAlignment="1" applyProtection="1">
      <alignment vertical="center"/>
    </xf>
    <xf numFmtId="43" fontId="161" fillId="0" borderId="6" xfId="2" applyFont="1" applyBorder="1" applyAlignment="1" applyProtection="1">
      <alignment vertical="center"/>
    </xf>
    <xf numFmtId="164" fontId="161" fillId="0" borderId="6" xfId="2" applyNumberFormat="1" applyFont="1" applyBorder="1" applyAlignment="1" applyProtection="1">
      <alignment vertical="center"/>
    </xf>
    <xf numFmtId="167" fontId="161" fillId="0" borderId="6" xfId="2" applyNumberFormat="1" applyFont="1" applyFill="1" applyBorder="1" applyAlignment="1" applyProtection="1">
      <alignment vertical="center"/>
    </xf>
    <xf numFmtId="43" fontId="161" fillId="0" borderId="6" xfId="2" applyFont="1" applyFill="1" applyBorder="1" applyAlignment="1" applyProtection="1">
      <alignment vertical="center"/>
    </xf>
    <xf numFmtId="164" fontId="161" fillId="0" borderId="6" xfId="2" applyNumberFormat="1" applyFont="1" applyFill="1" applyBorder="1" applyAlignment="1" applyProtection="1">
      <alignment vertical="center"/>
    </xf>
    <xf numFmtId="166" fontId="161" fillId="0" borderId="6" xfId="2" applyNumberFormat="1" applyFont="1" applyFill="1" applyBorder="1" applyAlignment="1" applyProtection="1">
      <alignment vertical="center"/>
    </xf>
    <xf numFmtId="43" fontId="161" fillId="0" borderId="6" xfId="2" applyNumberFormat="1" applyFont="1" applyFill="1" applyBorder="1" applyAlignment="1" applyProtection="1">
      <alignment vertical="center"/>
    </xf>
    <xf numFmtId="166" fontId="161" fillId="0" borderId="6" xfId="2" applyNumberFormat="1" applyFont="1" applyBorder="1" applyAlignment="1" applyProtection="1">
      <alignment vertical="center"/>
    </xf>
    <xf numFmtId="43" fontId="161" fillId="6" borderId="6" xfId="2" applyFont="1" applyFill="1" applyBorder="1" applyAlignment="1" applyProtection="1">
      <alignment vertical="center"/>
    </xf>
    <xf numFmtId="175" fontId="161" fillId="0" borderId="6" xfId="2" applyNumberFormat="1" applyFont="1" applyFill="1" applyBorder="1" applyAlignment="1" applyProtection="1">
      <alignment vertical="center"/>
    </xf>
    <xf numFmtId="167" fontId="161" fillId="3" borderId="6" xfId="2" applyNumberFormat="1" applyFont="1" applyFill="1" applyBorder="1" applyAlignment="1" applyProtection="1">
      <alignment vertical="center"/>
    </xf>
    <xf numFmtId="43" fontId="161" fillId="0" borderId="6" xfId="2" applyNumberFormat="1" applyFont="1" applyBorder="1" applyAlignment="1" applyProtection="1">
      <alignment vertical="center"/>
    </xf>
    <xf numFmtId="43" fontId="161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61" fillId="0" borderId="6" xfId="2" quotePrefix="1" applyNumberFormat="1" applyFont="1" applyBorder="1" applyAlignment="1" applyProtection="1">
      <alignment vertical="center"/>
    </xf>
    <xf numFmtId="164" fontId="161" fillId="0" borderId="6" xfId="2" quotePrefix="1" applyNumberFormat="1" applyFont="1" applyFill="1" applyBorder="1" applyAlignment="1" applyProtection="1">
      <alignment vertical="center"/>
    </xf>
    <xf numFmtId="0" fontId="161" fillId="0" borderId="0" xfId="0" applyFont="1" applyAlignment="1" applyProtection="1">
      <alignment horizontal="center" vertical="center"/>
    </xf>
    <xf numFmtId="164" fontId="161" fillId="6" borderId="6" xfId="2" quotePrefix="1" applyNumberFormat="1" applyFont="1" applyFill="1" applyBorder="1" applyAlignment="1" applyProtection="1">
      <alignment vertical="center"/>
    </xf>
    <xf numFmtId="164" fontId="161" fillId="3" borderId="6" xfId="2" quotePrefix="1" applyNumberFormat="1" applyFont="1" applyFill="1" applyBorder="1" applyAlignment="1" applyProtection="1">
      <alignment vertical="center"/>
    </xf>
    <xf numFmtId="164" fontId="161" fillId="11" borderId="6" xfId="2" applyNumberFormat="1" applyFont="1" applyFill="1" applyBorder="1" applyAlignment="1" applyProtection="1">
      <alignment vertical="center"/>
    </xf>
    <xf numFmtId="164" fontId="161" fillId="6" borderId="6" xfId="2" quotePrefix="1" applyNumberFormat="1" applyFont="1" applyFill="1" applyBorder="1" applyAlignment="1" applyProtection="1">
      <alignment vertical="center"/>
      <protection locked="0"/>
    </xf>
    <xf numFmtId="164" fontId="161" fillId="7" borderId="6" xfId="2" applyNumberFormat="1" applyFont="1" applyFill="1" applyBorder="1" applyAlignment="1" applyProtection="1">
      <alignment vertical="center"/>
    </xf>
    <xf numFmtId="43" fontId="161" fillId="3" borderId="6" xfId="2" applyFont="1" applyFill="1" applyBorder="1" applyAlignment="1" applyProtection="1">
      <alignment vertical="center"/>
    </xf>
    <xf numFmtId="164" fontId="161" fillId="0" borderId="6" xfId="2" quotePrefix="1" applyNumberFormat="1" applyFont="1" applyFill="1" applyBorder="1" applyAlignment="1" applyProtection="1">
      <alignment horizontal="center" vertical="center"/>
    </xf>
    <xf numFmtId="3" fontId="161" fillId="0" borderId="6" xfId="13" applyNumberFormat="1" applyFont="1" applyFill="1" applyBorder="1" applyAlignment="1" applyProtection="1">
      <alignment horizontal="center" vertical="center"/>
    </xf>
    <xf numFmtId="168" fontId="161" fillId="0" borderId="6" xfId="13" applyNumberFormat="1" applyFont="1" applyFill="1" applyBorder="1" applyAlignment="1" applyProtection="1">
      <alignment horizontal="center" vertical="center"/>
    </xf>
    <xf numFmtId="3" fontId="161" fillId="8" borderId="6" xfId="13" applyNumberFormat="1" applyFont="1" applyFill="1" applyBorder="1" applyAlignment="1" applyProtection="1">
      <alignment horizontal="center" vertical="center"/>
    </xf>
    <xf numFmtId="4" fontId="161" fillId="0" borderId="6" xfId="13" applyNumberFormat="1" applyFont="1" applyFill="1" applyBorder="1" applyAlignment="1" applyProtection="1">
      <alignment horizontal="center" vertical="center"/>
    </xf>
    <xf numFmtId="164" fontId="161" fillId="3" borderId="7" xfId="2" applyNumberFormat="1" applyFont="1" applyFill="1" applyBorder="1" applyAlignment="1" applyProtection="1">
      <alignment vertical="center"/>
    </xf>
    <xf numFmtId="4" fontId="161" fillId="0" borderId="6" xfId="2" applyNumberFormat="1" applyFont="1" applyFill="1" applyBorder="1" applyAlignment="1" applyProtection="1">
      <alignment vertical="center"/>
    </xf>
    <xf numFmtId="43" fontId="161" fillId="0" borderId="8" xfId="2" applyFont="1" applyFill="1" applyBorder="1" applyAlignment="1" applyProtection="1">
      <alignment vertical="center"/>
    </xf>
    <xf numFmtId="0" fontId="161" fillId="0" borderId="0" xfId="0" applyFont="1" applyProtection="1">
      <alignment horizontal="center" vertical="center"/>
    </xf>
    <xf numFmtId="164" fontId="152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5" fillId="0" borderId="6" xfId="2" applyNumberFormat="1" applyFont="1" applyFill="1" applyBorder="1" applyAlignment="1" applyProtection="1">
      <alignment vertical="center"/>
      <protection hidden="1"/>
    </xf>
    <xf numFmtId="41" fontId="152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52" fillId="0" borderId="6" xfId="2" applyNumberFormat="1" applyFont="1" applyBorder="1" applyAlignment="1" applyProtection="1">
      <alignment horizontal="center" vertical="center"/>
    </xf>
    <xf numFmtId="3" fontId="135" fillId="0" borderId="2" xfId="14" applyNumberFormat="1" applyFont="1" applyFill="1" applyBorder="1" applyAlignment="1" applyProtection="1">
      <alignment horizontal="center" vertical="center"/>
    </xf>
    <xf numFmtId="3" fontId="152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62" fillId="0" borderId="0" xfId="2" applyNumberFormat="1" applyFont="1" applyFill="1" applyBorder="1" applyAlignment="1">
      <alignment vertical="center"/>
    </xf>
    <xf numFmtId="164" fontId="163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4" fillId="0" borderId="55" xfId="2" applyNumberFormat="1" applyFont="1" applyFill="1" applyBorder="1" applyAlignment="1" applyProtection="1">
      <alignment horizontal="left" vertical="center"/>
    </xf>
    <xf numFmtId="0" fontId="162" fillId="0" borderId="0" xfId="2" applyNumberFormat="1" applyFont="1" applyFill="1" applyBorder="1" applyAlignment="1">
      <alignment horizontal="center" vertical="center"/>
    </xf>
    <xf numFmtId="0" fontId="162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65" fillId="0" borderId="3" xfId="19" applyFont="1" applyFill="1" applyBorder="1" applyAlignment="1">
      <alignment horizontal="center" vertical="center" wrapText="1"/>
    </xf>
    <xf numFmtId="0" fontId="165" fillId="0" borderId="3" xfId="0" applyFont="1" applyBorder="1" applyAlignment="1" applyProtection="1">
      <alignment horizontal="left" vertical="center" wrapText="1"/>
    </xf>
    <xf numFmtId="0" fontId="165" fillId="0" borderId="3" xfId="19" applyFont="1" applyFill="1" applyBorder="1" applyAlignment="1">
      <alignment horizontal="center" vertical="center"/>
    </xf>
    <xf numFmtId="0" fontId="165" fillId="0" borderId="3" xfId="19" applyNumberFormat="1" applyFont="1" applyFill="1" applyBorder="1" applyAlignment="1">
      <alignment horizontal="center" vertical="center"/>
    </xf>
    <xf numFmtId="14" fontId="165" fillId="0" borderId="3" xfId="19" applyNumberFormat="1" applyFont="1" applyFill="1" applyBorder="1" applyAlignment="1">
      <alignment horizontal="center" vertical="center" wrapText="1"/>
    </xf>
    <xf numFmtId="0" fontId="165" fillId="0" borderId="3" xfId="0" applyFont="1" applyFill="1" applyBorder="1" applyAlignment="1">
      <alignment horizontal="center" vertical="center" wrapText="1"/>
    </xf>
    <xf numFmtId="14" fontId="165" fillId="0" borderId="3" xfId="0" applyNumberFormat="1" applyFont="1" applyFill="1" applyBorder="1" applyAlignment="1">
      <alignment horizontal="center" vertical="center"/>
    </xf>
    <xf numFmtId="1" fontId="165" fillId="0" borderId="3" xfId="19" applyNumberFormat="1" applyFont="1" applyFill="1" applyBorder="1" applyAlignment="1">
      <alignment horizontal="right" vertical="center" wrapText="1" shrinkToFit="1"/>
    </xf>
    <xf numFmtId="1" fontId="165" fillId="0" borderId="3" xfId="19" applyNumberFormat="1" applyFont="1" applyFill="1" applyBorder="1" applyAlignment="1">
      <alignment horizontal="center" vertical="center" wrapText="1"/>
    </xf>
    <xf numFmtId="14" fontId="165" fillId="0" borderId="3" xfId="19" quotePrefix="1" applyNumberFormat="1" applyFont="1" applyFill="1" applyBorder="1" applyAlignment="1">
      <alignment horizontal="center" vertical="center" wrapText="1"/>
    </xf>
    <xf numFmtId="14" fontId="165" fillId="0" borderId="3" xfId="19" applyNumberFormat="1" applyFont="1" applyBorder="1" applyAlignment="1">
      <alignment horizontal="center" vertical="center"/>
    </xf>
    <xf numFmtId="1" fontId="165" fillId="0" borderId="3" xfId="19" applyNumberFormat="1" applyFont="1" applyFill="1" applyBorder="1" applyAlignment="1">
      <alignment horizontal="center" vertical="center"/>
    </xf>
    <xf numFmtId="14" fontId="165" fillId="0" borderId="3" xfId="19" applyNumberFormat="1" applyFont="1" applyFill="1" applyBorder="1" applyAlignment="1">
      <alignment horizontal="center" vertical="center"/>
    </xf>
    <xf numFmtId="2" fontId="165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6" fillId="16" borderId="12" xfId="0" applyNumberFormat="1" applyFont="1" applyFill="1" applyBorder="1" applyAlignment="1">
      <alignment vertical="center" wrapText="1"/>
    </xf>
    <xf numFmtId="0" fontId="166" fillId="0" borderId="0" xfId="0" applyFont="1" applyFill="1" applyBorder="1">
      <alignment horizontal="center" vertical="center"/>
    </xf>
    <xf numFmtId="0" fontId="166" fillId="0" borderId="122" xfId="0" applyFont="1" applyFill="1" applyBorder="1">
      <alignment horizontal="center" vertical="center"/>
    </xf>
    <xf numFmtId="0" fontId="166" fillId="0" borderId="109" xfId="0" applyFont="1" applyBorder="1" applyAlignment="1">
      <alignment horizontal="center" vertical="center" wrapText="1"/>
    </xf>
    <xf numFmtId="0" fontId="166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7" fillId="0" borderId="0" xfId="0" applyFont="1" applyAlignment="1">
      <alignment horizontal="center" vertical="center" wrapText="1"/>
    </xf>
    <xf numFmtId="0" fontId="168" fillId="0" borderId="0" xfId="0" applyFont="1" applyFill="1" applyBorder="1" applyAlignment="1">
      <alignment horizontal="center" vertical="center" wrapText="1"/>
    </xf>
    <xf numFmtId="0" fontId="166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6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7" xfId="28" quotePrefix="1" applyFont="1" applyBorder="1" applyAlignment="1">
      <alignment horizontal="center"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71" fillId="0" borderId="0" xfId="28" applyFont="1"/>
    <xf numFmtId="0" fontId="0" fillId="0" borderId="0" xfId="0" applyAlignment="1">
      <alignment horizontal="left" vertical="center" shrinkToFit="1"/>
    </xf>
    <xf numFmtId="0" fontId="172" fillId="0" borderId="0" xfId="0" applyFont="1">
      <alignment horizontal="center" vertical="center"/>
    </xf>
    <xf numFmtId="164" fontId="173" fillId="3" borderId="6" xfId="2" applyNumberFormat="1" applyFont="1" applyFill="1" applyBorder="1" applyAlignment="1" applyProtection="1">
      <alignment vertical="center"/>
      <protection hidden="1"/>
    </xf>
    <xf numFmtId="0" fontId="165" fillId="0" borderId="0" xfId="19" applyFont="1" applyFill="1" applyBorder="1" applyAlignment="1">
      <alignment horizontal="center" vertical="center" wrapText="1"/>
    </xf>
    <xf numFmtId="0" fontId="165" fillId="0" borderId="0" xfId="0" applyFont="1" applyBorder="1" applyAlignment="1" applyProtection="1">
      <alignment horizontal="left" vertical="center" wrapText="1"/>
    </xf>
    <xf numFmtId="0" fontId="165" fillId="0" borderId="0" xfId="19" applyFont="1" applyFill="1" applyBorder="1" applyAlignment="1">
      <alignment horizontal="center" vertical="center"/>
    </xf>
    <xf numFmtId="0" fontId="165" fillId="0" borderId="0" xfId="19" applyNumberFormat="1" applyFont="1" applyFill="1" applyBorder="1" applyAlignment="1">
      <alignment horizontal="center" vertical="center"/>
    </xf>
    <xf numFmtId="14" fontId="165" fillId="0" borderId="0" xfId="19" applyNumberFormat="1" applyFont="1" applyFill="1" applyBorder="1" applyAlignment="1">
      <alignment horizontal="center" vertical="center" wrapText="1"/>
    </xf>
    <xf numFmtId="0" fontId="165" fillId="0" borderId="0" xfId="0" applyFont="1" applyFill="1" applyBorder="1" applyAlignment="1">
      <alignment horizontal="center" vertical="center" wrapText="1"/>
    </xf>
    <xf numFmtId="14" fontId="165" fillId="0" borderId="0" xfId="0" applyNumberFormat="1" applyFont="1" applyFill="1" applyBorder="1" applyAlignment="1">
      <alignment horizontal="center" vertical="center"/>
    </xf>
    <xf numFmtId="1" fontId="165" fillId="0" borderId="0" xfId="19" applyNumberFormat="1" applyFont="1" applyFill="1" applyBorder="1" applyAlignment="1">
      <alignment horizontal="center" vertical="center" wrapText="1"/>
    </xf>
    <xf numFmtId="0" fontId="136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6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65" fillId="0" borderId="6" xfId="28" applyFont="1" applyBorder="1" applyAlignment="1">
      <alignment vertical="center"/>
    </xf>
    <xf numFmtId="0" fontId="171" fillId="0" borderId="0" xfId="28" applyFont="1" applyAlignment="1"/>
    <xf numFmtId="0" fontId="172" fillId="0" borderId="0" xfId="0" applyFont="1" applyAlignment="1">
      <alignment horizontal="center" vertical="center" wrapText="1"/>
    </xf>
    <xf numFmtId="0" fontId="172" fillId="0" borderId="3" xfId="0" applyFont="1" applyBorder="1">
      <alignment horizontal="center" vertical="center"/>
    </xf>
    <xf numFmtId="0" fontId="172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66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74" fillId="0" borderId="20" xfId="19" applyFont="1" applyFill="1" applyBorder="1" applyAlignment="1">
      <alignment horizontal="center" vertical="center"/>
    </xf>
    <xf numFmtId="0" fontId="175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6" fillId="0" borderId="0" xfId="19" applyFont="1" applyBorder="1" applyAlignment="1">
      <alignment horizontal="center" vertical="center"/>
    </xf>
    <xf numFmtId="0" fontId="176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24" fillId="0" borderId="14" xfId="28" applyFont="1" applyBorder="1" applyAlignment="1">
      <alignment horizontal="centerContinuous" vertical="center"/>
    </xf>
    <xf numFmtId="9" fontId="24" fillId="0" borderId="21" xfId="28" applyNumberFormat="1" applyFont="1" applyBorder="1" applyAlignment="1">
      <alignment horizontal="centerContinuous" vertical="center"/>
    </xf>
    <xf numFmtId="0" fontId="24" fillId="0" borderId="128" xfId="28" applyFont="1" applyBorder="1" applyAlignment="1">
      <alignment horizontal="centerContinuous" vertical="center"/>
    </xf>
    <xf numFmtId="0" fontId="24" fillId="0" borderId="28" xfId="28" applyFont="1" applyBorder="1" applyAlignment="1">
      <alignment horizontal="centerContinuous" vertical="center"/>
    </xf>
    <xf numFmtId="0" fontId="165" fillId="0" borderId="0" xfId="28" applyFont="1" applyAlignment="1">
      <alignment vertical="center"/>
    </xf>
    <xf numFmtId="9" fontId="24" fillId="0" borderId="21" xfId="28" applyNumberFormat="1" applyFont="1" applyBorder="1" applyAlignment="1">
      <alignment vertical="center"/>
    </xf>
    <xf numFmtId="0" fontId="24" fillId="0" borderId="28" xfId="28" applyFont="1" applyBorder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77" fillId="0" borderId="0" xfId="28" applyFont="1" applyAlignment="1">
      <alignment horizontal="center"/>
    </xf>
    <xf numFmtId="0" fontId="178" fillId="0" borderId="0" xfId="28" applyFont="1" applyAlignment="1">
      <alignment horizontal="center" vertical="center"/>
    </xf>
    <xf numFmtId="0" fontId="178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9" fontId="24" fillId="0" borderId="14" xfId="30" applyFont="1" applyBorder="1" applyAlignment="1">
      <alignment vertical="center"/>
    </xf>
    <xf numFmtId="164" fontId="24" fillId="0" borderId="6" xfId="2" applyNumberFormat="1" applyFont="1" applyBorder="1" applyAlignment="1">
      <alignment vertical="center"/>
    </xf>
    <xf numFmtId="9" fontId="24" fillId="0" borderId="128" xfId="30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31" xfId="28" applyFont="1" applyBorder="1" applyAlignment="1">
      <alignment horizontal="centerContinuous" vertical="center"/>
    </xf>
    <xf numFmtId="9" fontId="24" fillId="0" borderId="22" xfId="28" applyNumberFormat="1" applyFont="1" applyBorder="1" applyAlignment="1">
      <alignment horizontal="centerContinuous" vertical="center"/>
    </xf>
    <xf numFmtId="9" fontId="24" fillId="0" borderId="31" xfId="30" applyFont="1" applyBorder="1" applyAlignment="1">
      <alignment vertical="center"/>
    </xf>
    <xf numFmtId="9" fontId="24" fillId="0" borderId="22" xfId="28" applyNumberFormat="1" applyFont="1" applyBorder="1" applyAlignment="1">
      <alignment vertical="center"/>
    </xf>
    <xf numFmtId="0" fontId="35" fillId="0" borderId="3" xfId="28" applyFont="1" applyBorder="1" applyAlignment="1">
      <alignment vertical="center"/>
    </xf>
    <xf numFmtId="0" fontId="35" fillId="0" borderId="3" xfId="28" applyFont="1" applyBorder="1" applyAlignment="1">
      <alignment horizontal="left" vertical="center"/>
    </xf>
    <xf numFmtId="0" fontId="35" fillId="0" borderId="3" xfId="28" applyFont="1" applyBorder="1" applyAlignment="1">
      <alignment horizontal="centerContinuous" vertical="center" wrapText="1"/>
    </xf>
    <xf numFmtId="9" fontId="24" fillId="0" borderId="14" xfId="30" applyFont="1" applyBorder="1" applyAlignment="1">
      <alignment horizontal="centerContinuous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9" fillId="0" borderId="0" xfId="28" applyFont="1" applyAlignment="1">
      <alignment horizontal="center" vertical="center"/>
    </xf>
    <xf numFmtId="0" fontId="180" fillId="0" borderId="0" xfId="28" applyFont="1" applyAlignment="1"/>
    <xf numFmtId="0" fontId="171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left" vertical="center" wrapText="1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135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72" fillId="0" borderId="12" xfId="0" applyFont="1" applyBorder="1" applyAlignment="1">
      <alignment horizontal="center" vertical="center" shrinkToFit="1"/>
    </xf>
    <xf numFmtId="0" fontId="172" fillId="0" borderId="13" xfId="0" applyFont="1" applyBorder="1" applyAlignment="1">
      <alignment horizontal="center" vertical="center" shrinkToFit="1"/>
    </xf>
    <xf numFmtId="0" fontId="35" fillId="0" borderId="0" xfId="28" applyFont="1" applyAlignment="1">
      <alignment horizontal="center" vertical="center"/>
    </xf>
    <xf numFmtId="0" fontId="35" fillId="0" borderId="3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horizontal="center" vertical="center"/>
    </xf>
    <xf numFmtId="0" fontId="170" fillId="0" borderId="0" xfId="28" applyFont="1" applyAlignment="1">
      <alignment horizontal="left" vertical="center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40" fillId="0" borderId="0" xfId="28" applyFont="1" applyAlignment="1">
      <alignment horizont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28" fillId="0" borderId="0" xfId="28" quotePrefix="1" applyFont="1" applyAlignment="1">
      <alignment horizontal="left" vertical="center"/>
    </xf>
    <xf numFmtId="0" fontId="135" fillId="16" borderId="12" xfId="0" applyNumberFormat="1" applyFont="1" applyFill="1" applyBorder="1" applyAlignment="1">
      <alignment horizontal="center" vertical="center" wrapText="1"/>
    </xf>
    <xf numFmtId="0" fontId="135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21" fillId="0" borderId="13" xfId="0" applyFont="1" applyBorder="1" applyAlignment="1">
      <alignment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9" fillId="7" borderId="38" xfId="2" applyNumberFormat="1" applyFont="1" applyFill="1" applyBorder="1" applyAlignment="1" applyProtection="1">
      <alignment horizontal="center" vertical="center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9" fillId="7" borderId="3" xfId="11" applyNumberFormat="1" applyFont="1" applyFill="1" applyBorder="1" applyAlignment="1">
      <alignment horizontal="center" vertical="center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8" xfId="11" applyNumberFormat="1" applyFont="1" applyFill="1" applyBorder="1" applyAlignment="1">
      <alignment horizontal="center" vertical="center" wrapText="1"/>
    </xf>
    <xf numFmtId="49" fontId="9" fillId="0" borderId="0" xfId="2" applyNumberFormat="1" applyFont="1" applyFill="1" applyBorder="1" applyAlignment="1">
      <alignment horizontal="right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4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4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25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13" xfId="0" applyFont="1" applyBorder="1" applyAlignment="1">
      <alignment horizontal="center" vertical="center" wrapText="1"/>
    </xf>
    <xf numFmtId="0" fontId="0" fillId="0" borderId="0" xfId="0" quotePrefix="1" applyFont="1" applyAlignment="1">
      <alignment horizontal="left" vertical="center"/>
    </xf>
    <xf numFmtId="0" fontId="35" fillId="0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 applyProtection="1">
      <alignment horizontal="center" vertical="center"/>
      <protection hidden="1"/>
    </xf>
    <xf numFmtId="0" fontId="35" fillId="0" borderId="3" xfId="19" applyFont="1" applyFill="1" applyBorder="1" applyAlignment="1" applyProtection="1">
      <alignment horizontal="center" vertical="center" wrapText="1"/>
      <protection hidden="1"/>
    </xf>
    <xf numFmtId="0" fontId="35" fillId="0" borderId="3" xfId="19" applyFont="1" applyFill="1" applyBorder="1" applyAlignment="1" applyProtection="1">
      <alignment horizontal="center" vertical="center" wrapText="1"/>
    </xf>
  </cellXfs>
  <cellStyles count="31">
    <cellStyle name="category" xfId="1"/>
    <cellStyle name="Comma" xfId="2" builtinId="3"/>
    <cellStyle name="Comma 2" xfId="22"/>
    <cellStyle name="Grey" xfId="3"/>
    <cellStyle name="HEADER" xfId="4"/>
    <cellStyle name="Header1" xfId="5"/>
    <cellStyle name="Header2" xfId="6"/>
    <cellStyle name="Hyperlink" xfId="20" builtinId="8"/>
    <cellStyle name="Input [yellow]" xfId="7"/>
    <cellStyle name="Model" xfId="8"/>
    <cellStyle name="Normal" xfId="0" builtinId="0" customBuiltin="1"/>
    <cellStyle name="Normal - Style1" xfId="9"/>
    <cellStyle name="Normal - Style1 2" xfId="21"/>
    <cellStyle name="Normal 2" xfId="19"/>
    <cellStyle name="Normal 3" xfId="23"/>
    <cellStyle name="Normal 4" xfId="24"/>
    <cellStyle name="Normal 5" xfId="28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S¬" xfId="17"/>
    <cellStyle name="subhead" xfId="18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45720</xdr:rowOff>
    </xdr:from>
    <xdr:to>
      <xdr:col>10</xdr:col>
      <xdr:colOff>148590</xdr:colOff>
      <xdr:row>2</xdr:row>
      <xdr:rowOff>45720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6960870" y="548640"/>
          <a:ext cx="18973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46094" y="23200679"/>
          <a:ext cx="10986499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894774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tabSelected="1" topLeftCell="D7" zoomScale="85" zoomScaleNormal="85" workbookViewId="0">
      <selection activeCell="R13" sqref="R13"/>
    </sheetView>
  </sheetViews>
  <sheetFormatPr defaultColWidth="8.90625" defaultRowHeight="50.1" customHeight="1"/>
  <cols>
    <col min="1" max="1" width="18.90625" style="1148" customWidth="1"/>
    <col min="2" max="2" width="20.54296875" style="1148" bestFit="1" customWidth="1"/>
    <col min="3" max="3" width="15.08984375" style="1516" customWidth="1"/>
    <col min="4" max="4" width="11.453125" style="1149" customWidth="1"/>
    <col min="5" max="5" width="15.08984375" style="1516" customWidth="1"/>
    <col min="6" max="6" width="11.453125" style="1148" customWidth="1"/>
    <col min="7" max="11" width="11.453125" style="1516" customWidth="1"/>
    <col min="12" max="12" width="11.453125" style="1149" customWidth="1"/>
    <col min="13" max="13" width="19" style="1149" customWidth="1"/>
    <col min="14" max="14" width="13.81640625" style="1149" bestFit="1" customWidth="1"/>
    <col min="15" max="15" width="8.08984375" customWidth="1"/>
    <col min="16" max="16" width="8.08984375" style="1149" customWidth="1"/>
    <col min="17" max="17" width="8.81640625" style="1149" customWidth="1"/>
    <col min="18" max="18" width="8.81640625" style="1516" customWidth="1"/>
    <col min="19" max="19" width="8.6328125" style="1149" customWidth="1"/>
    <col min="20" max="20" width="7.1796875" style="1149" customWidth="1"/>
    <col min="21" max="21" width="10" style="1149" customWidth="1"/>
    <col min="22" max="22" width="8.1796875" style="1152" customWidth="1"/>
    <col min="23" max="23" width="15.453125" style="1149" customWidth="1"/>
    <col min="24" max="24" width="17.453125" style="1149" customWidth="1"/>
    <col min="25" max="25" width="21" style="1148" customWidth="1"/>
    <col min="26" max="26" width="14" style="1148" customWidth="1"/>
    <col min="27" max="27" width="35.6328125" style="1148" customWidth="1"/>
    <col min="28" max="28" width="12.36328125" style="1148" customWidth="1"/>
    <col min="29" max="29" width="18.36328125" style="1148" customWidth="1"/>
    <col min="30" max="31" width="11.08984375" style="1148" customWidth="1"/>
    <col min="32" max="32" width="12.54296875" style="1148" customWidth="1"/>
    <col min="33" max="33" width="8.90625" style="1148"/>
    <col min="34" max="34" width="8" style="1148" customWidth="1"/>
    <col min="35" max="35" width="7" style="1148" customWidth="1"/>
    <col min="36" max="36" width="17.08984375" style="1148" customWidth="1"/>
    <col min="37" max="38" width="8.90625" style="1148"/>
    <col min="39" max="39" width="26.08984375" style="1148" bestFit="1" customWidth="1"/>
    <col min="40" max="40" width="11.6328125" style="1148" customWidth="1"/>
    <col min="41" max="41" width="23.81640625" style="1148" customWidth="1"/>
    <col min="42" max="42" width="29.1796875" style="1148" customWidth="1"/>
    <col min="43" max="43" width="61.1796875" style="1148" customWidth="1"/>
    <col min="44" max="16384" width="8.90625" style="1148"/>
  </cols>
  <sheetData>
    <row r="1" spans="1:43" s="1151" customFormat="1" ht="50.1" customHeight="1" thickTop="1">
      <c r="A1" s="2054" t="s">
        <v>4594</v>
      </c>
      <c r="B1" s="2054" t="s">
        <v>4595</v>
      </c>
      <c r="C1" s="2054" t="s">
        <v>4844</v>
      </c>
      <c r="D1" s="2054" t="s">
        <v>4599</v>
      </c>
      <c r="E1" s="2054" t="s">
        <v>4874</v>
      </c>
      <c r="F1" s="2054" t="s">
        <v>4736</v>
      </c>
      <c r="G1" s="2054" t="s">
        <v>5372</v>
      </c>
      <c r="H1" s="2054" t="s">
        <v>5373</v>
      </c>
      <c r="I1" s="2054" t="s">
        <v>5374</v>
      </c>
      <c r="J1" s="2054" t="s">
        <v>5375</v>
      </c>
      <c r="K1" s="2054" t="s">
        <v>5376</v>
      </c>
      <c r="L1" s="2054" t="s">
        <v>4600</v>
      </c>
      <c r="M1" s="2054" t="s">
        <v>4604</v>
      </c>
      <c r="N1" s="2054" t="s">
        <v>4601</v>
      </c>
      <c r="O1" s="2054" t="s">
        <v>4602</v>
      </c>
      <c r="P1" s="2054" t="s">
        <v>4603</v>
      </c>
      <c r="Q1" s="2054" t="s">
        <v>4597</v>
      </c>
      <c r="R1" s="2054" t="s">
        <v>5320</v>
      </c>
      <c r="S1" s="2054" t="s">
        <v>4598</v>
      </c>
      <c r="T1" s="2054" t="s">
        <v>4356</v>
      </c>
      <c r="U1" s="2054" t="s">
        <v>4609</v>
      </c>
      <c r="V1" s="2054" t="s">
        <v>4610</v>
      </c>
      <c r="W1" s="2054" t="s">
        <v>4612</v>
      </c>
      <c r="X1" s="2054" t="s">
        <v>4608</v>
      </c>
      <c r="Y1" s="2054" t="s">
        <v>4611</v>
      </c>
      <c r="Z1" s="2054" t="s">
        <v>4596</v>
      </c>
      <c r="AA1" s="2055" t="s">
        <v>4613</v>
      </c>
      <c r="AB1" s="2056" t="s">
        <v>4614</v>
      </c>
      <c r="AC1" s="2056" t="s">
        <v>4616</v>
      </c>
      <c r="AD1" s="2056" t="s">
        <v>4617</v>
      </c>
      <c r="AE1" s="2056" t="s">
        <v>4618</v>
      </c>
      <c r="AF1" s="2057" t="s">
        <v>4622</v>
      </c>
      <c r="AG1" s="2056" t="s">
        <v>4623</v>
      </c>
      <c r="AH1" s="2056" t="s">
        <v>4393</v>
      </c>
      <c r="AI1" s="2056" t="s">
        <v>4488</v>
      </c>
      <c r="AJ1" s="2058" t="s">
        <v>4628</v>
      </c>
      <c r="AK1" s="2059" t="s">
        <v>4649</v>
      </c>
      <c r="AL1" s="2060" t="s">
        <v>4651</v>
      </c>
      <c r="AM1" s="2054" t="s">
        <v>4737</v>
      </c>
      <c r="AN1" s="2054" t="s">
        <v>4738</v>
      </c>
      <c r="AO1" s="2054" t="s">
        <v>4739</v>
      </c>
      <c r="AP1" s="2054" t="s">
        <v>4740</v>
      </c>
      <c r="AQ1" s="2054" t="s">
        <v>4741</v>
      </c>
    </row>
    <row r="2" spans="1:43" s="1522" customFormat="1" ht="93" customHeight="1">
      <c r="A2" s="1135" t="s">
        <v>5079</v>
      </c>
      <c r="B2" s="1135" t="s">
        <v>5188</v>
      </c>
      <c r="C2" s="1520" t="s">
        <v>4712</v>
      </c>
      <c r="D2" s="1135" t="s">
        <v>5189</v>
      </c>
      <c r="E2" s="1520" t="s">
        <v>4819</v>
      </c>
      <c r="F2" s="1135" t="s">
        <v>5118</v>
      </c>
      <c r="G2" s="1135" t="s">
        <v>5395</v>
      </c>
      <c r="H2" s="1135" t="s">
        <v>5396</v>
      </c>
      <c r="I2" s="1135"/>
      <c r="J2" s="1135"/>
      <c r="K2" s="1135"/>
      <c r="L2" s="1135" t="s">
        <v>5191</v>
      </c>
      <c r="M2" s="1135" t="s">
        <v>5192</v>
      </c>
      <c r="N2" s="1135" t="s">
        <v>5193</v>
      </c>
      <c r="O2" s="1151" t="s">
        <v>4720</v>
      </c>
      <c r="P2" s="1151" t="s">
        <v>5194</v>
      </c>
      <c r="Q2" s="1135" t="s">
        <v>5118</v>
      </c>
      <c r="R2" s="1135" t="s">
        <v>5190</v>
      </c>
      <c r="S2" s="1520" t="s">
        <v>4819</v>
      </c>
      <c r="T2" s="1151" t="s">
        <v>5195</v>
      </c>
      <c r="U2" s="1520" t="s">
        <v>4860</v>
      </c>
      <c r="V2" s="1151" t="str">
        <f>UPPER(U2)</f>
        <v>XUÂN BẮC</v>
      </c>
      <c r="W2" s="1135" t="s">
        <v>5200</v>
      </c>
      <c r="X2" s="1135" t="str">
        <f>UPPER(W2)</f>
        <v>NÂNG CẤP ĐƯỜNG DÂY TRUNG THẾ TỪ RECLOSER XUÂN BẮC ĐẾN LBS KHÍ CHẾ BIẾN TUYẾN 480 XUÂN BẮC</v>
      </c>
      <c r="Y2" s="1151" t="str">
        <f>"Xã "&amp;U2&amp;" - Huyện Xuân Lộc - Tỉnh Đồng Nai"</f>
        <v>Xã Xuân Bắc - Huyện Xuân Lộc - Tỉnh Đồng Nai</v>
      </c>
      <c r="Z2" s="1151" t="str">
        <f>UPPER(Y2)</f>
        <v>XÃ XUÂN BẮC - HUYỆN XUÂN LỘC - TỈNH ĐỒNG NAI</v>
      </c>
      <c r="AA2" s="1526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62" t="str">
        <f>AA3</f>
        <v>BTLT 8,5m- F200 DƯL</v>
      </c>
      <c r="AC2" s="1840" t="str">
        <f>IF(AC3&lt;&gt;0,"Từ trụ "&amp;AC3&amp;" đến trụ "&amp;AC4&amp;" - Loại cột "&amp;AC5&amp;".","")</f>
        <v>Từ trụ 215 đến trụ 215/14 - Loại cột BTLT 8,5m- F200 DƯL.</v>
      </c>
      <c r="AD2" s="1162" t="s">
        <v>4876</v>
      </c>
      <c r="AE2" s="1162" t="s">
        <v>4876</v>
      </c>
      <c r="AF2" s="2001" t="s">
        <v>4933</v>
      </c>
      <c r="AG2" s="1162" t="str">
        <f>"Từ trụ "&amp;AG3&amp;" đến trụ "&amp;AG4</f>
        <v>Từ trụ 215 đến trụ 215/14</v>
      </c>
      <c r="AH2" s="1521"/>
      <c r="AI2" s="1513" t="s">
        <v>4624</v>
      </c>
      <c r="AJ2" s="1719" t="str">
        <f>AC2</f>
        <v>Từ trụ 215 đến trụ 215/14 - Loại cột BTLT 8,5m- F200 DƯL.</v>
      </c>
      <c r="AK2" s="1718" t="s">
        <v>4352</v>
      </c>
      <c r="AL2" s="1720"/>
      <c r="AM2" s="1734">
        <f>AC3</f>
        <v>215</v>
      </c>
      <c r="AN2" s="1734" t="str">
        <f>AC4</f>
        <v>215/14</v>
      </c>
      <c r="AO2" s="1734" t="s">
        <v>4930</v>
      </c>
      <c r="AP2" s="1522" t="s">
        <v>4931</v>
      </c>
      <c r="AQ2" s="2174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78" customFormat="1" ht="69" customHeight="1">
      <c r="A3" s="1171"/>
      <c r="B3" s="1172"/>
      <c r="C3" s="1172"/>
      <c r="D3" s="1173"/>
      <c r="E3" s="1172"/>
      <c r="F3" s="1174"/>
      <c r="G3" s="1174"/>
      <c r="H3" s="1174"/>
      <c r="I3" s="1174"/>
      <c r="J3" s="1174"/>
      <c r="K3" s="1174"/>
      <c r="L3" s="1171"/>
      <c r="M3" s="1172"/>
      <c r="N3" s="1171"/>
      <c r="O3" s="1175"/>
      <c r="P3" s="1175"/>
      <c r="Q3" s="1176"/>
      <c r="R3" s="1176"/>
      <c r="S3" s="1520"/>
      <c r="T3" s="1175"/>
      <c r="U3" s="1177"/>
      <c r="V3" s="1175"/>
      <c r="W3" s="1176"/>
      <c r="X3" s="1176"/>
      <c r="Y3" s="1175"/>
      <c r="Z3" s="1175"/>
      <c r="AA3" s="1185" t="s">
        <v>4862</v>
      </c>
      <c r="AB3" s="1161" t="s">
        <v>4619</v>
      </c>
      <c r="AC3" s="2001">
        <v>215</v>
      </c>
      <c r="AD3" s="1179"/>
      <c r="AE3" s="1179"/>
      <c r="AF3" s="1704"/>
      <c r="AG3" s="1734">
        <f>AC3</f>
        <v>215</v>
      </c>
      <c r="AH3" s="1179"/>
      <c r="AI3" s="1179"/>
      <c r="AJ3" s="2164">
        <f>AG3</f>
        <v>215</v>
      </c>
      <c r="AK3" s="1718" t="s">
        <v>4352</v>
      </c>
      <c r="AL3" s="1721"/>
      <c r="AM3" s="1178">
        <f>AM2</f>
        <v>215</v>
      </c>
      <c r="AN3" s="1178" t="s">
        <v>4934</v>
      </c>
      <c r="AO3" s="1734" t="s">
        <v>4936</v>
      </c>
      <c r="AP3" s="1734" t="s">
        <v>4938</v>
      </c>
      <c r="AQ3" s="2268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78" customFormat="1" ht="50.1" customHeight="1">
      <c r="A4" s="1135" t="s">
        <v>4525</v>
      </c>
      <c r="B4" s="1135" t="s">
        <v>4605</v>
      </c>
      <c r="C4" s="1520" t="s">
        <v>4819</v>
      </c>
      <c r="D4" s="1135" t="s">
        <v>4522</v>
      </c>
      <c r="E4" s="1520" t="s">
        <v>4819</v>
      </c>
      <c r="F4" s="1135" t="s">
        <v>4492</v>
      </c>
      <c r="G4" s="1135"/>
      <c r="H4" s="1135"/>
      <c r="I4" s="1135"/>
      <c r="J4" s="1135"/>
      <c r="K4" s="1135"/>
      <c r="L4" s="1135" t="s">
        <v>4523</v>
      </c>
      <c r="M4" s="1135" t="s">
        <v>4587</v>
      </c>
      <c r="N4" s="1135" t="s">
        <v>4590</v>
      </c>
      <c r="O4" s="1151" t="s">
        <v>4606</v>
      </c>
      <c r="P4" s="1151" t="s">
        <v>4607</v>
      </c>
      <c r="V4" s="1180"/>
      <c r="W4" s="1135" t="s">
        <v>4657</v>
      </c>
      <c r="AA4" s="1186" t="s">
        <v>4924</v>
      </c>
      <c r="AB4" s="1161" t="s">
        <v>4620</v>
      </c>
      <c r="AC4" s="2001" t="s">
        <v>4932</v>
      </c>
      <c r="AD4" s="1179"/>
      <c r="AE4" s="1179"/>
      <c r="AF4" s="1181"/>
      <c r="AG4" s="2163" t="str">
        <f>AC4</f>
        <v>215/14</v>
      </c>
      <c r="AH4" s="1179"/>
      <c r="AI4" s="1179"/>
      <c r="AJ4" s="2164" t="str">
        <f>AG4</f>
        <v>215/14</v>
      </c>
      <c r="AK4" s="1718"/>
      <c r="AL4" s="1721"/>
      <c r="AM4" s="1725" t="str">
        <f>AN3</f>
        <v>215/01</v>
      </c>
      <c r="AN4" s="1178" t="s">
        <v>4939</v>
      </c>
      <c r="AO4" s="1734" t="s">
        <v>4925</v>
      </c>
      <c r="AP4" s="1734" t="s">
        <v>4937</v>
      </c>
      <c r="AQ4" s="2268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78" customFormat="1" ht="50.1" customHeight="1" thickBot="1">
      <c r="A5" s="1135" t="s">
        <v>4658</v>
      </c>
      <c r="B5" s="1135" t="s">
        <v>4659</v>
      </c>
      <c r="C5" s="1520" t="s">
        <v>4819</v>
      </c>
      <c r="D5" s="1135" t="s">
        <v>4492</v>
      </c>
      <c r="E5" s="1520" t="s">
        <v>4819</v>
      </c>
      <c r="F5" s="1135" t="s">
        <v>4522</v>
      </c>
      <c r="G5" s="1135"/>
      <c r="H5" s="1135"/>
      <c r="I5" s="1135"/>
      <c r="J5" s="1135"/>
      <c r="K5" s="1135"/>
      <c r="V5" s="1180"/>
      <c r="AA5" s="1187">
        <v>549</v>
      </c>
      <c r="AB5" s="1184" t="s">
        <v>4621</v>
      </c>
      <c r="AC5" s="2166" t="str">
        <f>AA3</f>
        <v>BTLT 8,5m- F200 DƯL</v>
      </c>
      <c r="AD5" s="1182"/>
      <c r="AE5" s="1182"/>
      <c r="AF5" s="1183"/>
      <c r="AG5" s="1182"/>
      <c r="AH5" s="1182"/>
      <c r="AI5" s="1182"/>
      <c r="AJ5" s="2165" t="str">
        <f>AA4</f>
        <v>ABC 4x95mm2</v>
      </c>
      <c r="AK5" s="1718"/>
      <c r="AL5" s="1721"/>
      <c r="AM5" s="1725" t="str">
        <f>AN4</f>
        <v>215/10</v>
      </c>
      <c r="AN5" s="1178" t="s">
        <v>4940</v>
      </c>
      <c r="AO5" s="1734" t="s">
        <v>4935</v>
      </c>
      <c r="AP5" s="1734" t="s">
        <v>4941</v>
      </c>
      <c r="AQ5" s="2268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35" t="s">
        <v>4714</v>
      </c>
      <c r="B6" s="1135" t="s">
        <v>4715</v>
      </c>
      <c r="C6" s="1520" t="s">
        <v>4819</v>
      </c>
      <c r="D6" s="1135" t="s">
        <v>4723</v>
      </c>
      <c r="E6" s="1520" t="s">
        <v>4819</v>
      </c>
      <c r="F6" s="1135" t="s">
        <v>4724</v>
      </c>
      <c r="G6" s="1135"/>
      <c r="H6" s="1135"/>
      <c r="I6" s="1135"/>
      <c r="J6" s="1135"/>
      <c r="K6" s="1135"/>
      <c r="L6" s="1135" t="s">
        <v>4716</v>
      </c>
      <c r="M6" s="1135" t="s">
        <v>4717</v>
      </c>
      <c r="N6" s="1135" t="s">
        <v>4718</v>
      </c>
      <c r="O6" s="1151" t="s">
        <v>4719</v>
      </c>
      <c r="P6" s="1151" t="s">
        <v>4720</v>
      </c>
      <c r="Q6" s="1135" t="s">
        <v>4725</v>
      </c>
      <c r="R6" s="1135"/>
      <c r="S6" s="1520" t="s">
        <v>4712</v>
      </c>
      <c r="T6" s="1151" t="s">
        <v>4713</v>
      </c>
      <c r="U6" s="1520" t="s">
        <v>4721</v>
      </c>
      <c r="W6" s="1135" t="s">
        <v>4722</v>
      </c>
      <c r="AA6" s="1526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22"/>
      <c r="AK6" s="1723" t="s">
        <v>4650</v>
      </c>
      <c r="AL6" s="1724" t="s">
        <v>4656</v>
      </c>
      <c r="AM6" s="1725" t="str">
        <f>AN5</f>
        <v>215/11</v>
      </c>
      <c r="AN6" s="1750" t="str">
        <f>AN2</f>
        <v>215/14</v>
      </c>
      <c r="AO6" s="1734" t="s">
        <v>4942</v>
      </c>
      <c r="AP6" s="1734" t="s">
        <v>4943</v>
      </c>
      <c r="AQ6" s="2268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22" customFormat="1" ht="50.1" customHeight="1" thickTop="1">
      <c r="A7" s="1135" t="s">
        <v>4776</v>
      </c>
      <c r="B7" s="1135" t="s">
        <v>4777</v>
      </c>
      <c r="C7" s="1520" t="s">
        <v>4819</v>
      </c>
      <c r="D7" s="1135" t="s">
        <v>4773</v>
      </c>
      <c r="E7" s="1520" t="s">
        <v>4819</v>
      </c>
      <c r="F7" s="1135" t="s">
        <v>4774</v>
      </c>
      <c r="G7" s="1135"/>
      <c r="H7" s="1135"/>
      <c r="I7" s="1135"/>
      <c r="J7" s="1135"/>
      <c r="K7" s="1135"/>
      <c r="L7" s="1135" t="s">
        <v>4716</v>
      </c>
      <c r="M7" s="1135" t="s">
        <v>4717</v>
      </c>
      <c r="N7" s="1135" t="s">
        <v>4718</v>
      </c>
      <c r="O7" s="1151" t="s">
        <v>4719</v>
      </c>
      <c r="P7" s="1151" t="s">
        <v>4720</v>
      </c>
      <c r="Q7" s="1135" t="s">
        <v>4818</v>
      </c>
      <c r="R7" s="1135"/>
      <c r="S7" s="1520" t="s">
        <v>4819</v>
      </c>
      <c r="T7" s="1151" t="s">
        <v>4820</v>
      </c>
      <c r="U7" s="1520" t="s">
        <v>4775</v>
      </c>
      <c r="V7" s="1151" t="str">
        <f>UPPER(U7)</f>
        <v>XUÂN HƯNG</v>
      </c>
      <c r="W7" s="1135" t="s">
        <v>4821</v>
      </c>
      <c r="X7" s="1135" t="str">
        <f>UPPER(W7)</f>
        <v>ĐƯỜNG DÂY TRUNG THẾ 22KV &amp; TBA 320KVA - 22/0,4KV CƠ SỞ GẠCH HOÀNG QUỐC DŨNG</v>
      </c>
      <c r="Y7" s="1151" t="str">
        <f>"Xã "&amp;U7&amp;" - Huyện Xuân Lộc - Tỉnh Đồng Nai"</f>
        <v>Xã Xuân Hưng - Huyện Xuân Lộc - Tỉnh Đồng Nai</v>
      </c>
      <c r="Z7" s="1151" t="str">
        <f>UPPER(Y7)</f>
        <v>XÃ XUÂN HƯNG - HUYỆN XUÂN LỘC - TỈNH ĐỒNG NAI</v>
      </c>
      <c r="AA7" s="1526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62" t="s">
        <v>4615</v>
      </c>
      <c r="AC7" s="1840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62" t="str">
        <f>IF(AD8&lt;&gt;0,"Từ trụ "&amp;AD8&amp;" đến trụ "&amp;AD9&amp;" - Loại cột "&amp;AD10&amp;".","")</f>
        <v>Từ trụ  đến trụ  - Loại cột .</v>
      </c>
      <c r="AE7" s="1162" t="str">
        <f>IF(AE8&lt;&gt;0,"Từ trụ "&amp;AE8&amp;" đến trụ "&amp;AE9&amp;" - Loại cột "&amp;AE10&amp;".","")</f>
        <v>Từ trụ  đến trụ  - Loại cột .</v>
      </c>
      <c r="AF7" s="1704" t="s">
        <v>4823</v>
      </c>
      <c r="AG7" s="1162" t="str">
        <f>IF(AG8&lt;&gt;0,"Từ trụ "&amp;AG8&amp;" đến trụ "&amp;AG9,"")</f>
        <v xml:space="preserve">Từ trụ Từ trụ 013 đến trụ 013/001 đến trụ </v>
      </c>
      <c r="AH7" s="1521" t="str">
        <f>Solieu!C9</f>
        <v>18</v>
      </c>
      <c r="AI7" s="1513" t="s">
        <v>4624</v>
      </c>
      <c r="AJ7" s="1719" t="str">
        <f>IF(AJ8&lt;&gt;0,"Từ trụ "&amp;AJ8&amp;" đến trụ "&amp;AJ9&amp;".","")</f>
        <v>Từ trụ Từ trụ 013 đến trụ 013/001. đến trụ .</v>
      </c>
      <c r="AK7" s="1718" t="s">
        <v>4352</v>
      </c>
      <c r="AL7" s="1720"/>
      <c r="AM7" s="1725"/>
      <c r="AN7" s="1750"/>
      <c r="AO7" s="1734"/>
      <c r="AP7" s="1734"/>
      <c r="AQ7" s="2268"/>
    </row>
    <row r="8" spans="1:43" s="1522" customFormat="1" ht="50.1" customHeight="1">
      <c r="A8" s="1135" t="s">
        <v>4829</v>
      </c>
      <c r="B8" s="1135" t="s">
        <v>4830</v>
      </c>
      <c r="C8" s="1520" t="s">
        <v>4712</v>
      </c>
      <c r="D8" s="1135" t="s">
        <v>4837</v>
      </c>
      <c r="E8" s="1520" t="s">
        <v>4712</v>
      </c>
      <c r="F8" s="1135" t="s">
        <v>4825</v>
      </c>
      <c r="G8" s="1135"/>
      <c r="H8" s="1135"/>
      <c r="I8" s="1135"/>
      <c r="J8" s="1135"/>
      <c r="K8" s="1135"/>
      <c r="L8" s="1135" t="s">
        <v>4716</v>
      </c>
      <c r="M8" s="1135" t="s">
        <v>4717</v>
      </c>
      <c r="N8" s="1135" t="s">
        <v>4718</v>
      </c>
      <c r="O8" s="1151" t="s">
        <v>4719</v>
      </c>
      <c r="P8" s="1151" t="s">
        <v>4720</v>
      </c>
      <c r="Q8" s="1135" t="s">
        <v>4846</v>
      </c>
      <c r="R8" s="1135"/>
      <c r="S8" s="1520" t="s">
        <v>4819</v>
      </c>
      <c r="T8" s="1151" t="s">
        <v>4826</v>
      </c>
      <c r="U8" s="1520" t="s">
        <v>4845</v>
      </c>
      <c r="V8" s="1151" t="s">
        <v>4847</v>
      </c>
      <c r="W8" s="1135" t="s">
        <v>4827</v>
      </c>
      <c r="X8" s="1135" t="s">
        <v>4848</v>
      </c>
      <c r="Y8" s="1151" t="s">
        <v>4849</v>
      </c>
      <c r="Z8" s="1151" t="s">
        <v>4850</v>
      </c>
      <c r="AA8" s="1526" t="s">
        <v>4851</v>
      </c>
      <c r="AB8" s="1162" t="s">
        <v>4615</v>
      </c>
      <c r="AC8" s="1840" t="s">
        <v>4852</v>
      </c>
      <c r="AD8" s="1162" t="s">
        <v>4629</v>
      </c>
      <c r="AE8" s="1162" t="s">
        <v>4629</v>
      </c>
      <c r="AF8" s="1161" t="s">
        <v>4828</v>
      </c>
      <c r="AG8" s="1162" t="s">
        <v>4853</v>
      </c>
      <c r="AH8" s="1521" t="s">
        <v>465</v>
      </c>
      <c r="AI8" s="1513" t="s">
        <v>4624</v>
      </c>
      <c r="AJ8" s="1719" t="s">
        <v>4854</v>
      </c>
      <c r="AK8" s="1718" t="s">
        <v>4352</v>
      </c>
      <c r="AL8" s="1720"/>
      <c r="AM8" s="1725"/>
      <c r="AN8" s="1750"/>
      <c r="AO8" s="1734"/>
      <c r="AP8" s="1734"/>
      <c r="AQ8" s="2268"/>
    </row>
    <row r="9" spans="1:43" s="1522" customFormat="1" ht="50.1" customHeight="1">
      <c r="A9" s="1135" t="s">
        <v>4855</v>
      </c>
      <c r="B9" s="1135" t="s">
        <v>4856</v>
      </c>
      <c r="C9" s="1520" t="s">
        <v>4712</v>
      </c>
      <c r="D9" s="1135" t="s">
        <v>4857</v>
      </c>
      <c r="E9" s="1520" t="s">
        <v>4712</v>
      </c>
      <c r="F9" s="1135" t="s">
        <v>4875</v>
      </c>
      <c r="G9" s="1135"/>
      <c r="H9" s="1135"/>
      <c r="I9" s="1135"/>
      <c r="J9" s="1135"/>
      <c r="K9" s="1135"/>
      <c r="L9" s="1135" t="s">
        <v>4716</v>
      </c>
      <c r="M9" s="1135" t="s">
        <v>4717</v>
      </c>
      <c r="N9" s="1135" t="s">
        <v>4718</v>
      </c>
      <c r="O9" s="1151" t="s">
        <v>4719</v>
      </c>
      <c r="P9" s="1151" t="s">
        <v>4720</v>
      </c>
      <c r="Q9" s="1135" t="s">
        <v>4858</v>
      </c>
      <c r="R9" s="1135"/>
      <c r="S9" s="1520" t="s">
        <v>4819</v>
      </c>
      <c r="T9" s="1151" t="s">
        <v>4859</v>
      </c>
      <c r="U9" s="1520" t="s">
        <v>4860</v>
      </c>
      <c r="V9" s="1151" t="str">
        <f>UPPER(U9)</f>
        <v>XUÂN BẮC</v>
      </c>
      <c r="W9" s="1135" t="s">
        <v>4861</v>
      </c>
      <c r="X9" s="1135" t="str">
        <f>UPPER(W9)</f>
        <v>PHÁT TRIỂN ĐƯỜNG DÂY HẠ THẾ SAU TBA CLB RAU XUÂN BẮC</v>
      </c>
      <c r="Y9" s="1151" t="str">
        <f>"Xã "&amp;U9&amp;" - Huyện Xuân Lộc - Tỉnh Đồng Nai"</f>
        <v>Xã Xuân Bắc - Huyện Xuân Lộc - Tỉnh Đồng Nai</v>
      </c>
      <c r="Z9" s="1151" t="str">
        <f>UPPER(Y9)</f>
        <v>XÃ XUÂN BẮC - HUYỆN XUÂN LỘC - TỈNH ĐỒNG NAI</v>
      </c>
      <c r="AA9" s="1526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62" t="s">
        <v>4862</v>
      </c>
      <c r="AC9" s="1840" t="str">
        <f>IF(AC10&lt;&gt;0,"Từ trụ "&amp;AC10&amp;" đến trụ "&amp;AC11&amp;" - Loại cột "&amp;AC12&amp;".","")</f>
        <v/>
      </c>
      <c r="AD9" s="1162" t="str">
        <f>IF(AD10&lt;&gt;0,"Từ trụ "&amp;AD10&amp;" đến trụ "&amp;AD11&amp;" - Loại cột "&amp;AD12&amp;".","")</f>
        <v/>
      </c>
      <c r="AE9" s="1162" t="str">
        <f>IF(AE10&lt;&gt;0,"Từ trụ "&amp;AE10&amp;" đến trụ "&amp;AE11&amp;" - Loại cột "&amp;AE12&amp;".","")</f>
        <v/>
      </c>
      <c r="AF9" s="1161" t="s">
        <v>4828</v>
      </c>
      <c r="AG9" s="1162" t="str">
        <f>IF(AG10&lt;&gt;0,"Từ trụ "&amp;AG10&amp;" đến trụ "&amp;AG11,"")</f>
        <v/>
      </c>
      <c r="AH9" s="1521">
        <f>Solieu!C11</f>
        <v>0</v>
      </c>
      <c r="AI9" s="1513" t="s">
        <v>4624</v>
      </c>
      <c r="AJ9" s="1719" t="str">
        <f>IF(AJ10&lt;&gt;0,"Từ trụ "&amp;AJ10&amp;" đến trụ "&amp;AJ11&amp;".","")</f>
        <v/>
      </c>
      <c r="AK9" s="1718" t="s">
        <v>4352</v>
      </c>
      <c r="AL9" s="1720"/>
      <c r="AM9" s="1725"/>
      <c r="AN9" s="1750"/>
      <c r="AO9" s="1734"/>
      <c r="AP9" s="1734"/>
      <c r="AQ9" s="2268"/>
    </row>
    <row r="10" spans="1:43" ht="50.1" customHeight="1">
      <c r="A10" s="1135" t="s">
        <v>4776</v>
      </c>
      <c r="B10" s="1135" t="s">
        <v>4777</v>
      </c>
      <c r="C10" s="1520" t="s">
        <v>4819</v>
      </c>
      <c r="D10" s="1135" t="s">
        <v>4773</v>
      </c>
      <c r="E10" s="1520" t="s">
        <v>4819</v>
      </c>
      <c r="F10" s="1135" t="s">
        <v>4774</v>
      </c>
      <c r="G10" s="1135"/>
      <c r="H10" s="1135"/>
      <c r="I10" s="1135"/>
      <c r="J10" s="1135"/>
      <c r="K10" s="1135"/>
      <c r="L10" s="1135" t="s">
        <v>4523</v>
      </c>
      <c r="M10" s="1135" t="s">
        <v>4587</v>
      </c>
      <c r="N10" s="1135" t="s">
        <v>4590</v>
      </c>
      <c r="O10" s="1151" t="s">
        <v>4606</v>
      </c>
      <c r="P10" s="1151" t="s">
        <v>4607</v>
      </c>
      <c r="Q10" s="1135" t="s">
        <v>4879</v>
      </c>
      <c r="R10" s="1135"/>
      <c r="S10" s="1520" t="s">
        <v>4819</v>
      </c>
      <c r="T10" s="1151" t="s">
        <v>4880</v>
      </c>
      <c r="U10" s="1520" t="s">
        <v>4881</v>
      </c>
      <c r="V10" s="2172" t="s">
        <v>4899</v>
      </c>
      <c r="W10" s="1135" t="s">
        <v>4882</v>
      </c>
      <c r="X10" s="2173" t="s">
        <v>4900</v>
      </c>
      <c r="Y10" s="2172" t="s">
        <v>4901</v>
      </c>
      <c r="Z10" s="2172" t="s">
        <v>4902</v>
      </c>
      <c r="AM10" s="1725"/>
      <c r="AO10" s="1152"/>
      <c r="AQ10" s="1726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35" t="s">
        <v>4776</v>
      </c>
      <c r="B11" s="1135" t="s">
        <v>4777</v>
      </c>
      <c r="C11" s="1520" t="s">
        <v>4819</v>
      </c>
      <c r="D11" s="1135" t="s">
        <v>4773</v>
      </c>
      <c r="E11" s="1520" t="s">
        <v>4819</v>
      </c>
      <c r="F11" s="1135" t="s">
        <v>4774</v>
      </c>
      <c r="G11" s="1135"/>
      <c r="H11" s="1135"/>
      <c r="I11" s="1135"/>
      <c r="J11" s="1135"/>
      <c r="K11" s="1135"/>
      <c r="L11" s="1135" t="s">
        <v>4523</v>
      </c>
      <c r="M11" s="1135" t="s">
        <v>4587</v>
      </c>
      <c r="N11" s="1135" t="s">
        <v>4590</v>
      </c>
      <c r="O11" s="1151" t="s">
        <v>4606</v>
      </c>
      <c r="P11" s="1151" t="s">
        <v>4607</v>
      </c>
      <c r="Q11" s="1135" t="s">
        <v>4818</v>
      </c>
      <c r="R11" s="1135"/>
      <c r="S11" s="1520" t="s">
        <v>4712</v>
      </c>
      <c r="T11" s="1151" t="s">
        <v>4908</v>
      </c>
      <c r="U11" s="1520" t="s">
        <v>4903</v>
      </c>
      <c r="V11" s="2172" t="str">
        <f>UPPER(U11)</f>
        <v>XUÂN HIỆP</v>
      </c>
      <c r="W11" s="1135" t="s">
        <v>4904</v>
      </c>
      <c r="AM11" s="1725"/>
      <c r="AO11" s="1152"/>
      <c r="AQ11" s="1726"/>
    </row>
    <row r="12" spans="1:43" ht="50.1" customHeight="1">
      <c r="A12" s="1148" t="s">
        <v>4658</v>
      </c>
      <c r="B12" s="1148" t="s">
        <v>4659</v>
      </c>
      <c r="C12" s="1516" t="s">
        <v>4819</v>
      </c>
      <c r="D12" s="1149" t="s">
        <v>4492</v>
      </c>
      <c r="E12" s="1516" t="s">
        <v>4819</v>
      </c>
      <c r="F12" s="1148" t="s">
        <v>4522</v>
      </c>
      <c r="L12" s="1149" t="s">
        <v>4716</v>
      </c>
      <c r="M12" s="1149" t="s">
        <v>4717</v>
      </c>
      <c r="N12" s="1149" t="s">
        <v>4718</v>
      </c>
      <c r="O12" t="s">
        <v>4719</v>
      </c>
      <c r="P12" s="1149" t="s">
        <v>4720</v>
      </c>
      <c r="Q12" s="1149" t="s">
        <v>4818</v>
      </c>
      <c r="S12" s="1149" t="s">
        <v>4819</v>
      </c>
      <c r="T12" s="1149" t="s">
        <v>4913</v>
      </c>
      <c r="U12" s="1149" t="s">
        <v>4860</v>
      </c>
      <c r="V12" s="1152" t="s">
        <v>4917</v>
      </c>
      <c r="W12" s="1149" t="s">
        <v>4915</v>
      </c>
      <c r="X12" s="1149" t="s">
        <v>4918</v>
      </c>
      <c r="Y12" s="1148" t="s">
        <v>4919</v>
      </c>
      <c r="Z12" s="1148" t="s">
        <v>4920</v>
      </c>
      <c r="AA12" s="1148" t="s">
        <v>4921</v>
      </c>
      <c r="AB12" s="1148" t="s">
        <v>4615</v>
      </c>
      <c r="AC12" s="1148" t="s">
        <v>4922</v>
      </c>
      <c r="AD12" s="1148" t="s">
        <v>4876</v>
      </c>
      <c r="AE12" s="1148" t="s">
        <v>4876</v>
      </c>
      <c r="AG12" s="1148" t="s">
        <v>4877</v>
      </c>
      <c r="AI12" s="1148" t="s">
        <v>4624</v>
      </c>
      <c r="AJ12" s="1148" t="s">
        <v>4878</v>
      </c>
      <c r="AK12" s="1148" t="s">
        <v>4352</v>
      </c>
      <c r="AM12" s="1725" t="s">
        <v>4909</v>
      </c>
      <c r="AN12" s="1148" t="s">
        <v>4910</v>
      </c>
      <c r="AO12" s="1152" t="s">
        <v>4911</v>
      </c>
      <c r="AP12" s="1148" t="s">
        <v>4912</v>
      </c>
      <c r="AQ12" s="1726" t="s">
        <v>4923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8" activePane="bottomLeft" state="frozen"/>
      <selection pane="bottomLeft" activeCell="H13" sqref="H13"/>
    </sheetView>
  </sheetViews>
  <sheetFormatPr defaultColWidth="8.90625" defaultRowHeight="16.8"/>
  <cols>
    <col min="1" max="1" width="15.08984375" style="1747" customWidth="1"/>
    <col min="2" max="2" width="11.36328125" style="1748" customWidth="1"/>
    <col min="3" max="3" width="11.6328125" style="1753" hidden="1" customWidth="1"/>
    <col min="4" max="4" width="37.453125" style="1748" customWidth="1"/>
    <col min="5" max="5" width="8.6328125" style="1822" customWidth="1"/>
    <col min="6" max="6" width="6.08984375" style="1753" customWidth="1"/>
    <col min="7" max="7" width="13.90625" style="1753" customWidth="1"/>
    <col min="8" max="8" width="23.36328125" style="1818" bestFit="1" customWidth="1"/>
    <col min="9" max="9" width="26.81640625" style="1818" customWidth="1"/>
    <col min="10" max="10" width="14.36328125" style="1787" customWidth="1"/>
    <col min="11" max="11" width="11.1796875" style="1787" customWidth="1"/>
    <col min="12" max="12" width="10.6328125" style="1789" customWidth="1"/>
    <col min="13" max="13" width="10.81640625" style="1752" customWidth="1"/>
    <col min="14" max="14" width="10.453125" style="1750" customWidth="1"/>
    <col min="15" max="15" width="41.90625" style="1750" bestFit="1" customWidth="1"/>
    <col min="16" max="17" width="8.90625" style="1750" customWidth="1"/>
    <col min="18" max="18" width="9.453125" style="1750" customWidth="1"/>
    <col min="19" max="20" width="8.90625" style="1750" customWidth="1"/>
    <col min="21" max="31" width="8.90625" style="1750"/>
    <col min="32" max="32" width="8.90625" style="1747"/>
    <col min="33" max="33" width="45.453125" style="1747" customWidth="1"/>
    <col min="34" max="40" width="8.90625" style="1747"/>
    <col min="41" max="41" width="21.6328125" style="1747" customWidth="1"/>
    <col min="42" max="44" width="8.90625" style="1747"/>
    <col min="45" max="45" width="6" style="1747" customWidth="1"/>
    <col min="46" max="46" width="31.1796875" style="1747" customWidth="1"/>
    <col min="47" max="47" width="7.1796875" style="1747" customWidth="1"/>
    <col min="48" max="53" width="8.90625" style="1747"/>
    <col min="54" max="54" width="22.54296875" style="1747" bestFit="1" customWidth="1"/>
    <col min="55" max="55" width="12.54296875" style="1747" customWidth="1"/>
    <col min="56" max="61" width="8.90625" style="1747"/>
    <col min="62" max="62" width="22.1796875" style="1747" customWidth="1"/>
    <col min="63" max="63" width="20.54296875" style="1747" customWidth="1"/>
    <col min="64" max="71" width="8.90625" style="1747"/>
    <col min="72" max="72" width="28.81640625" style="1747" customWidth="1"/>
    <col min="73" max="73" width="8.90625" style="1747"/>
    <col min="74" max="74" width="14.1796875" style="1747" customWidth="1"/>
    <col min="75" max="16384" width="8.90625" style="1747"/>
  </cols>
  <sheetData>
    <row r="1" spans="1:31" s="1744" customFormat="1" ht="22.5" customHeight="1">
      <c r="A1" s="1745" t="s">
        <v>4752</v>
      </c>
      <c r="B1" s="1745" t="s">
        <v>4743</v>
      </c>
      <c r="C1" s="1745" t="s">
        <v>4752</v>
      </c>
      <c r="D1" s="1745"/>
      <c r="E1" s="1783" t="s">
        <v>5359</v>
      </c>
      <c r="F1" s="1783" t="s">
        <v>4733</v>
      </c>
      <c r="G1" s="1783" t="s">
        <v>2668</v>
      </c>
      <c r="H1" s="1815" t="s">
        <v>4364</v>
      </c>
      <c r="I1" s="1815" t="s">
        <v>4365</v>
      </c>
      <c r="J1" s="1785" t="s">
        <v>4758</v>
      </c>
      <c r="K1" s="1785" t="s">
        <v>4370</v>
      </c>
      <c r="L1" s="2168" t="s">
        <v>4755</v>
      </c>
      <c r="M1" s="1783" t="s">
        <v>4370</v>
      </c>
      <c r="N1" s="1825" t="s">
        <v>4371</v>
      </c>
      <c r="O1" s="1746" t="s">
        <v>4486</v>
      </c>
      <c r="P1" s="1520"/>
      <c r="Q1" s="1520"/>
      <c r="R1" s="1520"/>
      <c r="S1" s="1520"/>
      <c r="T1" s="1520"/>
      <c r="U1" s="1520"/>
      <c r="V1" s="1520"/>
      <c r="W1" s="1520"/>
      <c r="X1" s="1520"/>
      <c r="Y1" s="1520"/>
      <c r="Z1" s="1520"/>
      <c r="AA1" s="1520"/>
      <c r="AB1" s="1520"/>
      <c r="AC1" s="1520"/>
      <c r="AD1" s="1520"/>
      <c r="AE1" s="1520"/>
    </row>
    <row r="2" spans="1:31" ht="28.5" customHeight="1">
      <c r="A2" s="2167" t="s">
        <v>5377</v>
      </c>
      <c r="B2" s="1751" t="s">
        <v>3978</v>
      </c>
      <c r="C2" s="1777" t="str">
        <f>TEXT(A2,"00")</f>
        <v>19, 20, 22, 26</v>
      </c>
      <c r="D2" s="1756" t="str">
        <f>VLOOKUP(G2,DG!A:C,3,0)</f>
        <v>Trụ BTLT 12m F540 dự ứng lực (k=2)</v>
      </c>
      <c r="E2" s="1769">
        <f>VLOOKUP(G2,'NT-VT'!A:N,5,0)</f>
        <v>96</v>
      </c>
      <c r="F2" s="1769">
        <v>1</v>
      </c>
      <c r="G2" s="1820" t="s">
        <v>4956</v>
      </c>
      <c r="H2" s="1816" t="s">
        <v>4745</v>
      </c>
      <c r="I2" s="1816" t="s">
        <v>4745</v>
      </c>
      <c r="J2" s="1790" t="s">
        <v>5323</v>
      </c>
      <c r="K2" s="1821">
        <v>43685</v>
      </c>
      <c r="L2" s="2342" t="str">
        <f>IF(N2&lt;&gt;0,N2&amp;$L$1,"")</f>
        <v/>
      </c>
      <c r="M2" s="1784"/>
      <c r="N2" s="1849"/>
      <c r="O2" s="1749" t="s">
        <v>4745</v>
      </c>
    </row>
    <row r="3" spans="1:31" ht="28.5" customHeight="1">
      <c r="A3" s="2167">
        <v>18</v>
      </c>
      <c r="B3" s="1751" t="s">
        <v>2340</v>
      </c>
      <c r="C3" s="1777" t="str">
        <f t="shared" ref="C3:C9" si="0">TEXT(A3,"00")</f>
        <v>18</v>
      </c>
      <c r="D3" s="1756" t="str">
        <f>VLOOKUP(G3,DG!A:C,3,0)</f>
        <v>Trụ BTLT 14m F650 dự ứng lực</v>
      </c>
      <c r="E3" s="1769">
        <f>VLOOKUP(G3,'NT-VT'!A:N,5,0)</f>
        <v>15</v>
      </c>
      <c r="F3" s="1769">
        <v>2</v>
      </c>
      <c r="G3" s="1820" t="s">
        <v>108</v>
      </c>
      <c r="H3" s="1816" t="s">
        <v>4745</v>
      </c>
      <c r="I3" s="1816" t="s">
        <v>4745</v>
      </c>
      <c r="J3" s="1790" t="s">
        <v>5323</v>
      </c>
      <c r="K3" s="1821">
        <v>43685</v>
      </c>
      <c r="L3" s="2342" t="str">
        <f t="shared" ref="L3:L18" si="1">IF(N3&lt;&gt;0,N3&amp;$L$1,"")</f>
        <v/>
      </c>
      <c r="M3" s="1784"/>
      <c r="N3" s="1849"/>
      <c r="O3" s="1749" t="s">
        <v>4799</v>
      </c>
    </row>
    <row r="4" spans="1:31" ht="28.5" customHeight="1">
      <c r="A4" s="2167">
        <v>26</v>
      </c>
      <c r="B4" s="1751" t="s">
        <v>4744</v>
      </c>
      <c r="C4" s="1777" t="str">
        <f t="shared" si="0"/>
        <v>26</v>
      </c>
      <c r="D4" s="1756" t="str">
        <f>VLOOKUP(G4,DG!A:C,3,0)</f>
        <v xml:space="preserve">Sứ đứng 24KV </v>
      </c>
      <c r="E4" s="1769">
        <f>VLOOKUP(G4,'NT-VT'!A:N,5,0)</f>
        <v>591</v>
      </c>
      <c r="F4" s="1769">
        <v>3</v>
      </c>
      <c r="G4" s="1820" t="s">
        <v>703</v>
      </c>
      <c r="H4" s="1816" t="s">
        <v>5326</v>
      </c>
      <c r="I4" s="1749" t="s">
        <v>5324</v>
      </c>
      <c r="J4" s="1790" t="s">
        <v>5332</v>
      </c>
      <c r="K4" s="1821">
        <v>43660</v>
      </c>
      <c r="L4" s="2342" t="s">
        <v>5334</v>
      </c>
      <c r="M4" s="1784">
        <v>43713</v>
      </c>
      <c r="N4" s="1849"/>
      <c r="O4" s="1749" t="s">
        <v>4372</v>
      </c>
    </row>
    <row r="5" spans="1:31" ht="28.5" customHeight="1">
      <c r="A5" s="2167" t="s">
        <v>5408</v>
      </c>
      <c r="B5" s="1751" t="s">
        <v>4746</v>
      </c>
      <c r="C5" s="1777" t="str">
        <f t="shared" si="0"/>
        <v>22, 26</v>
      </c>
      <c r="D5" s="1756" t="str">
        <f>VLOOKUP(G5,DG!A:C,3,0)</f>
        <v>Sứ treo polymer</v>
      </c>
      <c r="E5" s="1769">
        <f>VLOOKUP(G5,'NT-VT'!A:N,5,0)</f>
        <v>93</v>
      </c>
      <c r="F5" s="1769">
        <v>4</v>
      </c>
      <c r="G5" s="1820" t="s">
        <v>1558</v>
      </c>
      <c r="H5" s="1816" t="s">
        <v>5333</v>
      </c>
      <c r="I5" s="1749" t="s">
        <v>5324</v>
      </c>
      <c r="J5" s="1790"/>
      <c r="K5" s="1821"/>
      <c r="L5" s="2342"/>
      <c r="M5" s="1784"/>
      <c r="N5" s="1849"/>
      <c r="O5" s="1749" t="s">
        <v>4375</v>
      </c>
    </row>
    <row r="6" spans="1:31" ht="28.5" customHeight="1">
      <c r="A6" s="2167" t="s">
        <v>4926</v>
      </c>
      <c r="B6" s="1751" t="s">
        <v>4747</v>
      </c>
      <c r="C6" s="1777" t="str">
        <f t="shared" si="0"/>
        <v>002, 003</v>
      </c>
      <c r="D6" s="1756" t="str">
        <f>VLOOKUP(G6,DG!A:C,3,0)</f>
        <v>LTD 1P 24KV - 600A</v>
      </c>
      <c r="E6" s="1769">
        <f>VLOOKUP(G6,'NT-VT'!A:N,5,0)</f>
        <v>6</v>
      </c>
      <c r="F6" s="1769">
        <v>5</v>
      </c>
      <c r="G6" s="1820" t="s">
        <v>4977</v>
      </c>
      <c r="H6" s="1816" t="s">
        <v>5330</v>
      </c>
      <c r="I6" s="1816" t="s">
        <v>5330</v>
      </c>
      <c r="J6" s="1790" t="s">
        <v>5331</v>
      </c>
      <c r="K6" s="1821">
        <v>43631</v>
      </c>
      <c r="L6" s="2342" t="s">
        <v>5329</v>
      </c>
      <c r="M6" s="1784">
        <v>43665</v>
      </c>
      <c r="N6" s="1849"/>
      <c r="O6" s="1749" t="s">
        <v>4487</v>
      </c>
    </row>
    <row r="7" spans="1:31" ht="28.5" customHeight="1">
      <c r="A7" s="2167" t="s">
        <v>5407</v>
      </c>
      <c r="B7" s="1751" t="s">
        <v>4237</v>
      </c>
      <c r="C7" s="1777" t="str">
        <f t="shared" si="0"/>
        <v>19, 21</v>
      </c>
      <c r="D7" s="1756" t="str">
        <f>VLOOKUP(G7,DG!A:C,3,0)</f>
        <v>Cáp 24KV C/XLPE/PVC 150mm2</v>
      </c>
      <c r="E7" s="1769">
        <f>VLOOKUP(G7,'NT-VT'!A:N,5,0)</f>
        <v>24</v>
      </c>
      <c r="F7" s="1769">
        <v>6</v>
      </c>
      <c r="G7" s="1820" t="s">
        <v>1520</v>
      </c>
      <c r="H7" s="1816"/>
      <c r="I7" s="1816"/>
      <c r="J7" s="1790"/>
      <c r="K7" s="1821"/>
      <c r="L7" s="2342"/>
      <c r="M7" s="1784"/>
      <c r="N7" s="1849"/>
      <c r="O7" s="1749" t="s">
        <v>4378</v>
      </c>
    </row>
    <row r="8" spans="1:31" ht="28.5" customHeight="1">
      <c r="A8" s="2167" t="s">
        <v>168</v>
      </c>
      <c r="B8" s="1751" t="s">
        <v>4751</v>
      </c>
      <c r="C8" s="1777" t="str">
        <f t="shared" si="0"/>
        <v>02</v>
      </c>
      <c r="D8" s="1756" t="str">
        <f>VLOOKUP(G8,DG!A:C,3,0)</f>
        <v>Cáp 24KV C/XLPE/PVC 25mm2</v>
      </c>
      <c r="E8" s="1769">
        <f>VLOOKUP(G8,'NT-VT'!A:N,5,0)</f>
        <v>59</v>
      </c>
      <c r="F8" s="1769">
        <v>7</v>
      </c>
      <c r="G8" s="1820" t="s">
        <v>704</v>
      </c>
      <c r="H8" s="1816"/>
      <c r="I8" s="1816"/>
      <c r="J8" s="1790"/>
      <c r="K8" s="1821"/>
      <c r="L8" s="2342"/>
      <c r="M8" s="1784"/>
      <c r="N8" s="1849"/>
      <c r="O8" s="1749" t="s">
        <v>4388</v>
      </c>
    </row>
    <row r="9" spans="1:31" ht="28.5" customHeight="1">
      <c r="A9" s="2167">
        <v>18</v>
      </c>
      <c r="B9" s="1751" t="s">
        <v>4767</v>
      </c>
      <c r="C9" s="1777" t="str">
        <f t="shared" si="0"/>
        <v>18</v>
      </c>
      <c r="D9" s="1756" t="str">
        <f>VLOOKUP(G9,DG!A:C,3,0)</f>
        <v>Cáp đồng trần M25mm2</v>
      </c>
      <c r="E9" s="1769">
        <f>VLOOKUP(G9,'NT-VT'!A:N,5,0)</f>
        <v>60.510000000000005</v>
      </c>
      <c r="F9" s="1769">
        <v>8</v>
      </c>
      <c r="G9" s="1820" t="s">
        <v>103</v>
      </c>
      <c r="H9" s="1816"/>
      <c r="I9" s="1816"/>
      <c r="J9" s="1790"/>
      <c r="K9" s="1821"/>
      <c r="L9" s="2342" t="str">
        <f t="shared" si="1"/>
        <v/>
      </c>
      <c r="M9" s="1784"/>
      <c r="N9" s="1849"/>
      <c r="O9" s="1749" t="s">
        <v>4735</v>
      </c>
    </row>
    <row r="10" spans="1:31" ht="28.5" customHeight="1">
      <c r="A10" s="2167" t="s">
        <v>5406</v>
      </c>
      <c r="B10" s="1751" t="s">
        <v>5405</v>
      </c>
      <c r="C10" s="1777"/>
      <c r="D10" s="1756" t="str">
        <f>VLOOKUP(G10,DG!A:C,3,0)</f>
        <v>Cáp nhôm lõi thép AC-120/19</v>
      </c>
      <c r="E10" s="1769">
        <f>VLOOKUP(G10,'NT-VT'!A:N,5,0)</f>
        <v>2985.1980000000008</v>
      </c>
      <c r="F10" s="1769">
        <v>9</v>
      </c>
      <c r="G10" s="1820" t="s">
        <v>543</v>
      </c>
      <c r="H10" s="1816" t="s">
        <v>5335</v>
      </c>
      <c r="I10" s="1816" t="s">
        <v>5335</v>
      </c>
      <c r="J10" s="1790" t="s">
        <v>5336</v>
      </c>
      <c r="K10" s="1821">
        <v>43682</v>
      </c>
      <c r="L10" s="2342" t="str">
        <f t="shared" si="1"/>
        <v/>
      </c>
      <c r="M10" s="1784"/>
      <c r="N10" s="1849"/>
      <c r="O10" s="1749" t="s">
        <v>4382</v>
      </c>
    </row>
    <row r="11" spans="1:31" ht="28.5" customHeight="1">
      <c r="A11" s="2167"/>
      <c r="B11" s="1751"/>
      <c r="C11" s="1777"/>
      <c r="D11" s="1756" t="str">
        <f>VLOOKUP(G11,DG!A:C,3,0)</f>
        <v>Cáp 24KV A/XLPE/PVC 185mm2</v>
      </c>
      <c r="E11" s="1769">
        <f>VLOOKUP(G11,'NT-VT'!A:N,5,0)</f>
        <v>19014.000000000007</v>
      </c>
      <c r="F11" s="1769">
        <v>10</v>
      </c>
      <c r="G11" s="1820" t="s">
        <v>1061</v>
      </c>
      <c r="H11" s="1816"/>
      <c r="I11" s="1816"/>
      <c r="J11" s="1790"/>
      <c r="K11" s="1821"/>
      <c r="L11" s="2342" t="str">
        <f t="shared" si="1"/>
        <v/>
      </c>
      <c r="M11" s="1784"/>
      <c r="N11" s="1849"/>
      <c r="O11" s="1749" t="s">
        <v>4381</v>
      </c>
    </row>
    <row r="12" spans="1:31" ht="28.5" customHeight="1">
      <c r="A12" s="2167"/>
      <c r="B12" s="1751"/>
      <c r="C12" s="1777"/>
      <c r="D12" s="1756" t="str">
        <f>VLOOKUP(G12,DG!A:C,3,0)</f>
        <v>Cáp thép 3/8"</v>
      </c>
      <c r="E12" s="1769">
        <f>VLOOKUP(G12,'NT-VT'!A:N,5,0)</f>
        <v>30</v>
      </c>
      <c r="F12" s="1769">
        <v>11</v>
      </c>
      <c r="G12" s="1820" t="s">
        <v>276</v>
      </c>
      <c r="H12" s="1816" t="s">
        <v>5335</v>
      </c>
      <c r="I12" s="1816" t="s">
        <v>5335</v>
      </c>
      <c r="J12" s="1790" t="s">
        <v>5336</v>
      </c>
      <c r="K12" s="1821">
        <v>43682</v>
      </c>
      <c r="L12" s="2342" t="str">
        <f t="shared" si="1"/>
        <v/>
      </c>
      <c r="M12" s="1784"/>
      <c r="N12" s="1849"/>
      <c r="O12" s="1749" t="s">
        <v>4379</v>
      </c>
    </row>
    <row r="13" spans="1:31" ht="28.5" customHeight="1">
      <c r="A13" s="2167"/>
      <c r="B13" s="1751"/>
      <c r="C13" s="1777"/>
      <c r="D13" s="1756" t="str">
        <f>VLOOKUP(G13,DG!A:C,3,0)</f>
        <v>Cáp thép 5/8"</v>
      </c>
      <c r="E13" s="1769">
        <f>VLOOKUP(G13,'NT-VT'!A:N,5,0)</f>
        <v>248</v>
      </c>
      <c r="F13" s="1769">
        <v>12</v>
      </c>
      <c r="G13" s="1820" t="s">
        <v>1392</v>
      </c>
      <c r="H13" s="1816" t="s">
        <v>5335</v>
      </c>
      <c r="I13" s="1816" t="s">
        <v>5335</v>
      </c>
      <c r="J13" s="1790" t="s">
        <v>5336</v>
      </c>
      <c r="K13" s="1821">
        <v>43682</v>
      </c>
      <c r="L13" s="2342" t="str">
        <f t="shared" si="1"/>
        <v/>
      </c>
      <c r="M13" s="1784"/>
      <c r="N13" s="1849"/>
      <c r="O13" s="1749" t="s">
        <v>4377</v>
      </c>
    </row>
    <row r="14" spans="1:31" ht="28.5" customHeight="1">
      <c r="A14" s="2167"/>
      <c r="B14" s="1751"/>
      <c r="C14" s="1777"/>
      <c r="D14" s="1756" t="str">
        <f>VLOOKUP(G14,DG!A:C,3,0)</f>
        <v>Cáp nhôm lõi thép bọc 24KV AC/XLPE50 mm2</v>
      </c>
      <c r="E14" s="1769">
        <f>VLOOKUP(G14,'NT-VT'!A:N,5,0)</f>
        <v>159</v>
      </c>
      <c r="F14" s="1769">
        <v>13</v>
      </c>
      <c r="G14" s="1820" t="s">
        <v>4964</v>
      </c>
      <c r="H14" s="1816"/>
      <c r="I14" s="1816"/>
      <c r="J14" s="1790"/>
      <c r="K14" s="1821"/>
      <c r="L14" s="2342" t="str">
        <f t="shared" si="1"/>
        <v/>
      </c>
      <c r="M14" s="1784"/>
      <c r="N14" s="1849"/>
      <c r="O14" s="1749" t="s">
        <v>4380</v>
      </c>
    </row>
    <row r="15" spans="1:31" ht="28.5" customHeight="1">
      <c r="A15" s="2167"/>
      <c r="B15" s="1751"/>
      <c r="C15" s="1777"/>
      <c r="D15" s="1756" t="str">
        <f>VLOOKUP(G15,DG!A:C,3,0)</f>
        <v>Boulon 16x250+ 2 long đền vuông D18-50x50x3/Zn</v>
      </c>
      <c r="E15" s="1769">
        <f>VLOOKUP(G15,'NT-VT'!A:N,5,0)</f>
        <v>302</v>
      </c>
      <c r="F15" s="1769">
        <v>14</v>
      </c>
      <c r="G15" s="1820" t="s">
        <v>1661</v>
      </c>
      <c r="H15" s="1816" t="s">
        <v>5337</v>
      </c>
      <c r="I15" s="1816" t="s">
        <v>5337</v>
      </c>
      <c r="J15" s="1790" t="s">
        <v>5338</v>
      </c>
      <c r="K15" s="1821">
        <v>43608</v>
      </c>
      <c r="L15" s="2342" t="str">
        <f t="shared" si="1"/>
        <v/>
      </c>
      <c r="M15" s="1784"/>
      <c r="N15" s="1849"/>
      <c r="O15" s="1749" t="s">
        <v>4376</v>
      </c>
    </row>
    <row r="16" spans="1:31" ht="28.5" customHeight="1">
      <c r="A16" s="2167"/>
      <c r="B16" s="1751"/>
      <c r="C16" s="1777"/>
      <c r="D16" s="1756" t="str">
        <f>VLOOKUP(G16,DG!A:C,3,0)</f>
        <v>Boulon 16x300+ 2 long đền vuông D18-50x50x3/Zn</v>
      </c>
      <c r="E16" s="1769">
        <f>VLOOKUP(G16,'NT-VT'!A:N,5,0)</f>
        <v>231</v>
      </c>
      <c r="F16" s="1769">
        <v>15</v>
      </c>
      <c r="G16" s="1820" t="s">
        <v>1662</v>
      </c>
      <c r="H16" s="1816" t="s">
        <v>5337</v>
      </c>
      <c r="I16" s="1816" t="s">
        <v>5337</v>
      </c>
      <c r="J16" s="1790" t="s">
        <v>5338</v>
      </c>
      <c r="K16" s="1821">
        <v>43608</v>
      </c>
      <c r="L16" s="2342" t="s">
        <v>5352</v>
      </c>
      <c r="M16" s="1784">
        <v>43718</v>
      </c>
      <c r="N16" s="1849"/>
      <c r="O16" s="1749" t="s">
        <v>4831</v>
      </c>
    </row>
    <row r="17" spans="1:15" ht="28.5" customHeight="1">
      <c r="A17" s="2167"/>
      <c r="B17" s="1751"/>
      <c r="C17" s="1777"/>
      <c r="D17" s="1756" t="str">
        <f>VLOOKUP(G17,DG!A:C,3,0)</f>
        <v>Boulon 16x300VRS+ 4 long đền vuông D18-50x50x3/Zn</v>
      </c>
      <c r="E17" s="1769">
        <f>VLOOKUP(G17,'NT-VT'!A:N,5,0)</f>
        <v>44</v>
      </c>
      <c r="F17" s="1769">
        <v>16</v>
      </c>
      <c r="G17" s="1820" t="s">
        <v>418</v>
      </c>
      <c r="H17" s="1816" t="s">
        <v>5337</v>
      </c>
      <c r="I17" s="1816" t="s">
        <v>5337</v>
      </c>
      <c r="J17" s="1790" t="s">
        <v>5338</v>
      </c>
      <c r="K17" s="1821">
        <v>43608</v>
      </c>
      <c r="L17" s="2342" t="str">
        <f t="shared" si="1"/>
        <v/>
      </c>
      <c r="M17" s="1784"/>
      <c r="N17" s="1849"/>
      <c r="O17" s="1749" t="s">
        <v>4374</v>
      </c>
    </row>
    <row r="18" spans="1:15" ht="28.5" customHeight="1">
      <c r="A18" s="2167"/>
      <c r="B18" s="1751"/>
      <c r="C18" s="1777"/>
      <c r="D18" s="1756" t="str">
        <f>VLOOKUP(G18,DG!A:C,3,0)</f>
        <v>Boulon 16x50+ 2 long đền vuông D18-50x50x3/Zn</v>
      </c>
      <c r="E18" s="1769">
        <f>VLOOKUP(G18,'NT-VT'!A:N,5,0)</f>
        <v>227</v>
      </c>
      <c r="F18" s="1769">
        <v>17</v>
      </c>
      <c r="G18" s="1820" t="s">
        <v>1839</v>
      </c>
      <c r="H18" s="1816" t="s">
        <v>5337</v>
      </c>
      <c r="I18" s="1816" t="s">
        <v>5337</v>
      </c>
      <c r="J18" s="1790" t="s">
        <v>5338</v>
      </c>
      <c r="K18" s="1821">
        <v>43608</v>
      </c>
      <c r="L18" s="2342" t="str">
        <f t="shared" si="1"/>
        <v/>
      </c>
      <c r="M18" s="1784"/>
      <c r="N18" s="1849"/>
      <c r="O18" s="1749" t="s">
        <v>4905</v>
      </c>
    </row>
    <row r="19" spans="1:15" ht="28.5" customHeight="1">
      <c r="A19" s="2167"/>
      <c r="B19" s="1751"/>
      <c r="C19" s="1777"/>
      <c r="D19" s="1756" t="str">
        <f>VLOOKUP(G19,DG!A:C,3,0)</f>
        <v>Boulon 16x500+ 2 long đền vuông D18-50x50x3/Zn</v>
      </c>
      <c r="E19" s="1769">
        <f>VLOOKUP(G19,'NT-VT'!A:N,5,0)</f>
        <v>20</v>
      </c>
      <c r="F19" s="1769">
        <v>18</v>
      </c>
      <c r="G19" s="1820" t="s">
        <v>1591</v>
      </c>
      <c r="H19" s="1816" t="s">
        <v>5337</v>
      </c>
      <c r="I19" s="1816" t="s">
        <v>5337</v>
      </c>
      <c r="J19" s="1790" t="s">
        <v>5338</v>
      </c>
      <c r="K19" s="1821">
        <v>43608</v>
      </c>
      <c r="L19" s="2342"/>
      <c r="M19" s="1784"/>
      <c r="N19" s="1849"/>
      <c r="O19" s="1749" t="s">
        <v>4906</v>
      </c>
    </row>
    <row r="20" spans="1:15" ht="28.5" customHeight="1">
      <c r="A20" s="2167"/>
      <c r="B20" s="1751"/>
      <c r="C20" s="1777"/>
      <c r="D20" s="1756" t="str">
        <f>VLOOKUP(G20,DG!A:C,3,0)</f>
        <v>Boulon 16x500VRS+ 4 long đền vuông D18-50x50x3/Zn</v>
      </c>
      <c r="E20" s="1769">
        <f>VLOOKUP(G20,'NT-VT'!A:N,5,0)</f>
        <v>0</v>
      </c>
      <c r="F20" s="1769">
        <v>19</v>
      </c>
      <c r="G20" s="1820" t="s">
        <v>1198</v>
      </c>
      <c r="H20" s="1816" t="s">
        <v>5337</v>
      </c>
      <c r="I20" s="1816" t="s">
        <v>5337</v>
      </c>
      <c r="J20" s="1790" t="s">
        <v>5338</v>
      </c>
      <c r="K20" s="1821">
        <v>43608</v>
      </c>
      <c r="L20" s="2342"/>
      <c r="M20" s="1784"/>
      <c r="N20" s="1849"/>
      <c r="O20" s="1749" t="s">
        <v>5324</v>
      </c>
    </row>
    <row r="21" spans="1:15" ht="28.5" customHeight="1">
      <c r="A21" s="2167"/>
      <c r="B21" s="1751"/>
      <c r="C21" s="1777"/>
      <c r="D21" s="1756" t="str">
        <f>VLOOKUP(G21,DG!A:C,3,0)</f>
        <v>Boulon 16x550VRS+ 4 long đền vuông D18-50x50x3/Zn</v>
      </c>
      <c r="E21" s="1769">
        <f>VLOOKUP(G21,'NT-VT'!A:N,5,0)</f>
        <v>50</v>
      </c>
      <c r="F21" s="1769">
        <v>20</v>
      </c>
      <c r="G21" s="1820" t="s">
        <v>1414</v>
      </c>
      <c r="H21" s="1816" t="s">
        <v>5337</v>
      </c>
      <c r="I21" s="1816" t="s">
        <v>5337</v>
      </c>
      <c r="J21" s="1790" t="s">
        <v>5338</v>
      </c>
      <c r="K21" s="1821">
        <v>43608</v>
      </c>
      <c r="L21" s="2342"/>
      <c r="M21" s="1784"/>
      <c r="N21" s="1849"/>
      <c r="O21" s="1749"/>
    </row>
    <row r="22" spans="1:15" ht="28.5" customHeight="1">
      <c r="A22" s="2167"/>
      <c r="B22" s="1751"/>
      <c r="C22" s="1777"/>
      <c r="D22" s="1756" t="str">
        <f>VLOOKUP(G22,DG!A:C,3,0)</f>
        <v>Boulon 16x650VRS+ 4 long đền vuông D18-50x50x3/Zn</v>
      </c>
      <c r="E22" s="1769">
        <f>VLOOKUP(G22,'NT-VT'!A:N,5,0)</f>
        <v>10</v>
      </c>
      <c r="F22" s="1769">
        <v>21</v>
      </c>
      <c r="G22" s="1820" t="s">
        <v>1592</v>
      </c>
      <c r="H22" s="1816" t="s">
        <v>5337</v>
      </c>
      <c r="I22" s="1816" t="s">
        <v>5337</v>
      </c>
      <c r="J22" s="1790" t="s">
        <v>5338</v>
      </c>
      <c r="K22" s="1821">
        <v>43608</v>
      </c>
      <c r="L22" s="2342"/>
      <c r="M22" s="1784"/>
      <c r="N22" s="1849"/>
      <c r="O22" s="1749"/>
    </row>
    <row r="23" spans="1:15" ht="28.5" customHeight="1">
      <c r="A23" s="2167"/>
      <c r="B23" s="1751"/>
      <c r="C23" s="1777"/>
      <c r="D23" s="1756" t="str">
        <f>VLOOKUP(G23,DG!A:C,3,0)</f>
        <v>Boulon 16x750VRS+ 4 long đền vuông D18-50x50x3/Zn</v>
      </c>
      <c r="E23" s="1769">
        <f>VLOOKUP(G23,'NT-VT'!A:N,5,0)</f>
        <v>10</v>
      </c>
      <c r="F23" s="1769">
        <v>22</v>
      </c>
      <c r="G23" s="1820" t="s">
        <v>4953</v>
      </c>
      <c r="H23" s="1816" t="s">
        <v>5337</v>
      </c>
      <c r="I23" s="1816" t="s">
        <v>5337</v>
      </c>
      <c r="J23" s="1790" t="s">
        <v>5338</v>
      </c>
      <c r="K23" s="1821">
        <v>43608</v>
      </c>
      <c r="L23" s="2342"/>
      <c r="M23" s="1784"/>
      <c r="N23" s="1849"/>
      <c r="O23" s="1749"/>
    </row>
    <row r="24" spans="1:15" ht="28.5" customHeight="1">
      <c r="A24" s="2167"/>
      <c r="B24" s="1751"/>
      <c r="C24" s="1777"/>
      <c r="D24" s="1756" t="str">
        <f>VLOOKUP(G24,DG!A:C,3,0)</f>
        <v>Boulon 22x650+ 2 long đền vuông D24-50x50x3/Zn</v>
      </c>
      <c r="E24" s="1769">
        <f>VLOOKUP(G24,'NT-VT'!A:N,5,0)</f>
        <v>55</v>
      </c>
      <c r="F24" s="1769">
        <v>23</v>
      </c>
      <c r="G24" s="1820" t="s">
        <v>570</v>
      </c>
      <c r="H24" s="1816" t="s">
        <v>5337</v>
      </c>
      <c r="I24" s="1816" t="s">
        <v>5337</v>
      </c>
      <c r="J24" s="1790" t="s">
        <v>5338</v>
      </c>
      <c r="K24" s="1821">
        <v>43608</v>
      </c>
      <c r="L24" s="2342"/>
      <c r="M24" s="1784"/>
      <c r="N24" s="1849"/>
      <c r="O24" s="1749"/>
    </row>
    <row r="25" spans="1:15" ht="28.5" customHeight="1">
      <c r="A25" s="2167"/>
      <c r="B25" s="1751"/>
      <c r="C25" s="1777"/>
      <c r="D25" s="1756" t="str">
        <f>VLOOKUP(G25,DG!A:C,3,0)</f>
        <v>Boulon mắt 16x300+ 2 long đền vuông D18-50x50x3/Zn</v>
      </c>
      <c r="E25" s="1769">
        <f>VLOOKUP(G25,'NT-VT'!A:N,5,0)</f>
        <v>48</v>
      </c>
      <c r="F25" s="1769">
        <v>24</v>
      </c>
      <c r="G25" s="1820" t="s">
        <v>420</v>
      </c>
      <c r="H25" s="1816" t="s">
        <v>5337</v>
      </c>
      <c r="I25" s="1816" t="s">
        <v>5337</v>
      </c>
      <c r="J25" s="1790" t="s">
        <v>5338</v>
      </c>
      <c r="K25" s="1821">
        <v>43608</v>
      </c>
      <c r="L25" s="2342"/>
      <c r="M25" s="1784"/>
      <c r="N25" s="1849"/>
      <c r="O25" s="1749"/>
    </row>
    <row r="26" spans="1:15" ht="28.5" customHeight="1">
      <c r="A26" s="2167"/>
      <c r="B26" s="1751"/>
      <c r="C26" s="1777"/>
      <c r="D26" s="1756" t="str">
        <f>VLOOKUP(G26,DG!A:C,3,0)</f>
        <v>Boulon móc 16x300+ long đền vuông D18-50x50x3/Zn</v>
      </c>
      <c r="E26" s="1769">
        <f>VLOOKUP(G26,'NT-VT'!A:N,5,0)</f>
        <v>42</v>
      </c>
      <c r="F26" s="1769">
        <v>25</v>
      </c>
      <c r="G26" s="1820" t="s">
        <v>837</v>
      </c>
      <c r="H26" s="1816" t="s">
        <v>5337</v>
      </c>
      <c r="I26" s="1816" t="s">
        <v>5337</v>
      </c>
      <c r="J26" s="1790" t="s">
        <v>5338</v>
      </c>
      <c r="K26" s="1821">
        <v>43608</v>
      </c>
      <c r="L26" s="2342"/>
      <c r="M26" s="1784"/>
      <c r="N26" s="1849"/>
      <c r="O26" s="1749"/>
    </row>
    <row r="27" spans="1:15" ht="28.5" customHeight="1">
      <c r="A27" s="2167"/>
      <c r="B27" s="1751"/>
      <c r="C27" s="1777"/>
      <c r="D27" s="1756" t="str">
        <f>VLOOKUP(G27,DG!A:C,3,0)</f>
        <v>Cổ dê kẹp ống PVC  21</v>
      </c>
      <c r="E27" s="1769">
        <f>VLOOKUP(G27,'NT-VT'!A:N,5,0)</f>
        <v>28</v>
      </c>
      <c r="F27" s="1769">
        <v>27</v>
      </c>
      <c r="G27" s="1820" t="s">
        <v>1644</v>
      </c>
      <c r="H27" s="1816" t="s">
        <v>5337</v>
      </c>
      <c r="I27" s="1816" t="s">
        <v>5337</v>
      </c>
      <c r="J27" s="1790" t="s">
        <v>5338</v>
      </c>
      <c r="K27" s="1821">
        <v>43608</v>
      </c>
      <c r="L27" s="2342"/>
      <c r="M27" s="1784"/>
      <c r="N27" s="1849"/>
      <c r="O27" s="1749"/>
    </row>
    <row r="28" spans="1:15" ht="28.5" customHeight="1">
      <c r="A28" s="2167"/>
      <c r="B28" s="1751"/>
      <c r="C28" s="1777"/>
      <c r="D28" s="1756" t="str">
        <f>VLOOKUP(G28,DG!A:C,3,0)</f>
        <v>Bộ chống chằng hẹp Ø60/50x1500+2BL12x40+BL16x250/80</v>
      </c>
      <c r="E28" s="1769">
        <f>VLOOKUP(G28,'NT-VT'!A:N,5,0)</f>
        <v>3</v>
      </c>
      <c r="F28" s="1769">
        <v>28</v>
      </c>
      <c r="G28" s="1820" t="s">
        <v>612</v>
      </c>
      <c r="H28" s="1816" t="s">
        <v>5337</v>
      </c>
      <c r="I28" s="1816" t="s">
        <v>5337</v>
      </c>
      <c r="J28" s="1790" t="s">
        <v>5338</v>
      </c>
      <c r="K28" s="1821">
        <v>43608</v>
      </c>
      <c r="L28" s="2342"/>
      <c r="M28" s="1784"/>
      <c r="N28" s="1849"/>
      <c r="O28" s="1749"/>
    </row>
    <row r="29" spans="1:15" ht="28.5" customHeight="1">
      <c r="A29" s="2167"/>
      <c r="B29" s="1751"/>
      <c r="C29" s="1777"/>
      <c r="D29" s="1756" t="str">
        <f>VLOOKUP(G29,DG!A:C,3,0)</f>
        <v>Đầu cosse ép Cu 150mm2</v>
      </c>
      <c r="E29" s="1769">
        <f>VLOOKUP(G29,'NT-VT'!A:N,5,0)</f>
        <v>15</v>
      </c>
      <c r="F29" s="1769">
        <v>29</v>
      </c>
      <c r="G29" s="1820" t="s">
        <v>2217</v>
      </c>
      <c r="H29" s="1816" t="s">
        <v>5337</v>
      </c>
      <c r="I29" s="1816" t="s">
        <v>5337</v>
      </c>
      <c r="J29" s="1790" t="s">
        <v>5338</v>
      </c>
      <c r="K29" s="1821">
        <v>43608</v>
      </c>
      <c r="L29" s="2342"/>
      <c r="M29" s="1784"/>
      <c r="N29" s="1849"/>
      <c r="O29" s="1749"/>
    </row>
    <row r="30" spans="1:15" ht="28.5" customHeight="1">
      <c r="A30" s="2167"/>
      <c r="B30" s="1751"/>
      <c r="C30" s="1777"/>
      <c r="D30" s="1756" t="str">
        <f>VLOOKUP(G30,DG!A:C,3,0)</f>
        <v>Chân sứ đứng D20</v>
      </c>
      <c r="E30" s="1769">
        <f>VLOOKUP(G30,'NT-VT'!A:N,5,0)</f>
        <v>591</v>
      </c>
      <c r="F30" s="1769">
        <v>30</v>
      </c>
      <c r="G30" s="1820" t="s">
        <v>1298</v>
      </c>
      <c r="H30" s="1749" t="s">
        <v>5324</v>
      </c>
      <c r="I30" s="1749" t="s">
        <v>5324</v>
      </c>
      <c r="J30" s="1790" t="s">
        <v>5325</v>
      </c>
      <c r="K30" s="1821">
        <v>43660</v>
      </c>
      <c r="L30" s="2342"/>
      <c r="M30" s="1784"/>
      <c r="N30" s="1849"/>
      <c r="O30" s="1749"/>
    </row>
    <row r="31" spans="1:15" ht="28.5" customHeight="1">
      <c r="A31" s="2167"/>
      <c r="B31" s="1751"/>
      <c r="C31" s="1777"/>
      <c r="D31" s="1756" t="str">
        <f>VLOOKUP(G31,DG!A:C,3,0)</f>
        <v>Cọc tiếp đất Ø 16- 2,4m + kẹp cọc</v>
      </c>
      <c r="E31" s="1769">
        <f>VLOOKUP(G31,'NT-VT'!A:N,5,0)</f>
        <v>14</v>
      </c>
      <c r="F31" s="1769">
        <v>31</v>
      </c>
      <c r="G31" s="1820" t="s">
        <v>1560</v>
      </c>
      <c r="H31" s="1816" t="s">
        <v>5337</v>
      </c>
      <c r="I31" s="1816" t="s">
        <v>5337</v>
      </c>
      <c r="J31" s="1790" t="s">
        <v>5338</v>
      </c>
      <c r="K31" s="1821">
        <v>43608</v>
      </c>
      <c r="L31" s="2342"/>
      <c r="M31" s="1784"/>
      <c r="N31" s="1849"/>
      <c r="O31" s="1749"/>
    </row>
    <row r="32" spans="1:15" ht="28.5" customHeight="1">
      <c r="A32" s="2167"/>
      <c r="B32" s="1751"/>
      <c r="C32" s="1777"/>
      <c r="D32" s="1756" t="str">
        <f>VLOOKUP(G32,DG!A:C,3,0)</f>
        <v>Chụp kẹp Uquai</v>
      </c>
      <c r="E32" s="1769">
        <f>VLOOKUP(G32,'NT-VT'!A:N,5,0)</f>
        <v>56</v>
      </c>
      <c r="F32" s="1769">
        <v>32</v>
      </c>
      <c r="G32" s="1820" t="s">
        <v>4972</v>
      </c>
      <c r="H32" s="1816" t="s">
        <v>5339</v>
      </c>
      <c r="I32" s="1816" t="s">
        <v>5337</v>
      </c>
      <c r="J32" s="1790" t="s">
        <v>5340</v>
      </c>
      <c r="K32" s="1821"/>
      <c r="L32" s="2342" t="s">
        <v>5341</v>
      </c>
      <c r="M32" s="1784">
        <v>43000</v>
      </c>
      <c r="N32" s="1849"/>
      <c r="O32" s="1749"/>
    </row>
    <row r="33" spans="1:15" ht="28.5" customHeight="1">
      <c r="A33" s="2167"/>
      <c r="B33" s="1751"/>
      <c r="C33" s="1777"/>
      <c r="D33" s="1756" t="str">
        <f>VLOOKUP(G33,DG!A:C,3,0)</f>
        <v>Đà cản BTCT 1,2m</v>
      </c>
      <c r="E33" s="1769">
        <f>VLOOKUP(G33,'NT-VT'!A:N,5,0)</f>
        <v>40</v>
      </c>
      <c r="F33" s="1769">
        <v>33</v>
      </c>
      <c r="G33" s="1820" t="s">
        <v>641</v>
      </c>
      <c r="H33" s="1816"/>
      <c r="I33" s="1816"/>
      <c r="J33" s="1790"/>
      <c r="K33" s="1821"/>
      <c r="L33" s="2342"/>
      <c r="M33" s="1784"/>
      <c r="N33" s="1849"/>
      <c r="O33" s="1749"/>
    </row>
    <row r="34" spans="1:15" ht="28.5" customHeight="1">
      <c r="A34" s="2167"/>
      <c r="B34" s="1751"/>
      <c r="C34" s="1777"/>
      <c r="D34" s="1756" t="str">
        <f>VLOOKUP(G34,DG!A:C,3,0)</f>
        <v>Đà cản BTCT 1,5m</v>
      </c>
      <c r="E34" s="1769">
        <f>VLOOKUP(G34,'NT-VT'!A:N,5,0)</f>
        <v>15</v>
      </c>
      <c r="F34" s="1769">
        <v>34</v>
      </c>
      <c r="G34" s="1820" t="s">
        <v>1627</v>
      </c>
      <c r="H34" s="1816"/>
      <c r="I34" s="1816"/>
      <c r="J34" s="1790"/>
      <c r="K34" s="1821"/>
      <c r="L34" s="2342"/>
      <c r="M34" s="1784"/>
      <c r="N34" s="1849"/>
      <c r="O34" s="1749"/>
    </row>
    <row r="35" spans="1:15" ht="28.5" customHeight="1">
      <c r="A35" s="2167"/>
      <c r="B35" s="1751"/>
      <c r="C35" s="1777"/>
      <c r="D35" s="1756" t="str">
        <f>VLOOKUP(G35,DG!A:C,3,0)</f>
        <v>Đà Sắt góc L75 x75 x8 dài 2m (3 ốp)</v>
      </c>
      <c r="E35" s="1769">
        <f>VLOOKUP(G35,'NT-VT'!A:N,5,0)</f>
        <v>167</v>
      </c>
      <c r="F35" s="1769">
        <v>35</v>
      </c>
      <c r="G35" s="1820" t="s">
        <v>4959</v>
      </c>
      <c r="H35" s="1816" t="s">
        <v>5344</v>
      </c>
      <c r="I35" s="1816" t="s">
        <v>5344</v>
      </c>
      <c r="J35" s="1790" t="s">
        <v>5357</v>
      </c>
      <c r="K35" s="1821">
        <v>43654</v>
      </c>
      <c r="L35" s="2342" t="s">
        <v>5358</v>
      </c>
      <c r="M35" s="1784">
        <v>43685</v>
      </c>
      <c r="N35" s="1849"/>
      <c r="O35" s="1749"/>
    </row>
    <row r="36" spans="1:15" ht="28.5" customHeight="1">
      <c r="A36" s="2167"/>
      <c r="B36" s="1751"/>
      <c r="C36" s="1777"/>
      <c r="D36" s="1756" t="str">
        <f>VLOOKUP(G36,DG!A:C,3,0)</f>
        <v>Đà Sắt góc L75 x75 x8 dài 2,2m (4 ốp)</v>
      </c>
      <c r="E36" s="1769">
        <f>VLOOKUP(G36,'NT-VT'!A:N,5,0)</f>
        <v>30</v>
      </c>
      <c r="F36" s="1769">
        <v>36</v>
      </c>
      <c r="G36" s="1820" t="s">
        <v>4957</v>
      </c>
      <c r="H36" s="1816" t="s">
        <v>5344</v>
      </c>
      <c r="I36" s="1816" t="s">
        <v>5344</v>
      </c>
      <c r="J36" s="1790" t="s">
        <v>5357</v>
      </c>
      <c r="K36" s="1821">
        <v>43654</v>
      </c>
      <c r="L36" s="2342" t="s">
        <v>5345</v>
      </c>
      <c r="M36" s="1784">
        <v>43685</v>
      </c>
      <c r="N36" s="1849"/>
      <c r="O36" s="1749"/>
    </row>
    <row r="37" spans="1:15" ht="28.5" customHeight="1">
      <c r="A37" s="2167"/>
      <c r="B37" s="1751"/>
      <c r="C37" s="1777"/>
      <c r="D37" s="1756" t="str">
        <f>VLOOKUP(G37,DG!A:C,3,0)</f>
        <v xml:space="preserve">Dây nhôm buộc </v>
      </c>
      <c r="E37" s="1769">
        <f>VLOOKUP(G37,'NT-VT'!A:N,5,0)</f>
        <v>4.5999999999999996</v>
      </c>
      <c r="F37" s="1769">
        <v>37</v>
      </c>
      <c r="G37" s="1820" t="s">
        <v>230</v>
      </c>
      <c r="H37" s="1816" t="s">
        <v>5337</v>
      </c>
      <c r="I37" s="1816" t="s">
        <v>5337</v>
      </c>
      <c r="J37" s="1790" t="s">
        <v>5338</v>
      </c>
      <c r="K37" s="1821">
        <v>43608</v>
      </c>
      <c r="L37" s="2342"/>
      <c r="M37" s="1784"/>
      <c r="N37" s="1849"/>
      <c r="O37" s="1749"/>
    </row>
    <row r="38" spans="1:15" ht="28.5" customHeight="1">
      <c r="A38" s="2167"/>
      <c r="B38" s="1751"/>
      <c r="C38" s="1777"/>
      <c r="D38" s="1756" t="str">
        <f>VLOOKUP(G38,DG!A:C,3,0)</f>
        <v>Dây buộc cổ sứ SSF (185-240mm2)</v>
      </c>
      <c r="E38" s="1769">
        <f>VLOOKUP(G38,'NT-VT'!A:N,5,0)</f>
        <v>48</v>
      </c>
      <c r="F38" s="1769">
        <v>38</v>
      </c>
      <c r="G38" s="1820" t="s">
        <v>4975</v>
      </c>
      <c r="H38" s="1816" t="s">
        <v>5354</v>
      </c>
      <c r="I38" s="1816" t="s">
        <v>5337</v>
      </c>
      <c r="J38" s="1790" t="s">
        <v>5355</v>
      </c>
      <c r="K38" s="1821">
        <v>43608</v>
      </c>
      <c r="L38" s="2342" t="s">
        <v>5351</v>
      </c>
      <c r="M38" s="1784">
        <v>43720</v>
      </c>
      <c r="N38" s="1849"/>
      <c r="O38" s="1749"/>
    </row>
    <row r="39" spans="1:15" ht="28.5" customHeight="1">
      <c r="A39" s="2167"/>
      <c r="B39" s="1751"/>
      <c r="C39" s="1777"/>
      <c r="D39" s="1756" t="str">
        <f>VLOOKUP(G39,DG!A:C,3,0)</f>
        <v>Dây buộc đầu sứ TTF (185-240mm2)</v>
      </c>
      <c r="E39" s="1769">
        <f>VLOOKUP(G39,'NT-VT'!A:N,5,0)</f>
        <v>543</v>
      </c>
      <c r="F39" s="1769">
        <v>39</v>
      </c>
      <c r="G39" s="1820" t="s">
        <v>4974</v>
      </c>
      <c r="H39" s="1816" t="s">
        <v>5354</v>
      </c>
      <c r="I39" s="1816" t="s">
        <v>5337</v>
      </c>
      <c r="J39" s="1790" t="s">
        <v>5355</v>
      </c>
      <c r="K39" s="1821">
        <v>43608</v>
      </c>
      <c r="L39" s="2342" t="s">
        <v>5350</v>
      </c>
      <c r="M39" s="1784">
        <v>43685</v>
      </c>
      <c r="N39" s="1849"/>
      <c r="O39" s="1749"/>
    </row>
    <row r="40" spans="1:15" ht="28.5" customHeight="1">
      <c r="A40" s="2167"/>
      <c r="B40" s="1751"/>
      <c r="C40" s="1777"/>
      <c r="D40" s="1756" t="str">
        <f>VLOOKUP(G40,DG!A:C,3,0)</f>
        <v>Cáp Duplex 2x16</v>
      </c>
      <c r="E40" s="1769">
        <f>VLOOKUP(G40,'NT-VT'!A:N,5,0)</f>
        <v>174</v>
      </c>
      <c r="F40" s="1769">
        <v>41</v>
      </c>
      <c r="G40" s="1820" t="s">
        <v>3</v>
      </c>
      <c r="H40" s="1816"/>
      <c r="I40" s="1816"/>
      <c r="J40" s="1790"/>
      <c r="K40" s="1821"/>
      <c r="L40" s="2342"/>
      <c r="M40" s="1784"/>
      <c r="N40" s="1849"/>
      <c r="O40" s="1749"/>
    </row>
    <row r="41" spans="1:15" ht="28.5" customHeight="1">
      <c r="A41" s="2167"/>
      <c r="B41" s="1751"/>
      <c r="C41" s="1777"/>
      <c r="D41" s="1756" t="str">
        <f>VLOOKUP(G41,DG!A:C,3,0)</f>
        <v>Giáp níu dừng dây bọc 185 + yếm móng U + Mắt nối yếm</v>
      </c>
      <c r="E41" s="1769">
        <f>VLOOKUP(G41,'NT-VT'!A:N,5,0)</f>
        <v>96</v>
      </c>
      <c r="F41" s="1769">
        <v>42</v>
      </c>
      <c r="G41" s="1820" t="s">
        <v>4965</v>
      </c>
      <c r="H41" s="1816" t="s">
        <v>5354</v>
      </c>
      <c r="I41" s="1816" t="s">
        <v>5337</v>
      </c>
      <c r="J41" s="1790" t="s">
        <v>5355</v>
      </c>
      <c r="K41" s="1821">
        <v>43608</v>
      </c>
      <c r="L41" s="2342" t="s">
        <v>5349</v>
      </c>
      <c r="M41" s="1784">
        <v>43720</v>
      </c>
      <c r="N41" s="1849"/>
      <c r="O41" s="1749"/>
    </row>
    <row r="42" spans="1:15" ht="28.5" customHeight="1">
      <c r="A42" s="2167"/>
      <c r="B42" s="1751"/>
      <c r="C42" s="1777"/>
      <c r="D42" s="1756" t="str">
        <f>VLOOKUP(G42,DG!A:C,3,0)</f>
        <v>Giáp níu dừng dây bọc 50mm2 + yếm móng U + Mắt nối yếm</v>
      </c>
      <c r="E42" s="1769">
        <f>VLOOKUP(G42,'NT-VT'!A:N,5,0)</f>
        <v>19</v>
      </c>
      <c r="F42" s="1769">
        <v>43</v>
      </c>
      <c r="G42" s="1820" t="s">
        <v>4966</v>
      </c>
      <c r="H42" s="1816" t="s">
        <v>5354</v>
      </c>
      <c r="I42" s="1816" t="s">
        <v>5337</v>
      </c>
      <c r="J42" s="1790" t="s">
        <v>5355</v>
      </c>
      <c r="K42" s="1821">
        <v>43608</v>
      </c>
      <c r="L42" s="2342" t="s">
        <v>5356</v>
      </c>
      <c r="M42" s="1784">
        <v>41764</v>
      </c>
      <c r="N42" s="1849"/>
      <c r="O42" s="1749"/>
    </row>
    <row r="43" spans="1:15" ht="28.5" customHeight="1">
      <c r="A43" s="2167"/>
      <c r="B43" s="1751"/>
      <c r="C43" s="1777"/>
      <c r="D43" s="1756" t="str">
        <f>VLOOKUP(G43,DG!A:C,3,0)</f>
        <v>Ghíp nối IPC 95-35</v>
      </c>
      <c r="E43" s="1769">
        <f>VLOOKUP(G43,'NT-VT'!A:N,5,0)</f>
        <v>353</v>
      </c>
      <c r="F43" s="1769">
        <v>44</v>
      </c>
      <c r="G43" s="1820" t="s">
        <v>878</v>
      </c>
      <c r="H43" s="1816" t="s">
        <v>5360</v>
      </c>
      <c r="I43" s="1816" t="s">
        <v>5344</v>
      </c>
      <c r="J43" s="1790"/>
      <c r="K43" s="1821"/>
      <c r="L43" s="2342" t="s">
        <v>5353</v>
      </c>
      <c r="M43" s="1784">
        <v>43721</v>
      </c>
      <c r="N43" s="1849"/>
      <c r="O43" s="1749"/>
    </row>
    <row r="44" spans="1:15" ht="28.5" customHeight="1">
      <c r="A44" s="2167"/>
      <c r="B44" s="1751"/>
      <c r="C44" s="1777"/>
      <c r="D44" s="1756" t="str">
        <f>VLOOKUP(G44,DG!A:C,3,0)</f>
        <v>Kẹp cáp 3 boulon</v>
      </c>
      <c r="E44" s="1769">
        <f>VLOOKUP(G44,'NT-VT'!A:N,5,0)</f>
        <v>144</v>
      </c>
      <c r="F44" s="1769">
        <v>45</v>
      </c>
      <c r="G44" s="1820" t="s">
        <v>1630</v>
      </c>
      <c r="H44" s="1816" t="s">
        <v>5337</v>
      </c>
      <c r="I44" s="1816" t="s">
        <v>5337</v>
      </c>
      <c r="J44" s="1790" t="s">
        <v>5338</v>
      </c>
      <c r="K44" s="1821">
        <v>43608</v>
      </c>
      <c r="L44" s="2342"/>
      <c r="M44" s="1784"/>
      <c r="N44" s="1849"/>
      <c r="O44" s="1749"/>
    </row>
    <row r="45" spans="1:15" ht="28.5" customHeight="1">
      <c r="A45" s="2167"/>
      <c r="B45" s="1751"/>
      <c r="C45" s="1777"/>
      <c r="D45" s="1756" t="str">
        <f>VLOOKUP(G45,DG!A:C,3,0)</f>
        <v>Dây đai + khóa đai Inoc</v>
      </c>
      <c r="E45" s="1769">
        <f>VLOOKUP(G45,'NT-VT'!A:N,5,0)</f>
        <v>74</v>
      </c>
      <c r="F45" s="1769">
        <v>46</v>
      </c>
      <c r="G45" s="1820" t="s">
        <v>4973</v>
      </c>
      <c r="H45" s="1816" t="s">
        <v>5337</v>
      </c>
      <c r="I45" s="1816" t="s">
        <v>5337</v>
      </c>
      <c r="J45" s="1790" t="s">
        <v>5338</v>
      </c>
      <c r="K45" s="1821">
        <v>43608</v>
      </c>
      <c r="L45" s="2342"/>
      <c r="M45" s="1784"/>
      <c r="N45" s="1849"/>
      <c r="O45" s="1749"/>
    </row>
    <row r="46" spans="1:15" ht="28.5" customHeight="1">
      <c r="A46" s="2167"/>
      <c r="B46" s="1751"/>
      <c r="C46" s="1777"/>
      <c r="D46" s="1756" t="str">
        <f>VLOOKUP(G46,DG!A:C,3,0)</f>
        <v>Kẹp ép WR 279</v>
      </c>
      <c r="E46" s="1769">
        <f>VLOOKUP(G46,'NT-VT'!A:N,5,0)</f>
        <v>10</v>
      </c>
      <c r="F46" s="1769">
        <v>47</v>
      </c>
      <c r="G46" s="1820" t="s">
        <v>4967</v>
      </c>
      <c r="H46" s="1816" t="s">
        <v>5337</v>
      </c>
      <c r="I46" s="1816" t="s">
        <v>5337</v>
      </c>
      <c r="J46" s="1790" t="s">
        <v>5338</v>
      </c>
      <c r="K46" s="1821">
        <v>43608</v>
      </c>
      <c r="L46" s="2342"/>
      <c r="M46" s="1784"/>
      <c r="N46" s="1849"/>
      <c r="O46" s="1749"/>
    </row>
    <row r="47" spans="1:15" ht="28.5" customHeight="1">
      <c r="A47" s="2167"/>
      <c r="B47" s="1751"/>
      <c r="C47" s="1777"/>
      <c r="D47" s="1756" t="str">
        <f>VLOOKUP(G47,DG!A:C,3,0)</f>
        <v>Kẹp ép WR 399</v>
      </c>
      <c r="E47" s="1769">
        <f>VLOOKUP(G47,'NT-VT'!A:N,5,0)</f>
        <v>102</v>
      </c>
      <c r="F47" s="1769">
        <v>48</v>
      </c>
      <c r="G47" s="1820" t="s">
        <v>4517</v>
      </c>
      <c r="H47" s="1816" t="s">
        <v>5337</v>
      </c>
      <c r="I47" s="1816" t="s">
        <v>5337</v>
      </c>
      <c r="J47" s="1790" t="s">
        <v>5338</v>
      </c>
      <c r="K47" s="1821">
        <v>43608</v>
      </c>
      <c r="L47" s="2342" t="s">
        <v>5348</v>
      </c>
      <c r="M47" s="1784">
        <v>43720</v>
      </c>
      <c r="N47" s="1849"/>
      <c r="O47" s="1749"/>
    </row>
    <row r="48" spans="1:15" ht="28.5" customHeight="1">
      <c r="A48" s="2167"/>
      <c r="B48" s="1751"/>
      <c r="C48" s="1777"/>
      <c r="D48" s="1756" t="str">
        <f>VLOOKUP(G48,DG!A:C,3,0)</f>
        <v>Kẹp ép WR 419</v>
      </c>
      <c r="E48" s="1769">
        <f>VLOOKUP(G48,'NT-VT'!A:N,5,0)</f>
        <v>70</v>
      </c>
      <c r="F48" s="1769">
        <v>49</v>
      </c>
      <c r="G48" s="1820" t="s">
        <v>4969</v>
      </c>
      <c r="H48" s="1816" t="s">
        <v>5337</v>
      </c>
      <c r="I48" s="1816" t="s">
        <v>5337</v>
      </c>
      <c r="J48" s="1790" t="s">
        <v>5338</v>
      </c>
      <c r="K48" s="1821">
        <v>43608</v>
      </c>
      <c r="L48" s="2342"/>
      <c r="M48" s="1784"/>
      <c r="N48" s="1849"/>
      <c r="O48" s="1749"/>
    </row>
    <row r="49" spans="1:15" ht="28.5" customHeight="1">
      <c r="A49" s="2167"/>
      <c r="B49" s="1751"/>
      <c r="C49" s="1777"/>
      <c r="D49" s="1756" t="str">
        <f>VLOOKUP(G49,DG!A:C,3,0)</f>
        <v>Kẹp ép WR 929</v>
      </c>
      <c r="E49" s="1769">
        <f>VLOOKUP(G49,'NT-VT'!A:N,5,0)</f>
        <v>100</v>
      </c>
      <c r="F49" s="1769">
        <v>50</v>
      </c>
      <c r="G49" s="1820" t="s">
        <v>4970</v>
      </c>
      <c r="H49" s="1816" t="s">
        <v>5337</v>
      </c>
      <c r="I49" s="1816" t="s">
        <v>5337</v>
      </c>
      <c r="J49" s="1790" t="s">
        <v>5338</v>
      </c>
      <c r="K49" s="1821">
        <v>43608</v>
      </c>
      <c r="L49" s="2342"/>
      <c r="M49" s="1784"/>
      <c r="N49" s="1849"/>
      <c r="O49" s="1749"/>
    </row>
    <row r="50" spans="1:15" ht="28.5" customHeight="1">
      <c r="A50" s="2167"/>
      <c r="B50" s="1751"/>
      <c r="C50" s="1777"/>
      <c r="D50" s="1756" t="str">
        <f>VLOOKUP(G50,DG!A:C,3,0)</f>
        <v>Khóa néo dây cỡ dây 120</v>
      </c>
      <c r="E50" s="1769">
        <f>VLOOKUP(G50,'NT-VT'!A:N,5,0)</f>
        <v>29</v>
      </c>
      <c r="F50" s="1769">
        <v>51</v>
      </c>
      <c r="G50" s="1820" t="s">
        <v>434</v>
      </c>
      <c r="H50" s="1816" t="s">
        <v>5337</v>
      </c>
      <c r="I50" s="1816" t="s">
        <v>5337</v>
      </c>
      <c r="J50" s="1790" t="s">
        <v>5338</v>
      </c>
      <c r="K50" s="1821">
        <v>43608</v>
      </c>
      <c r="L50" s="2342"/>
      <c r="M50" s="1784"/>
      <c r="N50" s="1849"/>
      <c r="O50" s="1749"/>
    </row>
    <row r="51" spans="1:15" ht="28.5" customHeight="1">
      <c r="A51" s="2167"/>
      <c r="B51" s="1751"/>
      <c r="C51" s="1777"/>
      <c r="D51" s="1756" t="str">
        <f>VLOOKUP(G51,DG!A:C,3,0)</f>
        <v>Kẹp quai 4/0</v>
      </c>
      <c r="E51" s="1769">
        <f>VLOOKUP(G51,'NT-VT'!A:N,5,0)</f>
        <v>56</v>
      </c>
      <c r="F51" s="1769">
        <v>52</v>
      </c>
      <c r="G51" s="1820" t="s">
        <v>237</v>
      </c>
      <c r="H51" s="1816"/>
      <c r="I51" s="1816"/>
      <c r="J51" s="1790"/>
      <c r="K51" s="1821"/>
      <c r="L51" s="2342"/>
      <c r="M51" s="1784"/>
      <c r="N51" s="1849"/>
      <c r="O51" s="1749"/>
    </row>
    <row r="52" spans="1:15" ht="28.5" customHeight="1">
      <c r="A52" s="2167"/>
      <c r="B52" s="1751"/>
      <c r="C52" s="1777"/>
      <c r="D52" s="1756" t="str">
        <f>VLOOKUP(G52,DG!A:C,3,0)</f>
        <v>Kẹp hotline 4/0</v>
      </c>
      <c r="E52" s="1769">
        <f>VLOOKUP(G52,'NT-VT'!A:N,5,0)</f>
        <v>47</v>
      </c>
      <c r="F52" s="1769">
        <v>53</v>
      </c>
      <c r="G52" s="1820" t="s">
        <v>1079</v>
      </c>
      <c r="H52" s="1816"/>
      <c r="I52" s="1816"/>
      <c r="J52" s="1790"/>
      <c r="K52" s="1821"/>
      <c r="L52" s="2342"/>
      <c r="M52" s="1784"/>
      <c r="N52" s="1849"/>
      <c r="O52" s="1749"/>
    </row>
    <row r="53" spans="1:15" ht="28.5" customHeight="1">
      <c r="A53" s="2167"/>
      <c r="B53" s="1751"/>
      <c r="C53" s="1777"/>
      <c r="D53" s="1756" t="str">
        <f>VLOOKUP(G53,DG!A:C,3,0)</f>
        <v>Ván khuôn gỗ móng - móng vuông, chữ nhật</v>
      </c>
      <c r="E53" s="1769">
        <f>VLOOKUP(G53,'NT-VT'!A:N,5,0)</f>
        <v>0.44999999999999996</v>
      </c>
      <c r="F53" s="1769">
        <v>54</v>
      </c>
      <c r="G53" s="1820" t="s">
        <v>4954</v>
      </c>
      <c r="H53" s="1816"/>
      <c r="I53" s="1816"/>
      <c r="J53" s="1790"/>
      <c r="K53" s="1821"/>
      <c r="L53" s="2342"/>
      <c r="M53" s="1784"/>
      <c r="N53" s="1849"/>
      <c r="O53" s="1749"/>
    </row>
    <row r="54" spans="1:15" ht="28.5" customHeight="1">
      <c r="A54" s="2167"/>
      <c r="B54" s="1751"/>
      <c r="C54" s="1777"/>
      <c r="D54" s="1756" t="str">
        <f>VLOOKUP(G54,DG!A:C,3,0)</f>
        <v>Máng che dây chằng dày 1,6mm</v>
      </c>
      <c r="E54" s="1769">
        <f>VLOOKUP(G54,'NT-VT'!A:N,5,0)</f>
        <v>8</v>
      </c>
      <c r="F54" s="1769">
        <v>55</v>
      </c>
      <c r="G54" s="1820" t="s">
        <v>2054</v>
      </c>
      <c r="H54" s="1816" t="s">
        <v>5337</v>
      </c>
      <c r="I54" s="1816" t="s">
        <v>5337</v>
      </c>
      <c r="J54" s="1790" t="s">
        <v>5338</v>
      </c>
      <c r="K54" s="1821">
        <v>43608</v>
      </c>
      <c r="L54" s="2342"/>
      <c r="M54" s="1784"/>
      <c r="N54" s="1849"/>
      <c r="O54" s="1749"/>
    </row>
    <row r="55" spans="1:15" ht="28.5" customHeight="1">
      <c r="A55" s="2167"/>
      <c r="B55" s="1751"/>
      <c r="C55" s="1777"/>
      <c r="D55" s="1756" t="str">
        <f>VLOOKUP(G55,DG!A:C,3,0)</f>
        <v>Máng che dây chằng dày 0,4x2000</v>
      </c>
      <c r="E55" s="1769">
        <f>VLOOKUP(G55,'NT-VT'!A:N,5,0)</f>
        <v>7</v>
      </c>
      <c r="F55" s="1769">
        <v>56</v>
      </c>
      <c r="G55" s="1820" t="s">
        <v>4963</v>
      </c>
      <c r="H55" s="1816" t="s">
        <v>5337</v>
      </c>
      <c r="I55" s="1816" t="s">
        <v>5337</v>
      </c>
      <c r="J55" s="1790" t="s">
        <v>5338</v>
      </c>
      <c r="K55" s="1821">
        <v>43608</v>
      </c>
      <c r="L55" s="2342"/>
      <c r="M55" s="1784"/>
      <c r="N55" s="1849"/>
      <c r="O55" s="1749"/>
    </row>
    <row r="56" spans="1:15" ht="28.5" customHeight="1">
      <c r="A56" s="2167"/>
      <c r="B56" s="1751"/>
      <c r="C56" s="1777"/>
      <c r="D56" s="1756" t="str">
        <f>VLOOKUP(G56,DG!A:C,3,0)</f>
        <v xml:space="preserve">Móc treo chữ U </v>
      </c>
      <c r="E56" s="1769">
        <f>VLOOKUP(G56,'NT-VT'!A:N,5,0)</f>
        <v>186</v>
      </c>
      <c r="F56" s="1769">
        <v>57</v>
      </c>
      <c r="G56" s="1820" t="s">
        <v>1538</v>
      </c>
      <c r="H56" s="1816" t="s">
        <v>5337</v>
      </c>
      <c r="I56" s="1816" t="s">
        <v>5337</v>
      </c>
      <c r="J56" s="1790" t="s">
        <v>5338</v>
      </c>
      <c r="K56" s="1821">
        <v>43608</v>
      </c>
      <c r="L56" s="2342"/>
      <c r="M56" s="1784"/>
      <c r="N56" s="1849"/>
      <c r="O56" s="1749"/>
    </row>
    <row r="57" spans="1:15" ht="28.5" customHeight="1">
      <c r="A57" s="2167"/>
      <c r="B57" s="1751"/>
      <c r="C57" s="1777"/>
      <c r="D57" s="1756" t="str">
        <f>VLOOKUP(G57,DG!A:C,3,0)</f>
        <v>Neo xòe 8 hướng (dày 3,2mm)</v>
      </c>
      <c r="E57" s="1769">
        <f>VLOOKUP(G57,'NT-VT'!A:N,5,0)</f>
        <v>2</v>
      </c>
      <c r="F57" s="1769">
        <v>58</v>
      </c>
      <c r="G57" s="1820" t="s">
        <v>1322</v>
      </c>
      <c r="H57" s="1816" t="s">
        <v>5337</v>
      </c>
      <c r="I57" s="1816" t="s">
        <v>5337</v>
      </c>
      <c r="J57" s="1790" t="s">
        <v>5338</v>
      </c>
      <c r="K57" s="1821">
        <v>43608</v>
      </c>
      <c r="L57" s="2342"/>
      <c r="M57" s="1784"/>
      <c r="N57" s="1849"/>
      <c r="O57" s="1749"/>
    </row>
    <row r="58" spans="1:15" ht="28.5" customHeight="1">
      <c r="A58" s="2167"/>
      <c r="B58" s="1751"/>
      <c r="C58" s="1777"/>
      <c r="D58" s="1756" t="str">
        <f>VLOOKUP(G58,DG!A:C,3,0)</f>
        <v>Ong co nhiệt cách điện 24kV D60</v>
      </c>
      <c r="E58" s="1769">
        <f>VLOOKUP(G58,'NT-VT'!A:N,5,0)</f>
        <v>15</v>
      </c>
      <c r="F58" s="1769">
        <v>59</v>
      </c>
      <c r="G58" s="1820" t="s">
        <v>4971</v>
      </c>
      <c r="H58" s="1816" t="s">
        <v>5339</v>
      </c>
      <c r="I58" s="1816" t="s">
        <v>5337</v>
      </c>
      <c r="J58" s="1790" t="s">
        <v>5342</v>
      </c>
      <c r="K58" s="1821"/>
      <c r="L58" s="2342" t="s">
        <v>5343</v>
      </c>
      <c r="M58" s="1784">
        <v>43269</v>
      </c>
      <c r="N58" s="1849"/>
      <c r="O58" s="1749"/>
    </row>
    <row r="59" spans="1:15" ht="28.5" customHeight="1">
      <c r="A59" s="2167"/>
      <c r="B59" s="1751"/>
      <c r="C59" s="1777"/>
      <c r="D59" s="1756" t="str">
        <f>VLOOKUP(G59,DG!A:C,3,0)</f>
        <v>Ống nối dây cỡ 120mm2</v>
      </c>
      <c r="E59" s="1769">
        <f>VLOOKUP(G59,'NT-VT'!A:N,5,0)</f>
        <v>5</v>
      </c>
      <c r="F59" s="1769">
        <v>60</v>
      </c>
      <c r="G59" s="1820" t="s">
        <v>577</v>
      </c>
      <c r="H59" s="1816"/>
      <c r="I59" s="1816"/>
      <c r="J59" s="1790"/>
      <c r="K59" s="1821"/>
      <c r="L59" s="2342"/>
      <c r="M59" s="1784"/>
      <c r="N59" s="1849"/>
      <c r="O59" s="1749"/>
    </row>
    <row r="60" spans="1:15" ht="28.5" customHeight="1">
      <c r="A60" s="2167"/>
      <c r="B60" s="1751"/>
      <c r="C60" s="1777"/>
      <c r="D60" s="1756" t="str">
        <f>VLOOKUP(G60,DG!A:C,3,0)</f>
        <v>Ống nối dây cỡ 185mm2</v>
      </c>
      <c r="E60" s="1769">
        <f>VLOOKUP(G60,'NT-VT'!A:N,5,0)</f>
        <v>16</v>
      </c>
      <c r="F60" s="1769">
        <v>61</v>
      </c>
      <c r="G60" s="1820" t="s">
        <v>576</v>
      </c>
      <c r="H60" s="1816"/>
      <c r="I60" s="1816"/>
      <c r="J60" s="1790"/>
      <c r="K60" s="1821"/>
      <c r="L60" s="2342"/>
      <c r="M60" s="1784"/>
      <c r="N60" s="1849"/>
      <c r="O60" s="1749"/>
    </row>
    <row r="61" spans="1:15" ht="28.5" customHeight="1">
      <c r="A61" s="2167"/>
      <c r="B61" s="1751"/>
      <c r="C61" s="1777"/>
      <c r="D61" s="1756" t="str">
        <f>VLOOKUP(G61,DG!A:C,3,0)</f>
        <v>Ống nối dây cỡ 50mm2</v>
      </c>
      <c r="E61" s="1769">
        <f>VLOOKUP(G61,'NT-VT'!A:N,5,0)</f>
        <v>12</v>
      </c>
      <c r="F61" s="1769">
        <v>62</v>
      </c>
      <c r="G61" s="1820" t="s">
        <v>1539</v>
      </c>
      <c r="H61" s="1816"/>
      <c r="I61" s="1816"/>
      <c r="J61" s="1790"/>
      <c r="K61" s="1821"/>
      <c r="L61" s="2342"/>
      <c r="M61" s="1784"/>
      <c r="N61" s="1849"/>
      <c r="O61" s="1749"/>
    </row>
    <row r="62" spans="1:15" ht="28.5" customHeight="1">
      <c r="A62" s="2167"/>
      <c r="B62" s="1751"/>
      <c r="C62" s="1777"/>
      <c r="D62" s="1756" t="str">
        <f>VLOOKUP(G62,DG!A:C,3,0)</f>
        <v>Ốc xiết cáp</v>
      </c>
      <c r="E62" s="1769">
        <f>VLOOKUP(G62,'NT-VT'!A:N,5,0)</f>
        <v>98</v>
      </c>
      <c r="F62" s="1769">
        <v>63</v>
      </c>
      <c r="G62" s="1820" t="s">
        <v>4955</v>
      </c>
      <c r="H62" s="1816" t="s">
        <v>5337</v>
      </c>
      <c r="I62" s="1816" t="s">
        <v>5337</v>
      </c>
      <c r="J62" s="1790" t="s">
        <v>5338</v>
      </c>
      <c r="K62" s="1821">
        <v>43608</v>
      </c>
      <c r="L62" s="2342"/>
      <c r="M62" s="1784"/>
      <c r="N62" s="1849"/>
      <c r="O62" s="1749"/>
    </row>
    <row r="63" spans="1:15" ht="28.5" customHeight="1">
      <c r="A63" s="2167"/>
      <c r="B63" s="1751"/>
      <c r="C63" s="1777"/>
      <c r="D63" s="1756" t="str">
        <f>VLOOKUP(G63,DG!A:C,3,0)</f>
        <v xml:space="preserve">Ống PVC D21x1,6mm </v>
      </c>
      <c r="E63" s="1769">
        <f>VLOOKUP(G63,'NT-VT'!A:N,5,0)</f>
        <v>21</v>
      </c>
      <c r="F63" s="1769">
        <v>64</v>
      </c>
      <c r="G63" s="1820" t="s">
        <v>580</v>
      </c>
      <c r="H63" s="1816"/>
      <c r="I63" s="1816"/>
      <c r="J63" s="1790"/>
      <c r="K63" s="1821"/>
      <c r="L63" s="2342"/>
      <c r="M63" s="1784"/>
      <c r="N63" s="1849"/>
      <c r="O63" s="1749"/>
    </row>
    <row r="64" spans="1:15" ht="28.5" customHeight="1">
      <c r="A64" s="2167"/>
      <c r="B64" s="1751"/>
      <c r="C64" s="1777"/>
      <c r="D64" s="1756" t="str">
        <f>VLOOKUP(G64,DG!A:C,3,0)</f>
        <v>Uclevis</v>
      </c>
      <c r="E64" s="1769">
        <f>VLOOKUP(G64,'NT-VT'!A:N,5,0)</f>
        <v>163</v>
      </c>
      <c r="F64" s="1769">
        <v>65</v>
      </c>
      <c r="G64" s="1820" t="s">
        <v>1962</v>
      </c>
      <c r="H64" s="1816"/>
      <c r="I64" s="1816"/>
      <c r="J64" s="1790"/>
      <c r="K64" s="1821"/>
      <c r="L64" s="2342"/>
      <c r="M64" s="1784"/>
      <c r="N64" s="1849"/>
      <c r="O64" s="1749"/>
    </row>
    <row r="65" spans="1:15" ht="28.5" customHeight="1">
      <c r="A65" s="2167"/>
      <c r="B65" s="1751"/>
      <c r="C65" s="1777"/>
      <c r="D65" s="1756" t="str">
        <f>VLOOKUP(G65,DG!A:C,3,0)</f>
        <v>Sứ chằng</v>
      </c>
      <c r="E65" s="1769">
        <f>VLOOKUP(G65,'NT-VT'!A:N,5,0)</f>
        <v>18</v>
      </c>
      <c r="F65" s="1769">
        <v>66</v>
      </c>
      <c r="G65" s="1820" t="s">
        <v>112</v>
      </c>
      <c r="H65" s="1816" t="s">
        <v>5326</v>
      </c>
      <c r="I65" s="1816" t="s">
        <v>5326</v>
      </c>
      <c r="J65" s="1816" t="s">
        <v>5327</v>
      </c>
      <c r="K65" s="1821">
        <v>43660</v>
      </c>
      <c r="L65" s="2342"/>
      <c r="M65" s="1784"/>
      <c r="N65" s="1849"/>
      <c r="O65" s="1749"/>
    </row>
    <row r="66" spans="1:15" ht="28.5" customHeight="1">
      <c r="A66" s="2167"/>
      <c r="B66" s="1751"/>
      <c r="C66" s="1777"/>
      <c r="D66" s="1756" t="str">
        <f>VLOOKUP(G66,DG!A:C,3,0)</f>
        <v xml:space="preserve">Sứ ống chỉ </v>
      </c>
      <c r="E66" s="1769">
        <f>VLOOKUP(G66,'NT-VT'!A:N,5,0)</f>
        <v>163</v>
      </c>
      <c r="F66" s="1769">
        <v>67</v>
      </c>
      <c r="G66" s="1820" t="s">
        <v>1481</v>
      </c>
      <c r="H66" s="1816" t="s">
        <v>5326</v>
      </c>
      <c r="I66" s="1816" t="s">
        <v>5326</v>
      </c>
      <c r="J66" s="1816" t="s">
        <v>5328</v>
      </c>
      <c r="K66" s="1821">
        <v>43660</v>
      </c>
      <c r="L66" s="2342"/>
      <c r="M66" s="1784"/>
      <c r="N66" s="1849"/>
      <c r="O66" s="1749"/>
    </row>
    <row r="67" spans="1:15" ht="28.5" customHeight="1">
      <c r="A67" s="2167"/>
      <c r="B67" s="1751"/>
      <c r="C67" s="1777"/>
      <c r="D67" s="1756" t="str">
        <f>VLOOKUP(G67,DG!A:C,3,0)</f>
        <v>Thanh chống đà sắt góc L50x50x5 dài 1,15m</v>
      </c>
      <c r="E67" s="1769">
        <f>VLOOKUP(G67,'NT-VT'!A:N,5,0)</f>
        <v>167</v>
      </c>
      <c r="F67" s="1769">
        <v>68</v>
      </c>
      <c r="G67" s="1820" t="s">
        <v>4960</v>
      </c>
      <c r="H67" s="1816" t="s">
        <v>5344</v>
      </c>
      <c r="I67" s="1816" t="s">
        <v>5344</v>
      </c>
      <c r="J67" s="1790" t="s">
        <v>5357</v>
      </c>
      <c r="K67" s="1821">
        <v>43654</v>
      </c>
      <c r="L67" s="2342" t="s">
        <v>5346</v>
      </c>
      <c r="M67" s="1784">
        <v>43685</v>
      </c>
      <c r="N67" s="1849"/>
      <c r="O67" s="1749"/>
    </row>
    <row r="68" spans="1:15" ht="28.5" customHeight="1">
      <c r="A68" s="2167"/>
      <c r="B68" s="1751"/>
      <c r="C68" s="1777"/>
      <c r="D68" s="1756" t="str">
        <f>VLOOKUP(G68,DG!A:C,3,0)</f>
        <v>Thanh chống đà sắt góc L50x50x5 dài 0,81m</v>
      </c>
      <c r="E68" s="1769">
        <f>VLOOKUP(G68,'NT-VT'!A:N,5,0)</f>
        <v>60</v>
      </c>
      <c r="F68" s="1769">
        <v>69</v>
      </c>
      <c r="G68" s="1820" t="s">
        <v>4958</v>
      </c>
      <c r="H68" s="1816" t="s">
        <v>5344</v>
      </c>
      <c r="I68" s="1816" t="s">
        <v>5344</v>
      </c>
      <c r="J68" s="1790" t="s">
        <v>5357</v>
      </c>
      <c r="K68" s="1821">
        <v>43654</v>
      </c>
      <c r="L68" s="2342" t="s">
        <v>5347</v>
      </c>
      <c r="M68" s="1784">
        <v>43685</v>
      </c>
      <c r="N68" s="1849"/>
      <c r="O68" s="1749"/>
    </row>
    <row r="69" spans="1:15" ht="28.5" customHeight="1">
      <c r="A69" s="2167"/>
      <c r="B69" s="1751"/>
      <c r="C69" s="1777"/>
      <c r="D69" s="1756" t="str">
        <f>VLOOKUP(G69,DG!A:C,3,0)</f>
        <v>Ty neo Ø18x2400</v>
      </c>
      <c r="E69" s="1769">
        <f>VLOOKUP(G69,'NT-VT'!A:N,5,0)</f>
        <v>2</v>
      </c>
      <c r="F69" s="1769">
        <v>70</v>
      </c>
      <c r="G69" s="1820" t="s">
        <v>2225</v>
      </c>
      <c r="H69" s="1816"/>
      <c r="I69" s="1816"/>
      <c r="J69" s="1790"/>
      <c r="K69" s="1821"/>
      <c r="L69" s="2342"/>
      <c r="M69" s="1784"/>
      <c r="N69" s="1849"/>
      <c r="O69" s="1749"/>
    </row>
    <row r="70" spans="1:15" ht="28.5" customHeight="1">
      <c r="A70" s="2167"/>
      <c r="B70" s="1751"/>
      <c r="C70" s="1777"/>
      <c r="D70" s="1756" t="str">
        <f>VLOOKUP(G70,DG!A:C,3,0)</f>
        <v>Xà đỡ lệch góc 3 pha 2m - 1 mạch</v>
      </c>
      <c r="E70" s="1769">
        <f>VLOOKUP(G70,'NT-VT'!A:N,5,0)</f>
        <v>8</v>
      </c>
      <c r="F70" s="1769">
        <v>71</v>
      </c>
      <c r="G70" s="1820" t="s">
        <v>4962</v>
      </c>
      <c r="H70" s="1816"/>
      <c r="I70" s="1816"/>
      <c r="J70" s="1790"/>
      <c r="K70" s="1821"/>
      <c r="L70" s="2342"/>
      <c r="M70" s="1784"/>
      <c r="N70" s="1849"/>
      <c r="O70" s="1749"/>
    </row>
    <row r="71" spans="1:15" ht="28.5" customHeight="1">
      <c r="A71" s="2167"/>
      <c r="B71" s="1751"/>
      <c r="C71" s="1777"/>
      <c r="D71" s="1756" t="str">
        <f>VLOOKUP(G71,DG!A:C,3,0)</f>
        <v>Yếm cáp dày 2mm</v>
      </c>
      <c r="E71" s="1769">
        <f>VLOOKUP(G71,'NT-VT'!A:N,5,0)</f>
        <v>36</v>
      </c>
      <c r="F71" s="1769">
        <v>72</v>
      </c>
      <c r="G71" s="1820" t="s">
        <v>2053</v>
      </c>
      <c r="H71" s="1816"/>
      <c r="I71" s="1816"/>
      <c r="J71" s="1790"/>
      <c r="K71" s="1821"/>
      <c r="L71" s="2342"/>
      <c r="M71" s="1784"/>
      <c r="N71" s="1849"/>
      <c r="O71" s="1749"/>
    </row>
    <row r="72" spans="1:15" ht="28.5" customHeight="1">
      <c r="A72" s="2167"/>
      <c r="B72" s="1751"/>
      <c r="C72" s="1777"/>
      <c r="D72" s="1756" t="str">
        <f>VLOOKUP(G72,DG!A:C,3,0)</f>
        <v>Xà đỡ thẳng lệch 3 pha 2m - 1 mạch</v>
      </c>
      <c r="E72" s="1769">
        <f>VLOOKUP(G72,'NT-VT'!A:N,5,0)</f>
        <v>151</v>
      </c>
      <c r="F72" s="1769">
        <v>73</v>
      </c>
      <c r="G72" s="1820" t="s">
        <v>4961</v>
      </c>
      <c r="H72" s="1816"/>
      <c r="I72" s="1816"/>
      <c r="J72" s="1790"/>
      <c r="K72" s="1821"/>
      <c r="L72" s="2342"/>
      <c r="M72" s="1784"/>
      <c r="N72" s="1849"/>
      <c r="O72" s="1749"/>
    </row>
    <row r="73" spans="1:15" ht="28.5" customHeight="1">
      <c r="A73" s="2167"/>
      <c r="B73" s="1751"/>
      <c r="C73" s="1777"/>
      <c r="D73" s="1756" t="str">
        <f>VLOOKUP(G73,DG!A:C,3,0)</f>
        <v>Biển số - Bảng nguy hiểm</v>
      </c>
      <c r="E73" s="1769">
        <f>VLOOKUP(G73,'NT-VT'!A:N,5,0)</f>
        <v>24</v>
      </c>
      <c r="F73" s="1769">
        <v>26</v>
      </c>
      <c r="G73" s="1820" t="s">
        <v>1622</v>
      </c>
      <c r="H73" s="1816" t="s">
        <v>4609</v>
      </c>
      <c r="I73" s="1816" t="s">
        <v>4609</v>
      </c>
      <c r="J73" s="1790"/>
      <c r="K73" s="1821"/>
      <c r="L73" s="2342"/>
      <c r="M73" s="1784"/>
      <c r="N73" s="1849"/>
      <c r="O73" s="1749"/>
    </row>
    <row r="74" spans="1:15" ht="28.5" customHeight="1">
      <c r="A74" s="2167"/>
      <c r="B74" s="1751"/>
      <c r="C74" s="1777"/>
      <c r="D74" s="1756" t="str">
        <f>VLOOKUP(G74,DG!A:C,3,0)</f>
        <v>Đinh các loại</v>
      </c>
      <c r="E74" s="1769">
        <f>VLOOKUP(G74,'NT-VT'!A:N,5,0)</f>
        <v>6.75</v>
      </c>
      <c r="F74" s="1769">
        <v>40</v>
      </c>
      <c r="G74" s="1820" t="s">
        <v>2118</v>
      </c>
      <c r="H74" s="1816" t="s">
        <v>4609</v>
      </c>
      <c r="I74" s="1816" t="s">
        <v>4609</v>
      </c>
      <c r="J74" s="1790"/>
      <c r="K74" s="1821"/>
      <c r="L74" s="2342"/>
      <c r="M74" s="1784"/>
      <c r="N74" s="1849"/>
      <c r="O74" s="1749"/>
    </row>
    <row r="75" spans="1:15" ht="28.5" customHeight="1">
      <c r="A75" s="2167"/>
      <c r="B75" s="1751"/>
      <c r="C75" s="1777"/>
      <c r="D75" s="1756" t="str">
        <f>VLOOKUP(G75,DG!A:C,3,0)</f>
        <v xml:space="preserve">Ximăng </v>
      </c>
      <c r="E75" s="1769">
        <f>VLOOKUP(G75,'NT-VT'!A:N,5,0)</f>
        <v>3350</v>
      </c>
      <c r="F75" s="1769">
        <v>74</v>
      </c>
      <c r="G75" s="1820" t="s">
        <v>759</v>
      </c>
      <c r="H75" s="1816" t="s">
        <v>4609</v>
      </c>
      <c r="I75" s="1816" t="s">
        <v>4609</v>
      </c>
      <c r="J75" s="1790"/>
      <c r="K75" s="1821"/>
      <c r="L75" s="2342"/>
      <c r="M75" s="1784"/>
      <c r="N75" s="1849"/>
      <c r="O75" s="1749"/>
    </row>
    <row r="76" spans="1:15" ht="28.5" customHeight="1">
      <c r="A76" s="2167"/>
      <c r="B76" s="1751"/>
      <c r="C76" s="1777"/>
      <c r="D76" s="1756" t="str">
        <f>VLOOKUP(G76,DG!A:C,3,0)</f>
        <v>Cát vàng</v>
      </c>
      <c r="E76" s="1769">
        <f>VLOOKUP(G76,'NT-VT'!A:N,5,0)</f>
        <v>5.3800000000000008</v>
      </c>
      <c r="F76" s="1769">
        <v>75</v>
      </c>
      <c r="G76" s="1820" t="s">
        <v>4665</v>
      </c>
      <c r="H76" s="1816" t="s">
        <v>4609</v>
      </c>
      <c r="I76" s="1816" t="s">
        <v>4609</v>
      </c>
      <c r="J76" s="1790"/>
      <c r="K76" s="1821"/>
      <c r="L76" s="2342"/>
      <c r="M76" s="1784"/>
      <c r="N76" s="1849"/>
      <c r="O76" s="1749"/>
    </row>
    <row r="77" spans="1:15" ht="28.5" customHeight="1">
      <c r="A77" s="2167"/>
      <c r="B77" s="1751"/>
      <c r="C77" s="1777"/>
      <c r="D77" s="1756" t="str">
        <f>VLOOKUP(G77,DG!A:C,3,0)</f>
        <v>Đá 2x4</v>
      </c>
      <c r="E77" s="1769">
        <f>VLOOKUP(G77,'NT-VT'!A:N,5,0)</f>
        <v>9.08</v>
      </c>
      <c r="F77" s="1769">
        <v>76</v>
      </c>
      <c r="G77" s="1820" t="s">
        <v>1865</v>
      </c>
      <c r="H77" s="1816" t="s">
        <v>4609</v>
      </c>
      <c r="I77" s="1816" t="s">
        <v>4609</v>
      </c>
      <c r="J77" s="1790"/>
      <c r="K77" s="1821"/>
      <c r="L77" s="2342"/>
      <c r="M77" s="1784"/>
      <c r="N77" s="1849"/>
      <c r="O77" s="1749"/>
    </row>
    <row r="78" spans="1:15" ht="28.5" customHeight="1">
      <c r="A78" s="2167"/>
      <c r="B78" s="1751"/>
      <c r="C78" s="1777"/>
      <c r="D78" s="1756" t="str">
        <f>VLOOKUP(G78,DG!A:C,3,0)</f>
        <v>Gỗ chống</v>
      </c>
      <c r="E78" s="1769">
        <f>VLOOKUP(G78,'NT-VT'!A:N,5,0)</f>
        <v>0.151</v>
      </c>
      <c r="F78" s="1769">
        <v>77</v>
      </c>
      <c r="G78" s="1820" t="s">
        <v>4949</v>
      </c>
      <c r="H78" s="1816" t="s">
        <v>4609</v>
      </c>
      <c r="I78" s="1816" t="s">
        <v>4609</v>
      </c>
      <c r="J78" s="1790"/>
      <c r="K78" s="1821"/>
      <c r="L78" s="2342"/>
      <c r="M78" s="1784"/>
      <c r="N78" s="1849"/>
      <c r="O78" s="1749"/>
    </row>
    <row r="79" spans="1:15" ht="28.5" customHeight="1">
      <c r="A79" s="2167"/>
      <c r="B79" s="1751"/>
      <c r="C79" s="1777"/>
      <c r="D79" s="1756" t="str">
        <f>VLOOKUP(G79,DG!A:C,3,0)</f>
        <v>Gỗ đà nẹp</v>
      </c>
      <c r="E79" s="1769">
        <f>VLOOKUP(G79,'NT-VT'!A:N,5,0)</f>
        <v>9.5000000000000001E-2</v>
      </c>
      <c r="F79" s="1769">
        <v>78</v>
      </c>
      <c r="G79" s="1820" t="s">
        <v>4950</v>
      </c>
      <c r="H79" s="1816" t="s">
        <v>4609</v>
      </c>
      <c r="I79" s="1816" t="s">
        <v>4609</v>
      </c>
      <c r="J79" s="1790"/>
      <c r="K79" s="1821"/>
      <c r="L79" s="2342"/>
      <c r="M79" s="1784"/>
      <c r="N79" s="1849"/>
      <c r="O79" s="1749"/>
    </row>
    <row r="80" spans="1:15" ht="28.5" customHeight="1">
      <c r="A80" s="2167"/>
      <c r="B80" s="1751"/>
      <c r="C80" s="1777"/>
      <c r="D80" s="1756" t="str">
        <f>VLOOKUP(G80,DG!A:C,3,0)</f>
        <v>Gỗ ván (cả nẹp)</v>
      </c>
      <c r="E80" s="1769">
        <f>VLOOKUP(G80,'NT-VT'!A:N,5,0)</f>
        <v>0.35599999999999998</v>
      </c>
      <c r="F80" s="1769">
        <v>79</v>
      </c>
      <c r="G80" s="1820" t="s">
        <v>4951</v>
      </c>
      <c r="H80" s="1816" t="s">
        <v>4609</v>
      </c>
      <c r="I80" s="1816" t="s">
        <v>4609</v>
      </c>
      <c r="J80" s="1790"/>
      <c r="K80" s="1821"/>
      <c r="L80" s="2342"/>
      <c r="M80" s="1784"/>
      <c r="N80" s="1849"/>
      <c r="O80" s="1749"/>
    </row>
    <row r="81" spans="3:13" s="1750" customFormat="1">
      <c r="C81" s="1522"/>
      <c r="E81" s="1823"/>
      <c r="G81" s="1522"/>
      <c r="H81" s="1817"/>
      <c r="I81" s="1817"/>
      <c r="J81" s="1786"/>
      <c r="K81" s="1786"/>
      <c r="L81" s="1786"/>
      <c r="M81" s="1707"/>
    </row>
    <row r="82" spans="3:13" s="1750" customFormat="1">
      <c r="C82" s="1522"/>
      <c r="E82" s="1823"/>
      <c r="G82" s="1522"/>
      <c r="H82" s="1817"/>
      <c r="I82" s="1817"/>
      <c r="J82" s="1786"/>
      <c r="K82" s="1786"/>
      <c r="L82" s="1786"/>
      <c r="M82" s="1707"/>
    </row>
    <row r="83" spans="3:13" s="1750" customFormat="1">
      <c r="C83" s="1522"/>
      <c r="E83" s="1823"/>
      <c r="G83" s="1522"/>
      <c r="H83" s="1817"/>
      <c r="I83" s="1817"/>
      <c r="J83" s="1786"/>
      <c r="K83" s="1786"/>
      <c r="L83" s="1786"/>
      <c r="M83" s="1707"/>
    </row>
    <row r="84" spans="3:13" s="1750" customFormat="1">
      <c r="C84" s="1522"/>
      <c r="E84" s="1823"/>
      <c r="G84" s="1522"/>
      <c r="H84" s="1817"/>
      <c r="I84" s="1817"/>
      <c r="J84" s="1786"/>
      <c r="K84" s="1786"/>
      <c r="L84" s="1786"/>
      <c r="M84" s="1707"/>
    </row>
    <row r="85" spans="3:13" s="1750" customFormat="1">
      <c r="C85" s="1522"/>
      <c r="E85" s="1823"/>
      <c r="G85" s="1522"/>
      <c r="H85" s="1817"/>
      <c r="I85" s="1817"/>
      <c r="J85" s="1786"/>
      <c r="K85" s="1786"/>
      <c r="L85" s="1786"/>
      <c r="M85" s="1707"/>
    </row>
    <row r="86" spans="3:13" s="1750" customFormat="1">
      <c r="C86" s="1522"/>
      <c r="E86" s="1823"/>
      <c r="G86" s="1522"/>
      <c r="H86" s="1817"/>
      <c r="I86" s="1817"/>
      <c r="J86" s="1786"/>
      <c r="K86" s="1786"/>
      <c r="L86" s="1786"/>
      <c r="M86" s="1707"/>
    </row>
    <row r="87" spans="3:13" s="1750" customFormat="1">
      <c r="C87" s="1522"/>
      <c r="E87" s="1823"/>
      <c r="G87" s="1522"/>
      <c r="H87" s="1817"/>
      <c r="I87" s="1817"/>
      <c r="J87" s="1786"/>
      <c r="K87" s="1786"/>
      <c r="L87" s="1786"/>
      <c r="M87" s="1707"/>
    </row>
    <row r="88" spans="3:13" s="1750" customFormat="1">
      <c r="C88" s="1522"/>
      <c r="E88" s="1823"/>
      <c r="G88" s="1522"/>
      <c r="H88" s="1817"/>
      <c r="I88" s="1817"/>
      <c r="J88" s="1786"/>
      <c r="K88" s="1786"/>
      <c r="L88" s="1786"/>
      <c r="M88" s="1707"/>
    </row>
    <row r="89" spans="3:13" s="1750" customFormat="1">
      <c r="C89" s="1522"/>
      <c r="E89" s="1823"/>
      <c r="G89" s="1522"/>
      <c r="H89" s="1817"/>
      <c r="I89" s="1817"/>
      <c r="J89" s="1786"/>
      <c r="K89" s="1786"/>
      <c r="L89" s="1786"/>
      <c r="M89" s="1707"/>
    </row>
    <row r="90" spans="3:13" s="1750" customFormat="1">
      <c r="C90" s="1522"/>
      <c r="E90" s="1823"/>
      <c r="G90" s="1522"/>
      <c r="H90" s="1817"/>
      <c r="I90" s="1817"/>
      <c r="J90" s="1786"/>
      <c r="K90" s="1786"/>
      <c r="L90" s="1786"/>
      <c r="M90" s="1707"/>
    </row>
    <row r="91" spans="3:13" s="1750" customFormat="1">
      <c r="C91" s="1522"/>
      <c r="E91" s="1823"/>
      <c r="G91" s="1522"/>
      <c r="H91" s="1817"/>
      <c r="I91" s="1817"/>
      <c r="J91" s="1786"/>
      <c r="K91" s="1786"/>
      <c r="L91" s="1786"/>
      <c r="M91" s="1707"/>
    </row>
    <row r="92" spans="3:13" s="1750" customFormat="1">
      <c r="C92" s="1522"/>
      <c r="E92" s="1823"/>
      <c r="G92" s="1522"/>
      <c r="H92" s="1817"/>
      <c r="I92" s="1817"/>
      <c r="J92" s="1786"/>
      <c r="K92" s="1786"/>
      <c r="L92" s="1786"/>
      <c r="M92" s="1707"/>
    </row>
    <row r="93" spans="3:13" s="1750" customFormat="1">
      <c r="C93" s="1522"/>
      <c r="E93" s="1823"/>
      <c r="G93" s="1522"/>
      <c r="H93" s="1817"/>
      <c r="I93" s="1817"/>
      <c r="J93" s="1786"/>
      <c r="K93" s="1786"/>
      <c r="L93" s="1786"/>
      <c r="M93" s="1707"/>
    </row>
    <row r="94" spans="3:13" s="1750" customFormat="1">
      <c r="C94" s="1522"/>
      <c r="E94" s="1823"/>
      <c r="G94" s="1522"/>
      <c r="H94" s="1817"/>
      <c r="I94" s="1817"/>
      <c r="J94" s="1786"/>
      <c r="K94" s="1786"/>
      <c r="L94" s="1786"/>
      <c r="M94" s="1707"/>
    </row>
    <row r="95" spans="3:13" s="1750" customFormat="1">
      <c r="C95" s="1522"/>
      <c r="E95" s="1823"/>
      <c r="G95" s="1522"/>
      <c r="H95" s="1817"/>
      <c r="I95" s="1817"/>
      <c r="J95" s="1786"/>
      <c r="K95" s="1786"/>
      <c r="L95" s="1786"/>
      <c r="M95" s="1707"/>
    </row>
    <row r="96" spans="3:13" s="1750" customFormat="1">
      <c r="C96" s="1522"/>
      <c r="E96" s="1823"/>
      <c r="G96" s="1522"/>
      <c r="H96" s="1817"/>
      <c r="I96" s="1817"/>
      <c r="J96" s="1786"/>
      <c r="K96" s="1786"/>
      <c r="L96" s="1786"/>
      <c r="M96" s="1707"/>
    </row>
    <row r="97" spans="3:13" s="1750" customFormat="1">
      <c r="C97" s="1522"/>
      <c r="E97" s="1823"/>
      <c r="G97" s="1522"/>
      <c r="H97" s="1817"/>
      <c r="I97" s="1817"/>
      <c r="J97" s="1786"/>
      <c r="K97" s="1786"/>
      <c r="L97" s="1786"/>
      <c r="M97" s="1707"/>
    </row>
    <row r="98" spans="3:13" s="1750" customFormat="1">
      <c r="C98" s="1522"/>
      <c r="E98" s="1823"/>
      <c r="G98" s="1522"/>
      <c r="H98" s="1817"/>
      <c r="I98" s="1817"/>
      <c r="J98" s="1786"/>
      <c r="K98" s="1786"/>
      <c r="L98" s="1786"/>
      <c r="M98" s="1707"/>
    </row>
    <row r="99" spans="3:13" s="1750" customFormat="1">
      <c r="C99" s="1522"/>
      <c r="E99" s="1823"/>
      <c r="G99" s="1522"/>
      <c r="H99" s="1817"/>
      <c r="I99" s="1817"/>
      <c r="J99" s="1786"/>
      <c r="K99" s="1786"/>
      <c r="L99" s="1786"/>
      <c r="M99" s="1707"/>
    </row>
    <row r="100" spans="3:13" s="1750" customFormat="1">
      <c r="C100" s="1522"/>
      <c r="E100" s="1823"/>
      <c r="G100" s="1522"/>
      <c r="H100" s="1817"/>
      <c r="I100" s="1817"/>
      <c r="J100" s="1786"/>
      <c r="K100" s="1786"/>
      <c r="L100" s="1786"/>
      <c r="M100" s="1707"/>
    </row>
    <row r="101" spans="3:13" s="1750" customFormat="1">
      <c r="C101" s="1522"/>
      <c r="E101" s="1823"/>
      <c r="G101" s="1522"/>
      <c r="H101" s="1817"/>
      <c r="I101" s="1817"/>
      <c r="J101" s="1786"/>
      <c r="K101" s="1786"/>
      <c r="L101" s="1786"/>
      <c r="M101" s="1707"/>
    </row>
    <row r="102" spans="3:13" s="1750" customFormat="1">
      <c r="C102" s="1522"/>
      <c r="E102" s="1823"/>
      <c r="G102" s="1522"/>
      <c r="H102" s="1817"/>
      <c r="I102" s="1817"/>
      <c r="J102" s="1786"/>
      <c r="K102" s="1786"/>
      <c r="L102" s="1786"/>
      <c r="M102" s="1707"/>
    </row>
    <row r="103" spans="3:13" s="1750" customFormat="1">
      <c r="C103" s="1522"/>
      <c r="E103" s="1823"/>
      <c r="G103" s="1522"/>
      <c r="H103" s="1817"/>
      <c r="I103" s="1817"/>
      <c r="J103" s="1786"/>
      <c r="K103" s="1786"/>
      <c r="L103" s="1786"/>
      <c r="M103" s="1707"/>
    </row>
    <row r="104" spans="3:13" s="1750" customFormat="1">
      <c r="C104" s="1522"/>
      <c r="E104" s="1823"/>
      <c r="G104" s="1522"/>
      <c r="H104" s="1817"/>
      <c r="I104" s="1817"/>
      <c r="J104" s="1786"/>
      <c r="K104" s="1786"/>
      <c r="L104" s="1786"/>
      <c r="M104" s="1707"/>
    </row>
    <row r="105" spans="3:13" s="1750" customFormat="1">
      <c r="C105" s="1522"/>
      <c r="E105" s="1823"/>
      <c r="G105" s="1522"/>
      <c r="H105" s="1817"/>
      <c r="I105" s="1817"/>
      <c r="J105" s="1786"/>
      <c r="K105" s="1786"/>
      <c r="L105" s="1786"/>
      <c r="M105" s="1707"/>
    </row>
    <row r="106" spans="3:13" s="1750" customFormat="1">
      <c r="C106" s="1522"/>
      <c r="E106" s="1823"/>
      <c r="G106" s="1522"/>
      <c r="H106" s="1817"/>
      <c r="I106" s="1817"/>
      <c r="J106" s="1786"/>
      <c r="K106" s="1786"/>
      <c r="L106" s="1786"/>
      <c r="M106" s="1707"/>
    </row>
    <row r="107" spans="3:13" s="1750" customFormat="1">
      <c r="C107" s="1522"/>
      <c r="E107" s="1823"/>
      <c r="G107" s="1522"/>
      <c r="H107" s="1817"/>
      <c r="I107" s="1817"/>
      <c r="J107" s="1786"/>
      <c r="K107" s="1786"/>
      <c r="L107" s="1786"/>
      <c r="M107" s="1707"/>
    </row>
    <row r="108" spans="3:13" s="1750" customFormat="1">
      <c r="C108" s="1522"/>
      <c r="E108" s="1823"/>
      <c r="G108" s="1522"/>
      <c r="H108" s="1817"/>
      <c r="I108" s="1817"/>
      <c r="J108" s="1786"/>
      <c r="K108" s="1786"/>
      <c r="L108" s="1786"/>
      <c r="M108" s="1707"/>
    </row>
    <row r="109" spans="3:13" s="1750" customFormat="1">
      <c r="C109" s="1522"/>
      <c r="E109" s="1823"/>
      <c r="G109" s="1522"/>
      <c r="H109" s="1817"/>
      <c r="I109" s="1817"/>
      <c r="J109" s="1786"/>
      <c r="K109" s="1786"/>
      <c r="L109" s="1786"/>
      <c r="M109" s="1707"/>
    </row>
    <row r="110" spans="3:13" s="1750" customFormat="1">
      <c r="C110" s="1522"/>
      <c r="E110" s="1823"/>
      <c r="G110" s="1522"/>
      <c r="H110" s="1817"/>
      <c r="I110" s="1817"/>
      <c r="J110" s="1786"/>
      <c r="K110" s="1786"/>
      <c r="L110" s="1786"/>
      <c r="M110" s="1707"/>
    </row>
    <row r="111" spans="3:13" s="1750" customFormat="1">
      <c r="C111" s="1522"/>
      <c r="E111" s="1823"/>
      <c r="G111" s="1522"/>
      <c r="H111" s="1817"/>
      <c r="I111" s="1817"/>
      <c r="J111" s="1786"/>
      <c r="K111" s="1786"/>
      <c r="L111" s="1786"/>
      <c r="M111" s="1707"/>
    </row>
    <row r="112" spans="3:13" s="1750" customFormat="1">
      <c r="C112" s="1522"/>
      <c r="E112" s="1823"/>
      <c r="G112" s="1522"/>
      <c r="H112" s="1817"/>
      <c r="I112" s="1817"/>
      <c r="J112" s="1786"/>
      <c r="K112" s="1786"/>
      <c r="L112" s="1786"/>
      <c r="M112" s="1707"/>
    </row>
    <row r="113" spans="3:13" s="1750" customFormat="1">
      <c r="C113" s="1522"/>
      <c r="E113" s="1823"/>
      <c r="G113" s="1522"/>
      <c r="H113" s="1817"/>
      <c r="I113" s="1817"/>
      <c r="J113" s="1786"/>
      <c r="K113" s="1786"/>
      <c r="L113" s="1786"/>
      <c r="M113" s="1707"/>
    </row>
    <row r="114" spans="3:13" s="1750" customFormat="1">
      <c r="C114" s="1522"/>
      <c r="E114" s="1823"/>
      <c r="G114" s="1522"/>
      <c r="H114" s="1817"/>
      <c r="I114" s="1817"/>
      <c r="J114" s="1786"/>
      <c r="K114" s="1786"/>
      <c r="L114" s="1786"/>
      <c r="M114" s="1707"/>
    </row>
    <row r="115" spans="3:13" s="1750" customFormat="1">
      <c r="C115" s="1522"/>
      <c r="E115" s="1823"/>
      <c r="G115" s="1522"/>
      <c r="H115" s="1817"/>
      <c r="I115" s="1817"/>
      <c r="J115" s="1786"/>
      <c r="K115" s="1786"/>
      <c r="L115" s="1786"/>
      <c r="M115" s="1707"/>
    </row>
    <row r="116" spans="3:13" s="1750" customFormat="1">
      <c r="C116" s="1522"/>
      <c r="E116" s="1823"/>
      <c r="G116" s="1522"/>
      <c r="H116" s="1817"/>
      <c r="I116" s="1817"/>
      <c r="J116" s="1786"/>
      <c r="K116" s="1786"/>
      <c r="L116" s="1786"/>
      <c r="M116" s="1707"/>
    </row>
    <row r="117" spans="3:13" s="1750" customFormat="1">
      <c r="C117" s="1522"/>
      <c r="E117" s="1823"/>
      <c r="G117" s="1522"/>
      <c r="H117" s="1817"/>
      <c r="I117" s="1817"/>
      <c r="J117" s="1786"/>
      <c r="K117" s="1786"/>
      <c r="L117" s="1786"/>
      <c r="M117" s="1707"/>
    </row>
    <row r="118" spans="3:13" s="1750" customFormat="1">
      <c r="C118" s="1522"/>
      <c r="E118" s="1823"/>
      <c r="G118" s="1522"/>
      <c r="H118" s="1817"/>
      <c r="I118" s="1817"/>
      <c r="J118" s="1786"/>
      <c r="K118" s="1786"/>
      <c r="L118" s="1786"/>
      <c r="M118" s="1707"/>
    </row>
    <row r="119" spans="3:13" s="1750" customFormat="1">
      <c r="C119" s="1522"/>
      <c r="E119" s="1823"/>
      <c r="G119" s="1522"/>
      <c r="H119" s="1817"/>
      <c r="I119" s="1817"/>
      <c r="J119" s="1786"/>
      <c r="K119" s="1786"/>
      <c r="L119" s="1786"/>
      <c r="M119" s="1707"/>
    </row>
    <row r="120" spans="3:13" s="1750" customFormat="1">
      <c r="C120" s="1522"/>
      <c r="E120" s="1823"/>
      <c r="G120" s="1522"/>
      <c r="H120" s="1817"/>
      <c r="I120" s="1817"/>
      <c r="J120" s="1786"/>
      <c r="K120" s="1786"/>
      <c r="L120" s="1786"/>
      <c r="M120" s="1707"/>
    </row>
    <row r="121" spans="3:13" s="1750" customFormat="1">
      <c r="C121" s="1522"/>
      <c r="E121" s="1823"/>
      <c r="G121" s="1522"/>
      <c r="H121" s="1817"/>
      <c r="I121" s="1817"/>
      <c r="J121" s="1786"/>
      <c r="K121" s="1786"/>
      <c r="L121" s="1786"/>
      <c r="M121" s="1707"/>
    </row>
    <row r="122" spans="3:13" s="1750" customFormat="1">
      <c r="C122" s="1522"/>
      <c r="E122" s="1823"/>
      <c r="G122" s="1522"/>
      <c r="H122" s="1817"/>
      <c r="I122" s="1817"/>
      <c r="J122" s="1786"/>
      <c r="K122" s="1786"/>
      <c r="L122" s="1786"/>
      <c r="M122" s="1707"/>
    </row>
    <row r="123" spans="3:13" s="1750" customFormat="1">
      <c r="C123" s="1522"/>
      <c r="E123" s="1823"/>
      <c r="G123" s="1522"/>
      <c r="H123" s="1817"/>
      <c r="I123" s="1817"/>
      <c r="J123" s="1786"/>
      <c r="K123" s="1786"/>
      <c r="L123" s="1786"/>
      <c r="M123" s="1707"/>
    </row>
    <row r="124" spans="3:13" s="1750" customFormat="1">
      <c r="C124" s="1522"/>
      <c r="E124" s="1823"/>
      <c r="G124" s="1522"/>
      <c r="H124" s="1817"/>
      <c r="I124" s="1817"/>
      <c r="J124" s="1786"/>
      <c r="K124" s="1786"/>
      <c r="L124" s="1786"/>
      <c r="M124" s="1707"/>
    </row>
    <row r="125" spans="3:13" s="1750" customFormat="1">
      <c r="C125" s="1522"/>
      <c r="E125" s="1823"/>
      <c r="G125" s="1522"/>
      <c r="H125" s="1817"/>
      <c r="I125" s="1817"/>
      <c r="J125" s="1786"/>
      <c r="K125" s="1786"/>
      <c r="L125" s="1786"/>
      <c r="M125" s="1707"/>
    </row>
    <row r="126" spans="3:13" s="1750" customFormat="1">
      <c r="C126" s="1522"/>
      <c r="E126" s="1823"/>
      <c r="G126" s="1522"/>
      <c r="H126" s="1817"/>
      <c r="I126" s="1817"/>
      <c r="J126" s="1786"/>
      <c r="K126" s="1786"/>
      <c r="L126" s="1786"/>
      <c r="M126" s="1707"/>
    </row>
    <row r="127" spans="3:13" s="1750" customFormat="1">
      <c r="C127" s="1522"/>
      <c r="E127" s="1823"/>
      <c r="G127" s="1522"/>
      <c r="H127" s="1817"/>
      <c r="I127" s="1817"/>
      <c r="J127" s="1786"/>
      <c r="K127" s="1786"/>
      <c r="L127" s="1786"/>
      <c r="M127" s="1707"/>
    </row>
    <row r="128" spans="3:13" s="1750" customFormat="1">
      <c r="C128" s="1522"/>
      <c r="E128" s="1823"/>
      <c r="G128" s="1522"/>
      <c r="H128" s="1817"/>
      <c r="I128" s="1817"/>
      <c r="J128" s="1786"/>
      <c r="K128" s="1786"/>
      <c r="L128" s="1786"/>
      <c r="M128" s="1707"/>
    </row>
    <row r="129" spans="3:13" s="1750" customFormat="1">
      <c r="C129" s="1522"/>
      <c r="E129" s="1823"/>
      <c r="G129" s="1522"/>
      <c r="H129" s="1817"/>
      <c r="I129" s="1817"/>
      <c r="J129" s="1786"/>
      <c r="K129" s="1786"/>
      <c r="L129" s="1786"/>
      <c r="M129" s="1707"/>
    </row>
    <row r="130" spans="3:13" s="1750" customFormat="1">
      <c r="C130" s="1522"/>
      <c r="E130" s="1823"/>
      <c r="G130" s="1522"/>
      <c r="H130" s="1817"/>
      <c r="I130" s="1817"/>
      <c r="J130" s="1786"/>
      <c r="K130" s="1786"/>
      <c r="L130" s="1786"/>
      <c r="M130" s="1707"/>
    </row>
    <row r="131" spans="3:13" s="1750" customFormat="1">
      <c r="C131" s="1522"/>
      <c r="E131" s="1823"/>
      <c r="G131" s="1522"/>
      <c r="H131" s="1817"/>
      <c r="I131" s="1817"/>
      <c r="J131" s="1786"/>
      <c r="K131" s="1786"/>
      <c r="L131" s="1786"/>
      <c r="M131" s="1707"/>
    </row>
    <row r="132" spans="3:13" s="1750" customFormat="1">
      <c r="C132" s="1522"/>
      <c r="E132" s="1823"/>
      <c r="G132" s="1522"/>
      <c r="H132" s="1817"/>
      <c r="I132" s="1817"/>
      <c r="J132" s="1786"/>
      <c r="K132" s="1786"/>
      <c r="L132" s="1786"/>
      <c r="M132" s="1707"/>
    </row>
    <row r="133" spans="3:13" s="1750" customFormat="1">
      <c r="C133" s="1522"/>
      <c r="E133" s="1823"/>
      <c r="G133" s="1522"/>
      <c r="H133" s="1817"/>
      <c r="I133" s="1817"/>
      <c r="J133" s="1786"/>
      <c r="K133" s="1786"/>
      <c r="L133" s="1786"/>
      <c r="M133" s="1707"/>
    </row>
    <row r="134" spans="3:13" s="1750" customFormat="1">
      <c r="C134" s="1522"/>
      <c r="E134" s="1823"/>
      <c r="G134" s="1522"/>
      <c r="H134" s="1817"/>
      <c r="I134" s="1817"/>
      <c r="J134" s="1786"/>
      <c r="K134" s="1786"/>
      <c r="L134" s="1786"/>
      <c r="M134" s="1707"/>
    </row>
    <row r="135" spans="3:13" s="1750" customFormat="1">
      <c r="C135" s="1522"/>
      <c r="E135" s="1823"/>
      <c r="G135" s="1522"/>
      <c r="H135" s="1817"/>
      <c r="I135" s="1817"/>
      <c r="J135" s="1786"/>
      <c r="K135" s="1786"/>
      <c r="L135" s="1786"/>
      <c r="M135" s="1707"/>
    </row>
    <row r="136" spans="3:13" s="1750" customFormat="1">
      <c r="C136" s="1522"/>
      <c r="E136" s="1823"/>
      <c r="G136" s="1522"/>
      <c r="H136" s="1817"/>
      <c r="I136" s="1817"/>
      <c r="J136" s="1786"/>
      <c r="K136" s="1786"/>
      <c r="L136" s="1786"/>
      <c r="M136" s="1707"/>
    </row>
    <row r="137" spans="3:13" s="1750" customFormat="1">
      <c r="C137" s="1522"/>
      <c r="E137" s="1823"/>
      <c r="G137" s="1522"/>
      <c r="H137" s="1817"/>
      <c r="I137" s="1817"/>
      <c r="J137" s="1786"/>
      <c r="K137" s="1786"/>
      <c r="L137" s="1786"/>
      <c r="M137" s="1707"/>
    </row>
    <row r="138" spans="3:13" s="1750" customFormat="1">
      <c r="C138" s="1522"/>
      <c r="E138" s="1823"/>
      <c r="G138" s="1522"/>
      <c r="H138" s="1817"/>
      <c r="I138" s="1817"/>
      <c r="J138" s="1786"/>
      <c r="K138" s="1786"/>
      <c r="L138" s="1786"/>
      <c r="M138" s="1707"/>
    </row>
    <row r="139" spans="3:13" s="1750" customFormat="1">
      <c r="C139" s="1522"/>
      <c r="E139" s="1823"/>
      <c r="G139" s="1522"/>
      <c r="H139" s="1817"/>
      <c r="I139" s="1817"/>
      <c r="J139" s="1786"/>
      <c r="K139" s="1786"/>
      <c r="L139" s="1786"/>
      <c r="M139" s="1707"/>
    </row>
    <row r="140" spans="3:13" s="1750" customFormat="1">
      <c r="C140" s="1522"/>
      <c r="E140" s="1823"/>
      <c r="G140" s="1522"/>
      <c r="H140" s="1817"/>
      <c r="I140" s="1817"/>
      <c r="J140" s="1786"/>
      <c r="K140" s="1786"/>
      <c r="L140" s="1786"/>
      <c r="M140" s="1707"/>
    </row>
    <row r="141" spans="3:13" s="1750" customFormat="1">
      <c r="C141" s="1522"/>
      <c r="E141" s="1823"/>
      <c r="G141" s="1522"/>
      <c r="H141" s="1817"/>
      <c r="I141" s="1817"/>
      <c r="J141" s="1786"/>
      <c r="K141" s="1786"/>
      <c r="L141" s="1786"/>
      <c r="M141" s="1707"/>
    </row>
    <row r="142" spans="3:13" s="1750" customFormat="1">
      <c r="C142" s="1522"/>
      <c r="E142" s="1823"/>
      <c r="G142" s="1522"/>
      <c r="H142" s="1817"/>
      <c r="I142" s="1817"/>
      <c r="J142" s="1786"/>
      <c r="K142" s="1786"/>
      <c r="L142" s="1786"/>
      <c r="M142" s="1707"/>
    </row>
    <row r="143" spans="3:13" s="1750" customFormat="1">
      <c r="C143" s="1522"/>
      <c r="E143" s="1823"/>
      <c r="G143" s="1522"/>
      <c r="H143" s="1817"/>
      <c r="I143" s="1817"/>
      <c r="J143" s="1786"/>
      <c r="K143" s="1786"/>
      <c r="L143" s="1786"/>
      <c r="M143" s="1707"/>
    </row>
    <row r="144" spans="3:13" s="1750" customFormat="1">
      <c r="C144" s="1522"/>
      <c r="E144" s="1823"/>
      <c r="G144" s="1522"/>
      <c r="H144" s="1817"/>
      <c r="I144" s="1817"/>
      <c r="J144" s="1786"/>
      <c r="K144" s="1786"/>
      <c r="L144" s="1786"/>
      <c r="M144" s="1707"/>
    </row>
    <row r="145" spans="2:68" s="1750" customFormat="1">
      <c r="C145" s="1522"/>
      <c r="E145" s="1823"/>
      <c r="G145" s="1522"/>
      <c r="H145" s="1817"/>
      <c r="I145" s="1817"/>
      <c r="J145" s="1786"/>
      <c r="K145" s="1786"/>
      <c r="L145" s="1786"/>
      <c r="M145" s="1707"/>
    </row>
    <row r="146" spans="2:68" s="1750" customFormat="1">
      <c r="C146" s="1522"/>
      <c r="E146" s="1823"/>
      <c r="G146" s="1522"/>
      <c r="H146" s="1817"/>
      <c r="I146" s="1817"/>
      <c r="J146" s="1786"/>
      <c r="K146" s="1786"/>
      <c r="L146" s="1786"/>
      <c r="M146" s="1707"/>
    </row>
    <row r="147" spans="2:68" s="1750" customFormat="1">
      <c r="C147" s="1522"/>
      <c r="E147" s="1823"/>
      <c r="G147" s="1522"/>
      <c r="H147" s="1817"/>
      <c r="I147" s="1817"/>
      <c r="J147" s="1786"/>
      <c r="K147" s="1786"/>
      <c r="L147" s="1786"/>
      <c r="M147" s="1707"/>
    </row>
    <row r="148" spans="2:68" s="1750" customFormat="1">
      <c r="C148" s="1522"/>
      <c r="E148" s="1823"/>
      <c r="G148" s="1522"/>
      <c r="H148" s="1817"/>
      <c r="I148" s="1817"/>
      <c r="J148" s="1786"/>
      <c r="K148" s="1786"/>
      <c r="L148" s="1786"/>
      <c r="M148" s="1707"/>
    </row>
    <row r="149" spans="2:68" s="1750" customFormat="1">
      <c r="C149" s="1522"/>
      <c r="E149" s="1823"/>
      <c r="G149" s="1522"/>
      <c r="H149" s="1817"/>
      <c r="I149" s="1817"/>
      <c r="J149" s="1786"/>
      <c r="K149" s="1786"/>
      <c r="L149" s="1786"/>
      <c r="M149" s="1707"/>
    </row>
    <row r="150" spans="2:68" s="1750" customFormat="1">
      <c r="C150" s="1522"/>
      <c r="E150" s="1823"/>
      <c r="G150" s="1522"/>
      <c r="H150" s="1817"/>
      <c r="I150" s="1817"/>
      <c r="J150" s="1786"/>
      <c r="K150" s="1786"/>
      <c r="L150" s="1786"/>
      <c r="M150" s="1707"/>
    </row>
    <row r="151" spans="2:68">
      <c r="BI151" s="1168"/>
      <c r="BJ151" s="1754" t="s">
        <v>4629</v>
      </c>
      <c r="BK151" s="1755"/>
      <c r="BL151" s="1168"/>
      <c r="BM151" s="1170"/>
      <c r="BN151" s="1748"/>
      <c r="BO151" s="1756"/>
      <c r="BP151" s="1748"/>
    </row>
    <row r="152" spans="2:68">
      <c r="BI152" s="1163">
        <v>6</v>
      </c>
      <c r="BJ152" s="1754" t="s">
        <v>4397</v>
      </c>
      <c r="BK152" s="1755"/>
      <c r="BL152" s="1163"/>
      <c r="BM152" s="1140" t="s">
        <v>4373</v>
      </c>
      <c r="BN152" s="1748"/>
      <c r="BO152" s="1756"/>
      <c r="BP152" s="1748"/>
    </row>
    <row r="153" spans="2:68">
      <c r="BI153" s="1165"/>
      <c r="BJ153" s="1754" t="s">
        <v>4630</v>
      </c>
      <c r="BK153" s="1755"/>
      <c r="BL153" s="1165"/>
      <c r="BM153" s="1167"/>
      <c r="BN153" s="1748"/>
      <c r="BO153" s="1756"/>
      <c r="BP153" s="1748"/>
    </row>
    <row r="154" spans="2:68">
      <c r="BI154" s="1165"/>
      <c r="BJ154" s="1754" t="s">
        <v>4631</v>
      </c>
      <c r="BK154" s="1755"/>
      <c r="BL154" s="1165"/>
      <c r="BM154" s="1167"/>
      <c r="BN154" s="1748"/>
      <c r="BO154" s="1756"/>
      <c r="BP154" s="1748"/>
    </row>
    <row r="155" spans="2:68">
      <c r="BI155" s="1165"/>
      <c r="BJ155" s="1754" t="s">
        <v>4632</v>
      </c>
      <c r="BK155" s="1755"/>
      <c r="BL155" s="1165"/>
      <c r="BM155" s="1167"/>
      <c r="BN155" s="1748"/>
      <c r="BO155" s="1756"/>
      <c r="BP155" s="1748"/>
    </row>
    <row r="156" spans="2:68">
      <c r="BI156" s="1168"/>
      <c r="BJ156" s="1754" t="s">
        <v>4633</v>
      </c>
      <c r="BK156" s="1755"/>
      <c r="BL156" s="1168"/>
      <c r="BM156" s="1170"/>
      <c r="BN156" s="1748"/>
      <c r="BO156" s="1756"/>
      <c r="BP156" s="1748"/>
    </row>
    <row r="157" spans="2:68" ht="50.4">
      <c r="BI157" s="1150" t="s">
        <v>504</v>
      </c>
      <c r="BJ157" s="1757" t="s">
        <v>4634</v>
      </c>
      <c r="BK157" s="1758"/>
      <c r="BL157" s="1016" t="e">
        <f>VLOOKUP(BP157,Solieu!$B$87:$E$106,4,0)</f>
        <v>#N/A</v>
      </c>
      <c r="BM157" s="1022"/>
      <c r="BN157" s="1748"/>
      <c r="BO157" s="1756"/>
      <c r="BP157" s="1748"/>
    </row>
    <row r="158" spans="2:68">
      <c r="B158" s="1747"/>
      <c r="C158" s="1759"/>
      <c r="D158" s="1747"/>
      <c r="E158" s="1824"/>
      <c r="F158" s="1759"/>
      <c r="G158" s="1759"/>
      <c r="H158" s="1819"/>
      <c r="I158" s="1819"/>
      <c r="J158" s="1788"/>
      <c r="K158" s="1788"/>
      <c r="BI158" s="1163">
        <v>1</v>
      </c>
      <c r="BJ158" s="1754" t="s">
        <v>4629</v>
      </c>
      <c r="BK158" s="1755"/>
      <c r="BL158" s="1164"/>
      <c r="BM158" s="1140" t="s">
        <v>4373</v>
      </c>
      <c r="BN158" s="1748"/>
      <c r="BO158" s="1756"/>
      <c r="BP158" s="1748"/>
    </row>
    <row r="159" spans="2:68">
      <c r="BI159" s="1165"/>
      <c r="BJ159" s="1754" t="s">
        <v>4629</v>
      </c>
      <c r="BK159" s="1755"/>
      <c r="BL159" s="1166"/>
      <c r="BM159" s="1167"/>
      <c r="BN159" s="1748"/>
      <c r="BO159" s="1756"/>
      <c r="BP159" s="1748"/>
    </row>
    <row r="160" spans="2:68">
      <c r="BI160" s="1165"/>
      <c r="BJ160" s="1754" t="s">
        <v>4629</v>
      </c>
      <c r="BK160" s="1755"/>
      <c r="BL160" s="1166"/>
      <c r="BM160" s="1167"/>
      <c r="BN160" s="1748"/>
      <c r="BO160" s="1756"/>
      <c r="BP160" s="1748"/>
    </row>
    <row r="161" spans="61:68">
      <c r="BI161" s="1165"/>
      <c r="BJ161" s="1754" t="s">
        <v>4629</v>
      </c>
      <c r="BK161" s="1755"/>
      <c r="BL161" s="1166"/>
      <c r="BM161" s="1167"/>
      <c r="BN161" s="1748"/>
      <c r="BO161" s="1756"/>
      <c r="BP161" s="1748"/>
    </row>
    <row r="162" spans="61:68">
      <c r="BI162" s="1165"/>
      <c r="BJ162" s="1754" t="s">
        <v>4629</v>
      </c>
      <c r="BK162" s="1755"/>
      <c r="BL162" s="1166"/>
      <c r="BM162" s="1167"/>
      <c r="BN162" s="1748"/>
      <c r="BO162" s="1756"/>
      <c r="BP162" s="1748"/>
    </row>
    <row r="163" spans="61:68">
      <c r="BI163" s="1165"/>
      <c r="BJ163" s="1754" t="s">
        <v>4629</v>
      </c>
      <c r="BK163" s="1755"/>
      <c r="BL163" s="1166"/>
      <c r="BM163" s="1167"/>
      <c r="BN163" s="1748"/>
      <c r="BO163" s="1756"/>
      <c r="BP163" s="1748"/>
    </row>
    <row r="164" spans="61:68">
      <c r="BI164" s="1168"/>
      <c r="BJ164" s="1754" t="s">
        <v>4629</v>
      </c>
      <c r="BK164" s="1755"/>
      <c r="BL164" s="1169"/>
      <c r="BM164" s="1170"/>
      <c r="BN164" s="1748"/>
      <c r="BO164" s="1756"/>
      <c r="BP164" s="1748"/>
    </row>
  </sheetData>
  <phoneticPr fontId="0" type="noConversion"/>
  <conditionalFormatting sqref="G2">
    <cfRule type="duplicateValues" dxfId="87" priority="2"/>
  </conditionalFormatting>
  <conditionalFormatting sqref="G3:G80">
    <cfRule type="duplicateValues" dxfId="86" priority="1"/>
  </conditionalFormatting>
  <dataValidations count="3">
    <dataValidation type="list" allowBlank="1" showInputMessage="1" sqref="I41:I42 H44:I50 H31:I32 I38:I39 H37:I37 H54:I58 H62:I62 H73:I80 H15:I29">
      <formula1>$O$2:$O$18</formula1>
    </dataValidation>
    <dataValidation allowBlank="1" showInputMessage="1" sqref="J44:K50 J58 J37:K37 J54:K57 J62:K62 J73:K73 J2:K32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70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106" customWidth="1"/>
    <col min="9" max="10" width="9" style="172" customWidth="1"/>
    <col min="11" max="11" width="11.08984375" style="175" customWidth="1"/>
    <col min="12" max="12" width="13.08984375" style="1106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36" t="s">
        <v>4666</v>
      </c>
      <c r="F2" s="1537" t="s">
        <v>4667</v>
      </c>
      <c r="G2" s="1537"/>
      <c r="H2" s="1538"/>
      <c r="I2" s="1538" t="s">
        <v>4660</v>
      </c>
      <c r="J2" s="1537" t="s">
        <v>4668</v>
      </c>
      <c r="K2" s="1537"/>
      <c r="L2" s="1538">
        <v>1</v>
      </c>
      <c r="M2" s="1538" t="s">
        <v>4669</v>
      </c>
      <c r="N2" s="1538">
        <v>1</v>
      </c>
      <c r="O2" s="1538" t="s">
        <v>4670</v>
      </c>
    </row>
    <row r="3" spans="3:15" hidden="1" outlineLevel="1">
      <c r="E3" s="1539">
        <v>36</v>
      </c>
      <c r="F3" s="1540" t="s">
        <v>4671</v>
      </c>
      <c r="G3" s="1537"/>
      <c r="H3" s="1633">
        <f>E3+12+3</f>
        <v>51</v>
      </c>
      <c r="I3" s="1538" t="s">
        <v>1876</v>
      </c>
      <c r="J3" s="1537" t="s">
        <v>4672</v>
      </c>
      <c r="K3" s="1537"/>
      <c r="L3" s="1538">
        <v>0</v>
      </c>
      <c r="M3" s="1538" t="s">
        <v>4673</v>
      </c>
      <c r="N3" s="1541"/>
    </row>
    <row r="4" spans="3:15" hidden="1" outlineLevel="1">
      <c r="E4" s="1539"/>
      <c r="F4" s="1540" t="s">
        <v>4674</v>
      </c>
      <c r="G4" s="1537"/>
      <c r="H4" s="1542">
        <v>3</v>
      </c>
      <c r="I4" s="1538" t="s">
        <v>873</v>
      </c>
      <c r="J4" s="1543" t="s">
        <v>4675</v>
      </c>
      <c r="K4" s="1537"/>
      <c r="L4" s="1538">
        <v>0</v>
      </c>
      <c r="M4" s="1544"/>
      <c r="N4" s="1541"/>
    </row>
    <row r="5" spans="3:15" hidden="1" outlineLevel="1">
      <c r="E5" s="1539"/>
      <c r="F5" s="1545" t="s">
        <v>4676</v>
      </c>
      <c r="G5" s="1538" t="s">
        <v>4677</v>
      </c>
      <c r="H5" s="1538" t="s">
        <v>4678</v>
      </c>
      <c r="I5" s="1545" t="s">
        <v>4679</v>
      </c>
      <c r="J5" s="1545" t="s">
        <v>4680</v>
      </c>
      <c r="K5" s="1538" t="s">
        <v>4678</v>
      </c>
      <c r="L5" s="1545" t="s">
        <v>4681</v>
      </c>
      <c r="M5" s="1546" t="s">
        <v>4682</v>
      </c>
      <c r="N5" s="1541"/>
    </row>
    <row r="6" spans="3:15" ht="15.6" hidden="1" outlineLevel="1">
      <c r="E6" s="1547"/>
      <c r="F6" s="1548">
        <v>18</v>
      </c>
      <c r="G6" s="1549" t="s">
        <v>2106</v>
      </c>
      <c r="H6" s="1548">
        <v>0</v>
      </c>
      <c r="I6" s="1550">
        <f>H6*15</f>
        <v>0</v>
      </c>
      <c r="J6" s="1551" t="s">
        <v>4683</v>
      </c>
      <c r="K6" s="1548">
        <v>0</v>
      </c>
      <c r="L6" s="1552">
        <f>K6*3*15</f>
        <v>0</v>
      </c>
      <c r="M6" s="2394">
        <f>H17+K17</f>
        <v>0</v>
      </c>
      <c r="N6" s="1541"/>
    </row>
    <row r="7" spans="3:15" ht="15.6" hidden="1" outlineLevel="1">
      <c r="C7" s="1553"/>
      <c r="E7" s="1554"/>
      <c r="F7" s="1550" t="s">
        <v>4684</v>
      </c>
      <c r="G7" s="1555" t="s">
        <v>2107</v>
      </c>
      <c r="H7" s="1548"/>
      <c r="I7" s="1550">
        <f>H7*25</f>
        <v>0</v>
      </c>
      <c r="J7" s="1551" t="s">
        <v>4685</v>
      </c>
      <c r="K7" s="1548">
        <v>0</v>
      </c>
      <c r="L7" s="1552">
        <f>K7*3*25</f>
        <v>0</v>
      </c>
      <c r="M7" s="2395"/>
      <c r="N7" s="1541"/>
      <c r="O7" s="1556"/>
    </row>
    <row r="8" spans="3:15" ht="15.6" hidden="1" outlineLevel="1">
      <c r="D8" s="174"/>
      <c r="E8" s="1539"/>
      <c r="F8" s="1548">
        <v>22</v>
      </c>
      <c r="G8" s="1555" t="s">
        <v>4686</v>
      </c>
      <c r="H8" s="1548">
        <v>0</v>
      </c>
      <c r="I8" s="1550">
        <f>H8*37.5</f>
        <v>0</v>
      </c>
      <c r="J8" s="1551" t="s">
        <v>4687</v>
      </c>
      <c r="K8" s="1548">
        <v>0</v>
      </c>
      <c r="L8" s="1552">
        <f>K8*3*37.5</f>
        <v>0</v>
      </c>
      <c r="M8" s="1546" t="s">
        <v>4688</v>
      </c>
      <c r="N8" s="1541"/>
    </row>
    <row r="9" spans="3:15" ht="15.6" hidden="1" outlineLevel="1">
      <c r="D9" s="1553"/>
      <c r="E9" s="1539"/>
      <c r="F9" s="1557"/>
      <c r="G9" s="1555" t="s">
        <v>2109</v>
      </c>
      <c r="H9" s="1548"/>
      <c r="I9" s="1550">
        <f>H9*50</f>
        <v>0</v>
      </c>
      <c r="J9" s="1551" t="s">
        <v>4689</v>
      </c>
      <c r="K9" s="1548">
        <v>0</v>
      </c>
      <c r="L9" s="1552">
        <f>K9*3*50</f>
        <v>0</v>
      </c>
      <c r="M9" s="2394">
        <f>I18+L18</f>
        <v>0</v>
      </c>
      <c r="N9" s="1541"/>
    </row>
    <row r="10" spans="3:15" ht="15.6" hidden="1" outlineLevel="1">
      <c r="D10" s="1553"/>
      <c r="E10" s="1539"/>
      <c r="F10" s="1558"/>
      <c r="G10" s="1559" t="s">
        <v>2110</v>
      </c>
      <c r="H10" s="1548"/>
      <c r="I10" s="1550">
        <f>H10*75</f>
        <v>0</v>
      </c>
      <c r="J10" s="1560" t="s">
        <v>4690</v>
      </c>
      <c r="K10" s="1548"/>
      <c r="L10" s="1552">
        <f>K10*160</f>
        <v>0</v>
      </c>
      <c r="M10" s="2396"/>
      <c r="N10" s="1541"/>
    </row>
    <row r="11" spans="3:15" ht="15.6" hidden="1" outlineLevel="1">
      <c r="D11" s="1553"/>
      <c r="E11" s="1539"/>
      <c r="F11" s="1558"/>
      <c r="G11" s="1559" t="s">
        <v>2111</v>
      </c>
      <c r="H11" s="1548"/>
      <c r="I11" s="1550">
        <f>H11*100</f>
        <v>0</v>
      </c>
      <c r="J11" s="1560" t="s">
        <v>4691</v>
      </c>
      <c r="K11" s="1548"/>
      <c r="L11" s="1552">
        <f>K11*250</f>
        <v>0</v>
      </c>
      <c r="M11" s="2396"/>
      <c r="N11" s="1541"/>
    </row>
    <row r="12" spans="3:15" ht="15.6" hidden="1" outlineLevel="1">
      <c r="D12" s="1553"/>
      <c r="E12" s="1539"/>
      <c r="F12" s="1558"/>
      <c r="G12" s="1561"/>
      <c r="H12" s="1548"/>
      <c r="I12" s="1562"/>
      <c r="J12" s="1560" t="s">
        <v>4692</v>
      </c>
      <c r="K12" s="1548"/>
      <c r="L12" s="1552">
        <f>K12*320</f>
        <v>0</v>
      </c>
      <c r="M12" s="2396"/>
      <c r="N12" s="1541"/>
    </row>
    <row r="13" spans="3:15" ht="15.6" hidden="1" outlineLevel="1">
      <c r="D13" s="1553"/>
      <c r="E13" s="1539"/>
      <c r="F13" s="1558"/>
      <c r="G13" s="1561"/>
      <c r="H13" s="1548"/>
      <c r="I13" s="1562"/>
      <c r="J13" s="1560" t="s">
        <v>4693</v>
      </c>
      <c r="K13" s="1548">
        <v>0</v>
      </c>
      <c r="L13" s="1552">
        <f>K13*400</f>
        <v>0</v>
      </c>
      <c r="M13" s="2396"/>
      <c r="N13" s="1541"/>
    </row>
    <row r="14" spans="3:15" ht="15.6" hidden="1" outlineLevel="1">
      <c r="D14" s="1553"/>
      <c r="E14" s="1539"/>
      <c r="F14" s="1558"/>
      <c r="G14" s="1561"/>
      <c r="H14" s="1548"/>
      <c r="I14" s="1562"/>
      <c r="J14" s="1560" t="s">
        <v>4694</v>
      </c>
      <c r="K14" s="1548">
        <v>0</v>
      </c>
      <c r="L14" s="1552">
        <f>K14*560</f>
        <v>0</v>
      </c>
      <c r="M14" s="2396"/>
      <c r="N14" s="1541"/>
    </row>
    <row r="15" spans="3:15" ht="15.6" hidden="1" outlineLevel="1">
      <c r="D15" s="1553"/>
      <c r="E15" s="1539"/>
      <c r="F15" s="1558"/>
      <c r="G15" s="1561"/>
      <c r="H15" s="1548"/>
      <c r="I15" s="1562"/>
      <c r="J15" s="1560" t="s">
        <v>4695</v>
      </c>
      <c r="K15" s="1548">
        <v>0</v>
      </c>
      <c r="L15" s="1552">
        <f>K15*630</f>
        <v>0</v>
      </c>
      <c r="M15" s="2396"/>
      <c r="N15" s="1541"/>
    </row>
    <row r="16" spans="3:15" ht="15.6" hidden="1" outlineLevel="1">
      <c r="D16" s="1553"/>
      <c r="E16" s="1539"/>
      <c r="F16" s="1563"/>
      <c r="G16" s="1559"/>
      <c r="H16" s="1548"/>
      <c r="I16" s="1562"/>
      <c r="J16" s="1564">
        <v>1000</v>
      </c>
      <c r="K16" s="1548">
        <v>0</v>
      </c>
      <c r="L16" s="1552">
        <f>K16*1000</f>
        <v>0</v>
      </c>
      <c r="M16" s="2397"/>
      <c r="N16" s="1541"/>
    </row>
    <row r="17" spans="1:22" ht="15.6" hidden="1" outlineLevel="1">
      <c r="D17" s="172">
        <f>chitiet!F5</f>
        <v>3</v>
      </c>
      <c r="E17" s="1539"/>
      <c r="F17" s="1565"/>
      <c r="G17" s="1566"/>
      <c r="H17" s="1548"/>
      <c r="I17" s="1567"/>
      <c r="J17" s="1568">
        <v>2000</v>
      </c>
      <c r="K17" s="1548">
        <v>0</v>
      </c>
      <c r="L17" s="1552">
        <f>K17*2000</f>
        <v>0</v>
      </c>
      <c r="M17" s="2395"/>
      <c r="N17" s="1541"/>
    </row>
    <row r="18" spans="1:22" hidden="1" outlineLevel="1">
      <c r="F18" s="1569"/>
      <c r="G18" s="1569"/>
      <c r="H18" s="1570"/>
      <c r="I18" s="1571">
        <f>SUM(I6:I11)</f>
        <v>0</v>
      </c>
      <c r="J18" s="1572"/>
      <c r="K18" s="1573"/>
      <c r="L18" s="1571">
        <f>SUM(L6:L17)</f>
        <v>0</v>
      </c>
      <c r="M18" s="1574"/>
      <c r="N18" s="1541"/>
    </row>
    <row r="19" spans="1:22" s="1279" customFormat="1" ht="42.75" customHeight="1" collapsed="1">
      <c r="A19" s="1279" t="s">
        <v>1046</v>
      </c>
      <c r="B19" s="1576"/>
      <c r="C19" s="1577" t="s">
        <v>4907</v>
      </c>
      <c r="D19" s="1132"/>
      <c r="E19" s="1132"/>
      <c r="F19" s="1124"/>
      <c r="G19" s="1133"/>
      <c r="H19" s="1124"/>
      <c r="I19" s="1124"/>
      <c r="J19" s="1124"/>
      <c r="K19" s="1132"/>
      <c r="L19" s="1125"/>
    </row>
    <row r="20" spans="1:22" s="1122" customFormat="1" ht="24" customHeight="1">
      <c r="A20" s="1122">
        <v>1</v>
      </c>
      <c r="B20" s="1269"/>
      <c r="C20" s="1514" t="str">
        <f>"Công trình: "&amp;WORD!W2</f>
        <v>Công trình: Nâng cấp đường dây trung thế từ recloser Xuân Bắc đến LBS khí Chế Biến tuyến 480 Xuân Bắc</v>
      </c>
      <c r="D20" s="1123"/>
      <c r="E20" s="1123"/>
      <c r="F20" s="1123"/>
      <c r="G20" s="1123"/>
      <c r="H20" s="1123"/>
      <c r="I20" s="1123"/>
      <c r="J20" s="1123"/>
      <c r="K20" s="1123"/>
      <c r="L20" s="1125"/>
    </row>
    <row r="21" spans="1:22" s="1122" customFormat="1" ht="21" customHeight="1">
      <c r="A21" s="1126"/>
      <c r="B21" s="1269"/>
      <c r="C21" s="1515" t="str">
        <f>"Địa điểm: "&amp;WORD!Y2</f>
        <v>Địa điểm: Xã Xuân Bắc - Huyện Xuân Lộc - Tỉnh Đồng Nai</v>
      </c>
      <c r="D21" s="1127"/>
      <c r="E21" s="1127"/>
      <c r="F21" s="1127"/>
      <c r="G21" s="1127"/>
      <c r="H21" s="1127"/>
      <c r="I21" s="1127"/>
      <c r="J21" s="1127"/>
      <c r="K21" s="1127"/>
      <c r="L21" s="1128"/>
      <c r="M21" s="1129"/>
      <c r="N21" s="1129"/>
      <c r="O21" s="1129"/>
      <c r="P21" s="1129"/>
      <c r="Q21" s="1129"/>
      <c r="R21" s="1129"/>
      <c r="S21" s="1129"/>
      <c r="T21" s="1129"/>
      <c r="U21" s="1129"/>
    </row>
    <row r="22" spans="1:22" s="1279" customFormat="1" ht="27" customHeight="1">
      <c r="A22" s="1377"/>
      <c r="B22" s="1582" t="s">
        <v>2347</v>
      </c>
      <c r="C22" s="2398" t="s">
        <v>1761</v>
      </c>
      <c r="D22" s="2398" t="s">
        <v>2662</v>
      </c>
      <c r="E22" s="2398" t="s">
        <v>2663</v>
      </c>
      <c r="F22" s="2398" t="s">
        <v>2658</v>
      </c>
      <c r="G22" s="1260" t="s">
        <v>4478</v>
      </c>
      <c r="H22" s="1261"/>
      <c r="I22" s="1261"/>
      <c r="J22" s="1262"/>
      <c r="K22" s="2400" t="s">
        <v>2664</v>
      </c>
      <c r="L22" s="1125"/>
    </row>
    <row r="23" spans="1:22" s="1279" customFormat="1" ht="27" customHeight="1">
      <c r="A23" s="1377"/>
      <c r="B23" s="1582"/>
      <c r="C23" s="2399"/>
      <c r="D23" s="2399"/>
      <c r="E23" s="2399"/>
      <c r="F23" s="2399"/>
      <c r="G23" s="1233" t="s">
        <v>4477</v>
      </c>
      <c r="H23" s="1233" t="s">
        <v>4474</v>
      </c>
      <c r="I23" s="1263" t="s">
        <v>4475</v>
      </c>
      <c r="J23" s="1263" t="s">
        <v>4476</v>
      </c>
      <c r="K23" s="2401"/>
      <c r="L23" s="1125"/>
      <c r="M23" s="1279" t="s">
        <v>515</v>
      </c>
    </row>
    <row r="24" spans="1:22" s="1279" customFormat="1" ht="20.100000000000001" customHeight="1">
      <c r="A24" s="1377"/>
      <c r="B24" s="1582"/>
      <c r="C24" s="1380"/>
      <c r="D24" s="1381"/>
      <c r="E24" s="1709" t="s">
        <v>3771</v>
      </c>
      <c r="F24" s="1383"/>
      <c r="G24" s="1383"/>
      <c r="H24" s="1264"/>
      <c r="I24" s="1383"/>
      <c r="J24" s="1383"/>
      <c r="K24" s="1384"/>
      <c r="L24" s="1263" t="s">
        <v>4554</v>
      </c>
      <c r="M24" s="1400"/>
      <c r="N24" s="1400"/>
      <c r="O24" s="1400"/>
      <c r="P24" s="1400"/>
      <c r="Q24" s="1400"/>
      <c r="R24" s="1400"/>
      <c r="S24" s="1400"/>
      <c r="T24" s="1400"/>
      <c r="U24" s="1400"/>
    </row>
    <row r="25" spans="1:22" s="1279" customFormat="1" ht="20.100000000000001" customHeight="1">
      <c r="A25" s="1377">
        <f>IF(H25&gt;0,1,0)</f>
        <v>0</v>
      </c>
      <c r="B25" s="1583" t="s">
        <v>830</v>
      </c>
      <c r="C25" s="1286">
        <f>IF(G25&gt;0,1,0)</f>
        <v>0</v>
      </c>
      <c r="D25" s="1274" t="str">
        <f>VLOOKUP($B25,DG!A:D,DG!$B$2,)</f>
        <v>01.1161</v>
      </c>
      <c r="E25" s="1275" t="str">
        <f>VLOOKUP($B25,DG!A:D,DG!$C$2,)</f>
        <v>Máy biến áp 12,7/0,22-0,44kV  15kVA</v>
      </c>
      <c r="F25" s="1274" t="str">
        <f>VLOOKUP($B25,DG!A:D,DG!$D$2,)</f>
        <v>máy</v>
      </c>
      <c r="G25" s="1401">
        <f>H6</f>
        <v>0</v>
      </c>
      <c r="H25" s="1353">
        <f>IF(L25=$L$23,G25+I25-J25,0)</f>
        <v>0</v>
      </c>
      <c r="I25" s="1310"/>
      <c r="J25" s="1310"/>
      <c r="K25" s="1402"/>
      <c r="L25" s="1128">
        <v>15</v>
      </c>
      <c r="M25" s="1400"/>
      <c r="N25" s="1400"/>
      <c r="O25" s="1400"/>
      <c r="P25" s="1400"/>
      <c r="Q25" s="1400"/>
      <c r="R25" s="1400"/>
      <c r="S25" s="1400"/>
      <c r="T25" s="1400"/>
      <c r="U25" s="1400"/>
      <c r="V25" s="1400"/>
    </row>
    <row r="26" spans="1:22" s="1279" customFormat="1" ht="20.100000000000001" customHeight="1">
      <c r="A26" s="1377">
        <f t="shared" ref="A26:A89" si="0">IF(H26&gt;0,1,0)</f>
        <v>0</v>
      </c>
      <c r="B26" s="1583" t="s">
        <v>1704</v>
      </c>
      <c r="C26" s="1286">
        <f t="shared" ref="C26:C32" si="1">IF(G26&gt;0,C25+1,C25)</f>
        <v>0</v>
      </c>
      <c r="D26" s="1274" t="str">
        <f>VLOOKUP($B26,DG!A:D,DG!$B$2,)</f>
        <v>02.3155</v>
      </c>
      <c r="E26" s="1275" t="str">
        <f>VLOOKUP($B26,DG!A:D,DG!$C$2,)</f>
        <v>FCO 24kV - 100A</v>
      </c>
      <c r="F26" s="1274" t="str">
        <f>VLOOKUP($B26,DG!A:D,DG!$D$2,)</f>
        <v>cái</v>
      </c>
      <c r="G26" s="1312">
        <f>+G25</f>
        <v>0</v>
      </c>
      <c r="H26" s="1353">
        <f t="shared" ref="H26:H89" si="2">IF(L26=$L$23,G26+I26-J26,0)</f>
        <v>0</v>
      </c>
      <c r="I26" s="1310"/>
      <c r="J26" s="1342"/>
      <c r="K26" s="1312"/>
      <c r="L26" s="1128">
        <v>15</v>
      </c>
      <c r="M26" s="1400"/>
      <c r="N26" s="1400"/>
      <c r="O26" s="1400"/>
      <c r="P26" s="1400"/>
      <c r="Q26" s="1400"/>
      <c r="R26" s="1400"/>
      <c r="S26" s="1400"/>
      <c r="T26" s="1400"/>
      <c r="U26" s="1400"/>
      <c r="V26" s="1400"/>
    </row>
    <row r="27" spans="1:22" s="1279" customFormat="1" ht="20.100000000000001" customHeight="1">
      <c r="A27" s="1377">
        <f t="shared" si="0"/>
        <v>0</v>
      </c>
      <c r="B27" s="1582" t="s">
        <v>905</v>
      </c>
      <c r="C27" s="1286">
        <f t="shared" si="1"/>
        <v>0</v>
      </c>
      <c r="D27" s="1274">
        <f>VLOOKUP($B27,DG!A:D,DG!$B$2,)</f>
        <v>0</v>
      </c>
      <c r="E27" s="1275" t="str">
        <f>VLOOKUP($B27,DG!A:D,DG!$C$2,)</f>
        <v>Dây chảy 3K</v>
      </c>
      <c r="F27" s="1274" t="str">
        <f>VLOOKUP($B27,DG!A:D,DG!$D$2,)</f>
        <v>Sợi</v>
      </c>
      <c r="G27" s="1312">
        <f>G26</f>
        <v>0</v>
      </c>
      <c r="H27" s="1353">
        <f t="shared" si="2"/>
        <v>0</v>
      </c>
      <c r="I27" s="1310"/>
      <c r="J27" s="1342"/>
      <c r="K27" s="1312"/>
      <c r="L27" s="1128">
        <v>15</v>
      </c>
      <c r="M27" s="1299"/>
    </row>
    <row r="28" spans="1:22" s="1279" customFormat="1" ht="20.100000000000001" customHeight="1">
      <c r="A28" s="1377">
        <f t="shared" si="0"/>
        <v>0</v>
      </c>
      <c r="B28" s="1582" t="s">
        <v>1406</v>
      </c>
      <c r="C28" s="1286">
        <f t="shared" si="1"/>
        <v>0</v>
      </c>
      <c r="D28" s="1274" t="str">
        <f>VLOOKUP($B28,DG!A:D,DG!$B$2,)</f>
        <v>02.5114</v>
      </c>
      <c r="E28" s="1275" t="str">
        <f>VLOOKUP($B28,DG!A:D,DG!$C$2,)</f>
        <v>LA 18kV 10kA</v>
      </c>
      <c r="F28" s="1274" t="str">
        <f>VLOOKUP($B28,DG!A:D,DG!$D$2,)</f>
        <v>cái</v>
      </c>
      <c r="G28" s="1312">
        <f>G26</f>
        <v>0</v>
      </c>
      <c r="H28" s="1353">
        <f t="shared" si="2"/>
        <v>0</v>
      </c>
      <c r="I28" s="1310"/>
      <c r="J28" s="1342"/>
      <c r="K28" s="1312"/>
      <c r="L28" s="1128">
        <v>15</v>
      </c>
      <c r="M28" s="1299"/>
    </row>
    <row r="29" spans="1:22" s="1279" customFormat="1" ht="20.100000000000001" customHeight="1">
      <c r="A29" s="1377">
        <f t="shared" si="0"/>
        <v>0</v>
      </c>
      <c r="B29" s="1584" t="s">
        <v>81</v>
      </c>
      <c r="C29" s="1286">
        <f t="shared" si="1"/>
        <v>0</v>
      </c>
      <c r="D29" s="1274" t="str">
        <f>VLOOKUP($B29,DG!A:D,DG!$B$2,)</f>
        <v>02.8401</v>
      </c>
      <c r="E29" s="1275" t="str">
        <f>VLOOKUP($B29,DG!A:D,DG!$C$2,)</f>
        <v>MCCB 3 cực 400V-75A - 10KA</v>
      </c>
      <c r="F29" s="1274" t="str">
        <f>VLOOKUP($B29,DG!A:D,DG!$D$2,)</f>
        <v>cái</v>
      </c>
      <c r="G29" s="1312">
        <f>G25</f>
        <v>0</v>
      </c>
      <c r="H29" s="1353">
        <f t="shared" si="2"/>
        <v>0</v>
      </c>
      <c r="I29" s="1310"/>
      <c r="J29" s="1342"/>
      <c r="K29" s="1312"/>
      <c r="L29" s="1128">
        <v>15</v>
      </c>
      <c r="M29" s="1299"/>
    </row>
    <row r="30" spans="1:22" s="1279" customFormat="1" ht="20.100000000000001" customHeight="1">
      <c r="A30" s="1377">
        <f t="shared" si="0"/>
        <v>0</v>
      </c>
      <c r="B30" s="1378" t="s">
        <v>2255</v>
      </c>
      <c r="C30" s="1286">
        <f t="shared" si="1"/>
        <v>0</v>
      </c>
      <c r="D30" s="1274">
        <f>VLOOKUP($B30,DG!A:D,DG!$B$2,)</f>
        <v>0</v>
      </c>
      <c r="E30" s="1275" t="str">
        <f>VLOOKUP($B30,DG!A:D,DG!$C$2,)</f>
        <v>Điện kế 1 pha 2 dây 220V-80A</v>
      </c>
      <c r="F30" s="1274" t="str">
        <f>VLOOKUP($B30,DG!A:D,DG!$D$2,)</f>
        <v>cái</v>
      </c>
      <c r="G30" s="1312">
        <f>G25</f>
        <v>0</v>
      </c>
      <c r="H30" s="1353">
        <f t="shared" si="2"/>
        <v>0</v>
      </c>
      <c r="I30" s="1342"/>
      <c r="J30" s="1342"/>
      <c r="K30" s="1312" t="s">
        <v>2666</v>
      </c>
      <c r="L30" s="1128">
        <v>15</v>
      </c>
      <c r="M30" s="1403"/>
    </row>
    <row r="31" spans="1:22" s="1279" customFormat="1" ht="20.100000000000001" customHeight="1">
      <c r="A31" s="1377">
        <f t="shared" si="0"/>
        <v>0</v>
      </c>
      <c r="B31" s="1582" t="s">
        <v>200</v>
      </c>
      <c r="C31" s="1286">
        <f t="shared" si="1"/>
        <v>0</v>
      </c>
      <c r="D31" s="1274">
        <f>VLOOKUP($B31,DG!A:D,DG!$B$2,)</f>
        <v>0</v>
      </c>
      <c r="E31" s="1275" t="str">
        <f>VLOOKUP($B31,DG!A:D,DG!$C$2,)</f>
        <v xml:space="preserve">Ampe kế 100/5A-600v +AS </v>
      </c>
      <c r="F31" s="1274" t="str">
        <f>VLOOKUP($B31,DG!A:D,DG!$D$2,)</f>
        <v>Bộ</v>
      </c>
      <c r="G31" s="1312">
        <f>G30</f>
        <v>0</v>
      </c>
      <c r="H31" s="1353">
        <f t="shared" si="2"/>
        <v>0</v>
      </c>
      <c r="I31" s="1342"/>
      <c r="J31" s="1404"/>
      <c r="K31" s="1312" t="s">
        <v>2666</v>
      </c>
      <c r="L31" s="1128">
        <v>15</v>
      </c>
      <c r="M31" s="1403"/>
    </row>
    <row r="32" spans="1:22" s="1279" customFormat="1" ht="20.100000000000001" customHeight="1">
      <c r="A32" s="1377">
        <f t="shared" si="0"/>
        <v>0</v>
      </c>
      <c r="B32" s="1582" t="s">
        <v>201</v>
      </c>
      <c r="C32" s="1286">
        <f t="shared" si="1"/>
        <v>0</v>
      </c>
      <c r="D32" s="1274">
        <f>VLOOKUP($B32,DG!A:D,DG!$B$2,)</f>
        <v>0</v>
      </c>
      <c r="E32" s="1275" t="str">
        <f>VLOOKUP($B32,DG!A:D,DG!$C$2,)</f>
        <v>Volt kế 500V + VS + 2xChì ống 1A-230V</v>
      </c>
      <c r="F32" s="1274" t="str">
        <f>VLOOKUP($B32,DG!A:D,DG!$D$2,)</f>
        <v>Bộ</v>
      </c>
      <c r="G32" s="1312">
        <f>G31</f>
        <v>0</v>
      </c>
      <c r="H32" s="1353">
        <f t="shared" si="2"/>
        <v>0</v>
      </c>
      <c r="I32" s="1342"/>
      <c r="J32" s="1404"/>
      <c r="K32" s="1312" t="s">
        <v>2666</v>
      </c>
      <c r="L32" s="1128">
        <v>15</v>
      </c>
      <c r="M32" s="1403"/>
    </row>
    <row r="33" spans="1:13" s="1279" customFormat="1" ht="20.100000000000001" customHeight="1">
      <c r="A33" s="1377">
        <f t="shared" si="0"/>
        <v>0</v>
      </c>
      <c r="B33" s="1582"/>
      <c r="C33" s="1309"/>
      <c r="D33" s="1405"/>
      <c r="E33" s="1406"/>
      <c r="F33" s="1309"/>
      <c r="G33" s="1309"/>
      <c r="H33" s="1353">
        <f t="shared" si="2"/>
        <v>0</v>
      </c>
      <c r="I33" s="1384"/>
      <c r="J33" s="1309"/>
      <c r="K33" s="1309"/>
      <c r="L33" s="1128">
        <v>15</v>
      </c>
      <c r="M33" s="1403"/>
    </row>
    <row r="34" spans="1:13" s="1279" customFormat="1" ht="20.100000000000001" customHeight="1">
      <c r="A34" s="1377">
        <f t="shared" si="0"/>
        <v>0</v>
      </c>
      <c r="B34" s="1582"/>
      <c r="C34" s="1407"/>
      <c r="D34" s="1408"/>
      <c r="E34" s="1382" t="s">
        <v>3772</v>
      </c>
      <c r="F34" s="1264"/>
      <c r="G34" s="1264"/>
      <c r="H34" s="1353">
        <f t="shared" si="2"/>
        <v>0</v>
      </c>
      <c r="I34" s="1264"/>
      <c r="J34" s="1264"/>
      <c r="K34" s="1309"/>
      <c r="L34" s="1128">
        <v>15</v>
      </c>
      <c r="M34" s="1403"/>
    </row>
    <row r="35" spans="1:13" s="1279" customFormat="1" ht="20.100000000000001" customHeight="1">
      <c r="A35" s="1377">
        <f t="shared" si="0"/>
        <v>0</v>
      </c>
      <c r="B35" s="1582" t="s">
        <v>1662</v>
      </c>
      <c r="C35" s="1409">
        <f>IF(G36&gt;0,1,0)</f>
        <v>0</v>
      </c>
      <c r="D35" s="1410"/>
      <c r="E35" s="1275" t="str">
        <f>VLOOKUP($B35,DG!A:D,DG!$C$2,)</f>
        <v>Boulon 16x300+ 2 long đền vuông D18-50x50x3/Zn</v>
      </c>
      <c r="F35" s="1274" t="str">
        <f>VLOOKUP($B35,DG!A:D,DG!$D$2,)</f>
        <v>bộ</v>
      </c>
      <c r="G35" s="1390">
        <f>G25*2</f>
        <v>0</v>
      </c>
      <c r="H35" s="1353">
        <f t="shared" si="2"/>
        <v>0</v>
      </c>
      <c r="I35" s="1310"/>
      <c r="J35" s="1310"/>
      <c r="K35" s="1402"/>
      <c r="L35" s="1128">
        <v>15</v>
      </c>
      <c r="M35" s="1403"/>
    </row>
    <row r="36" spans="1:13" s="1279" customFormat="1" ht="20.100000000000001" customHeight="1">
      <c r="A36" s="1377">
        <f t="shared" si="0"/>
        <v>0</v>
      </c>
      <c r="B36" s="1582"/>
      <c r="C36" s="1273">
        <f>IF(G36&gt;0,C35+1,C35)</f>
        <v>0</v>
      </c>
      <c r="D36" s="1411"/>
      <c r="E36" s="1412" t="s">
        <v>3773</v>
      </c>
      <c r="F36" s="1390" t="s">
        <v>2449</v>
      </c>
      <c r="G36" s="1390">
        <f>G25*0</f>
        <v>0</v>
      </c>
      <c r="H36" s="1353">
        <f t="shared" si="2"/>
        <v>0</v>
      </c>
      <c r="I36" s="1342"/>
      <c r="J36" s="1342"/>
      <c r="K36" s="1312"/>
      <c r="L36" s="1128">
        <v>15</v>
      </c>
    </row>
    <row r="37" spans="1:13" s="1279" customFormat="1" ht="20.100000000000001" customHeight="1">
      <c r="A37" s="1377">
        <f>IF(A36&gt;0,1,0)</f>
        <v>0</v>
      </c>
      <c r="B37" s="1582"/>
      <c r="C37" s="1390"/>
      <c r="D37" s="1411"/>
      <c r="E37" s="1634" t="s">
        <v>2342</v>
      </c>
      <c r="F37" s="1312"/>
      <c r="G37" s="1312"/>
      <c r="H37" s="1353">
        <f t="shared" si="2"/>
        <v>0</v>
      </c>
      <c r="I37" s="1342"/>
      <c r="J37" s="1342"/>
      <c r="K37" s="1312"/>
      <c r="L37" s="1128">
        <v>15</v>
      </c>
      <c r="M37" s="1413"/>
    </row>
    <row r="38" spans="1:13" s="1279" customFormat="1" ht="20.100000000000001" customHeight="1">
      <c r="A38" s="1377">
        <f t="shared" si="0"/>
        <v>0</v>
      </c>
      <c r="B38" s="1378" t="s">
        <v>116</v>
      </c>
      <c r="C38" s="1312"/>
      <c r="D38" s="1274">
        <f>VLOOKUP($B38,DG!A:D,DG!$B$2,)</f>
        <v>0</v>
      </c>
      <c r="E38" s="1275" t="str">
        <f>VLOOKUP($B38,DG!A:D,DG!$C$2,)</f>
        <v>Trụ BTLT 12m F350 dự ứng lực</v>
      </c>
      <c r="F38" s="1274" t="str">
        <f>VLOOKUP($B38,DG!A:D,DG!$D$2,)</f>
        <v>trụ</v>
      </c>
      <c r="G38" s="1312">
        <f>1*G36</f>
        <v>0</v>
      </c>
      <c r="H38" s="1353">
        <f t="shared" si="2"/>
        <v>0</v>
      </c>
      <c r="I38" s="1310"/>
      <c r="J38" s="1310"/>
      <c r="K38" s="1312"/>
      <c r="L38" s="1128">
        <v>15</v>
      </c>
      <c r="M38" s="1413"/>
    </row>
    <row r="39" spans="1:13" s="1279" customFormat="1" ht="20.100000000000001" customHeight="1">
      <c r="A39" s="1377">
        <f t="shared" si="0"/>
        <v>0</v>
      </c>
      <c r="B39" s="1378" t="s">
        <v>1867</v>
      </c>
      <c r="C39" s="1312"/>
      <c r="D39" s="1414"/>
      <c r="E39" s="1275" t="str">
        <f>VLOOKUP($B39,DG!A:D,DG!$C$2,)</f>
        <v>Vật liệu dựng trụ</v>
      </c>
      <c r="F39" s="1274" t="str">
        <f>VLOOKUP($B39,DG!A:D,DG!$D$2,)</f>
        <v>trụ</v>
      </c>
      <c r="G39" s="1312">
        <f>G38</f>
        <v>0</v>
      </c>
      <c r="H39" s="1353">
        <f t="shared" si="2"/>
        <v>0</v>
      </c>
      <c r="I39" s="1310"/>
      <c r="J39" s="1310"/>
      <c r="K39" s="1312"/>
      <c r="L39" s="1128">
        <v>15</v>
      </c>
      <c r="M39" s="1413"/>
    </row>
    <row r="40" spans="1:13" s="1279" customFormat="1" ht="20.100000000000001" customHeight="1">
      <c r="A40" s="1377">
        <f t="shared" si="0"/>
        <v>0</v>
      </c>
      <c r="B40" s="1378" t="s">
        <v>2188</v>
      </c>
      <c r="C40" s="1312"/>
      <c r="D40" s="1414"/>
      <c r="E40" s="1275" t="str">
        <f>VLOOKUP($B40,DG!A:D,DG!$C$2,)</f>
        <v>Dựng trụ BTLT 12m trong TBA bằng thủ công + cơ giới</v>
      </c>
      <c r="F40" s="1274" t="str">
        <f>VLOOKUP($B40,DG!A:D,DG!$D$2,)</f>
        <v>trụ</v>
      </c>
      <c r="G40" s="1312">
        <f>G38</f>
        <v>0</v>
      </c>
      <c r="H40" s="1353">
        <f t="shared" si="2"/>
        <v>0</v>
      </c>
      <c r="I40" s="1310"/>
      <c r="J40" s="1310"/>
      <c r="K40" s="1312"/>
      <c r="L40" s="1128">
        <v>15</v>
      </c>
      <c r="M40" s="1413"/>
    </row>
    <row r="41" spans="1:13" s="1279" customFormat="1" ht="20.100000000000001" customHeight="1">
      <c r="A41" s="1377">
        <f t="shared" si="0"/>
        <v>0</v>
      </c>
      <c r="B41" s="1582"/>
      <c r="C41" s="1273">
        <f>IF(G41&gt;0,C36+1,C36)</f>
        <v>0</v>
      </c>
      <c r="D41" s="1411"/>
      <c r="E41" s="1412" t="s">
        <v>2416</v>
      </c>
      <c r="F41" s="1390" t="s">
        <v>2449</v>
      </c>
      <c r="G41" s="1390">
        <f>G36</f>
        <v>0</v>
      </c>
      <c r="H41" s="1353">
        <f t="shared" si="2"/>
        <v>0</v>
      </c>
      <c r="I41" s="1342"/>
      <c r="J41" s="1342"/>
      <c r="K41" s="1312"/>
      <c r="L41" s="1128">
        <v>15</v>
      </c>
    </row>
    <row r="42" spans="1:13" s="1279" customFormat="1" ht="20.100000000000001" customHeight="1">
      <c r="A42" s="1377">
        <f>IF(A41&gt;0,1,0)</f>
        <v>0</v>
      </c>
      <c r="B42" s="1582"/>
      <c r="C42" s="1390"/>
      <c r="D42" s="1411"/>
      <c r="E42" s="1634" t="s">
        <v>2342</v>
      </c>
      <c r="F42" s="1312"/>
      <c r="G42" s="1312"/>
      <c r="H42" s="1353">
        <f t="shared" si="2"/>
        <v>0</v>
      </c>
      <c r="I42" s="1342"/>
      <c r="J42" s="1342"/>
      <c r="K42" s="1312"/>
      <c r="L42" s="1128">
        <v>15</v>
      </c>
      <c r="M42" s="1413"/>
    </row>
    <row r="43" spans="1:13" s="1279" customFormat="1" ht="20.100000000000001" customHeight="1">
      <c r="A43" s="1377">
        <f t="shared" si="0"/>
        <v>0</v>
      </c>
      <c r="B43" s="1589" t="s">
        <v>641</v>
      </c>
      <c r="C43" s="1312"/>
      <c r="D43" s="1274" t="str">
        <f>VLOOKUP($B43,DG!A:D,DG!$B$2,)</f>
        <v>04.4001</v>
      </c>
      <c r="E43" s="1275" t="str">
        <f>VLOOKUP($B43,DG!A:D,DG!$C$2,)</f>
        <v>Đà cản BTCT 1,2m</v>
      </c>
      <c r="F43" s="1274" t="str">
        <f>VLOOKUP($B43,DG!A:D,DG!$D$2,)</f>
        <v>cái</v>
      </c>
      <c r="G43" s="1312">
        <f>1*G41</f>
        <v>0</v>
      </c>
      <c r="H43" s="1353">
        <f t="shared" si="2"/>
        <v>0</v>
      </c>
      <c r="I43" s="1310"/>
      <c r="J43" s="1310"/>
      <c r="K43" s="1312"/>
      <c r="L43" s="1128">
        <v>15</v>
      </c>
      <c r="M43" s="1413"/>
    </row>
    <row r="44" spans="1:13" s="1279" customFormat="1" ht="20.100000000000001" customHeight="1">
      <c r="A44" s="1377">
        <f t="shared" si="0"/>
        <v>0</v>
      </c>
      <c r="B44" s="1589" t="s">
        <v>570</v>
      </c>
      <c r="C44" s="1312"/>
      <c r="D44" s="1274">
        <f>VLOOKUP($B44,DG!A:D,DG!$B$2,)</f>
        <v>0</v>
      </c>
      <c r="E44" s="1275" t="str">
        <f>VLOOKUP($B44,DG!A:D,DG!$C$2,)</f>
        <v>Boulon 22x650+ 2 long đền vuông D24-50x50x3/Zn</v>
      </c>
      <c r="F44" s="1274" t="str">
        <f>VLOOKUP($B44,DG!A:D,DG!$D$2,)</f>
        <v>bộ</v>
      </c>
      <c r="G44" s="1312">
        <f>G41</f>
        <v>0</v>
      </c>
      <c r="H44" s="1353">
        <f t="shared" si="2"/>
        <v>0</v>
      </c>
      <c r="I44" s="1310"/>
      <c r="J44" s="1310"/>
      <c r="K44" s="1312"/>
      <c r="L44" s="1128">
        <v>15</v>
      </c>
      <c r="M44" s="1413"/>
    </row>
    <row r="45" spans="1:13" s="1279" customFormat="1" ht="20.100000000000001" customHeight="1">
      <c r="A45" s="1377">
        <f t="shared" si="0"/>
        <v>0</v>
      </c>
      <c r="B45" s="1589" t="s">
        <v>644</v>
      </c>
      <c r="C45" s="1312"/>
      <c r="D45" s="1274" t="str">
        <f>VLOOKUP($B45,DG!A:D,DG!$B$2,)</f>
        <v>03.1013</v>
      </c>
      <c r="E45" s="1275" t="str">
        <f>VLOOKUP($B45,DG!A:D,DG!$C$2,)</f>
        <v>Đào hố móng đất cấp 3 sâu &gt;1m DT&lt;5m2</v>
      </c>
      <c r="F45" s="1274" t="str">
        <f>VLOOKUP($B45,DG!A:D,DG!$D$2,)</f>
        <v>m3</v>
      </c>
      <c r="G45" s="1346">
        <f>G41*1.45</f>
        <v>0</v>
      </c>
      <c r="H45" s="1353">
        <f t="shared" si="2"/>
        <v>0</v>
      </c>
      <c r="I45" s="1310"/>
      <c r="J45" s="1310"/>
      <c r="K45" s="1312"/>
      <c r="L45" s="1128">
        <v>15</v>
      </c>
      <c r="M45" s="1413"/>
    </row>
    <row r="46" spans="1:13" s="1279" customFormat="1" ht="20.100000000000001" customHeight="1">
      <c r="A46" s="1377">
        <f t="shared" si="0"/>
        <v>0</v>
      </c>
      <c r="B46" s="1589" t="s">
        <v>21</v>
      </c>
      <c r="C46" s="1312"/>
      <c r="D46" s="1274" t="str">
        <f>VLOOKUP($B46,DG!A:D,DG!$B$2,)</f>
        <v>03.4113</v>
      </c>
      <c r="E46" s="1275" t="str">
        <f>VLOOKUP($B46,DG!A:D,DG!$C$2,)</f>
        <v>Đắp đất hố móng, độ chặt k=0,95</v>
      </c>
      <c r="F46" s="1274" t="str">
        <f>VLOOKUP($B46,DG!A:D,DG!$D$2,)</f>
        <v>m3</v>
      </c>
      <c r="G46" s="1346">
        <f>G41*1.37</f>
        <v>0</v>
      </c>
      <c r="H46" s="1353">
        <f t="shared" si="2"/>
        <v>0</v>
      </c>
      <c r="I46" s="1310"/>
      <c r="J46" s="1310"/>
      <c r="K46" s="1312"/>
      <c r="L46" s="1128">
        <v>15</v>
      </c>
      <c r="M46" s="1413"/>
    </row>
    <row r="47" spans="1:13" s="1279" customFormat="1" ht="20.100000000000001" customHeight="1">
      <c r="A47" s="1377">
        <f t="shared" si="0"/>
        <v>0</v>
      </c>
      <c r="B47" s="1582"/>
      <c r="C47" s="1273">
        <f>IF(G47&gt;0,C41+1,C41)</f>
        <v>0</v>
      </c>
      <c r="D47" s="1411"/>
      <c r="E47" s="1412" t="s">
        <v>3774</v>
      </c>
      <c r="F47" s="1390" t="s">
        <v>2449</v>
      </c>
      <c r="G47" s="1390">
        <f>SUM(G35:G35)</f>
        <v>0</v>
      </c>
      <c r="H47" s="1353">
        <f t="shared" si="2"/>
        <v>0</v>
      </c>
      <c r="I47" s="1342"/>
      <c r="J47" s="1342"/>
      <c r="K47" s="1312"/>
      <c r="L47" s="1128">
        <v>15</v>
      </c>
    </row>
    <row r="48" spans="1:13" s="1279" customFormat="1" ht="20.100000000000001" customHeight="1">
      <c r="A48" s="1377">
        <f>IF(A47&gt;0,1,0)</f>
        <v>0</v>
      </c>
      <c r="B48" s="1582"/>
      <c r="C48" s="1390"/>
      <c r="D48" s="1411"/>
      <c r="E48" s="1634" t="s">
        <v>2342</v>
      </c>
      <c r="F48" s="1312"/>
      <c r="G48" s="1312"/>
      <c r="H48" s="1353">
        <f t="shared" si="2"/>
        <v>0</v>
      </c>
      <c r="I48" s="1342"/>
      <c r="J48" s="1342"/>
      <c r="K48" s="1312"/>
      <c r="L48" s="1128">
        <v>15</v>
      </c>
      <c r="M48" s="1413"/>
    </row>
    <row r="49" spans="1:13" s="1279" customFormat="1" ht="20.100000000000001" customHeight="1">
      <c r="A49" s="1377">
        <f t="shared" si="0"/>
        <v>0</v>
      </c>
      <c r="B49" s="1582" t="s">
        <v>1019</v>
      </c>
      <c r="C49" s="1312"/>
      <c r="D49" s="1274" t="str">
        <f>VLOOKUP($B49,DG!A:D,DG!$B$2,)</f>
        <v>05.6001</v>
      </c>
      <c r="E49" s="1275" t="str">
        <f>VLOOKUP($B49,DG!A:D,DG!$C$2,)</f>
        <v>Giá chữ "T" lắp FCO, LA (V50x50x5)</v>
      </c>
      <c r="F49" s="1274" t="str">
        <f>VLOOKUP($B49,DG!A:D,DG!$D$2,)</f>
        <v>Kg</v>
      </c>
      <c r="G49" s="1312">
        <f>1*G47</f>
        <v>0</v>
      </c>
      <c r="H49" s="1353">
        <f t="shared" si="2"/>
        <v>0</v>
      </c>
      <c r="I49" s="1310"/>
      <c r="J49" s="1310"/>
      <c r="K49" s="1312"/>
      <c r="L49" s="1128">
        <v>15</v>
      </c>
      <c r="M49" s="1413"/>
    </row>
    <row r="50" spans="1:13" s="1279" customFormat="1" ht="20.100000000000001" customHeight="1">
      <c r="A50" s="1377">
        <f t="shared" si="0"/>
        <v>0</v>
      </c>
      <c r="B50" s="1582" t="s">
        <v>1662</v>
      </c>
      <c r="C50" s="1312"/>
      <c r="D50" s="1414"/>
      <c r="E50" s="1275" t="str">
        <f>VLOOKUP($B50,DG!A:D,DG!$C$2,)</f>
        <v>Boulon 16x300+ 2 long đền vuông D18-50x50x3/Zn</v>
      </c>
      <c r="F50" s="1274" t="str">
        <f>VLOOKUP($B50,DG!A:D,DG!$D$2,)</f>
        <v>bộ</v>
      </c>
      <c r="G50" s="1312">
        <f>2*G47</f>
        <v>0</v>
      </c>
      <c r="H50" s="1353">
        <f t="shared" si="2"/>
        <v>0</v>
      </c>
      <c r="I50" s="1310"/>
      <c r="J50" s="1310"/>
      <c r="K50" s="1312"/>
      <c r="L50" s="1128">
        <v>15</v>
      </c>
      <c r="M50" s="1413"/>
    </row>
    <row r="51" spans="1:13" s="1279" customFormat="1" ht="20.100000000000001" customHeight="1">
      <c r="A51" s="1377">
        <f t="shared" si="0"/>
        <v>0</v>
      </c>
      <c r="B51" s="1582" t="s">
        <v>709</v>
      </c>
      <c r="C51" s="1312"/>
      <c r="D51" s="1414"/>
      <c r="E51" s="1275" t="str">
        <f>VLOOKUP($B51,DG!A:D,DG!$C$2,)</f>
        <v>Boulon 12x50+ 2 long đền vuông D14-50x50x3/Zn</v>
      </c>
      <c r="F51" s="1274" t="str">
        <f>VLOOKUP($B51,DG!A:D,DG!$D$2,)</f>
        <v>bộ</v>
      </c>
      <c r="G51" s="1312">
        <f>2*G47</f>
        <v>0</v>
      </c>
      <c r="H51" s="1353">
        <f t="shared" si="2"/>
        <v>0</v>
      </c>
      <c r="I51" s="1310"/>
      <c r="J51" s="1310"/>
      <c r="K51" s="1312"/>
      <c r="L51" s="1128">
        <v>15</v>
      </c>
      <c r="M51" s="1413"/>
    </row>
    <row r="52" spans="1:13" s="1279" customFormat="1" ht="20.100000000000001" customHeight="1">
      <c r="A52" s="1377">
        <f t="shared" si="0"/>
        <v>0</v>
      </c>
      <c r="B52" s="1582"/>
      <c r="C52" s="1273">
        <f>IF(G52&gt;0,C47+1,C47)</f>
        <v>0</v>
      </c>
      <c r="D52" s="1411"/>
      <c r="E52" s="1412" t="s">
        <v>3775</v>
      </c>
      <c r="F52" s="1390" t="s">
        <v>2449</v>
      </c>
      <c r="G52" s="1390">
        <f>G25</f>
        <v>0</v>
      </c>
      <c r="H52" s="1353">
        <f t="shared" si="2"/>
        <v>0</v>
      </c>
      <c r="I52" s="1342"/>
      <c r="J52" s="1342"/>
      <c r="K52" s="1312"/>
      <c r="L52" s="1128">
        <v>15</v>
      </c>
    </row>
    <row r="53" spans="1:13" s="1279" customFormat="1" ht="20.100000000000001" customHeight="1">
      <c r="A53" s="1377">
        <f>IF(A52&gt;0,1,0)</f>
        <v>0</v>
      </c>
      <c r="B53" s="1582"/>
      <c r="C53" s="1312"/>
      <c r="D53" s="1414"/>
      <c r="E53" s="1634" t="s">
        <v>2342</v>
      </c>
      <c r="F53" s="1312"/>
      <c r="G53" s="1312"/>
      <c r="H53" s="1353">
        <f t="shared" si="2"/>
        <v>0</v>
      </c>
      <c r="I53" s="1342"/>
      <c r="J53" s="1342"/>
      <c r="K53" s="1312"/>
      <c r="L53" s="1128">
        <v>15</v>
      </c>
    </row>
    <row r="54" spans="1:13" s="1279" customFormat="1" ht="20.100000000000001" customHeight="1">
      <c r="A54" s="1377">
        <f t="shared" si="0"/>
        <v>0</v>
      </c>
      <c r="B54" s="1582" t="s">
        <v>1063</v>
      </c>
      <c r="C54" s="1312"/>
      <c r="D54" s="1274">
        <f>VLOOKUP($B54,DG!A:D,DG!$B$2,)</f>
        <v>0</v>
      </c>
      <c r="E54" s="1275" t="str">
        <f>VLOOKUP($B54,DG!A:D,DG!$C$2,)&amp;": "&amp;$H$3&amp;"m"</f>
        <v>Cáp đồng trần M25mm2: 51m</v>
      </c>
      <c r="F54" s="1274" t="str">
        <f>VLOOKUP($B54,DG!A:D,DG!$D$2,)</f>
        <v>kg</v>
      </c>
      <c r="G54" s="1396">
        <f>$H$3*G52*0.224</f>
        <v>0</v>
      </c>
      <c r="H54" s="1353">
        <f t="shared" si="2"/>
        <v>0</v>
      </c>
      <c r="I54" s="1310"/>
      <c r="J54" s="1310"/>
      <c r="K54" s="1312"/>
      <c r="L54" s="1128">
        <v>15</v>
      </c>
    </row>
    <row r="55" spans="1:13" s="1279" customFormat="1" ht="20.100000000000001" customHeight="1">
      <c r="A55" s="1377">
        <f t="shared" si="0"/>
        <v>0</v>
      </c>
      <c r="B55" s="1378" t="s">
        <v>1560</v>
      </c>
      <c r="C55" s="1312"/>
      <c r="D55" s="1274">
        <f>VLOOKUP($B55,DG!A:D,DG!$B$2,)</f>
        <v>0</v>
      </c>
      <c r="E55" s="1275" t="str">
        <f>VLOOKUP($B55,DG!A:D,DG!$C$2,)</f>
        <v>Cọc tiếp đất Ø 16- 2,4m + kẹp cọc</v>
      </c>
      <c r="F55" s="1274" t="str">
        <f>VLOOKUP($B55,DG!A:D,DG!$D$2,)</f>
        <v>bộ</v>
      </c>
      <c r="G55" s="1312">
        <f>$H$2*G52</f>
        <v>0</v>
      </c>
      <c r="H55" s="1353">
        <f t="shared" si="2"/>
        <v>0</v>
      </c>
      <c r="I55" s="1310"/>
      <c r="J55" s="1310"/>
      <c r="K55" s="1312"/>
      <c r="L55" s="1128">
        <v>15</v>
      </c>
    </row>
    <row r="56" spans="1:13" s="1279" customFormat="1" ht="20.100000000000001" customHeight="1">
      <c r="A56" s="1377">
        <f t="shared" si="0"/>
        <v>0</v>
      </c>
      <c r="B56" s="1378" t="s">
        <v>1542</v>
      </c>
      <c r="C56" s="1312"/>
      <c r="D56" s="1274" t="str">
        <f>VLOOKUP($B56,DG!A:D,DG!$B$2,)</f>
        <v>07.2403</v>
      </c>
      <c r="E56" s="1275" t="str">
        <f>VLOOKUP($B56,DG!A:D,DG!$C$2,)</f>
        <v xml:space="preserve">Ống PVC D21x1,6mm </v>
      </c>
      <c r="F56" s="1274" t="str">
        <f>VLOOKUP($B56,DG!A:D,DG!$D$2,)</f>
        <v>m</v>
      </c>
      <c r="G56" s="1312">
        <f>6*G52</f>
        <v>0</v>
      </c>
      <c r="H56" s="1353">
        <f t="shared" si="2"/>
        <v>0</v>
      </c>
      <c r="I56" s="1310"/>
      <c r="J56" s="1310"/>
      <c r="K56" s="1312"/>
      <c r="L56" s="1128">
        <v>15</v>
      </c>
    </row>
    <row r="57" spans="1:13" s="1279" customFormat="1" ht="20.100000000000001" customHeight="1">
      <c r="A57" s="1377">
        <f t="shared" si="0"/>
        <v>0</v>
      </c>
      <c r="B57" s="1587" t="s">
        <v>922</v>
      </c>
      <c r="C57" s="1312"/>
      <c r="D57" s="1274">
        <f>VLOOKUP($B57,DG!A:D,DG!$B$2,)</f>
        <v>0</v>
      </c>
      <c r="E57" s="1275" t="str">
        <f>VLOOKUP($B57,DG!A:D,DG!$C$2,)</f>
        <v>Kẹp ép WR cỡ dây 50mm2</v>
      </c>
      <c r="F57" s="1274" t="str">
        <f>VLOOKUP($B57,DG!A:D,DG!$D$2,)</f>
        <v>cái</v>
      </c>
      <c r="G57" s="1312">
        <f>2*G52</f>
        <v>0</v>
      </c>
      <c r="H57" s="1353">
        <f t="shared" si="2"/>
        <v>0</v>
      </c>
      <c r="I57" s="1310"/>
      <c r="J57" s="1310"/>
      <c r="K57" s="1312"/>
      <c r="L57" s="1128">
        <v>15</v>
      </c>
    </row>
    <row r="58" spans="1:13" s="1279" customFormat="1" ht="20.100000000000001" customHeight="1">
      <c r="A58" s="1377">
        <f t="shared" si="0"/>
        <v>0</v>
      </c>
      <c r="B58" s="1587" t="s">
        <v>1144</v>
      </c>
      <c r="C58" s="1312"/>
      <c r="D58" s="1274">
        <f>VLOOKUP($B58,DG!A:D,DG!$B$2,)</f>
        <v>0</v>
      </c>
      <c r="E58" s="1275" t="str">
        <f>VLOOKUP($B58,DG!A:D,DG!$C$2,)</f>
        <v>Kẹp ép cỡ dây 25mm2</v>
      </c>
      <c r="F58" s="1274" t="str">
        <f>VLOOKUP($B58,DG!A:D,DG!$D$2,)</f>
        <v>cái</v>
      </c>
      <c r="G58" s="1312">
        <f>G52*14</f>
        <v>0</v>
      </c>
      <c r="H58" s="1353">
        <f t="shared" si="2"/>
        <v>0</v>
      </c>
      <c r="I58" s="1310"/>
      <c r="J58" s="1310"/>
      <c r="K58" s="1312"/>
      <c r="L58" s="1128">
        <v>15</v>
      </c>
    </row>
    <row r="59" spans="1:13" s="1279" customFormat="1" ht="20.100000000000001" customHeight="1">
      <c r="A59" s="1377">
        <f t="shared" si="0"/>
        <v>0</v>
      </c>
      <c r="B59" s="1378" t="s">
        <v>528</v>
      </c>
      <c r="C59" s="1312"/>
      <c r="D59" s="1274" t="str">
        <f>VLOOKUP($B59,DG!A:D,DG!$B$2,)</f>
        <v>06.3231</v>
      </c>
      <c r="E59" s="1275" t="str">
        <f>VLOOKUP($B59,DG!A:D,DG!$C$2,)&amp;": CD 90-250"</f>
        <v>Cổ dê kẹp ống PVC  21: CD 90-250</v>
      </c>
      <c r="F59" s="1274" t="str">
        <f>VLOOKUP($B59,DG!A:D,DG!$D$2,)</f>
        <v>bộ</v>
      </c>
      <c r="G59" s="1415">
        <f>G52*0.415</f>
        <v>0</v>
      </c>
      <c r="H59" s="1353">
        <f t="shared" si="2"/>
        <v>0</v>
      </c>
      <c r="I59" s="1310"/>
      <c r="J59" s="1310"/>
      <c r="K59" s="1278"/>
      <c r="L59" s="1128">
        <v>15</v>
      </c>
    </row>
    <row r="60" spans="1:13" s="1279" customFormat="1" ht="20.100000000000001" customHeight="1">
      <c r="A60" s="1377">
        <f t="shared" si="0"/>
        <v>0</v>
      </c>
      <c r="B60" s="1378" t="s">
        <v>528</v>
      </c>
      <c r="C60" s="1312"/>
      <c r="D60" s="1274" t="str">
        <f>VLOOKUP($B60,DG!A:D,DG!$B$2,)</f>
        <v>06.3231</v>
      </c>
      <c r="E60" s="1275" t="str">
        <f>VLOOKUP($B60,DG!A:D,DG!$C$2,)&amp;": CD 90-280"</f>
        <v>Cổ dê kẹp ống PVC  21: CD 90-280</v>
      </c>
      <c r="F60" s="1274" t="str">
        <f>VLOOKUP($B60,DG!A:D,DG!$D$2,)</f>
        <v>bộ</v>
      </c>
      <c r="G60" s="1415">
        <f>G52*0.452</f>
        <v>0</v>
      </c>
      <c r="H60" s="1353">
        <f t="shared" si="2"/>
        <v>0</v>
      </c>
      <c r="I60" s="1310"/>
      <c r="J60" s="1310"/>
      <c r="K60" s="1278"/>
      <c r="L60" s="1128">
        <v>15</v>
      </c>
    </row>
    <row r="61" spans="1:13" s="1279" customFormat="1" ht="20.100000000000001" customHeight="1">
      <c r="A61" s="1377">
        <f t="shared" si="0"/>
        <v>0</v>
      </c>
      <c r="B61" s="1378" t="s">
        <v>528</v>
      </c>
      <c r="C61" s="1312"/>
      <c r="D61" s="1274" t="str">
        <f>VLOOKUP($B61,DG!A:D,DG!$B$2,)</f>
        <v>06.3231</v>
      </c>
      <c r="E61" s="1275" t="str">
        <f>VLOOKUP($B61,DG!A:D,DG!$C$2,)&amp;": CD 90-320"</f>
        <v>Cổ dê kẹp ống PVC  21: CD 90-320</v>
      </c>
      <c r="F61" s="1274" t="str">
        <f>VLOOKUP($B61,DG!A:D,DG!$D$2,)</f>
        <v>bộ</v>
      </c>
      <c r="G61" s="1415">
        <f>G52*0.501</f>
        <v>0</v>
      </c>
      <c r="H61" s="1353">
        <f t="shared" si="2"/>
        <v>0</v>
      </c>
      <c r="I61" s="1310"/>
      <c r="J61" s="1310"/>
      <c r="K61" s="1278"/>
      <c r="L61" s="1128">
        <v>15</v>
      </c>
    </row>
    <row r="62" spans="1:13" s="1279" customFormat="1" ht="20.100000000000001" customHeight="1">
      <c r="A62" s="1377">
        <f t="shared" si="0"/>
        <v>0</v>
      </c>
      <c r="B62" s="1378" t="s">
        <v>1161</v>
      </c>
      <c r="C62" s="1312"/>
      <c r="D62" s="1274" t="str">
        <f>VLOOKUP($B62,DG!A:D,DG!$B$2,)</f>
        <v>06.2110</v>
      </c>
      <c r="E62" s="1275" t="str">
        <f>VLOOKUP($B62,DG!A:D,DG!$C$2,)&amp;": CD 90-320"</f>
        <v>Lắp cổ dề: CD 90-320</v>
      </c>
      <c r="F62" s="1274" t="str">
        <f>VLOOKUP($B62,DG!A:D,DG!$D$2,)</f>
        <v>bộ</v>
      </c>
      <c r="G62" s="1415">
        <f>G53*0.501</f>
        <v>0</v>
      </c>
      <c r="H62" s="1353">
        <f t="shared" si="2"/>
        <v>0</v>
      </c>
      <c r="I62" s="1310"/>
      <c r="J62" s="1310"/>
      <c r="K62" s="1278"/>
      <c r="L62" s="1128">
        <v>15</v>
      </c>
    </row>
    <row r="63" spans="1:13" s="1279" customFormat="1" ht="20.100000000000001" customHeight="1">
      <c r="A63" s="1377">
        <f t="shared" si="0"/>
        <v>0</v>
      </c>
      <c r="B63" s="1378" t="s">
        <v>2072</v>
      </c>
      <c r="C63" s="1312"/>
      <c r="D63" s="1274">
        <f>VLOOKUP($B63,DG!A:D,DG!$B$2,)</f>
        <v>0</v>
      </c>
      <c r="E63" s="1275" t="str">
        <f>VLOOKUP($B63,DG!A:D,DG!$C$2,)</f>
        <v>Boulon 12x40+ 2 long đền vuông D14-50x50x3/Zn</v>
      </c>
      <c r="F63" s="1274" t="str">
        <f>VLOOKUP($B63,DG!A:D,DG!$D$2,)</f>
        <v>bộ</v>
      </c>
      <c r="G63" s="1312">
        <f>G52*6</f>
        <v>0</v>
      </c>
      <c r="H63" s="1353">
        <f t="shared" si="2"/>
        <v>0</v>
      </c>
      <c r="I63" s="1310"/>
      <c r="J63" s="1310"/>
      <c r="K63" s="1278"/>
      <c r="L63" s="1128">
        <v>15</v>
      </c>
    </row>
    <row r="64" spans="1:13" s="1279" customFormat="1" ht="20.100000000000001" customHeight="1">
      <c r="A64" s="1377">
        <f t="shared" si="0"/>
        <v>0</v>
      </c>
      <c r="B64" s="1378" t="s">
        <v>919</v>
      </c>
      <c r="C64" s="1312"/>
      <c r="D64" s="1274" t="str">
        <f>VLOOKUP($B64,DG!A:D,DG!$B$2,)</f>
        <v>04.7001</v>
      </c>
      <c r="E64" s="1275" t="str">
        <f>VLOOKUP($B64,DG!A:D,DG!$C$2,)</f>
        <v>Đóng cọc tiếp địa trong TBA</v>
      </c>
      <c r="F64" s="1274" t="str">
        <f>VLOOKUP($B64,DG!A:D,DG!$D$2,)</f>
        <v>cọc</v>
      </c>
      <c r="G64" s="1312">
        <f>G55</f>
        <v>0</v>
      </c>
      <c r="H64" s="1353">
        <f t="shared" si="2"/>
        <v>0</v>
      </c>
      <c r="I64" s="1310"/>
      <c r="J64" s="1310"/>
      <c r="K64" s="1312"/>
      <c r="L64" s="1128">
        <v>15</v>
      </c>
    </row>
    <row r="65" spans="1:12" s="1279" customFormat="1" ht="20.100000000000001" customHeight="1">
      <c r="A65" s="1377">
        <f t="shared" si="0"/>
        <v>0</v>
      </c>
      <c r="B65" s="1378" t="s">
        <v>2245</v>
      </c>
      <c r="C65" s="1312"/>
      <c r="D65" s="1274" t="str">
        <f>VLOOKUP($B65,DG!A:D,DG!$B$2,)</f>
        <v>04.7002</v>
      </c>
      <c r="E65" s="1275" t="str">
        <f>VLOOKUP($B65,DG!A:D,DG!$C$2,)</f>
        <v>Kéo dây tiếp địa trong TBA</v>
      </c>
      <c r="F65" s="1274" t="str">
        <f>VLOOKUP($B65,DG!A:D,DG!$D$2,)</f>
        <v>mét</v>
      </c>
      <c r="G65" s="1312">
        <f>G52*"0"</f>
        <v>0</v>
      </c>
      <c r="H65" s="1353">
        <f t="shared" si="2"/>
        <v>0</v>
      </c>
      <c r="I65" s="1310"/>
      <c r="J65" s="1310"/>
      <c r="K65" s="1312"/>
      <c r="L65" s="1128">
        <v>15</v>
      </c>
    </row>
    <row r="66" spans="1:12" s="1279" customFormat="1" ht="20.100000000000001" customHeight="1">
      <c r="A66" s="1377">
        <f t="shared" si="0"/>
        <v>0</v>
      </c>
      <c r="B66" s="1587" t="s">
        <v>1085</v>
      </c>
      <c r="C66" s="1312"/>
      <c r="D66" s="1274" t="str">
        <f>VLOOKUP($B66,DG!A:D,DG!$B$2,)</f>
        <v>03.3123</v>
      </c>
      <c r="E66" s="1275" t="str">
        <f>VLOOKUP($B66,DG!A:D,DG!$C$2,)</f>
        <v>Đào rãnh tiếp địa đất cấp 3</v>
      </c>
      <c r="F66" s="1274" t="str">
        <f>VLOOKUP($B66,DG!A:D,DG!$D$2,)</f>
        <v>m3</v>
      </c>
      <c r="G66" s="1346">
        <f>G52*"0"</f>
        <v>0</v>
      </c>
      <c r="H66" s="1353">
        <f t="shared" si="2"/>
        <v>0</v>
      </c>
      <c r="I66" s="1310"/>
      <c r="J66" s="1310"/>
      <c r="K66" s="1312"/>
      <c r="L66" s="1128">
        <v>15</v>
      </c>
    </row>
    <row r="67" spans="1:12" s="1279" customFormat="1" ht="20.100000000000001" customHeight="1">
      <c r="A67" s="1377">
        <f t="shared" si="0"/>
        <v>0</v>
      </c>
      <c r="B67" s="1378" t="s">
        <v>1086</v>
      </c>
      <c r="C67" s="1312"/>
      <c r="D67" s="1274" t="str">
        <f>VLOOKUP($B67,DG!A:D,DG!$B$2,)</f>
        <v>03.4123</v>
      </c>
      <c r="E67" s="1275" t="str">
        <f>VLOOKUP($B67,DG!A:D,DG!$C$2,)</f>
        <v>Đắp đất rãnh tiếp độ chặt k=0,95</v>
      </c>
      <c r="F67" s="1274" t="str">
        <f>VLOOKUP($B67,DG!A:D,DG!$D$2,)</f>
        <v>m3</v>
      </c>
      <c r="G67" s="1346">
        <f>G66</f>
        <v>0</v>
      </c>
      <c r="H67" s="1353">
        <f t="shared" si="2"/>
        <v>0</v>
      </c>
      <c r="I67" s="1310"/>
      <c r="J67" s="1310"/>
      <c r="K67" s="1312"/>
      <c r="L67" s="1128">
        <v>15</v>
      </c>
    </row>
    <row r="68" spans="1:12" s="1279" customFormat="1" ht="20.100000000000001" customHeight="1">
      <c r="A68" s="1377">
        <f t="shared" si="0"/>
        <v>0</v>
      </c>
      <c r="B68" s="1587"/>
      <c r="C68" s="1390">
        <f>IF(G68&gt;0,C52+1,C52)</f>
        <v>0</v>
      </c>
      <c r="D68" s="1411"/>
      <c r="E68" s="1412" t="s">
        <v>3776</v>
      </c>
      <c r="F68" s="1390" t="s">
        <v>2449</v>
      </c>
      <c r="G68" s="1390">
        <f>G25</f>
        <v>0</v>
      </c>
      <c r="H68" s="1353">
        <f t="shared" si="2"/>
        <v>0</v>
      </c>
      <c r="I68" s="1342"/>
      <c r="J68" s="1342"/>
      <c r="K68" s="1312"/>
      <c r="L68" s="1128">
        <v>15</v>
      </c>
    </row>
    <row r="69" spans="1:12" s="1279" customFormat="1" ht="20.100000000000001" customHeight="1">
      <c r="A69" s="1377">
        <f>IF(A68&gt;0,1,0)</f>
        <v>0</v>
      </c>
      <c r="B69" s="1587"/>
      <c r="C69" s="1390"/>
      <c r="D69" s="1411"/>
      <c r="E69" s="1634" t="s">
        <v>2342</v>
      </c>
      <c r="F69" s="1312"/>
      <c r="G69" s="1312"/>
      <c r="H69" s="1353">
        <f t="shared" si="2"/>
        <v>0</v>
      </c>
      <c r="I69" s="1342"/>
      <c r="J69" s="1342"/>
      <c r="K69" s="1312"/>
      <c r="L69" s="1128">
        <v>15</v>
      </c>
    </row>
    <row r="70" spans="1:12" s="1279" customFormat="1" ht="20.100000000000001" customHeight="1">
      <c r="A70" s="1377">
        <f t="shared" si="0"/>
        <v>0</v>
      </c>
      <c r="B70" s="1589" t="s">
        <v>621</v>
      </c>
      <c r="C70" s="1312"/>
      <c r="D70" s="1274" t="str">
        <f>VLOOKUP($B70,DG!A:D,DG!$B$2,)</f>
        <v>05.1001</v>
      </c>
      <c r="E70" s="1275" t="str">
        <f>VLOOKUP($B70,DG!A:D,DG!$C$2,)</f>
        <v>Tủ CB trạm 1 pha + khóa + boulon</v>
      </c>
      <c r="F70" s="1274" t="str">
        <f>VLOOKUP($B70,DG!A:D,DG!$D$2,)</f>
        <v>cái</v>
      </c>
      <c r="G70" s="1312">
        <f>G68</f>
        <v>0</v>
      </c>
      <c r="H70" s="1353">
        <f t="shared" si="2"/>
        <v>0</v>
      </c>
      <c r="I70" s="1310"/>
      <c r="J70" s="1310"/>
      <c r="K70" s="1312"/>
      <c r="L70" s="1128">
        <v>15</v>
      </c>
    </row>
    <row r="71" spans="1:12" s="1279" customFormat="1" ht="20.100000000000001" customHeight="1">
      <c r="A71" s="1377">
        <f t="shared" si="0"/>
        <v>0</v>
      </c>
      <c r="B71" s="1587" t="s">
        <v>896</v>
      </c>
      <c r="C71" s="1312"/>
      <c r="D71" s="1414"/>
      <c r="E71" s="1275" t="str">
        <f>VLOOKUP($B71,DG!A:D,DG!$C$2,)</f>
        <v>Cổ dê bắt tủ</v>
      </c>
      <c r="F71" s="1274" t="str">
        <f>VLOOKUP($B71,DG!A:D,DG!$D$2,)</f>
        <v>bộ</v>
      </c>
      <c r="G71" s="1312">
        <f>2*G68</f>
        <v>0</v>
      </c>
      <c r="H71" s="1353">
        <f t="shared" si="2"/>
        <v>0</v>
      </c>
      <c r="I71" s="1310"/>
      <c r="J71" s="1310"/>
      <c r="K71" s="1312"/>
      <c r="L71" s="1128">
        <v>15</v>
      </c>
    </row>
    <row r="72" spans="1:12" s="1279" customFormat="1" ht="20.100000000000001" customHeight="1">
      <c r="A72" s="1377">
        <f t="shared" si="0"/>
        <v>0</v>
      </c>
      <c r="B72" s="1587" t="s">
        <v>897</v>
      </c>
      <c r="C72" s="1312"/>
      <c r="D72" s="1414"/>
      <c r="E72" s="1275" t="str">
        <f>VLOOKUP($B72,DG!A:D,DG!$C$2,)</f>
        <v xml:space="preserve">Bakelit 550x450 dầy 10mm </v>
      </c>
      <c r="F72" s="1274" t="str">
        <f>VLOOKUP($B72,DG!A:D,DG!$D$2,)</f>
        <v>cái</v>
      </c>
      <c r="G72" s="1312">
        <f>G68</f>
        <v>0</v>
      </c>
      <c r="H72" s="1353">
        <f t="shared" si="2"/>
        <v>0</v>
      </c>
      <c r="I72" s="1310"/>
      <c r="J72" s="1310"/>
      <c r="K72" s="1312"/>
      <c r="L72" s="1128">
        <v>15</v>
      </c>
    </row>
    <row r="73" spans="1:12" s="1279" customFormat="1" ht="20.100000000000001" customHeight="1">
      <c r="A73" s="1377">
        <f t="shared" si="0"/>
        <v>0</v>
      </c>
      <c r="B73" s="1587"/>
      <c r="C73" s="1390">
        <f>IF(G73&gt;0,C68+1,C68)</f>
        <v>0</v>
      </c>
      <c r="D73" s="1411"/>
      <c r="E73" s="1412" t="s">
        <v>3777</v>
      </c>
      <c r="F73" s="1390" t="s">
        <v>2449</v>
      </c>
      <c r="G73" s="1390">
        <f>G68</f>
        <v>0</v>
      </c>
      <c r="H73" s="1353">
        <f t="shared" si="2"/>
        <v>0</v>
      </c>
      <c r="I73" s="1342"/>
      <c r="J73" s="1342"/>
      <c r="K73" s="1312"/>
      <c r="L73" s="1128">
        <v>15</v>
      </c>
    </row>
    <row r="74" spans="1:12" s="1279" customFormat="1" ht="20.100000000000001" customHeight="1">
      <c r="A74" s="1377">
        <f>IF(A73&gt;0,1,0)</f>
        <v>0</v>
      </c>
      <c r="B74" s="1587"/>
      <c r="C74" s="1390"/>
      <c r="D74" s="1411"/>
      <c r="E74" s="1634" t="s">
        <v>2342</v>
      </c>
      <c r="F74" s="1312"/>
      <c r="G74" s="1312"/>
      <c r="H74" s="1353">
        <f t="shared" si="2"/>
        <v>0</v>
      </c>
      <c r="I74" s="1342"/>
      <c r="J74" s="1342"/>
      <c r="K74" s="1312"/>
      <c r="L74" s="1128">
        <v>15</v>
      </c>
    </row>
    <row r="75" spans="1:12" s="1279" customFormat="1" ht="20.100000000000001" customHeight="1">
      <c r="A75" s="1377">
        <f t="shared" si="0"/>
        <v>0</v>
      </c>
      <c r="B75" s="1585" t="s">
        <v>704</v>
      </c>
      <c r="C75" s="1312"/>
      <c r="D75" s="1274">
        <f>VLOOKUP($B75,DG!A:D,DG!$B$2,)</f>
        <v>0</v>
      </c>
      <c r="E75" s="1275" t="str">
        <f>VLOOKUP($B75,DG!A:D,DG!$C$2,)</f>
        <v>Cáp 24KV C/XLPE/PVC 25mm2</v>
      </c>
      <c r="F75" s="1274" t="str">
        <f>VLOOKUP($B75,DG!A:D,DG!$D$2,)</f>
        <v>mét</v>
      </c>
      <c r="G75" s="1312">
        <f>3*G73</f>
        <v>0</v>
      </c>
      <c r="H75" s="1353">
        <f t="shared" si="2"/>
        <v>0</v>
      </c>
      <c r="I75" s="1310"/>
      <c r="J75" s="1310"/>
      <c r="K75" s="1312"/>
      <c r="L75" s="1128">
        <v>15</v>
      </c>
    </row>
    <row r="76" spans="1:12" s="1279" customFormat="1" ht="20.100000000000001" customHeight="1">
      <c r="A76" s="1377">
        <f t="shared" si="0"/>
        <v>0</v>
      </c>
      <c r="B76" s="1378" t="s">
        <v>1531</v>
      </c>
      <c r="C76" s="1312"/>
      <c r="D76" s="1274" t="str">
        <f>VLOOKUP($B76,DG!A:D,DG!$B$2,)</f>
        <v>04.3007</v>
      </c>
      <c r="E76" s="1275" t="str">
        <f>VLOOKUP($B76,DG!A:D,DG!$C$2,)</f>
        <v>Kẹp quai 2/0</v>
      </c>
      <c r="F76" s="1274" t="str">
        <f>VLOOKUP($B76,DG!A:D,DG!$D$2,)</f>
        <v>cái</v>
      </c>
      <c r="G76" s="1312">
        <f>G73</f>
        <v>0</v>
      </c>
      <c r="H76" s="1353">
        <f t="shared" si="2"/>
        <v>0</v>
      </c>
      <c r="I76" s="1310"/>
      <c r="J76" s="1310"/>
      <c r="K76" s="1312"/>
      <c r="L76" s="1128">
        <v>15</v>
      </c>
    </row>
    <row r="77" spans="1:12" s="1279" customFormat="1" ht="20.100000000000001" customHeight="1">
      <c r="A77" s="1377">
        <f t="shared" si="0"/>
        <v>0</v>
      </c>
      <c r="B77" s="1378" t="s">
        <v>1529</v>
      </c>
      <c r="C77" s="1312"/>
      <c r="D77" s="1274" t="str">
        <f>VLOOKUP($B77,DG!A:D,DG!$B$2,)</f>
        <v>04.3007</v>
      </c>
      <c r="E77" s="1275" t="str">
        <f>VLOOKUP($B77,DG!A:D,DG!$C$2,)</f>
        <v>Kẹp hotline 2/0</v>
      </c>
      <c r="F77" s="1274" t="str">
        <f>VLOOKUP($B77,DG!A:D,DG!$D$2,)</f>
        <v>cái</v>
      </c>
      <c r="G77" s="1312">
        <f>G73</f>
        <v>0</v>
      </c>
      <c r="H77" s="1353">
        <f t="shared" si="2"/>
        <v>0</v>
      </c>
      <c r="I77" s="1310"/>
      <c r="J77" s="1310"/>
      <c r="K77" s="1312"/>
      <c r="L77" s="1128">
        <v>15</v>
      </c>
    </row>
    <row r="78" spans="1:12" s="1279" customFormat="1" ht="20.100000000000001" customHeight="1">
      <c r="A78" s="1377">
        <f t="shared" si="0"/>
        <v>0</v>
      </c>
      <c r="B78" s="1378" t="s">
        <v>1577</v>
      </c>
      <c r="C78" s="1312"/>
      <c r="D78" s="1274" t="str">
        <f>VLOOKUP($B78,DG!A:D,DG!$B$2,)</f>
        <v>04.4201</v>
      </c>
      <c r="E78" s="1275" t="str">
        <f>VLOOKUP($B78,DG!A:D,DG!$C$2,)</f>
        <v>Lắp cáp đồng xuống thiết bị D ≤ 95mm2</v>
      </c>
      <c r="F78" s="1274" t="str">
        <f>VLOOKUP($B78,DG!A:D,DG!$D$2,)</f>
        <v>m</v>
      </c>
      <c r="G78" s="1312">
        <f>G75</f>
        <v>0</v>
      </c>
      <c r="H78" s="1353">
        <f t="shared" si="2"/>
        <v>0</v>
      </c>
      <c r="I78" s="1310"/>
      <c r="J78" s="1310"/>
      <c r="K78" s="1312"/>
      <c r="L78" s="1128">
        <v>15</v>
      </c>
    </row>
    <row r="79" spans="1:12" s="1279" customFormat="1" ht="20.100000000000001" customHeight="1">
      <c r="A79" s="1377">
        <f t="shared" si="0"/>
        <v>0</v>
      </c>
      <c r="B79" s="1587"/>
      <c r="C79" s="1390">
        <f>IF(G79&gt;0,C73+1,C73)</f>
        <v>0</v>
      </c>
      <c r="D79" s="1411"/>
      <c r="E79" s="1412" t="s">
        <v>3778</v>
      </c>
      <c r="F79" s="1390" t="s">
        <v>2449</v>
      </c>
      <c r="G79" s="1390">
        <f>G25</f>
        <v>0</v>
      </c>
      <c r="H79" s="1353">
        <f t="shared" si="2"/>
        <v>0</v>
      </c>
      <c r="I79" s="1342"/>
      <c r="J79" s="1342"/>
      <c r="K79" s="1312"/>
      <c r="L79" s="1128">
        <v>15</v>
      </c>
    </row>
    <row r="80" spans="1:12" s="1279" customFormat="1" ht="20.100000000000001" customHeight="1">
      <c r="A80" s="1377">
        <f>IF(A79&gt;0,1,0)</f>
        <v>0</v>
      </c>
      <c r="B80" s="1587"/>
      <c r="C80" s="1390"/>
      <c r="D80" s="1411"/>
      <c r="E80" s="1634" t="s">
        <v>2342</v>
      </c>
      <c r="F80" s="1390"/>
      <c r="G80" s="1390"/>
      <c r="H80" s="1353">
        <f t="shared" si="2"/>
        <v>0</v>
      </c>
      <c r="I80" s="1342"/>
      <c r="J80" s="1342"/>
      <c r="K80" s="1312"/>
      <c r="L80" s="1128">
        <v>15</v>
      </c>
    </row>
    <row r="81" spans="1:12" s="1279" customFormat="1" ht="20.100000000000001" customHeight="1">
      <c r="A81" s="1377">
        <f t="shared" si="0"/>
        <v>0</v>
      </c>
      <c r="B81" s="1587" t="s">
        <v>4696</v>
      </c>
      <c r="C81" s="1390"/>
      <c r="D81" s="1274">
        <f>VLOOKUP($B81,DG!A:D,DG!$B$2,)</f>
        <v>0</v>
      </c>
      <c r="E81" s="1275" t="str">
        <f>VLOOKUP($B81,DG!A:D,DG!$C$2,)</f>
        <v>Cáp đồng bọc CV35</v>
      </c>
      <c r="F81" s="1274" t="str">
        <f>VLOOKUP($B81,DG!A:D,DG!$D$2,)</f>
        <v>mét</v>
      </c>
      <c r="G81" s="1312">
        <f>G79*10</f>
        <v>0</v>
      </c>
      <c r="H81" s="1353">
        <f t="shared" si="2"/>
        <v>0</v>
      </c>
      <c r="I81" s="1310"/>
      <c r="J81" s="1310"/>
      <c r="K81" s="1312"/>
      <c r="L81" s="1128">
        <v>15</v>
      </c>
    </row>
    <row r="82" spans="1:12" s="1279" customFormat="1" ht="20.100000000000001" customHeight="1">
      <c r="A82" s="1377">
        <f t="shared" si="0"/>
        <v>0</v>
      </c>
      <c r="B82" s="1587" t="s">
        <v>1439</v>
      </c>
      <c r="C82" s="1390"/>
      <c r="D82" s="1274">
        <f>VLOOKUP($B82,DG!A:D,DG!$B$2,)</f>
        <v>0</v>
      </c>
      <c r="E82" s="1275" t="str">
        <f>VLOOKUP($B82,DG!A:D,DG!$C$2,)</f>
        <v>Cáp đồng bọc CV25</v>
      </c>
      <c r="F82" s="1274" t="str">
        <f>VLOOKUP($B82,DG!A:D,DG!$D$2,)</f>
        <v>mét</v>
      </c>
      <c r="G82" s="1312">
        <f>10*G79</f>
        <v>0</v>
      </c>
      <c r="H82" s="1353">
        <f t="shared" si="2"/>
        <v>0</v>
      </c>
      <c r="I82" s="1310"/>
      <c r="J82" s="1310"/>
      <c r="K82" s="1312"/>
      <c r="L82" s="1128">
        <v>15</v>
      </c>
    </row>
    <row r="83" spans="1:12" s="1279" customFormat="1" ht="20.100000000000001" customHeight="1">
      <c r="A83" s="1377">
        <f t="shared" si="0"/>
        <v>0</v>
      </c>
      <c r="B83" s="1587" t="s">
        <v>1099</v>
      </c>
      <c r="C83" s="1390"/>
      <c r="D83" s="1274" t="str">
        <f>VLOOKUP($B83,DG!A:D,DG!$B$2,)</f>
        <v>03.1401</v>
      </c>
      <c r="E83" s="1275" t="str">
        <f>VLOOKUP($B83,DG!A:D,DG!$C$2,)</f>
        <v xml:space="preserve">Cáp CVV 4x2,5mm2  </v>
      </c>
      <c r="F83" s="1274" t="str">
        <f>VLOOKUP($B83,DG!A:D,DG!$D$2,)</f>
        <v>mét</v>
      </c>
      <c r="G83" s="1312">
        <f>4*G79</f>
        <v>0</v>
      </c>
      <c r="H83" s="1353">
        <f t="shared" si="2"/>
        <v>0</v>
      </c>
      <c r="I83" s="1310"/>
      <c r="J83" s="1310"/>
      <c r="K83" s="1278"/>
      <c r="L83" s="1128">
        <v>15</v>
      </c>
    </row>
    <row r="84" spans="1:12" s="1279" customFormat="1" ht="20.100000000000001" customHeight="1">
      <c r="A84" s="1377">
        <f t="shared" si="0"/>
        <v>0</v>
      </c>
      <c r="B84" s="1587" t="s">
        <v>4697</v>
      </c>
      <c r="C84" s="1312"/>
      <c r="D84" s="1274" t="str">
        <f>VLOOKUP($B84,DG!A:D,DG!$B$2,)</f>
        <v>03.4002</v>
      </c>
      <c r="E84" s="1275" t="str">
        <f>VLOOKUP($B84,DG!A:D,DG!$C$2,)</f>
        <v>Đầu cosse ép Cu 35mm2</v>
      </c>
      <c r="F84" s="1274" t="str">
        <f>VLOOKUP($B84,DG!A:D,DG!$D$2,)</f>
        <v>cái</v>
      </c>
      <c r="G84" s="1312">
        <f>G79*1</f>
        <v>0</v>
      </c>
      <c r="H84" s="1353">
        <f t="shared" si="2"/>
        <v>0</v>
      </c>
      <c r="I84" s="1310"/>
      <c r="J84" s="1310"/>
      <c r="K84" s="1312"/>
      <c r="L84" s="1128">
        <v>15</v>
      </c>
    </row>
    <row r="85" spans="1:12" s="1279" customFormat="1" ht="20.100000000000001" customHeight="1">
      <c r="A85" s="1377">
        <f t="shared" si="0"/>
        <v>0</v>
      </c>
      <c r="B85" s="1587" t="s">
        <v>1103</v>
      </c>
      <c r="C85" s="1312"/>
      <c r="D85" s="1274" t="str">
        <f>VLOOKUP($B85,DG!A:D,DG!$B$2,)</f>
        <v>03.4001</v>
      </c>
      <c r="E85" s="1275" t="str">
        <f>VLOOKUP($B85,DG!A:D,DG!$C$2,)</f>
        <v>Đầu cosse ép Cu 25mm2</v>
      </c>
      <c r="F85" s="1274" t="str">
        <f>VLOOKUP($B85,DG!A:D,DG!$D$2,)</f>
        <v>cái</v>
      </c>
      <c r="G85" s="1312">
        <f>G79*1</f>
        <v>0</v>
      </c>
      <c r="H85" s="1353">
        <f t="shared" si="2"/>
        <v>0</v>
      </c>
      <c r="I85" s="1310"/>
      <c r="J85" s="1310"/>
      <c r="K85" s="1312"/>
      <c r="L85" s="1128">
        <v>15</v>
      </c>
    </row>
    <row r="86" spans="1:12" s="1279" customFormat="1" ht="20.100000000000001" customHeight="1">
      <c r="A86" s="1377">
        <f t="shared" si="0"/>
        <v>0</v>
      </c>
      <c r="B86" s="1587" t="s">
        <v>4698</v>
      </c>
      <c r="C86" s="1312"/>
      <c r="D86" s="1274">
        <f>VLOOKUP($B86,DG!A:D,DG!$B$2,)</f>
        <v>0</v>
      </c>
      <c r="E86" s="1275" t="str">
        <f>VLOOKUP($B86,DG!A:D,DG!$C$2,)</f>
        <v>Chụp đầu cosse  35mm2</v>
      </c>
      <c r="F86" s="1274" t="str">
        <f>VLOOKUP($B86,DG!A:D,DG!$D$2,)</f>
        <v>cái</v>
      </c>
      <c r="G86" s="1312">
        <f>G79*1</f>
        <v>0</v>
      </c>
      <c r="H86" s="1353">
        <f t="shared" si="2"/>
        <v>0</v>
      </c>
      <c r="I86" s="1310"/>
      <c r="J86" s="1310"/>
      <c r="K86" s="1312"/>
      <c r="L86" s="1128">
        <v>15</v>
      </c>
    </row>
    <row r="87" spans="1:12" s="1279" customFormat="1" ht="20.100000000000001" customHeight="1">
      <c r="A87" s="1377">
        <f t="shared" si="0"/>
        <v>0</v>
      </c>
      <c r="B87" s="1587" t="s">
        <v>4699</v>
      </c>
      <c r="C87" s="1312"/>
      <c r="D87" s="1274">
        <f>VLOOKUP($B87,DG!A:D,DG!$B$2,)</f>
        <v>0</v>
      </c>
      <c r="E87" s="1275" t="str">
        <f>VLOOKUP($B87,DG!A:D,DG!$C$2,)</f>
        <v>Chụp đầu cosse  25mm2</v>
      </c>
      <c r="F87" s="1274" t="str">
        <f>VLOOKUP($B87,DG!A:D,DG!$D$2,)</f>
        <v>cái</v>
      </c>
      <c r="G87" s="1312">
        <f>G79*1</f>
        <v>0</v>
      </c>
      <c r="H87" s="1353">
        <f t="shared" si="2"/>
        <v>0</v>
      </c>
      <c r="I87" s="1310"/>
      <c r="J87" s="1310"/>
      <c r="K87" s="1312"/>
      <c r="L87" s="1128">
        <v>15</v>
      </c>
    </row>
    <row r="88" spans="1:12" s="1279" customFormat="1" ht="20.100000000000001" customHeight="1">
      <c r="A88" s="1377">
        <f t="shared" si="0"/>
        <v>0</v>
      </c>
      <c r="B88" s="1587" t="s">
        <v>283</v>
      </c>
      <c r="C88" s="1312"/>
      <c r="D88" s="1274" t="str">
        <f>VLOOKUP($B88,DG!A:D,DG!$B$2,)</f>
        <v>04.8003</v>
      </c>
      <c r="E88" s="1275" t="str">
        <f>VLOOKUP($B88,DG!A:D,DG!$C$2,)</f>
        <v xml:space="preserve">Ống PVC D90x3,8mm </v>
      </c>
      <c r="F88" s="1274" t="str">
        <f>VLOOKUP($B88,DG!A:D,DG!$D$2,)</f>
        <v>m</v>
      </c>
      <c r="G88" s="1312">
        <f>12*G79</f>
        <v>0</v>
      </c>
      <c r="H88" s="1353">
        <f t="shared" si="2"/>
        <v>0</v>
      </c>
      <c r="I88" s="1310"/>
      <c r="J88" s="1310"/>
      <c r="K88" s="1312"/>
      <c r="L88" s="1128">
        <v>15</v>
      </c>
    </row>
    <row r="89" spans="1:12" s="1279" customFormat="1" ht="20.100000000000001" customHeight="1">
      <c r="A89" s="1377">
        <f t="shared" si="0"/>
        <v>0</v>
      </c>
      <c r="B89" s="1378" t="s">
        <v>277</v>
      </c>
      <c r="C89" s="1312"/>
      <c r="D89" s="1274" t="str">
        <f>VLOOKUP($B89,DG!A:D,DG!$B$2,)</f>
        <v>06.3231</v>
      </c>
      <c r="E89" s="1275" t="str">
        <f>VLOOKUP($B89,DG!A:D,DG!$C$2,)&amp;": 2 bộ: CD 90-250"</f>
        <v>Cổ dê kẹp ống PVC Ø 90: 2 bộ: CD 90-250</v>
      </c>
      <c r="F89" s="1274" t="str">
        <f>VLOOKUP($B89,DG!A:D,DG!$D$2,)</f>
        <v>bộ</v>
      </c>
      <c r="G89" s="1415">
        <f>G79*0.965*2</f>
        <v>0</v>
      </c>
      <c r="H89" s="1353">
        <f t="shared" si="2"/>
        <v>0</v>
      </c>
      <c r="I89" s="1310"/>
      <c r="J89" s="1310"/>
      <c r="K89" s="1278"/>
      <c r="L89" s="1128">
        <v>15</v>
      </c>
    </row>
    <row r="90" spans="1:12" s="1279" customFormat="1" ht="20.100000000000001" customHeight="1">
      <c r="A90" s="1377">
        <f t="shared" ref="A90:A153" si="3">IF(H90&gt;0,1,0)</f>
        <v>0</v>
      </c>
      <c r="B90" s="1378" t="s">
        <v>277</v>
      </c>
      <c r="C90" s="1312"/>
      <c r="D90" s="1274" t="str">
        <f>VLOOKUP($B90,DG!A:D,DG!$B$2,)</f>
        <v>06.3231</v>
      </c>
      <c r="E90" s="1275" t="str">
        <f>VLOOKUP($B90,DG!A:D,DG!$C$2,)&amp;": 2 bộ: CD 90-280"</f>
        <v>Cổ dê kẹp ống PVC Ø 90: 2 bộ: CD 90-280</v>
      </c>
      <c r="F90" s="1274" t="str">
        <f>VLOOKUP($B90,DG!A:D,DG!$D$2,)</f>
        <v>bộ</v>
      </c>
      <c r="G90" s="1415">
        <f>G79*1.031*2</f>
        <v>0</v>
      </c>
      <c r="H90" s="1353">
        <f t="shared" ref="H90:H156" si="4">IF(L90=$L$23,G90+I90-J90,0)</f>
        <v>0</v>
      </c>
      <c r="I90" s="1310"/>
      <c r="J90" s="1310"/>
      <c r="K90" s="1278"/>
      <c r="L90" s="1128">
        <v>15</v>
      </c>
    </row>
    <row r="91" spans="1:12" s="1279" customFormat="1" ht="20.100000000000001" customHeight="1">
      <c r="A91" s="1377">
        <f t="shared" si="3"/>
        <v>0</v>
      </c>
      <c r="B91" s="1378" t="s">
        <v>277</v>
      </c>
      <c r="C91" s="1312"/>
      <c r="D91" s="1274" t="str">
        <f>VLOOKUP($B91,DG!A:D,DG!$B$2,)</f>
        <v>06.3231</v>
      </c>
      <c r="E91" s="1275" t="str">
        <f>VLOOKUP($B91,DG!A:D,DG!$C$2,)&amp;": 2 bộ: CD 90-320"</f>
        <v>Cổ dê kẹp ống PVC Ø 90: 2 bộ: CD 90-320</v>
      </c>
      <c r="F91" s="1274" t="str">
        <f>VLOOKUP($B91,DG!A:D,DG!$D$2,)</f>
        <v>bộ</v>
      </c>
      <c r="G91" s="1415">
        <f>G78*1.12*2</f>
        <v>0</v>
      </c>
      <c r="H91" s="1353">
        <f t="shared" si="4"/>
        <v>0</v>
      </c>
      <c r="I91" s="1310"/>
      <c r="J91" s="1310"/>
      <c r="K91" s="1278"/>
      <c r="L91" s="1128">
        <v>15</v>
      </c>
    </row>
    <row r="92" spans="1:12" s="1279" customFormat="1" ht="20.100000000000001" customHeight="1">
      <c r="A92" s="1377">
        <f t="shared" si="3"/>
        <v>0</v>
      </c>
      <c r="B92" s="1378" t="s">
        <v>1161</v>
      </c>
      <c r="C92" s="1312"/>
      <c r="D92" s="1274" t="str">
        <f>VLOOKUP($B92,DG!A:D,DG!$B$2,)</f>
        <v>06.2110</v>
      </c>
      <c r="E92" s="1275" t="str">
        <f>VLOOKUP($B92,DG!A:D,DG!$C$2,)&amp;": 2 bộ: CD 90-320"</f>
        <v>Lắp cổ dề: 2 bộ: CD 90-320</v>
      </c>
      <c r="F92" s="1274" t="str">
        <f>VLOOKUP($B92,DG!A:D,DG!$D$2,)</f>
        <v>bộ</v>
      </c>
      <c r="G92" s="1415">
        <f>G79*1.12*2</f>
        <v>0</v>
      </c>
      <c r="H92" s="1353">
        <f t="shared" si="4"/>
        <v>0</v>
      </c>
      <c r="I92" s="1310"/>
      <c r="J92" s="1310"/>
      <c r="K92" s="1278"/>
      <c r="L92" s="1128">
        <v>15</v>
      </c>
    </row>
    <row r="93" spans="1:12" s="1279" customFormat="1" ht="20.100000000000001" customHeight="1">
      <c r="A93" s="1377">
        <f t="shared" si="3"/>
        <v>0</v>
      </c>
      <c r="B93" s="1378" t="s">
        <v>2072</v>
      </c>
      <c r="C93" s="1312"/>
      <c r="D93" s="1274">
        <f>VLOOKUP($B93,DG!A:D,DG!$B$2,)</f>
        <v>0</v>
      </c>
      <c r="E93" s="1275" t="str">
        <f>VLOOKUP($B93,DG!A:D,DG!$C$2,)</f>
        <v>Boulon 12x40+ 2 long đền vuông D14-50x50x3/Zn</v>
      </c>
      <c r="F93" s="1274" t="str">
        <f>VLOOKUP($B93,DG!A:D,DG!$D$2,)</f>
        <v>bộ</v>
      </c>
      <c r="G93" s="1312">
        <f>G79*12</f>
        <v>0</v>
      </c>
      <c r="H93" s="1353">
        <f t="shared" si="4"/>
        <v>0</v>
      </c>
      <c r="I93" s="1310"/>
      <c r="J93" s="1310"/>
      <c r="K93" s="1278"/>
      <c r="L93" s="1128">
        <v>15</v>
      </c>
    </row>
    <row r="94" spans="1:12" s="1279" customFormat="1" ht="20.100000000000001" customHeight="1">
      <c r="A94" s="1377">
        <f t="shared" si="3"/>
        <v>0</v>
      </c>
      <c r="B94" s="1587" t="s">
        <v>69</v>
      </c>
      <c r="C94" s="1312"/>
      <c r="D94" s="1274">
        <f>VLOOKUP($B94,DG!A:D,DG!$B$2,)</f>
        <v>0</v>
      </c>
      <c r="E94" s="1275" t="str">
        <f>VLOOKUP($B94,DG!A:D,DG!$C$2,)</f>
        <v>Co  90 độ PVC 90</v>
      </c>
      <c r="F94" s="1274" t="str">
        <f>VLOOKUP($B94,DG!A:D,DG!$D$2,)</f>
        <v>cái</v>
      </c>
      <c r="G94" s="1312">
        <f>4*G79</f>
        <v>0</v>
      </c>
      <c r="H94" s="1353">
        <f t="shared" si="4"/>
        <v>0</v>
      </c>
      <c r="I94" s="1310"/>
      <c r="J94" s="1310"/>
      <c r="K94" s="1312"/>
      <c r="L94" s="1128">
        <v>15</v>
      </c>
    </row>
    <row r="95" spans="1:12" s="1279" customFormat="1" ht="20.100000000000001" customHeight="1">
      <c r="A95" s="1377">
        <f t="shared" si="3"/>
        <v>0</v>
      </c>
      <c r="B95" s="1587" t="s">
        <v>733</v>
      </c>
      <c r="C95" s="1312"/>
      <c r="D95" s="1274">
        <f>VLOOKUP($B95,DG!A:D,DG!$B$2,)</f>
        <v>0</v>
      </c>
      <c r="E95" s="1275" t="str">
        <f>VLOOKUP($B95,DG!A:D,DG!$C$2,)</f>
        <v xml:space="preserve">Nối thẳng ống PVC 90 </v>
      </c>
      <c r="F95" s="1274" t="str">
        <f>VLOOKUP($B95,DG!A:D,DG!$D$2,)</f>
        <v>cái</v>
      </c>
      <c r="G95" s="1312">
        <f>G79</f>
        <v>0</v>
      </c>
      <c r="H95" s="1353">
        <f t="shared" si="4"/>
        <v>0</v>
      </c>
      <c r="I95" s="1310"/>
      <c r="J95" s="1310"/>
      <c r="K95" s="1312"/>
      <c r="L95" s="1128">
        <v>15</v>
      </c>
    </row>
    <row r="96" spans="1:12" s="1279" customFormat="1" ht="20.100000000000001" customHeight="1">
      <c r="A96" s="1377">
        <f t="shared" si="3"/>
        <v>0</v>
      </c>
      <c r="B96" s="1587" t="s">
        <v>2136</v>
      </c>
      <c r="C96" s="1312"/>
      <c r="D96" s="1274">
        <f>VLOOKUP($B96,DG!A:D,DG!$B$2,)</f>
        <v>0</v>
      </c>
      <c r="E96" s="1275" t="str">
        <f>VLOOKUP($B96,DG!A:D,DG!$C$2,)</f>
        <v>Keo dán ống PVC (100gr)</v>
      </c>
      <c r="F96" s="1274" t="str">
        <f>VLOOKUP($B96,DG!A:D,DG!$D$2,)</f>
        <v>tuýp</v>
      </c>
      <c r="G96" s="1312">
        <f>G79</f>
        <v>0</v>
      </c>
      <c r="H96" s="1353">
        <f t="shared" si="4"/>
        <v>0</v>
      </c>
      <c r="I96" s="1310"/>
      <c r="J96" s="1310"/>
      <c r="K96" s="1312"/>
      <c r="L96" s="1128">
        <v>15</v>
      </c>
    </row>
    <row r="97" spans="1:13" s="1279" customFormat="1" ht="20.100000000000001" customHeight="1">
      <c r="A97" s="1377">
        <f t="shared" si="3"/>
        <v>0</v>
      </c>
      <c r="B97" s="1587" t="s">
        <v>492</v>
      </c>
      <c r="C97" s="1312"/>
      <c r="D97" s="1274">
        <f>VLOOKUP($B97,DG!A:D,DG!$B$2,)</f>
        <v>0</v>
      </c>
      <c r="E97" s="1275" t="str">
        <f>VLOOKUP($B97,DG!A:D,DG!$C$2,)</f>
        <v>Keo silicon bít miệng ống</v>
      </c>
      <c r="F97" s="1274" t="str">
        <f>VLOOKUP($B97,DG!A:D,DG!$D$2,)</f>
        <v>ống</v>
      </c>
      <c r="G97" s="1312">
        <f>G79</f>
        <v>0</v>
      </c>
      <c r="H97" s="1353">
        <f t="shared" si="4"/>
        <v>0</v>
      </c>
      <c r="I97" s="1310"/>
      <c r="J97" s="1310"/>
      <c r="K97" s="1312"/>
      <c r="L97" s="1128">
        <v>15</v>
      </c>
    </row>
    <row r="98" spans="1:13" s="1279" customFormat="1" ht="20.100000000000001" customHeight="1">
      <c r="A98" s="1377">
        <f t="shared" si="3"/>
        <v>0</v>
      </c>
      <c r="B98" s="1587" t="s">
        <v>2244</v>
      </c>
      <c r="C98" s="1312"/>
      <c r="D98" s="1274" t="str">
        <f>VLOOKUP($B98,DG!A:D,DG!$B$2,)</f>
        <v>07.2415</v>
      </c>
      <c r="E98" s="1275" t="str">
        <f>VLOOKUP($B98,DG!A:D,DG!$C$2,)</f>
        <v>Lắp ống nhựa PVC D90</v>
      </c>
      <c r="F98" s="1274" t="str">
        <f>VLOOKUP($B98,DG!A:D,DG!$D$2,)</f>
        <v>mét</v>
      </c>
      <c r="G98" s="1312">
        <f>G88</f>
        <v>0</v>
      </c>
      <c r="H98" s="1353">
        <f t="shared" si="4"/>
        <v>0</v>
      </c>
      <c r="I98" s="1310"/>
      <c r="J98" s="1310"/>
      <c r="K98" s="1312"/>
      <c r="L98" s="1128">
        <v>15</v>
      </c>
    </row>
    <row r="99" spans="1:13" s="1279" customFormat="1" ht="20.100000000000001" customHeight="1">
      <c r="A99" s="1377">
        <f t="shared" si="3"/>
        <v>0</v>
      </c>
      <c r="B99" s="1587" t="s">
        <v>1577</v>
      </c>
      <c r="C99" s="1312"/>
      <c r="D99" s="1274" t="str">
        <f>VLOOKUP($B99,DG!A:D,DG!$B$2,)</f>
        <v>04.4201</v>
      </c>
      <c r="E99" s="1275" t="str">
        <f>VLOOKUP($B99,DG!A:D,DG!$C$2,)</f>
        <v>Lắp cáp đồng xuống thiết bị D ≤ 95mm2</v>
      </c>
      <c r="F99" s="1274" t="str">
        <f>VLOOKUP($B99,DG!A:D,DG!$D$2,)</f>
        <v>m</v>
      </c>
      <c r="G99" s="1312">
        <f>G81+G82</f>
        <v>0</v>
      </c>
      <c r="H99" s="1353">
        <f t="shared" si="4"/>
        <v>0</v>
      </c>
      <c r="I99" s="1310"/>
      <c r="J99" s="1310"/>
      <c r="K99" s="1312"/>
      <c r="L99" s="1128">
        <v>15</v>
      </c>
    </row>
    <row r="100" spans="1:13" s="1279" customFormat="1" ht="20.100000000000001" customHeight="1">
      <c r="A100" s="1377">
        <f t="shared" si="3"/>
        <v>0</v>
      </c>
      <c r="B100" s="1587" t="s">
        <v>290</v>
      </c>
      <c r="C100" s="1394">
        <f>IF(G100&gt;0,C79+1,C79)</f>
        <v>0</v>
      </c>
      <c r="D100" s="1416"/>
      <c r="E100" s="1275" t="str">
        <f>VLOOKUP($B100,DG!A:D,DG!$C$2,)</f>
        <v>Bảng tên trạm, bảng báo nguy hiểm + đinh vít</v>
      </c>
      <c r="F100" s="1274" t="str">
        <f>VLOOKUP($B100,DG!A:D,DG!$D$2,)</f>
        <v>bộ</v>
      </c>
      <c r="G100" s="1394">
        <f>G25</f>
        <v>0</v>
      </c>
      <c r="H100" s="1353">
        <f t="shared" si="4"/>
        <v>0</v>
      </c>
      <c r="I100" s="1310"/>
      <c r="J100" s="1310"/>
      <c r="K100" s="1397"/>
      <c r="L100" s="1128">
        <v>15</v>
      </c>
    </row>
    <row r="101" spans="1:13" s="1279" customFormat="1" ht="20.100000000000001" customHeight="1">
      <c r="A101" s="1377">
        <f t="shared" si="3"/>
        <v>0</v>
      </c>
      <c r="B101" s="1587"/>
      <c r="C101" s="1417"/>
      <c r="D101" s="1418"/>
      <c r="E101" s="1382"/>
      <c r="F101" s="1419"/>
      <c r="G101" s="1419"/>
      <c r="H101" s="1353">
        <f t="shared" si="4"/>
        <v>0</v>
      </c>
      <c r="I101" s="1420"/>
      <c r="J101" s="1421"/>
      <c r="K101" s="1309"/>
      <c r="L101" s="1128">
        <v>15</v>
      </c>
    </row>
    <row r="102" spans="1:13" s="1279" customFormat="1" ht="20.100000000000001" customHeight="1">
      <c r="A102" s="1377">
        <f t="shared" si="3"/>
        <v>0</v>
      </c>
      <c r="B102" s="1576"/>
      <c r="C102" s="1385"/>
      <c r="D102" s="1125"/>
      <c r="H102" s="1353">
        <f t="shared" si="4"/>
        <v>0</v>
      </c>
      <c r="L102" s="1125"/>
    </row>
    <row r="103" spans="1:13" s="1279" customFormat="1" ht="20.100000000000001" customHeight="1">
      <c r="A103" s="1377">
        <f t="shared" si="3"/>
        <v>0</v>
      </c>
      <c r="B103" s="1576"/>
      <c r="C103" s="1581" t="str">
        <f>"TOÅNG HÔÏP VAÄT LIEÄU, NHAÂN COÂNG, MAÙY THI COÂNG: 1 TRAÏM 25KVA"</f>
        <v>TOÅNG HÔÏP VAÄT LIEÄU, NHAÂN COÂNG, MAÙY THI COÂNG: 1 TRAÏM 25KVA</v>
      </c>
      <c r="D103" s="1422"/>
      <c r="E103" s="1300"/>
      <c r="F103" s="1300"/>
      <c r="G103" s="1300"/>
      <c r="H103" s="1353">
        <f t="shared" si="4"/>
        <v>0</v>
      </c>
      <c r="I103" s="1300"/>
      <c r="J103" s="1300"/>
      <c r="L103" s="1125"/>
    </row>
    <row r="104" spans="1:13" s="1279" customFormat="1" ht="20.100000000000001" customHeight="1">
      <c r="A104" s="1377">
        <f t="shared" si="3"/>
        <v>0</v>
      </c>
      <c r="B104" s="1582"/>
      <c r="C104" s="1380"/>
      <c r="D104" s="1381"/>
      <c r="E104" s="1264" t="s">
        <v>3771</v>
      </c>
      <c r="F104" s="1383"/>
      <c r="G104" s="1383"/>
      <c r="H104" s="1353">
        <f t="shared" si="4"/>
        <v>0</v>
      </c>
      <c r="I104" s="1383"/>
      <c r="J104" s="1383"/>
      <c r="K104" s="1354"/>
      <c r="L104" s="1125"/>
    </row>
    <row r="105" spans="1:13" s="1279" customFormat="1" ht="20.100000000000001" customHeight="1">
      <c r="A105" s="1377">
        <f t="shared" si="3"/>
        <v>0</v>
      </c>
      <c r="B105" s="1583" t="str">
        <f>IF($F$8=22,"TR251","TR25")</f>
        <v>TR251</v>
      </c>
      <c r="C105" s="1286">
        <f>IF(G105&gt;0,1,0)</f>
        <v>0</v>
      </c>
      <c r="D105" s="1274" t="str">
        <f>VLOOKUP($B105,DG!A:D,DG!$B$2,)</f>
        <v>01.1161</v>
      </c>
      <c r="E105" s="1275" t="str">
        <f>VLOOKUP($B105,DG!A:D,DG!$C$2,)</f>
        <v>Máy biến áp 12,7/0,22-0,44kV  25kVA</v>
      </c>
      <c r="F105" s="1274" t="str">
        <f>VLOOKUP($B105,DG!A:D,DG!$D$2,)</f>
        <v>máy</v>
      </c>
      <c r="G105" s="1423">
        <f>H7</f>
        <v>0</v>
      </c>
      <c r="H105" s="1353">
        <f t="shared" si="4"/>
        <v>0</v>
      </c>
      <c r="I105" s="1310"/>
      <c r="J105" s="1310"/>
      <c r="K105" s="1424"/>
      <c r="L105" s="1125">
        <v>25</v>
      </c>
    </row>
    <row r="106" spans="1:13" s="1279" customFormat="1" ht="20.100000000000001" customHeight="1">
      <c r="A106" s="1377">
        <f t="shared" si="3"/>
        <v>0</v>
      </c>
      <c r="B106" s="1583" t="s">
        <v>1704</v>
      </c>
      <c r="C106" s="1286">
        <f t="shared" ref="C106:C113" si="5">IF(G106&gt;0,C105+1,C105)</f>
        <v>0</v>
      </c>
      <c r="D106" s="1274" t="str">
        <f>VLOOKUP($B106,DG!A:D,DG!$B$2,)</f>
        <v>02.3155</v>
      </c>
      <c r="E106" s="1275" t="str">
        <f>VLOOKUP($B106,DG!A:D,DG!$C$2,)</f>
        <v>FCO 24kV - 100A</v>
      </c>
      <c r="F106" s="1274" t="str">
        <f>VLOOKUP($B106,DG!A:D,DG!$D$2,)</f>
        <v>cái</v>
      </c>
      <c r="G106" s="1312">
        <f>+G105*0</f>
        <v>0</v>
      </c>
      <c r="H106" s="1353">
        <f t="shared" si="4"/>
        <v>0</v>
      </c>
      <c r="I106" s="1310"/>
      <c r="J106" s="1310"/>
      <c r="K106" s="1278"/>
      <c r="L106" s="1125">
        <v>25</v>
      </c>
    </row>
    <row r="107" spans="1:13" s="1279" customFormat="1" ht="20.100000000000001" customHeight="1">
      <c r="A107" s="1377">
        <f t="shared" si="3"/>
        <v>0</v>
      </c>
      <c r="B107" s="1583" t="str">
        <f>IF($F$8=22,"CHI3K","CHI6K")</f>
        <v>CHI3K</v>
      </c>
      <c r="C107" s="1286">
        <f t="shared" si="5"/>
        <v>0</v>
      </c>
      <c r="D107" s="1274">
        <f>VLOOKUP($B107,DG!A:D,DG!$B$2,)</f>
        <v>0</v>
      </c>
      <c r="E107" s="1275" t="str">
        <f>VLOOKUP($B107,DG!A:D,DG!$C$2,)</f>
        <v>Dây chảy 3K</v>
      </c>
      <c r="F107" s="1274" t="str">
        <f>VLOOKUP($B107,DG!A:D,DG!$D$2,)</f>
        <v>Sợi</v>
      </c>
      <c r="G107" s="1312">
        <f>G106</f>
        <v>0</v>
      </c>
      <c r="H107" s="1353">
        <f t="shared" si="4"/>
        <v>0</v>
      </c>
      <c r="I107" s="1310"/>
      <c r="J107" s="1310"/>
      <c r="K107" s="1278"/>
      <c r="L107" s="1125">
        <v>25</v>
      </c>
    </row>
    <row r="108" spans="1:13" s="1279" customFormat="1" ht="20.100000000000001" customHeight="1">
      <c r="A108" s="1377">
        <f t="shared" si="3"/>
        <v>0</v>
      </c>
      <c r="B108" s="1582" t="s">
        <v>1406</v>
      </c>
      <c r="C108" s="1286">
        <f>IF(G108&gt;0,C107+1,C107)</f>
        <v>0</v>
      </c>
      <c r="D108" s="1274" t="str">
        <f>VLOOKUP($B108,DG!A:D,DG!$B$2,)</f>
        <v>02.5114</v>
      </c>
      <c r="E108" s="1275" t="str">
        <f>VLOOKUP($B108,DG!A:D,DG!$C$2,)</f>
        <v>LA 18kV 10kA</v>
      </c>
      <c r="F108" s="1274" t="str">
        <f>VLOOKUP($B108,DG!A:D,DG!$D$2,)</f>
        <v>cái</v>
      </c>
      <c r="G108" s="1312">
        <f>G105</f>
        <v>0</v>
      </c>
      <c r="H108" s="1353">
        <f t="shared" si="4"/>
        <v>0</v>
      </c>
      <c r="I108" s="1310"/>
      <c r="J108" s="1310"/>
      <c r="K108" s="1278"/>
      <c r="L108" s="1125">
        <v>25</v>
      </c>
    </row>
    <row r="109" spans="1:13" s="1279" customFormat="1" ht="20.100000000000001" customHeight="1">
      <c r="A109" s="1377">
        <f t="shared" si="3"/>
        <v>0</v>
      </c>
      <c r="B109" s="1584" t="s">
        <v>1452</v>
      </c>
      <c r="C109" s="1286">
        <f t="shared" si="5"/>
        <v>0</v>
      </c>
      <c r="D109" s="1274" t="str">
        <f>VLOOKUP($B109,DG!A:D,DG!$B$2,)</f>
        <v>02.8401</v>
      </c>
      <c r="E109" s="1275" t="str">
        <f>VLOOKUP($B109,DG!A:D,DG!$C$2,)</f>
        <v>MCCB 3 cực 400V -125A - 30KA</v>
      </c>
      <c r="F109" s="1274" t="str">
        <f>VLOOKUP($B109,DG!A:D,DG!$D$2,)</f>
        <v>cái</v>
      </c>
      <c r="G109" s="1312">
        <f>G105</f>
        <v>0</v>
      </c>
      <c r="H109" s="1353">
        <f t="shared" si="4"/>
        <v>0</v>
      </c>
      <c r="I109" s="1310"/>
      <c r="J109" s="1310"/>
      <c r="K109" s="1278"/>
      <c r="L109" s="1125">
        <v>25</v>
      </c>
    </row>
    <row r="110" spans="1:13" s="1279" customFormat="1" ht="20.100000000000001" customHeight="1">
      <c r="A110" s="1377">
        <f t="shared" si="3"/>
        <v>0</v>
      </c>
      <c r="B110" s="1585" t="s">
        <v>2097</v>
      </c>
      <c r="C110" s="1286">
        <f t="shared" si="5"/>
        <v>0</v>
      </c>
      <c r="D110" s="1274">
        <f>VLOOKUP($B110,DG!A:D,DG!$B$2,)</f>
        <v>0</v>
      </c>
      <c r="E110" s="1275" t="str">
        <f>VLOOKUP($B110,DG!A:D,DG!$C$2,)</f>
        <v>Biến dòng 600V - 100/5A</v>
      </c>
      <c r="F110" s="1274" t="str">
        <f>VLOOKUP($B110,DG!A:D,DG!$D$2,)</f>
        <v>cái</v>
      </c>
      <c r="G110" s="1312">
        <f>G105</f>
        <v>0</v>
      </c>
      <c r="H110" s="1353">
        <f t="shared" si="4"/>
        <v>0</v>
      </c>
      <c r="I110" s="1310"/>
      <c r="J110" s="1310"/>
      <c r="K110" s="1312" t="s">
        <v>2666</v>
      </c>
      <c r="L110" s="1125">
        <v>25</v>
      </c>
      <c r="M110" s="1299"/>
    </row>
    <row r="111" spans="1:13" s="1279" customFormat="1" ht="20.100000000000001" customHeight="1">
      <c r="A111" s="1377">
        <f t="shared" si="3"/>
        <v>0</v>
      </c>
      <c r="B111" s="1378" t="s">
        <v>2255</v>
      </c>
      <c r="C111" s="1286">
        <f t="shared" si="5"/>
        <v>0</v>
      </c>
      <c r="D111" s="1274">
        <f>VLOOKUP($B111,DG!A:D,DG!$B$2,)</f>
        <v>0</v>
      </c>
      <c r="E111" s="1275" t="str">
        <f>VLOOKUP($B111,DG!A:D,DG!$C$2,)</f>
        <v>Điện kế 1 pha 2 dây 220V-80A</v>
      </c>
      <c r="F111" s="1274" t="str">
        <f>VLOOKUP($B111,DG!A:D,DG!$D$2,)</f>
        <v>cái</v>
      </c>
      <c r="G111" s="1312">
        <f>G105</f>
        <v>0</v>
      </c>
      <c r="H111" s="1353">
        <f t="shared" si="4"/>
        <v>0</v>
      </c>
      <c r="I111" s="1310"/>
      <c r="J111" s="1310"/>
      <c r="K111" s="1312" t="s">
        <v>2666</v>
      </c>
      <c r="L111" s="1125">
        <v>25</v>
      </c>
    </row>
    <row r="112" spans="1:13" s="1279" customFormat="1" ht="20.100000000000001" customHeight="1">
      <c r="A112" s="1377">
        <f t="shared" si="3"/>
        <v>0</v>
      </c>
      <c r="B112" s="1582" t="s">
        <v>200</v>
      </c>
      <c r="C112" s="1286">
        <f t="shared" si="5"/>
        <v>0</v>
      </c>
      <c r="D112" s="1274">
        <f>VLOOKUP($B112,DG!A:D,DG!$B$2,)</f>
        <v>0</v>
      </c>
      <c r="E112" s="1275" t="str">
        <f>VLOOKUP($B112,DG!A:D,DG!$C$2,)</f>
        <v xml:space="preserve">Ampe kế 100/5A-600v +AS </v>
      </c>
      <c r="F112" s="1274" t="str">
        <f>VLOOKUP($B112,DG!A:D,DG!$D$2,)</f>
        <v>Bộ</v>
      </c>
      <c r="G112" s="1312"/>
      <c r="H112" s="1353">
        <f t="shared" si="4"/>
        <v>0</v>
      </c>
      <c r="I112" s="1310"/>
      <c r="J112" s="1310"/>
      <c r="K112" s="1312" t="s">
        <v>2666</v>
      </c>
      <c r="L112" s="1125">
        <v>25</v>
      </c>
    </row>
    <row r="113" spans="1:13" s="1279" customFormat="1" ht="20.100000000000001" customHeight="1">
      <c r="A113" s="1377">
        <f t="shared" si="3"/>
        <v>0</v>
      </c>
      <c r="B113" s="1582" t="s">
        <v>201</v>
      </c>
      <c r="C113" s="1286">
        <f t="shared" si="5"/>
        <v>0</v>
      </c>
      <c r="D113" s="1274">
        <f>VLOOKUP($B113,DG!A:D,DG!$B$2,)</f>
        <v>0</v>
      </c>
      <c r="E113" s="1275" t="str">
        <f>VLOOKUP($B113,DG!A:D,DG!$C$2,)</f>
        <v>Volt kế 500V + VS + 2xChì ống 1A-230V</v>
      </c>
      <c r="F113" s="1274" t="str">
        <f>VLOOKUP($B113,DG!A:D,DG!$D$2,)</f>
        <v>Bộ</v>
      </c>
      <c r="G113" s="1312"/>
      <c r="H113" s="1353">
        <f t="shared" si="4"/>
        <v>0</v>
      </c>
      <c r="I113" s="1310"/>
      <c r="J113" s="1310"/>
      <c r="K113" s="1312" t="s">
        <v>2666</v>
      </c>
      <c r="L113" s="1125">
        <v>25</v>
      </c>
    </row>
    <row r="114" spans="1:13" s="1279" customFormat="1" ht="20.100000000000001" customHeight="1">
      <c r="A114" s="1377">
        <f>IF(L114=$L$23,1,0)</f>
        <v>0</v>
      </c>
      <c r="B114" s="1582"/>
      <c r="C114" s="1309"/>
      <c r="D114" s="1309"/>
      <c r="E114" s="1384"/>
      <c r="F114" s="1309"/>
      <c r="G114" s="1309"/>
      <c r="H114" s="1309">
        <f t="shared" si="4"/>
        <v>0</v>
      </c>
      <c r="I114" s="1384"/>
      <c r="J114" s="1309"/>
      <c r="K114" s="1354"/>
      <c r="L114" s="1125">
        <v>25</v>
      </c>
    </row>
    <row r="115" spans="1:13" s="1279" customFormat="1" ht="20.100000000000001" customHeight="1">
      <c r="A115" s="1377">
        <f>IF(L115=$L$23,1,0)</f>
        <v>0</v>
      </c>
      <c r="B115" s="1582"/>
      <c r="C115" s="1407"/>
      <c r="D115" s="1309"/>
      <c r="E115" s="1264" t="s">
        <v>3772</v>
      </c>
      <c r="F115" s="1264"/>
      <c r="G115" s="1264"/>
      <c r="H115" s="1309">
        <f t="shared" si="4"/>
        <v>0</v>
      </c>
      <c r="I115" s="1264"/>
      <c r="J115" s="1264"/>
      <c r="K115" s="1354"/>
      <c r="L115" s="1125">
        <v>25</v>
      </c>
    </row>
    <row r="116" spans="1:13" s="1279" customFormat="1" ht="20.100000000000001" customHeight="1">
      <c r="A116" s="1377">
        <f t="shared" si="3"/>
        <v>0</v>
      </c>
      <c r="B116" s="1582" t="s">
        <v>1662</v>
      </c>
      <c r="C116" s="1409">
        <f>IF(G128&gt;0,1,0)</f>
        <v>0</v>
      </c>
      <c r="D116" s="1274">
        <f>VLOOKUP($B116,DG!A:D,DG!$B$2,)</f>
        <v>0</v>
      </c>
      <c r="E116" s="1275" t="str">
        <f>VLOOKUP($B116,DG!A:D,DG!$C$2,)</f>
        <v>Boulon 16x300+ 2 long đền vuông D18-50x50x3/Zn</v>
      </c>
      <c r="F116" s="1274" t="str">
        <f>VLOOKUP($B116,DG!A:D,DG!$D$2,)</f>
        <v>bộ</v>
      </c>
      <c r="G116" s="1390">
        <f>2*SUM(G105:G105)</f>
        <v>0</v>
      </c>
      <c r="H116" s="1353">
        <f t="shared" si="4"/>
        <v>0</v>
      </c>
      <c r="I116" s="1310"/>
      <c r="J116" s="1310"/>
      <c r="K116" s="1424"/>
      <c r="L116" s="1125">
        <v>25</v>
      </c>
    </row>
    <row r="117" spans="1:13" s="1279" customFormat="1" ht="20.100000000000001" customHeight="1">
      <c r="A117" s="1377">
        <f t="shared" si="3"/>
        <v>0</v>
      </c>
      <c r="B117" s="1582"/>
      <c r="C117" s="1273">
        <f>IF(G117&gt;0,C116+1,C116)</f>
        <v>0</v>
      </c>
      <c r="D117" s="1411"/>
      <c r="E117" s="1412" t="s">
        <v>3773</v>
      </c>
      <c r="F117" s="1390" t="s">
        <v>2449</v>
      </c>
      <c r="G117" s="1390">
        <f>G105*0</f>
        <v>0</v>
      </c>
      <c r="H117" s="1353">
        <f t="shared" si="4"/>
        <v>0</v>
      </c>
      <c r="I117" s="1342"/>
      <c r="J117" s="1342"/>
      <c r="K117" s="1312"/>
      <c r="L117" s="1125">
        <v>25</v>
      </c>
    </row>
    <row r="118" spans="1:13" s="1279" customFormat="1" ht="20.100000000000001" customHeight="1">
      <c r="A118" s="1377">
        <f>IF(G119&gt;0,1,0)</f>
        <v>0</v>
      </c>
      <c r="B118" s="1582"/>
      <c r="C118" s="1390"/>
      <c r="D118" s="1411"/>
      <c r="E118" s="1634" t="s">
        <v>2342</v>
      </c>
      <c r="F118" s="1312"/>
      <c r="G118" s="1312"/>
      <c r="H118" s="1353">
        <f t="shared" si="4"/>
        <v>0</v>
      </c>
      <c r="I118" s="1342"/>
      <c r="J118" s="1342"/>
      <c r="K118" s="1312"/>
      <c r="L118" s="1125">
        <v>25</v>
      </c>
      <c r="M118" s="1413"/>
    </row>
    <row r="119" spans="1:13" s="1279" customFormat="1" ht="20.100000000000001" customHeight="1">
      <c r="A119" s="1377">
        <f t="shared" si="3"/>
        <v>0</v>
      </c>
      <c r="B119" s="1378" t="s">
        <v>116</v>
      </c>
      <c r="C119" s="1312"/>
      <c r="D119" s="1274">
        <f>VLOOKUP($B119,DG!A:D,DG!$B$2,)</f>
        <v>0</v>
      </c>
      <c r="E119" s="1275" t="str">
        <f>VLOOKUP($B119,DG!A:D,DG!$C$2,)</f>
        <v>Trụ BTLT 12m F350 dự ứng lực</v>
      </c>
      <c r="F119" s="1274" t="str">
        <f>VLOOKUP($B119,DG!A:D,DG!$D$2,)</f>
        <v>trụ</v>
      </c>
      <c r="G119" s="1312">
        <f>1*G117</f>
        <v>0</v>
      </c>
      <c r="H119" s="1353">
        <f t="shared" si="4"/>
        <v>0</v>
      </c>
      <c r="I119" s="1310"/>
      <c r="J119" s="1310"/>
      <c r="K119" s="1312"/>
      <c r="L119" s="1125">
        <v>25</v>
      </c>
      <c r="M119" s="1413"/>
    </row>
    <row r="120" spans="1:13" s="1279" customFormat="1" ht="20.100000000000001" customHeight="1">
      <c r="A120" s="1377">
        <f t="shared" si="3"/>
        <v>0</v>
      </c>
      <c r="B120" s="1378" t="s">
        <v>1867</v>
      </c>
      <c r="C120" s="1312"/>
      <c r="D120" s="1414"/>
      <c r="E120" s="1275" t="str">
        <f>VLOOKUP($B120,DG!A:D,DG!$C$2,)</f>
        <v>Vật liệu dựng trụ</v>
      </c>
      <c r="F120" s="1274" t="str">
        <f>VLOOKUP($B120,DG!A:D,DG!$D$2,)</f>
        <v>trụ</v>
      </c>
      <c r="G120" s="1312">
        <f>G119</f>
        <v>0</v>
      </c>
      <c r="H120" s="1353">
        <f t="shared" si="4"/>
        <v>0</v>
      </c>
      <c r="I120" s="1310"/>
      <c r="J120" s="1310"/>
      <c r="K120" s="1312"/>
      <c r="L120" s="1125">
        <v>25</v>
      </c>
      <c r="M120" s="1413"/>
    </row>
    <row r="121" spans="1:13" s="1279" customFormat="1" ht="20.100000000000001" customHeight="1">
      <c r="A121" s="1377">
        <f t="shared" si="3"/>
        <v>0</v>
      </c>
      <c r="B121" s="1378" t="s">
        <v>2188</v>
      </c>
      <c r="C121" s="1312"/>
      <c r="D121" s="1414"/>
      <c r="E121" s="1275" t="str">
        <f>VLOOKUP($B121,DG!A:D,DG!$C$2,)</f>
        <v>Dựng trụ BTLT 12m trong TBA bằng thủ công + cơ giới</v>
      </c>
      <c r="F121" s="1274" t="str">
        <f>VLOOKUP($B121,DG!A:D,DG!$D$2,)</f>
        <v>trụ</v>
      </c>
      <c r="G121" s="1312">
        <f>G119</f>
        <v>0</v>
      </c>
      <c r="H121" s="1353">
        <f t="shared" si="4"/>
        <v>0</v>
      </c>
      <c r="I121" s="1310"/>
      <c r="J121" s="1310"/>
      <c r="K121" s="1312"/>
      <c r="L121" s="1125">
        <v>25</v>
      </c>
      <c r="M121" s="1413"/>
    </row>
    <row r="122" spans="1:13" s="1279" customFormat="1" ht="20.100000000000001" customHeight="1">
      <c r="A122" s="1377">
        <f t="shared" si="3"/>
        <v>0</v>
      </c>
      <c r="B122" s="1582"/>
      <c r="C122" s="1273">
        <f>IF(G122&gt;0,C117+1,C117)</f>
        <v>0</v>
      </c>
      <c r="D122" s="1411"/>
      <c r="E122" s="1412" t="s">
        <v>2416</v>
      </c>
      <c r="F122" s="1390" t="s">
        <v>2449</v>
      </c>
      <c r="G122" s="1390">
        <f>G117</f>
        <v>0</v>
      </c>
      <c r="H122" s="1353">
        <f t="shared" si="4"/>
        <v>0</v>
      </c>
      <c r="I122" s="1342"/>
      <c r="J122" s="1342"/>
      <c r="K122" s="1312"/>
      <c r="L122" s="1125">
        <v>25</v>
      </c>
    </row>
    <row r="123" spans="1:13" s="1279" customFormat="1" ht="20.100000000000001" customHeight="1">
      <c r="A123" s="1377">
        <f>IF(G124&gt;0,1,0)</f>
        <v>0</v>
      </c>
      <c r="B123" s="1582"/>
      <c r="C123" s="1390"/>
      <c r="D123" s="1411"/>
      <c r="E123" s="1634" t="s">
        <v>2342</v>
      </c>
      <c r="F123" s="1312"/>
      <c r="G123" s="1312"/>
      <c r="H123" s="1353">
        <f t="shared" si="4"/>
        <v>0</v>
      </c>
      <c r="I123" s="1342"/>
      <c r="J123" s="1342"/>
      <c r="K123" s="1312"/>
      <c r="L123" s="1125">
        <v>25</v>
      </c>
      <c r="M123" s="1413"/>
    </row>
    <row r="124" spans="1:13" s="1279" customFormat="1" ht="20.100000000000001" customHeight="1">
      <c r="A124" s="1377">
        <f t="shared" si="3"/>
        <v>0</v>
      </c>
      <c r="B124" s="1589" t="s">
        <v>641</v>
      </c>
      <c r="C124" s="1312"/>
      <c r="D124" s="1274" t="str">
        <f>VLOOKUP($B124,DG!A:D,DG!$B$2,)</f>
        <v>04.4001</v>
      </c>
      <c r="E124" s="1275" t="str">
        <f>VLOOKUP($B124,DG!A:D,DG!$C$2,)</f>
        <v>Đà cản BTCT 1,2m</v>
      </c>
      <c r="F124" s="1274" t="str">
        <f>VLOOKUP($B124,DG!A:D,DG!$D$2,)</f>
        <v>cái</v>
      </c>
      <c r="G124" s="1312">
        <f>1*G122</f>
        <v>0</v>
      </c>
      <c r="H124" s="1353">
        <f t="shared" si="4"/>
        <v>0</v>
      </c>
      <c r="I124" s="1310"/>
      <c r="J124" s="1310"/>
      <c r="K124" s="1312"/>
      <c r="L124" s="1125">
        <v>25</v>
      </c>
      <c r="M124" s="1413"/>
    </row>
    <row r="125" spans="1:13" s="1279" customFormat="1" ht="20.100000000000001" customHeight="1">
      <c r="A125" s="1377">
        <f t="shared" si="3"/>
        <v>0</v>
      </c>
      <c r="B125" s="1589" t="s">
        <v>570</v>
      </c>
      <c r="C125" s="1312"/>
      <c r="D125" s="1274">
        <f>VLOOKUP($B125,DG!A:D,DG!$B$2,)</f>
        <v>0</v>
      </c>
      <c r="E125" s="1275" t="str">
        <f>VLOOKUP($B125,DG!A:D,DG!$C$2,)</f>
        <v>Boulon 22x650+ 2 long đền vuông D24-50x50x3/Zn</v>
      </c>
      <c r="F125" s="1274" t="str">
        <f>VLOOKUP($B125,DG!A:D,DG!$D$2,)</f>
        <v>bộ</v>
      </c>
      <c r="G125" s="1312">
        <f>G122</f>
        <v>0</v>
      </c>
      <c r="H125" s="1353">
        <f t="shared" si="4"/>
        <v>0</v>
      </c>
      <c r="I125" s="1310"/>
      <c r="J125" s="1310"/>
      <c r="K125" s="1312"/>
      <c r="L125" s="1125">
        <v>25</v>
      </c>
      <c r="M125" s="1413"/>
    </row>
    <row r="126" spans="1:13" s="1279" customFormat="1" ht="20.100000000000001" customHeight="1">
      <c r="A126" s="1377">
        <f t="shared" si="3"/>
        <v>0</v>
      </c>
      <c r="B126" s="1589" t="str">
        <f>IF(chitiet!F5=1,"MDD1",IF(chitiet!F5=2,"MDD2",IF(chitiet!F5=3,"MDD3",IF(chitiet!F5=4,"MDD4"))))</f>
        <v>MDD3</v>
      </c>
      <c r="C126" s="1312"/>
      <c r="D126" s="1274" t="str">
        <f>VLOOKUP($B126,DG!A:D,DG!$B$2,)</f>
        <v>03.1013</v>
      </c>
      <c r="E126" s="1275" t="str">
        <f>VLOOKUP($B126,DG!A:D,DG!$C$2,)</f>
        <v>Đào hố móng đất cấp 3 sâu &gt;1m DT&lt;5m2</v>
      </c>
      <c r="F126" s="1274" t="str">
        <f>VLOOKUP($B126,DG!A:D,DG!$D$2,)</f>
        <v>m3</v>
      </c>
      <c r="G126" s="1346">
        <f>G122*1.45</f>
        <v>0</v>
      </c>
      <c r="H126" s="1353">
        <f t="shared" si="4"/>
        <v>0</v>
      </c>
      <c r="I126" s="1310"/>
      <c r="J126" s="1310"/>
      <c r="K126" s="1312"/>
      <c r="L126" s="1125">
        <v>25</v>
      </c>
      <c r="M126" s="1413"/>
    </row>
    <row r="127" spans="1:13" s="1279" customFormat="1" ht="20.100000000000001" customHeight="1">
      <c r="A127" s="1377">
        <f t="shared" si="3"/>
        <v>0</v>
      </c>
      <c r="B127" s="1589" t="str">
        <f>IF(chitiet!F5=1,"MDAP1",IF(chitiet!F5=2,"MDAP2",IF(chitiet!F5=3,"MDAP3",IF(chitiet!F5=4,"MDAP4"))))</f>
        <v>MDAP3</v>
      </c>
      <c r="C127" s="1312"/>
      <c r="D127" s="1274" t="str">
        <f>VLOOKUP($B127,DG!A:D,DG!$B$2,)</f>
        <v>03.4113</v>
      </c>
      <c r="E127" s="1275" t="str">
        <f>VLOOKUP($B127,DG!A:D,DG!$C$2,)</f>
        <v>Đắp đất hố móng, độ chặt k=0,95</v>
      </c>
      <c r="F127" s="1274" t="str">
        <f>VLOOKUP($B127,DG!A:D,DG!$D$2,)</f>
        <v>m3</v>
      </c>
      <c r="G127" s="1346">
        <f>G122*1.37</f>
        <v>0</v>
      </c>
      <c r="H127" s="1353">
        <f t="shared" si="4"/>
        <v>0</v>
      </c>
      <c r="I127" s="1310"/>
      <c r="J127" s="1310"/>
      <c r="K127" s="1312"/>
      <c r="L127" s="1125">
        <v>25</v>
      </c>
      <c r="M127" s="1413"/>
    </row>
    <row r="128" spans="1:13" s="1279" customFormat="1" ht="20.100000000000001" customHeight="1">
      <c r="A128" s="1377">
        <f t="shared" si="3"/>
        <v>0</v>
      </c>
      <c r="B128" s="1582"/>
      <c r="C128" s="1273">
        <f>IF(G128&gt;0,C122+1,C122)</f>
        <v>0</v>
      </c>
      <c r="D128" s="1411"/>
      <c r="E128" s="1425" t="s">
        <v>3774</v>
      </c>
      <c r="F128" s="1390" t="s">
        <v>2449</v>
      </c>
      <c r="G128" s="1390">
        <f>SUM(G105:G105)</f>
        <v>0</v>
      </c>
      <c r="H128" s="1353">
        <f t="shared" si="4"/>
        <v>0</v>
      </c>
      <c r="I128" s="1342"/>
      <c r="J128" s="1342"/>
      <c r="K128" s="1278"/>
      <c r="L128" s="1125">
        <v>25</v>
      </c>
    </row>
    <row r="129" spans="1:12" s="1279" customFormat="1" ht="20.100000000000001" customHeight="1">
      <c r="A129" s="1377">
        <f>IF(L129=$L$23,1,0)</f>
        <v>0</v>
      </c>
      <c r="B129" s="1582"/>
      <c r="C129" s="1390"/>
      <c r="D129" s="1411"/>
      <c r="E129" s="1635" t="s">
        <v>2342</v>
      </c>
      <c r="F129" s="1312"/>
      <c r="G129" s="1312"/>
      <c r="H129" s="1492">
        <f t="shared" si="4"/>
        <v>0</v>
      </c>
      <c r="I129" s="1342"/>
      <c r="J129" s="1342"/>
      <c r="K129" s="1278"/>
      <c r="L129" s="1125">
        <v>25</v>
      </c>
    </row>
    <row r="130" spans="1:12" s="1279" customFormat="1" ht="20.100000000000001" customHeight="1">
      <c r="A130" s="1377">
        <f t="shared" si="3"/>
        <v>0</v>
      </c>
      <c r="B130" s="1582" t="s">
        <v>4840</v>
      </c>
      <c r="C130" s="1312"/>
      <c r="D130" s="1274">
        <f>VLOOKUP($B130,DG!A:D,DG!$B$2,)</f>
        <v>0</v>
      </c>
      <c r="E130" s="1275" t="str">
        <f>VLOOKUP($B130,DG!A:D,DG!$C$2,)</f>
        <v>Đà composite 0,8m</v>
      </c>
      <c r="F130" s="1274" t="str">
        <f>VLOOKUP($B130,DG!A:D,DG!$D$2,)</f>
        <v>cái</v>
      </c>
      <c r="G130" s="1312">
        <f>G128</f>
        <v>0</v>
      </c>
      <c r="H130" s="1353">
        <f t="shared" si="4"/>
        <v>0</v>
      </c>
      <c r="I130" s="1310"/>
      <c r="J130" s="1310"/>
      <c r="K130" s="1278"/>
      <c r="L130" s="1125">
        <v>25</v>
      </c>
    </row>
    <row r="131" spans="1:12" s="1279" customFormat="1" ht="20.100000000000001" customHeight="1">
      <c r="A131" s="1377">
        <f>IF(H131&gt;0,1,0)</f>
        <v>0</v>
      </c>
      <c r="B131" s="1582" t="s">
        <v>4842</v>
      </c>
      <c r="C131" s="1312"/>
      <c r="D131" s="1274">
        <f>VLOOKUP($B131,DG!A:D,DG!$B$2,)</f>
        <v>0</v>
      </c>
      <c r="E131" s="1275" t="str">
        <f>VLOOKUP($B131,DG!A:D,DG!$C$2,)</f>
        <v>Thanh chống đà 720</v>
      </c>
      <c r="F131" s="1274" t="str">
        <f>VLOOKUP($B131,DG!A:D,DG!$D$2,)</f>
        <v>cái</v>
      </c>
      <c r="G131" s="1312">
        <f>G130</f>
        <v>0</v>
      </c>
      <c r="H131" s="1353">
        <f>IF(L131=$L$23,G131+I131-J131,0)</f>
        <v>0</v>
      </c>
      <c r="I131" s="1310"/>
      <c r="J131" s="1310"/>
      <c r="K131" s="1278"/>
      <c r="L131" s="1125">
        <v>25</v>
      </c>
    </row>
    <row r="132" spans="1:12" s="1279" customFormat="1" ht="20.100000000000001" customHeight="1">
      <c r="A132" s="1377">
        <f t="shared" si="3"/>
        <v>0</v>
      </c>
      <c r="B132" s="1582" t="s">
        <v>1662</v>
      </c>
      <c r="C132" s="1312"/>
      <c r="D132" s="1274">
        <f>VLOOKUP($B132,DG!A:D,DG!$B$2,)</f>
        <v>0</v>
      </c>
      <c r="E132" s="1275" t="str">
        <f>VLOOKUP($B132,DG!A:D,DG!$C$2,)</f>
        <v>Boulon 16x300+ 2 long đền vuông D18-50x50x3/Zn</v>
      </c>
      <c r="F132" s="1274" t="str">
        <f>VLOOKUP($B132,DG!A:D,DG!$D$2,)</f>
        <v>bộ</v>
      </c>
      <c r="G132" s="1312">
        <f>2*G128</f>
        <v>0</v>
      </c>
      <c r="H132" s="1353">
        <f t="shared" si="4"/>
        <v>0</v>
      </c>
      <c r="I132" s="1310"/>
      <c r="J132" s="1310"/>
      <c r="K132" s="1278"/>
      <c r="L132" s="1125">
        <v>25</v>
      </c>
    </row>
    <row r="133" spans="1:12" s="1279" customFormat="1" ht="20.100000000000001" customHeight="1">
      <c r="A133" s="1377">
        <f t="shared" si="3"/>
        <v>0</v>
      </c>
      <c r="B133" s="1582" t="s">
        <v>4794</v>
      </c>
      <c r="C133" s="1312"/>
      <c r="D133" s="1274">
        <f>VLOOKUP($B133,DG!A:D,DG!$B$2,)</f>
        <v>0</v>
      </c>
      <c r="E133" s="1275" t="str">
        <f>VLOOKUP($B133,DG!A:D,DG!$C$2,)</f>
        <v>Boulon 14x100+ 2 long đền vuông D16-50x50x3/Zn</v>
      </c>
      <c r="F133" s="1274" t="str">
        <f>VLOOKUP($B133,DG!A:D,DG!$D$2,)</f>
        <v>bộ</v>
      </c>
      <c r="G133" s="1312">
        <f>G130</f>
        <v>0</v>
      </c>
      <c r="H133" s="1353">
        <f t="shared" si="4"/>
        <v>0</v>
      </c>
      <c r="I133" s="1310"/>
      <c r="J133" s="1310"/>
      <c r="K133" s="1278"/>
      <c r="L133" s="1125">
        <v>25</v>
      </c>
    </row>
    <row r="134" spans="1:12" s="1279" customFormat="1" ht="20.100000000000001" customHeight="1">
      <c r="A134" s="1377">
        <f>IF(H134&gt;0,1,0)</f>
        <v>0</v>
      </c>
      <c r="B134" s="1582" t="s">
        <v>2333</v>
      </c>
      <c r="C134" s="1312"/>
      <c r="D134" s="1274">
        <f>VLOOKUP($B134,DG!A:D,DG!$B$2,)</f>
        <v>0</v>
      </c>
      <c r="E134" s="1275" t="str">
        <f>VLOOKUP($B134,DG!A:D,DG!$C$2,)</f>
        <v>Bass LL bắt FCO và LA</v>
      </c>
      <c r="F134" s="1274" t="str">
        <f>VLOOKUP($B134,DG!A:D,DG!$D$2,)</f>
        <v>bộ</v>
      </c>
      <c r="G134" s="1312"/>
      <c r="H134" s="1353">
        <f>IF(L134=$L$23,G134+I134-J134,0)</f>
        <v>0</v>
      </c>
      <c r="I134" s="1310"/>
      <c r="J134" s="1310"/>
      <c r="K134" s="1278"/>
      <c r="L134" s="1125">
        <v>25</v>
      </c>
    </row>
    <row r="135" spans="1:12" s="1279" customFormat="1" ht="20.100000000000001" customHeight="1">
      <c r="A135" s="1377">
        <f>IF(H135&gt;0,1,0)</f>
        <v>0</v>
      </c>
      <c r="B135" s="1582" t="s">
        <v>2048</v>
      </c>
      <c r="C135" s="1312"/>
      <c r="D135" s="1274" t="str">
        <f>VLOOKUP($B135,DG!A:D,DG!$B$2,)</f>
        <v>05.6401</v>
      </c>
      <c r="E135" s="1275" t="str">
        <f>VLOOKUP($B135,DG!A:D,DG!$C$2,)</f>
        <v>Lắp xà đỡ ≤ 25kg</v>
      </c>
      <c r="F135" s="1274" t="str">
        <f>VLOOKUP($B135,DG!A:D,DG!$D$2,)</f>
        <v>bộ</v>
      </c>
      <c r="G135" s="1312">
        <f>G130</f>
        <v>0</v>
      </c>
      <c r="H135" s="1353">
        <f>IF(L135=$L$23,G135+I135-J135,0)</f>
        <v>0</v>
      </c>
      <c r="I135" s="1310"/>
      <c r="J135" s="1310"/>
      <c r="K135" s="1278"/>
      <c r="L135" s="1125">
        <v>25</v>
      </c>
    </row>
    <row r="136" spans="1:12" s="1279" customFormat="1" ht="20.100000000000001" customHeight="1">
      <c r="A136" s="1377">
        <f t="shared" si="3"/>
        <v>0</v>
      </c>
      <c r="B136" s="1582"/>
      <c r="C136" s="1390">
        <f>IF(G136&gt;0,C128+1,C128)</f>
        <v>0</v>
      </c>
      <c r="D136" s="1411"/>
      <c r="E136" s="1425" t="s">
        <v>3775</v>
      </c>
      <c r="F136" s="1390" t="s">
        <v>2449</v>
      </c>
      <c r="G136" s="1390">
        <f>G128</f>
        <v>0</v>
      </c>
      <c r="H136" s="1353">
        <f t="shared" si="4"/>
        <v>0</v>
      </c>
      <c r="I136" s="1342"/>
      <c r="J136" s="1342"/>
      <c r="K136" s="1278"/>
      <c r="L136" s="1125">
        <v>25</v>
      </c>
    </row>
    <row r="137" spans="1:12" s="1279" customFormat="1" ht="20.100000000000001" customHeight="1">
      <c r="A137" s="1377">
        <f>IF(L137=$L$23,1,0)</f>
        <v>0</v>
      </c>
      <c r="B137" s="1582"/>
      <c r="C137" s="1312"/>
      <c r="D137" s="1414"/>
      <c r="E137" s="1635" t="s">
        <v>2342</v>
      </c>
      <c r="F137" s="1312"/>
      <c r="G137" s="1312"/>
      <c r="H137" s="1492">
        <f t="shared" si="4"/>
        <v>0</v>
      </c>
      <c r="I137" s="1342"/>
      <c r="J137" s="1342"/>
      <c r="K137" s="1278"/>
      <c r="L137" s="1125">
        <v>25</v>
      </c>
    </row>
    <row r="138" spans="1:12" s="1279" customFormat="1" ht="20.100000000000001" customHeight="1">
      <c r="A138" s="1377">
        <f t="shared" si="3"/>
        <v>0</v>
      </c>
      <c r="B138" s="1582" t="s">
        <v>103</v>
      </c>
      <c r="C138" s="1312"/>
      <c r="D138" s="1274">
        <f>VLOOKUP($B138,DG!A:D,DG!$B$2,)</f>
        <v>0</v>
      </c>
      <c r="E138" s="1275" t="str">
        <f>VLOOKUP($B138,DG!A:D,DG!$C$2,)&amp;" : "&amp;H3&amp;"m"</f>
        <v>Cáp đồng trần M25mm2 : 51m</v>
      </c>
      <c r="F138" s="1274" t="str">
        <f>VLOOKUP($B138,DG!A:D,DG!$D$2,)</f>
        <v>kg</v>
      </c>
      <c r="G138" s="1346">
        <f>H3*G136*0.224</f>
        <v>0</v>
      </c>
      <c r="H138" s="1661">
        <f t="shared" si="4"/>
        <v>0</v>
      </c>
      <c r="I138" s="1310"/>
      <c r="J138" s="1310"/>
      <c r="K138" s="1278"/>
      <c r="L138" s="1125">
        <v>25</v>
      </c>
    </row>
    <row r="139" spans="1:12" s="1279" customFormat="1" ht="20.100000000000001" customHeight="1">
      <c r="A139" s="1377">
        <f t="shared" si="3"/>
        <v>0</v>
      </c>
      <c r="B139" s="1378" t="s">
        <v>1560</v>
      </c>
      <c r="C139" s="1312"/>
      <c r="D139" s="1274">
        <f>VLOOKUP($B139,DG!A:D,DG!$B$2,)</f>
        <v>0</v>
      </c>
      <c r="E139" s="1275" t="str">
        <f>VLOOKUP($B139,DG!A:D,DG!$C$2,)</f>
        <v>Cọc tiếp đất Ø 16- 2,4m + kẹp cọc</v>
      </c>
      <c r="F139" s="1274" t="str">
        <f>VLOOKUP($B139,DG!A:D,DG!$D$2,)</f>
        <v>bộ</v>
      </c>
      <c r="G139" s="1312">
        <f>H2*G136</f>
        <v>0</v>
      </c>
      <c r="H139" s="1353">
        <f t="shared" si="4"/>
        <v>0</v>
      </c>
      <c r="I139" s="1310"/>
      <c r="J139" s="1310"/>
      <c r="K139" s="1278"/>
      <c r="L139" s="1125">
        <v>25</v>
      </c>
    </row>
    <row r="140" spans="1:12" s="1279" customFormat="1" ht="20.100000000000001" customHeight="1">
      <c r="A140" s="1377">
        <f t="shared" si="3"/>
        <v>0</v>
      </c>
      <c r="B140" s="1378" t="s">
        <v>1542</v>
      </c>
      <c r="C140" s="1312"/>
      <c r="D140" s="1274" t="str">
        <f>VLOOKUP($B140,DG!A:D,DG!$B$2,)</f>
        <v>07.2403</v>
      </c>
      <c r="E140" s="1275" t="str">
        <f>VLOOKUP($B140,DG!A:D,DG!$C$2,)</f>
        <v xml:space="preserve">Ống PVC D21x1,6mm </v>
      </c>
      <c r="F140" s="1274" t="str">
        <f>VLOOKUP($B140,DG!A:D,DG!$D$2,)</f>
        <v>m</v>
      </c>
      <c r="G140" s="1312">
        <f>6*G136*0</f>
        <v>0</v>
      </c>
      <c r="H140" s="1353">
        <f t="shared" si="4"/>
        <v>0</v>
      </c>
      <c r="I140" s="1310"/>
      <c r="J140" s="1310"/>
      <c r="K140" s="1278"/>
      <c r="L140" s="1125">
        <v>25</v>
      </c>
    </row>
    <row r="141" spans="1:12" s="1279" customFormat="1" ht="20.100000000000001" customHeight="1">
      <c r="A141" s="1377">
        <f t="shared" si="3"/>
        <v>0</v>
      </c>
      <c r="B141" s="1587" t="s">
        <v>13</v>
      </c>
      <c r="C141" s="1312"/>
      <c r="D141" s="1274">
        <f>VLOOKUP($B141,DG!A:D,DG!$B$2,)</f>
        <v>0</v>
      </c>
      <c r="E141" s="1275" t="str">
        <f>VLOOKUP($B141,DG!A:D,DG!$C$2,)</f>
        <v>Kẹp ép WR cỡ dây 120mm2</v>
      </c>
      <c r="F141" s="1274" t="str">
        <f>VLOOKUP($B141,DG!A:D,DG!$D$2,)</f>
        <v>cái</v>
      </c>
      <c r="G141" s="1312">
        <f>2*G136</f>
        <v>0</v>
      </c>
      <c r="H141" s="1353">
        <f t="shared" si="4"/>
        <v>0</v>
      </c>
      <c r="I141" s="1310"/>
      <c r="J141" s="1310"/>
      <c r="K141" s="1278"/>
      <c r="L141" s="1125">
        <v>25</v>
      </c>
    </row>
    <row r="142" spans="1:12" s="1279" customFormat="1" ht="20.100000000000001" customHeight="1">
      <c r="A142" s="1377">
        <f t="shared" si="3"/>
        <v>0</v>
      </c>
      <c r="B142" s="1587" t="s">
        <v>1103</v>
      </c>
      <c r="C142" s="1312"/>
      <c r="D142" s="1274" t="str">
        <f>VLOOKUP($B142,DG!A:D,DG!$B$2,)</f>
        <v>03.4001</v>
      </c>
      <c r="E142" s="1275" t="str">
        <f>VLOOKUP($B142,DG!A:D,DG!$C$2,)</f>
        <v>Đầu cosse ép Cu 25mm2</v>
      </c>
      <c r="F142" s="1274" t="str">
        <f>VLOOKUP($B142,DG!A:D,DG!$D$2,)</f>
        <v>cái</v>
      </c>
      <c r="G142" s="1312">
        <f>G136*2</f>
        <v>0</v>
      </c>
      <c r="H142" s="1353">
        <f t="shared" si="4"/>
        <v>0</v>
      </c>
      <c r="I142" s="1310"/>
      <c r="J142" s="1310"/>
      <c r="K142" s="1278"/>
      <c r="L142" s="1125">
        <v>25</v>
      </c>
    </row>
    <row r="143" spans="1:12" s="1279" customFormat="1" ht="20.100000000000001" customHeight="1">
      <c r="A143" s="1377">
        <f t="shared" si="3"/>
        <v>0</v>
      </c>
      <c r="B143" s="1587" t="s">
        <v>2072</v>
      </c>
      <c r="C143" s="1312"/>
      <c r="D143" s="1274">
        <f>VLOOKUP($B143,DG!A:D,DG!$B$2,)</f>
        <v>0</v>
      </c>
      <c r="E143" s="1275" t="str">
        <f>VLOOKUP($B143,DG!A:D,DG!$C$2,)</f>
        <v>Boulon 12x40+ 2 long đền vuông D14-50x50x3/Zn</v>
      </c>
      <c r="F143" s="1274" t="str">
        <f>VLOOKUP($B143,DG!A:D,DG!$D$2,)</f>
        <v>bộ</v>
      </c>
      <c r="G143" s="1312">
        <f>G142/2*0</f>
        <v>0</v>
      </c>
      <c r="H143" s="1353">
        <f t="shared" si="4"/>
        <v>0</v>
      </c>
      <c r="I143" s="1310"/>
      <c r="J143" s="1310"/>
      <c r="K143" s="1278"/>
      <c r="L143" s="1125">
        <v>25</v>
      </c>
    </row>
    <row r="144" spans="1:12" s="1279" customFormat="1" ht="20.100000000000001" customHeight="1">
      <c r="A144" s="1377">
        <f t="shared" si="3"/>
        <v>0</v>
      </c>
      <c r="B144" s="1587" t="s">
        <v>1144</v>
      </c>
      <c r="C144" s="1312"/>
      <c r="D144" s="1274">
        <f>VLOOKUP($B144,DG!A:D,DG!$B$2,)</f>
        <v>0</v>
      </c>
      <c r="E144" s="1275" t="str">
        <f>VLOOKUP($B144,DG!A:D,DG!$C$2,)</f>
        <v>Kẹp ép cỡ dây 25mm2</v>
      </c>
      <c r="F144" s="1274" t="str">
        <f>VLOOKUP($B144,DG!A:D,DG!$D$2,)</f>
        <v>cái</v>
      </c>
      <c r="G144" s="1312">
        <f>G136*10</f>
        <v>0</v>
      </c>
      <c r="H144" s="1353">
        <f t="shared" si="4"/>
        <v>0</v>
      </c>
      <c r="I144" s="1310"/>
      <c r="J144" s="1310"/>
      <c r="K144" s="1278"/>
      <c r="L144" s="1125">
        <v>25</v>
      </c>
    </row>
    <row r="145" spans="1:12" s="1279" customFormat="1" ht="20.100000000000001" customHeight="1">
      <c r="A145" s="1377">
        <f t="shared" si="3"/>
        <v>0</v>
      </c>
      <c r="B145" s="1378" t="s">
        <v>528</v>
      </c>
      <c r="C145" s="1312"/>
      <c r="D145" s="1274" t="str">
        <f>VLOOKUP($B145,DG!A:D,DG!$B$2,)</f>
        <v>06.3231</v>
      </c>
      <c r="E145" s="1275" t="str">
        <f>VLOOKUP($B145,DG!A:D,DG!$C$2,)&amp;": CD 90-250"</f>
        <v>Cổ dê kẹp ống PVC  21: CD 90-250</v>
      </c>
      <c r="F145" s="1274" t="str">
        <f>VLOOKUP($B145,DG!A:D,DG!$D$2,)</f>
        <v>bộ</v>
      </c>
      <c r="G145" s="1415">
        <f>G136*0.415*0</f>
        <v>0</v>
      </c>
      <c r="H145" s="1353">
        <f t="shared" si="4"/>
        <v>0</v>
      </c>
      <c r="I145" s="1310"/>
      <c r="J145" s="1310"/>
      <c r="K145" s="1278"/>
      <c r="L145" s="1125">
        <v>25</v>
      </c>
    </row>
    <row r="146" spans="1:12" s="1279" customFormat="1" ht="20.100000000000001" customHeight="1">
      <c r="A146" s="1377">
        <f t="shared" si="3"/>
        <v>0</v>
      </c>
      <c r="B146" s="1378" t="s">
        <v>528</v>
      </c>
      <c r="C146" s="1312"/>
      <c r="D146" s="1274" t="str">
        <f>VLOOKUP($B146,DG!A:D,DG!$B$2,)</f>
        <v>06.3231</v>
      </c>
      <c r="E146" s="1275" t="str">
        <f>VLOOKUP($B146,DG!A:D,DG!$C$2,)&amp;": CD 90-280"</f>
        <v>Cổ dê kẹp ống PVC  21: CD 90-280</v>
      </c>
      <c r="F146" s="1274" t="str">
        <f>VLOOKUP($B146,DG!A:D,DG!$D$2,)</f>
        <v>bộ</v>
      </c>
      <c r="G146" s="1415">
        <f>G136*0.452*0</f>
        <v>0</v>
      </c>
      <c r="H146" s="1353">
        <f t="shared" si="4"/>
        <v>0</v>
      </c>
      <c r="I146" s="1310"/>
      <c r="J146" s="1310"/>
      <c r="K146" s="1278"/>
      <c r="L146" s="1125">
        <v>25</v>
      </c>
    </row>
    <row r="147" spans="1:12" s="1279" customFormat="1" ht="20.100000000000001" customHeight="1">
      <c r="A147" s="1377">
        <f t="shared" si="3"/>
        <v>0</v>
      </c>
      <c r="B147" s="1378" t="s">
        <v>528</v>
      </c>
      <c r="C147" s="1312"/>
      <c r="D147" s="1274" t="str">
        <f>VLOOKUP($B147,DG!A:D,DG!$B$2,)</f>
        <v>06.3231</v>
      </c>
      <c r="E147" s="1275" t="str">
        <f>VLOOKUP($B147,DG!A:D,DG!$C$2,)&amp;": CD 90-320"</f>
        <v>Cổ dê kẹp ống PVC  21: CD 90-320</v>
      </c>
      <c r="F147" s="1274" t="str">
        <f>VLOOKUP($B147,DG!A:D,DG!$D$2,)</f>
        <v>bộ</v>
      </c>
      <c r="G147" s="1415">
        <f>G136*0.501*0</f>
        <v>0</v>
      </c>
      <c r="H147" s="1353">
        <f t="shared" si="4"/>
        <v>0</v>
      </c>
      <c r="I147" s="1310"/>
      <c r="J147" s="1310"/>
      <c r="K147" s="1278"/>
      <c r="L147" s="1125">
        <v>25</v>
      </c>
    </row>
    <row r="148" spans="1:12" s="1279" customFormat="1" ht="20.100000000000001" customHeight="1">
      <c r="A148" s="1377">
        <f t="shared" si="3"/>
        <v>0</v>
      </c>
      <c r="B148" s="1378" t="s">
        <v>1160</v>
      </c>
      <c r="C148" s="1312"/>
      <c r="D148" s="1274" t="str">
        <f>VLOOKUP($B148,DG!A:D,DG!$B$2,)</f>
        <v>06.2110</v>
      </c>
      <c r="E148" s="1275" t="str">
        <f>VLOOKUP($B148,DG!A:D,DG!$C$2,)&amp;": CD 90-320"</f>
        <v>Lắp cổ dề: CD 90-320</v>
      </c>
      <c r="F148" s="1274" t="str">
        <f>VLOOKUP($B148,DG!A:D,DG!$D$2,)</f>
        <v>bộ</v>
      </c>
      <c r="G148" s="1415">
        <f>G136*3*0</f>
        <v>0</v>
      </c>
      <c r="H148" s="1353">
        <f t="shared" si="4"/>
        <v>0</v>
      </c>
      <c r="I148" s="1310"/>
      <c r="J148" s="1310"/>
      <c r="K148" s="1278"/>
      <c r="L148" s="1125">
        <v>25</v>
      </c>
    </row>
    <row r="149" spans="1:12" s="1279" customFormat="1" ht="20.100000000000001" customHeight="1">
      <c r="A149" s="1377">
        <f t="shared" si="3"/>
        <v>0</v>
      </c>
      <c r="B149" s="1378" t="s">
        <v>2072</v>
      </c>
      <c r="C149" s="1312"/>
      <c r="D149" s="1274">
        <f>VLOOKUP($B149,DG!A:D,DG!$B$2,)</f>
        <v>0</v>
      </c>
      <c r="E149" s="1275" t="str">
        <f>VLOOKUP($B149,DG!A:D,DG!$C$2,)</f>
        <v>Boulon 12x40+ 2 long đền vuông D14-50x50x3/Zn</v>
      </c>
      <c r="F149" s="1274" t="str">
        <f>VLOOKUP($B149,DG!A:D,DG!$D$2,)</f>
        <v>bộ</v>
      </c>
      <c r="G149" s="1312">
        <f>G136*6*0</f>
        <v>0</v>
      </c>
      <c r="H149" s="1353">
        <f t="shared" si="4"/>
        <v>0</v>
      </c>
      <c r="I149" s="1310"/>
      <c r="J149" s="1310"/>
      <c r="K149" s="1278"/>
      <c r="L149" s="1125">
        <v>25</v>
      </c>
    </row>
    <row r="150" spans="1:12" s="1279" customFormat="1" ht="20.100000000000001" customHeight="1">
      <c r="A150" s="1377">
        <f t="shared" si="3"/>
        <v>0</v>
      </c>
      <c r="B150" s="1378" t="s">
        <v>919</v>
      </c>
      <c r="C150" s="1312"/>
      <c r="D150" s="1274" t="str">
        <f>VLOOKUP($B150,DG!A:D,DG!$B$2,)</f>
        <v>04.7001</v>
      </c>
      <c r="E150" s="1275" t="str">
        <f>VLOOKUP($B150,DG!A:D,DG!$C$2,)</f>
        <v>Đóng cọc tiếp địa trong TBA</v>
      </c>
      <c r="F150" s="1274" t="str">
        <f>VLOOKUP($B150,DG!A:D,DG!$D$2,)</f>
        <v>cọc</v>
      </c>
      <c r="G150" s="1312">
        <f>G139</f>
        <v>0</v>
      </c>
      <c r="H150" s="1353">
        <f t="shared" si="4"/>
        <v>0</v>
      </c>
      <c r="I150" s="1310"/>
      <c r="J150" s="1310"/>
      <c r="K150" s="1278"/>
      <c r="L150" s="1125">
        <v>25</v>
      </c>
    </row>
    <row r="151" spans="1:12" s="1279" customFormat="1" ht="20.100000000000001" customHeight="1">
      <c r="A151" s="1377">
        <f t="shared" si="3"/>
        <v>0</v>
      </c>
      <c r="B151" s="1378" t="s">
        <v>2245</v>
      </c>
      <c r="C151" s="1312"/>
      <c r="D151" s="1274" t="str">
        <f>VLOOKUP($B151,DG!A:D,DG!$B$2,)</f>
        <v>04.7002</v>
      </c>
      <c r="E151" s="1275" t="str">
        <f>VLOOKUP($B151,DG!A:D,DG!$C$2,)</f>
        <v>Kéo dây tiếp địa trong TBA</v>
      </c>
      <c r="F151" s="1274" t="str">
        <f>VLOOKUP($B151,DG!A:D,DG!$D$2,)</f>
        <v>mét</v>
      </c>
      <c r="G151" s="1312">
        <f>G136*H3</f>
        <v>0</v>
      </c>
      <c r="H151" s="1353">
        <f t="shared" si="4"/>
        <v>0</v>
      </c>
      <c r="I151" s="1310"/>
      <c r="J151" s="1310"/>
      <c r="K151" s="1278"/>
      <c r="L151" s="1125">
        <v>25</v>
      </c>
    </row>
    <row r="152" spans="1:12" s="1279" customFormat="1" ht="20.100000000000001" customHeight="1">
      <c r="A152" s="1377">
        <f t="shared" si="3"/>
        <v>0</v>
      </c>
      <c r="B152" s="1587" t="str">
        <f>"dtd"&amp;chitiet!F5</f>
        <v>dtd3</v>
      </c>
      <c r="C152" s="1312"/>
      <c r="D152" s="1274" t="str">
        <f>VLOOKUP($B152,DG!A:D,DG!$B$2,)</f>
        <v>03.3123</v>
      </c>
      <c r="E152" s="1275" t="str">
        <f>VLOOKUP($B152,DG!A:D,DG!$C$2,)</f>
        <v>Đào rãnh tiếp địa đất cấp 3</v>
      </c>
      <c r="F152" s="1274" t="str">
        <f>VLOOKUP($B152,DG!A:D,DG!$D$2,)</f>
        <v>m3</v>
      </c>
      <c r="G152" s="1346"/>
      <c r="H152" s="1353">
        <f t="shared" si="4"/>
        <v>0</v>
      </c>
      <c r="I152" s="1310"/>
      <c r="J152" s="1310"/>
      <c r="K152" s="1278"/>
      <c r="L152" s="1125">
        <v>25</v>
      </c>
    </row>
    <row r="153" spans="1:12" s="1279" customFormat="1" ht="20.100000000000001" customHeight="1">
      <c r="A153" s="1377">
        <f t="shared" si="3"/>
        <v>0</v>
      </c>
      <c r="B153" s="1378" t="str">
        <f>"datd"&amp;chitiet!F5</f>
        <v>datd3</v>
      </c>
      <c r="C153" s="1312"/>
      <c r="D153" s="1274" t="str">
        <f>VLOOKUP($B153,DG!A:D,DG!$B$2,)</f>
        <v>03.4123</v>
      </c>
      <c r="E153" s="1275" t="str">
        <f>VLOOKUP($B153,DG!A:D,DG!$C$2,)</f>
        <v>Đắp đất rãnh tiếp độ chặt k=0,95</v>
      </c>
      <c r="F153" s="1274" t="str">
        <f>VLOOKUP($B153,DG!A:D,DG!$D$2,)</f>
        <v>m3</v>
      </c>
      <c r="G153" s="1346">
        <f>G152</f>
        <v>0</v>
      </c>
      <c r="H153" s="1353">
        <f t="shared" si="4"/>
        <v>0</v>
      </c>
      <c r="I153" s="1310"/>
      <c r="J153" s="1310"/>
      <c r="K153" s="1278"/>
      <c r="L153" s="1125">
        <v>25</v>
      </c>
    </row>
    <row r="154" spans="1:12" s="1279" customFormat="1" ht="20.100000000000001" customHeight="1">
      <c r="A154" s="1377">
        <f>IF(H154&gt;0,1,0)</f>
        <v>0</v>
      </c>
      <c r="B154" s="1587"/>
      <c r="C154" s="1390">
        <f>IF(G154&gt;0,C136+1,C136)</f>
        <v>0</v>
      </c>
      <c r="D154" s="1411"/>
      <c r="E154" s="1412" t="s">
        <v>3779</v>
      </c>
      <c r="F154" s="1390" t="s">
        <v>2449</v>
      </c>
      <c r="G154" s="1390">
        <f>G128</f>
        <v>0</v>
      </c>
      <c r="H154" s="1353">
        <f t="shared" si="4"/>
        <v>0</v>
      </c>
      <c r="I154" s="1342"/>
      <c r="J154" s="1342"/>
      <c r="K154" s="1278"/>
      <c r="L154" s="1125">
        <v>25</v>
      </c>
    </row>
    <row r="155" spans="1:12" s="1279" customFormat="1" ht="20.100000000000001" customHeight="1">
      <c r="A155" s="1377">
        <f>IF(L155=$L$23,1,0)</f>
        <v>0</v>
      </c>
      <c r="B155" s="1587"/>
      <c r="C155" s="1390"/>
      <c r="D155" s="1411"/>
      <c r="E155" s="1635" t="s">
        <v>2342</v>
      </c>
      <c r="F155" s="1312"/>
      <c r="G155" s="1312"/>
      <c r="H155" s="1492">
        <f t="shared" si="4"/>
        <v>0</v>
      </c>
      <c r="I155" s="1342"/>
      <c r="J155" s="1342"/>
      <c r="K155" s="1278"/>
      <c r="L155" s="1125">
        <v>25</v>
      </c>
    </row>
    <row r="156" spans="1:12" s="1279" customFormat="1" ht="20.100000000000001" customHeight="1">
      <c r="A156" s="1377">
        <f t="shared" ref="A156:A220" si="6">IF(H156&gt;0,1,0)</f>
        <v>0</v>
      </c>
      <c r="B156" s="1589" t="s">
        <v>621</v>
      </c>
      <c r="C156" s="1312"/>
      <c r="D156" s="1274" t="str">
        <f>VLOOKUP($B156,DG!A:D,DG!$B$2,)</f>
        <v>05.1001</v>
      </c>
      <c r="E156" s="1275" t="str">
        <f>VLOOKUP($B156,DG!A:D,DG!$C$2,)</f>
        <v>Tủ CB trạm 1 pha + khóa + boulon</v>
      </c>
      <c r="F156" s="1274" t="str">
        <f>VLOOKUP($B156,DG!A:D,DG!$D$2,)</f>
        <v>cái</v>
      </c>
      <c r="G156" s="1312">
        <f>G154</f>
        <v>0</v>
      </c>
      <c r="H156" s="1353">
        <f t="shared" si="4"/>
        <v>0</v>
      </c>
      <c r="I156" s="1310"/>
      <c r="J156" s="1310"/>
      <c r="K156" s="1278"/>
      <c r="L156" s="1125">
        <v>25</v>
      </c>
    </row>
    <row r="157" spans="1:12" s="1279" customFormat="1" ht="20.100000000000001" customHeight="1">
      <c r="A157" s="1377">
        <f t="shared" si="6"/>
        <v>0</v>
      </c>
      <c r="B157" s="1587" t="s">
        <v>896</v>
      </c>
      <c r="C157" s="1312"/>
      <c r="D157" s="1274" t="str">
        <f>VLOOKUP($B157,DG!A:D,DG!$B$2,)</f>
        <v>06.3231</v>
      </c>
      <c r="E157" s="1275" t="str">
        <f>VLOOKUP($B157,DG!A:D,DG!$C$2,)</f>
        <v>Cổ dê bắt tủ</v>
      </c>
      <c r="F157" s="1274" t="str">
        <f>VLOOKUP($B157,DG!A:D,DG!$D$2,)</f>
        <v>bộ</v>
      </c>
      <c r="G157" s="1312">
        <f>G154*2</f>
        <v>0</v>
      </c>
      <c r="H157" s="1353">
        <f t="shared" ref="H157:H224" si="7">IF(L157=$L$23,G157+I157-J157,0)</f>
        <v>0</v>
      </c>
      <c r="I157" s="1310"/>
      <c r="J157" s="1310"/>
      <c r="K157" s="1278"/>
      <c r="L157" s="1125">
        <v>25</v>
      </c>
    </row>
    <row r="158" spans="1:12" s="1279" customFormat="1" ht="20.100000000000001" customHeight="1">
      <c r="A158" s="1377">
        <f t="shared" si="6"/>
        <v>0</v>
      </c>
      <c r="B158" s="1587" t="s">
        <v>897</v>
      </c>
      <c r="C158" s="1312"/>
      <c r="D158" s="1274">
        <f>VLOOKUP($B158,DG!A:D,DG!$B$2,)</f>
        <v>0</v>
      </c>
      <c r="E158" s="1275" t="str">
        <f>VLOOKUP($B158,DG!A:D,DG!$C$2,)</f>
        <v xml:space="preserve">Bakelit 550x450 dầy 10mm </v>
      </c>
      <c r="F158" s="1274" t="str">
        <f>VLOOKUP($B158,DG!A:D,DG!$D$2,)</f>
        <v>cái</v>
      </c>
      <c r="G158" s="1312">
        <f>G154*2+1</f>
        <v>1</v>
      </c>
      <c r="H158" s="1353">
        <f t="shared" si="7"/>
        <v>0</v>
      </c>
      <c r="I158" s="1310"/>
      <c r="J158" s="1310">
        <v>1</v>
      </c>
      <c r="K158" s="1278"/>
      <c r="L158" s="1125">
        <v>25</v>
      </c>
    </row>
    <row r="159" spans="1:12" s="1279" customFormat="1" ht="20.100000000000001" customHeight="1">
      <c r="A159" s="1377">
        <f t="shared" si="6"/>
        <v>0</v>
      </c>
      <c r="B159" s="1587" t="s">
        <v>139</v>
      </c>
      <c r="C159" s="1312"/>
      <c r="D159" s="1274">
        <f>VLOOKUP($B159,DG!A:D,DG!$B$2,)</f>
        <v>0</v>
      </c>
      <c r="E159" s="1275" t="str">
        <f>VLOOKUP($B159,DG!A:D,DG!$C$2,)</f>
        <v>Boulon 12x40+ 2 long đền vuông D14-50x50x3/Zn</v>
      </c>
      <c r="F159" s="1274" t="str">
        <f>VLOOKUP($B159,DG!A:D,DG!$D$2,)</f>
        <v>bộ</v>
      </c>
      <c r="G159" s="1312">
        <f>G154*4*0</f>
        <v>0</v>
      </c>
      <c r="H159" s="1353">
        <f t="shared" si="7"/>
        <v>0</v>
      </c>
      <c r="I159" s="1310"/>
      <c r="J159" s="1310"/>
      <c r="K159" s="1278"/>
      <c r="L159" s="1125">
        <v>25</v>
      </c>
    </row>
    <row r="160" spans="1:12" s="1279" customFormat="1" ht="20.100000000000001" customHeight="1">
      <c r="A160" s="1377">
        <f t="shared" si="6"/>
        <v>0</v>
      </c>
      <c r="B160" s="1587"/>
      <c r="C160" s="1390">
        <f>IF(G160&gt;0,C154+1,C154)</f>
        <v>0</v>
      </c>
      <c r="D160" s="1411"/>
      <c r="E160" s="1425" t="s">
        <v>3780</v>
      </c>
      <c r="F160" s="1390" t="s">
        <v>2449</v>
      </c>
      <c r="G160" s="1390">
        <f>H7</f>
        <v>0</v>
      </c>
      <c r="H160" s="1353">
        <f t="shared" si="7"/>
        <v>0</v>
      </c>
      <c r="I160" s="1342"/>
      <c r="J160" s="1342"/>
      <c r="K160" s="1278"/>
      <c r="L160" s="1125">
        <v>25</v>
      </c>
    </row>
    <row r="161" spans="1:12" s="1279" customFormat="1" ht="20.100000000000001" customHeight="1">
      <c r="A161" s="1377">
        <f>IF(L161=$L$23,1,0)</f>
        <v>0</v>
      </c>
      <c r="B161" s="1587"/>
      <c r="C161" s="1390"/>
      <c r="D161" s="1411"/>
      <c r="E161" s="1635" t="s">
        <v>2342</v>
      </c>
      <c r="F161" s="1312"/>
      <c r="G161" s="1312"/>
      <c r="H161" s="1492">
        <f t="shared" si="7"/>
        <v>0</v>
      </c>
      <c r="I161" s="1342"/>
      <c r="J161" s="1342"/>
      <c r="K161" s="1278"/>
      <c r="L161" s="1125">
        <v>25</v>
      </c>
    </row>
    <row r="162" spans="1:12" s="1279" customFormat="1" ht="20.100000000000001" customHeight="1">
      <c r="A162" s="1377">
        <f t="shared" si="6"/>
        <v>0</v>
      </c>
      <c r="B162" s="1585" t="s">
        <v>4700</v>
      </c>
      <c r="C162" s="1312"/>
      <c r="D162" s="1274">
        <f>VLOOKUP($B162,DG!A:D,DG!$B$2,)</f>
        <v>0</v>
      </c>
      <c r="E162" s="1275" t="str">
        <f>VLOOKUP($B162,DG!A:D,DG!$C$2,)</f>
        <v>Cáp 24KV C/XLPE/PVC 25mm2</v>
      </c>
      <c r="F162" s="1274" t="str">
        <f>VLOOKUP($B162,DG!A:D,DG!$D$2,)</f>
        <v>mét</v>
      </c>
      <c r="G162" s="1312">
        <f>3*G160</f>
        <v>0</v>
      </c>
      <c r="H162" s="1353">
        <f t="shared" si="7"/>
        <v>0</v>
      </c>
      <c r="I162" s="1310"/>
      <c r="J162" s="1310"/>
      <c r="K162" s="1278"/>
      <c r="L162" s="1125">
        <v>25</v>
      </c>
    </row>
    <row r="163" spans="1:12" s="1279" customFormat="1" ht="20.100000000000001" customHeight="1">
      <c r="A163" s="1377">
        <f t="shared" si="6"/>
        <v>0</v>
      </c>
      <c r="B163" s="1378" t="s">
        <v>1531</v>
      </c>
      <c r="C163" s="1312"/>
      <c r="D163" s="1274" t="str">
        <f>VLOOKUP($B163,DG!A:D,DG!$B$2,)</f>
        <v>04.3007</v>
      </c>
      <c r="E163" s="1275" t="str">
        <f>VLOOKUP($B163,DG!A:D,DG!$C$2,)</f>
        <v>Kẹp quai 2/0</v>
      </c>
      <c r="F163" s="1274" t="str">
        <f>VLOOKUP($B163,DG!A:D,DG!$D$2,)</f>
        <v>cái</v>
      </c>
      <c r="G163" s="1312">
        <f>G160</f>
        <v>0</v>
      </c>
      <c r="H163" s="1353">
        <f t="shared" si="7"/>
        <v>0</v>
      </c>
      <c r="I163" s="1310"/>
      <c r="J163" s="1310"/>
      <c r="K163" s="1278"/>
      <c r="L163" s="1125">
        <v>25</v>
      </c>
    </row>
    <row r="164" spans="1:12" s="1279" customFormat="1" ht="20.100000000000001" customHeight="1">
      <c r="A164" s="1377">
        <f>IF(H164&gt;0,1,0)</f>
        <v>0</v>
      </c>
      <c r="B164" s="1378" t="s">
        <v>1529</v>
      </c>
      <c r="C164" s="1312"/>
      <c r="D164" s="1274" t="str">
        <f>VLOOKUP($B164,DG!A:D,DG!$B$2,)</f>
        <v>04.3007</v>
      </c>
      <c r="E164" s="1275" t="str">
        <f>VLOOKUP($B164,DG!A:D,DG!$C$2,)</f>
        <v>Kẹp hotline 2/0</v>
      </c>
      <c r="F164" s="1274" t="str">
        <f>VLOOKUP($B164,DG!A:D,DG!$D$2,)</f>
        <v>cái</v>
      </c>
      <c r="G164" s="1312">
        <f>G156</f>
        <v>0</v>
      </c>
      <c r="H164" s="1353">
        <f>IF(L164=$L$23,G164+I164-J164,0)</f>
        <v>0</v>
      </c>
      <c r="I164" s="1310"/>
      <c r="J164" s="1310"/>
      <c r="K164" s="1278"/>
      <c r="L164" s="1125">
        <v>25</v>
      </c>
    </row>
    <row r="165" spans="1:12" s="1279" customFormat="1" ht="20.100000000000001" customHeight="1">
      <c r="A165" s="1377">
        <f>IF(H165&gt;0,1,0)</f>
        <v>0</v>
      </c>
      <c r="B165" s="1378" t="s">
        <v>4834</v>
      </c>
      <c r="C165" s="1312"/>
      <c r="D165" s="1274">
        <f>VLOOKUP($B165,DG!A:D,DG!$B$2,)</f>
        <v>0</v>
      </c>
      <c r="E165" s="1275" t="str">
        <f>VLOOKUP($B165,DG!A:D,DG!$C$2,)</f>
        <v>Chụp cách điện kẹp quai</v>
      </c>
      <c r="F165" s="1274" t="str">
        <f>VLOOKUP($B165,DG!A:D,DG!$D$2,)</f>
        <v>cái</v>
      </c>
      <c r="G165" s="1312">
        <f>G160</f>
        <v>0</v>
      </c>
      <c r="H165" s="1353">
        <f>IF(L165=$L$23,G165+I165-J165,0)</f>
        <v>0</v>
      </c>
      <c r="I165" s="1310"/>
      <c r="J165" s="1310"/>
      <c r="K165" s="1278"/>
      <c r="L165" s="1125">
        <v>25</v>
      </c>
    </row>
    <row r="166" spans="1:12" s="1279" customFormat="1" ht="20.100000000000001" customHeight="1">
      <c r="A166" s="1377">
        <f>IF(H166&gt;0,1,0)</f>
        <v>0</v>
      </c>
      <c r="B166" s="1378" t="s">
        <v>382</v>
      </c>
      <c r="C166" s="1312"/>
      <c r="D166" s="1274">
        <f>VLOOKUP($B166,DG!A:D,DG!$B$2,)</f>
        <v>0</v>
      </c>
      <c r="E166" s="1275" t="str">
        <f>VLOOKUP($B166,DG!A:D,DG!$C$2,)</f>
        <v>Chụp đầu cực FCO (bộ 2 cái)</v>
      </c>
      <c r="F166" s="1274" t="str">
        <f>VLOOKUP($B166,DG!A:D,DG!$D$2,)</f>
        <v>bộ</v>
      </c>
      <c r="G166" s="1312">
        <f>G163</f>
        <v>0</v>
      </c>
      <c r="H166" s="1353">
        <f>IF(L166=$L$23,G166+I166-J166,0)</f>
        <v>0</v>
      </c>
      <c r="I166" s="1310"/>
      <c r="J166" s="1310"/>
      <c r="K166" s="1278"/>
      <c r="L166" s="1125">
        <v>25</v>
      </c>
    </row>
    <row r="167" spans="1:12" s="1279" customFormat="1" ht="20.100000000000001" customHeight="1">
      <c r="A167" s="1377">
        <f>IF(H167&gt;0,1,0)</f>
        <v>0</v>
      </c>
      <c r="B167" s="1378" t="s">
        <v>380</v>
      </c>
      <c r="C167" s="1312"/>
      <c r="D167" s="1274">
        <f>VLOOKUP($B167,DG!A:D,DG!$B$2,)</f>
        <v>0</v>
      </c>
      <c r="E167" s="1275" t="str">
        <f>VLOOKUP($B167,DG!A:D,DG!$C$2,)</f>
        <v>Chụp đầu cực LA</v>
      </c>
      <c r="F167" s="1274" t="str">
        <f>VLOOKUP($B167,DG!A:D,DG!$D$2,)</f>
        <v>cái</v>
      </c>
      <c r="G167" s="1312">
        <f>G159</f>
        <v>0</v>
      </c>
      <c r="H167" s="1353">
        <f>IF(L167=$L$23,G167+I167-J167,0)</f>
        <v>0</v>
      </c>
      <c r="I167" s="1310"/>
      <c r="J167" s="1310"/>
      <c r="K167" s="1278"/>
      <c r="L167" s="1125">
        <v>25</v>
      </c>
    </row>
    <row r="168" spans="1:12" s="1279" customFormat="1" ht="20.100000000000001" customHeight="1">
      <c r="A168" s="1377">
        <f t="shared" si="6"/>
        <v>0</v>
      </c>
      <c r="B168" s="1378" t="s">
        <v>381</v>
      </c>
      <c r="C168" s="1312"/>
      <c r="D168" s="1274">
        <f>VLOOKUP($B168,DG!A:D,DG!$B$2,)</f>
        <v>0</v>
      </c>
      <c r="E168" s="1275" t="str">
        <f>VLOOKUP($B168,DG!A:D,DG!$C$2,)</f>
        <v>Chụp đầu MBA</v>
      </c>
      <c r="F168" s="1274" t="str">
        <f>VLOOKUP($B168,DG!A:D,DG!$D$2,)</f>
        <v>cái</v>
      </c>
      <c r="G168" s="1312">
        <f>G160</f>
        <v>0</v>
      </c>
      <c r="H168" s="1353">
        <f t="shared" si="7"/>
        <v>0</v>
      </c>
      <c r="I168" s="1310"/>
      <c r="J168" s="1310"/>
      <c r="K168" s="1278"/>
      <c r="L168" s="1125">
        <v>25</v>
      </c>
    </row>
    <row r="169" spans="1:12" s="1279" customFormat="1" ht="20.100000000000001" customHeight="1">
      <c r="A169" s="1377">
        <f t="shared" si="6"/>
        <v>0</v>
      </c>
      <c r="B169" s="1378" t="s">
        <v>703</v>
      </c>
      <c r="C169" s="1312"/>
      <c r="D169" s="1274">
        <f>VLOOKUP($B169,DG!A:D,DG!$B$2,)</f>
        <v>0</v>
      </c>
      <c r="E169" s="1275" t="str">
        <f>VLOOKUP($B169,DG!A:D,DG!$C$2,)</f>
        <v xml:space="preserve">Sứ đứng 24KV </v>
      </c>
      <c r="F169" s="1274" t="str">
        <f>VLOOKUP($B169,DG!A:D,DG!$D$2,)</f>
        <v>cái</v>
      </c>
      <c r="G169" s="1312">
        <f>G160*2*0</f>
        <v>0</v>
      </c>
      <c r="H169" s="1353">
        <f t="shared" si="7"/>
        <v>0</v>
      </c>
      <c r="I169" s="1310"/>
      <c r="J169" s="1310"/>
      <c r="K169" s="1278"/>
      <c r="L169" s="1125">
        <v>25</v>
      </c>
    </row>
    <row r="170" spans="1:12" s="1279" customFormat="1" ht="20.100000000000001" customHeight="1">
      <c r="A170" s="1377">
        <f t="shared" si="6"/>
        <v>0</v>
      </c>
      <c r="B170" s="1378" t="s">
        <v>1298</v>
      </c>
      <c r="C170" s="1312"/>
      <c r="D170" s="1274">
        <f>VLOOKUP($B170,DG!A:D,DG!$B$2,)</f>
        <v>0</v>
      </c>
      <c r="E170" s="1275" t="str">
        <f>VLOOKUP($B170,DG!A:D,DG!$C$2,)</f>
        <v>Chân sứ đứng D20</v>
      </c>
      <c r="F170" s="1274" t="str">
        <f>VLOOKUP($B170,DG!A:D,DG!$D$2,)</f>
        <v>cái</v>
      </c>
      <c r="G170" s="1312">
        <f>G169</f>
        <v>0</v>
      </c>
      <c r="H170" s="1353">
        <f t="shared" si="7"/>
        <v>0</v>
      </c>
      <c r="I170" s="1310"/>
      <c r="J170" s="1310"/>
      <c r="K170" s="1278"/>
      <c r="L170" s="1125">
        <v>25</v>
      </c>
    </row>
    <row r="171" spans="1:12" s="1279" customFormat="1" ht="20.100000000000001" customHeight="1">
      <c r="A171" s="1377">
        <f t="shared" si="6"/>
        <v>0</v>
      </c>
      <c r="B171" s="1378" t="s">
        <v>348</v>
      </c>
      <c r="C171" s="1312"/>
      <c r="D171" s="1274" t="str">
        <f>VLOOKUP($B171,DG!A:D,DG!$B$2,)</f>
        <v>06.1115</v>
      </c>
      <c r="E171" s="1275" t="str">
        <f>VLOOKUP($B171,DG!A:D,DG!$C$2,)</f>
        <v>Lắp sứ đứng 24KV</v>
      </c>
      <c r="F171" s="1274" t="str">
        <f>VLOOKUP($B171,DG!A:D,DG!$D$2,)</f>
        <v>bộ</v>
      </c>
      <c r="G171" s="1312">
        <f>G170</f>
        <v>0</v>
      </c>
      <c r="H171" s="1353">
        <f t="shared" si="7"/>
        <v>0</v>
      </c>
      <c r="I171" s="1310"/>
      <c r="J171" s="1310"/>
      <c r="K171" s="1278"/>
      <c r="L171" s="1125">
        <v>25</v>
      </c>
    </row>
    <row r="172" spans="1:12" s="1279" customFormat="1" ht="20.100000000000001" customHeight="1">
      <c r="A172" s="1377">
        <f t="shared" si="6"/>
        <v>0</v>
      </c>
      <c r="B172" s="1378" t="s">
        <v>1577</v>
      </c>
      <c r="C172" s="1312"/>
      <c r="D172" s="1274" t="str">
        <f>VLOOKUP($B172,DG!A:D,DG!$B$2,)</f>
        <v>04.4201</v>
      </c>
      <c r="E172" s="1275" t="str">
        <f>VLOOKUP($B172,DG!A:D,DG!$C$2,)</f>
        <v>Lắp cáp đồng xuống thiết bị D ≤ 95mm2</v>
      </c>
      <c r="F172" s="1274" t="str">
        <f>VLOOKUP($B172,DG!A:D,DG!$D$2,)</f>
        <v>m</v>
      </c>
      <c r="G172" s="1312">
        <f>G162</f>
        <v>0</v>
      </c>
      <c r="H172" s="1353">
        <f t="shared" si="7"/>
        <v>0</v>
      </c>
      <c r="I172" s="1310"/>
      <c r="J172" s="1310"/>
      <c r="K172" s="1278"/>
      <c r="L172" s="1125">
        <v>25</v>
      </c>
    </row>
    <row r="173" spans="1:12" s="1279" customFormat="1" ht="20.100000000000001" customHeight="1">
      <c r="A173" s="1377">
        <f>IF(L173=$L$23,1,0)</f>
        <v>0</v>
      </c>
      <c r="B173" s="1587"/>
      <c r="C173" s="1390">
        <f>IF(G173&gt;0,C160+1,C160)</f>
        <v>0</v>
      </c>
      <c r="D173" s="1411"/>
      <c r="E173" s="1425" t="s">
        <v>3781</v>
      </c>
      <c r="F173" s="1390" t="s">
        <v>2449</v>
      </c>
      <c r="G173" s="1390">
        <f>G105</f>
        <v>0</v>
      </c>
      <c r="H173" s="1353">
        <f t="shared" si="7"/>
        <v>0</v>
      </c>
      <c r="I173" s="1342"/>
      <c r="J173" s="1342"/>
      <c r="K173" s="1278"/>
      <c r="L173" s="1125">
        <v>25</v>
      </c>
    </row>
    <row r="174" spans="1:12" s="1279" customFormat="1" ht="20.100000000000001" customHeight="1">
      <c r="A174" s="1377">
        <f>IF(L174=$L$23,1,0)</f>
        <v>0</v>
      </c>
      <c r="B174" s="1587"/>
      <c r="C174" s="1390"/>
      <c r="D174" s="1411"/>
      <c r="E174" s="1635" t="s">
        <v>2342</v>
      </c>
      <c r="F174" s="1390"/>
      <c r="G174" s="1390"/>
      <c r="H174" s="1492">
        <f t="shared" si="7"/>
        <v>0</v>
      </c>
      <c r="I174" s="1342"/>
      <c r="J174" s="1342"/>
      <c r="K174" s="1278"/>
      <c r="L174" s="1125">
        <v>25</v>
      </c>
    </row>
    <row r="175" spans="1:12" s="1279" customFormat="1" ht="20.100000000000001" customHeight="1">
      <c r="A175" s="1377">
        <f t="shared" si="6"/>
        <v>0</v>
      </c>
      <c r="B175" s="1587" t="s">
        <v>238</v>
      </c>
      <c r="C175" s="1390"/>
      <c r="D175" s="1274">
        <f>VLOOKUP($B175,DG!A:D,DG!$B$2,)</f>
        <v>0</v>
      </c>
      <c r="E175" s="1275" t="str">
        <f>VLOOKUP($B175,DG!A:D,DG!$C$2,)</f>
        <v>Cáp đồng bọc CV70</v>
      </c>
      <c r="F175" s="1274" t="str">
        <f>VLOOKUP($B175,DG!A:D,DG!$D$2,)</f>
        <v>mét</v>
      </c>
      <c r="G175" s="1312">
        <f>G173*20</f>
        <v>0</v>
      </c>
      <c r="H175" s="1353">
        <f t="shared" si="7"/>
        <v>0</v>
      </c>
      <c r="I175" s="1310"/>
      <c r="J175" s="1310"/>
      <c r="K175" s="1278"/>
      <c r="L175" s="1125">
        <v>25</v>
      </c>
    </row>
    <row r="176" spans="1:12" s="1279" customFormat="1" ht="20.100000000000001" customHeight="1">
      <c r="A176" s="1377">
        <f t="shared" si="6"/>
        <v>0</v>
      </c>
      <c r="B176" s="1587" t="s">
        <v>4798</v>
      </c>
      <c r="C176" s="1390"/>
      <c r="D176" s="1274" t="str">
        <f>VLOOKUP($B176,DG!A:D,DG!$B$2,)</f>
        <v>03.1401</v>
      </c>
      <c r="E176" s="1275" t="str">
        <f>VLOOKUP($B176,DG!A:D,DG!$C$2,)</f>
        <v xml:space="preserve">Cáp CVV 4x4mm2  </v>
      </c>
      <c r="F176" s="1274" t="str">
        <f>VLOOKUP($B176,DG!A:D,DG!$D$2,)</f>
        <v>mét</v>
      </c>
      <c r="G176" s="1312">
        <f>2*G173</f>
        <v>0</v>
      </c>
      <c r="H176" s="1353">
        <f t="shared" si="7"/>
        <v>0</v>
      </c>
      <c r="I176" s="1310"/>
      <c r="J176" s="1310"/>
      <c r="K176" s="1278"/>
      <c r="L176" s="1125">
        <v>25</v>
      </c>
    </row>
    <row r="177" spans="1:12" s="1279" customFormat="1" ht="20.100000000000001" customHeight="1">
      <c r="A177" s="1377">
        <f t="shared" si="6"/>
        <v>0</v>
      </c>
      <c r="B177" s="1587" t="str">
        <f>"Cos"&amp;RIGHT(B175,2)</f>
        <v>Cos70</v>
      </c>
      <c r="C177" s="1312"/>
      <c r="D177" s="1274" t="str">
        <f>VLOOKUP($B177,DG!A:D,DG!$B$2,)</f>
        <v>03.4003</v>
      </c>
      <c r="E177" s="1275" t="str">
        <f>VLOOKUP($B177,DG!A:D,DG!$C$2,)</f>
        <v>Đầu cosse ép Cu 70mm2</v>
      </c>
      <c r="F177" s="1274" t="str">
        <f>VLOOKUP($B177,DG!A:D,DG!$D$2,)</f>
        <v>cái</v>
      </c>
      <c r="G177" s="1312">
        <f>G173*2</f>
        <v>0</v>
      </c>
      <c r="H177" s="1353">
        <f t="shared" si="7"/>
        <v>0</v>
      </c>
      <c r="I177" s="1310"/>
      <c r="J177" s="1310"/>
      <c r="K177" s="1278"/>
      <c r="L177" s="1125">
        <v>25</v>
      </c>
    </row>
    <row r="178" spans="1:12" s="1279" customFormat="1" ht="20.100000000000001" customHeight="1">
      <c r="A178" s="1377">
        <f t="shared" si="6"/>
        <v>0</v>
      </c>
      <c r="B178" s="1587" t="str">
        <f>"chCos"&amp;RIGHT(B175,2)</f>
        <v>chCos70</v>
      </c>
      <c r="C178" s="1312"/>
      <c r="D178" s="1274">
        <f>VLOOKUP($B178,DG!A:D,DG!$B$2,)</f>
        <v>0</v>
      </c>
      <c r="E178" s="1275" t="str">
        <f>VLOOKUP($B178,DG!A:D,DG!$C$2,)</f>
        <v>Chụp đầu cosse  70mm2</v>
      </c>
      <c r="F178" s="1274" t="str">
        <f>VLOOKUP($B178,DG!A:D,DG!$D$2,)</f>
        <v>cái</v>
      </c>
      <c r="G178" s="1312">
        <f>G173*2</f>
        <v>0</v>
      </c>
      <c r="H178" s="1353">
        <f t="shared" si="7"/>
        <v>0</v>
      </c>
      <c r="I178" s="1310"/>
      <c r="J178" s="1310"/>
      <c r="K178" s="1278"/>
      <c r="L178" s="1125">
        <v>25</v>
      </c>
    </row>
    <row r="179" spans="1:12" s="1279" customFormat="1" ht="20.100000000000001" customHeight="1">
      <c r="A179" s="1377">
        <f t="shared" si="6"/>
        <v>0</v>
      </c>
      <c r="B179" s="1587" t="s">
        <v>283</v>
      </c>
      <c r="C179" s="1312"/>
      <c r="D179" s="1274" t="str">
        <f>VLOOKUP($B179,DG!A:D,DG!$B$2,)</f>
        <v>04.8003</v>
      </c>
      <c r="E179" s="1275" t="str">
        <f>VLOOKUP($B179,DG!A:D,DG!$C$2,)</f>
        <v xml:space="preserve">Ống PVC D90x3,8mm </v>
      </c>
      <c r="F179" s="1274" t="str">
        <f>VLOOKUP($B179,DG!A:D,DG!$D$2,)</f>
        <v>m</v>
      </c>
      <c r="G179" s="1312">
        <f>G173*6</f>
        <v>0</v>
      </c>
      <c r="H179" s="1353">
        <f t="shared" si="7"/>
        <v>0</v>
      </c>
      <c r="I179" s="1310"/>
      <c r="J179" s="1310"/>
      <c r="K179" s="1278"/>
      <c r="L179" s="1125">
        <v>25</v>
      </c>
    </row>
    <row r="180" spans="1:12" s="1279" customFormat="1" ht="20.100000000000001" customHeight="1">
      <c r="A180" s="1377">
        <f t="shared" si="6"/>
        <v>0</v>
      </c>
      <c r="B180" s="1378" t="s">
        <v>277</v>
      </c>
      <c r="C180" s="1312"/>
      <c r="D180" s="1274" t="str">
        <f>VLOOKUP($B180,DG!A:D,DG!$B$2,)</f>
        <v>06.3231</v>
      </c>
      <c r="E180" s="1275" t="str">
        <f>VLOOKUP($B180,DG!A:D,DG!$C$2,)&amp;": 2 bộ: CD 90-250"</f>
        <v>Cổ dê kẹp ống PVC Ø 90: 2 bộ: CD 90-250</v>
      </c>
      <c r="F180" s="1274" t="str">
        <f>VLOOKUP($B180,DG!A:D,DG!$D$2,)</f>
        <v>bộ</v>
      </c>
      <c r="G180" s="1312">
        <f>G173*3</f>
        <v>0</v>
      </c>
      <c r="H180" s="1353">
        <f t="shared" si="7"/>
        <v>0</v>
      </c>
      <c r="I180" s="1310"/>
      <c r="J180" s="1310"/>
      <c r="K180" s="1278"/>
      <c r="L180" s="1125">
        <v>25</v>
      </c>
    </row>
    <row r="181" spans="1:12" s="1279" customFormat="1" ht="20.100000000000001" customHeight="1">
      <c r="A181" s="1377">
        <f t="shared" si="6"/>
        <v>0</v>
      </c>
      <c r="B181" s="1378" t="s">
        <v>277</v>
      </c>
      <c r="C181" s="1312"/>
      <c r="D181" s="1274" t="str">
        <f>VLOOKUP($B181,DG!A:D,DG!$B$2,)</f>
        <v>06.3231</v>
      </c>
      <c r="E181" s="1275" t="str">
        <f>VLOOKUP($B181,DG!A:D,DG!$C$2,)&amp;": 2 bộ: CD 90-280"</f>
        <v>Cổ dê kẹp ống PVC Ø 90: 2 bộ: CD 90-280</v>
      </c>
      <c r="F181" s="1274" t="str">
        <f>VLOOKUP($B181,DG!A:D,DG!$D$2,)</f>
        <v>bộ</v>
      </c>
      <c r="G181" s="1415">
        <f>G173*0*2</f>
        <v>0</v>
      </c>
      <c r="H181" s="1353">
        <f t="shared" si="7"/>
        <v>0</v>
      </c>
      <c r="I181" s="1310"/>
      <c r="J181" s="1310"/>
      <c r="K181" s="1278"/>
      <c r="L181" s="1125">
        <v>25</v>
      </c>
    </row>
    <row r="182" spans="1:12" s="1279" customFormat="1" ht="20.100000000000001" customHeight="1">
      <c r="A182" s="1377">
        <f t="shared" si="6"/>
        <v>0</v>
      </c>
      <c r="B182" s="1378" t="s">
        <v>277</v>
      </c>
      <c r="C182" s="1312"/>
      <c r="D182" s="1274" t="str">
        <f>VLOOKUP($B182,DG!A:D,DG!$B$2,)</f>
        <v>06.3231</v>
      </c>
      <c r="E182" s="1275" t="str">
        <f>VLOOKUP($B182,DG!A:D,DG!$C$2,)&amp;": 2 bộ: CD 90-320"</f>
        <v>Cổ dê kẹp ống PVC Ø 90: 2 bộ: CD 90-320</v>
      </c>
      <c r="F182" s="1274" t="str">
        <f>VLOOKUP($B182,DG!A:D,DG!$D$2,)</f>
        <v>bộ</v>
      </c>
      <c r="G182" s="1415">
        <f>G173*0*2</f>
        <v>0</v>
      </c>
      <c r="H182" s="1353">
        <f t="shared" si="7"/>
        <v>0</v>
      </c>
      <c r="I182" s="1310"/>
      <c r="J182" s="1310"/>
      <c r="K182" s="1278"/>
      <c r="L182" s="1125">
        <v>25</v>
      </c>
    </row>
    <row r="183" spans="1:12" s="1279" customFormat="1" ht="20.100000000000001" customHeight="1">
      <c r="A183" s="1377">
        <f t="shared" si="6"/>
        <v>0</v>
      </c>
      <c r="B183" s="1378" t="s">
        <v>1161</v>
      </c>
      <c r="C183" s="1312"/>
      <c r="D183" s="1274" t="str">
        <f>VLOOKUP($B183,DG!A:D,DG!$B$2,)</f>
        <v>06.2110</v>
      </c>
      <c r="E183" s="1275" t="str">
        <f>VLOOKUP($B183,DG!A:D,DG!$C$2,)&amp;": 2 bộ: CD 90-320"</f>
        <v>Lắp cổ dề: 2 bộ: CD 90-320</v>
      </c>
      <c r="F183" s="1274" t="str">
        <f>VLOOKUP($B183,DG!A:D,DG!$D$2,)</f>
        <v>bộ</v>
      </c>
      <c r="G183" s="1415">
        <f>G174*1.12*2</f>
        <v>0</v>
      </c>
      <c r="H183" s="1353">
        <f t="shared" si="7"/>
        <v>0</v>
      </c>
      <c r="I183" s="1310"/>
      <c r="J183" s="1310"/>
      <c r="K183" s="1278"/>
      <c r="L183" s="1125">
        <v>25</v>
      </c>
    </row>
    <row r="184" spans="1:12" s="1279" customFormat="1" ht="20.100000000000001" customHeight="1">
      <c r="A184" s="1377">
        <f t="shared" si="6"/>
        <v>0</v>
      </c>
      <c r="B184" s="1378" t="s">
        <v>2072</v>
      </c>
      <c r="C184" s="1312"/>
      <c r="D184" s="1274">
        <f>VLOOKUP($B184,DG!A:D,DG!$B$2,)</f>
        <v>0</v>
      </c>
      <c r="E184" s="1275" t="str">
        <f>VLOOKUP($B184,DG!A:D,DG!$C$2,)</f>
        <v>Boulon 12x40+ 2 long đền vuông D14-50x50x3/Zn</v>
      </c>
      <c r="F184" s="1274" t="str">
        <f>VLOOKUP($B184,DG!A:D,DG!$D$2,)</f>
        <v>bộ</v>
      </c>
      <c r="G184" s="1312">
        <f>G173*12*0</f>
        <v>0</v>
      </c>
      <c r="H184" s="1353">
        <f t="shared" si="7"/>
        <v>0</v>
      </c>
      <c r="I184" s="1310"/>
      <c r="J184" s="1310"/>
      <c r="K184" s="1278"/>
      <c r="L184" s="1125">
        <v>25</v>
      </c>
    </row>
    <row r="185" spans="1:12" s="1279" customFormat="1" ht="20.100000000000001" customHeight="1">
      <c r="A185" s="1377">
        <f t="shared" si="6"/>
        <v>0</v>
      </c>
      <c r="B185" s="1587" t="s">
        <v>69</v>
      </c>
      <c r="C185" s="1312"/>
      <c r="D185" s="1274">
        <f>VLOOKUP($B185,DG!A:D,DG!$B$2,)</f>
        <v>0</v>
      </c>
      <c r="E185" s="1275" t="str">
        <f>VLOOKUP($B185,DG!A:D,DG!$C$2,)</f>
        <v>Co  90 độ PVC 90</v>
      </c>
      <c r="F185" s="1274" t="str">
        <f>VLOOKUP($B185,DG!A:D,DG!$D$2,)</f>
        <v>cái</v>
      </c>
      <c r="G185" s="1312">
        <f>2*G173</f>
        <v>0</v>
      </c>
      <c r="H185" s="1353">
        <f t="shared" si="7"/>
        <v>0</v>
      </c>
      <c r="I185" s="1310"/>
      <c r="J185" s="1310"/>
      <c r="K185" s="1278"/>
      <c r="L185" s="1125">
        <v>25</v>
      </c>
    </row>
    <row r="186" spans="1:12" s="1279" customFormat="1" ht="20.100000000000001" customHeight="1">
      <c r="A186" s="1377">
        <f t="shared" si="6"/>
        <v>0</v>
      </c>
      <c r="B186" s="1587" t="s">
        <v>1245</v>
      </c>
      <c r="C186" s="1312"/>
      <c r="D186" s="1274">
        <f>VLOOKUP($B186,DG!A:D,DG!$B$2,)</f>
        <v>0</v>
      </c>
      <c r="E186" s="1275" t="str">
        <f>VLOOKUP($B186,DG!A:D,DG!$C$2,)</f>
        <v>Co 135 độ PVC 90</v>
      </c>
      <c r="F186" s="1274" t="str">
        <f>VLOOKUP($B186,DG!A:D,DG!$D$2,)</f>
        <v>cái</v>
      </c>
      <c r="G186" s="1312">
        <f>G173*1</f>
        <v>0</v>
      </c>
      <c r="H186" s="1353">
        <f t="shared" si="7"/>
        <v>0</v>
      </c>
      <c r="I186" s="1310"/>
      <c r="J186" s="1310"/>
      <c r="K186" s="1278"/>
      <c r="L186" s="1125">
        <v>25</v>
      </c>
    </row>
    <row r="187" spans="1:12" s="1279" customFormat="1" ht="20.100000000000001" customHeight="1">
      <c r="A187" s="1377">
        <f t="shared" si="6"/>
        <v>0</v>
      </c>
      <c r="B187" s="1587" t="s">
        <v>2136</v>
      </c>
      <c r="C187" s="1312"/>
      <c r="D187" s="1274">
        <f>VLOOKUP($B187,DG!A:D,DG!$B$2,)</f>
        <v>0</v>
      </c>
      <c r="E187" s="1275" t="str">
        <f>VLOOKUP($B187,DG!A:D,DG!$C$2,)</f>
        <v>Keo dán ống PVC (100gr)</v>
      </c>
      <c r="F187" s="1274" t="str">
        <f>VLOOKUP($B187,DG!A:D,DG!$D$2,)</f>
        <v>tuýp</v>
      </c>
      <c r="G187" s="1312">
        <f>G173*2</f>
        <v>0</v>
      </c>
      <c r="H187" s="1353">
        <f t="shared" si="7"/>
        <v>0</v>
      </c>
      <c r="I187" s="1310"/>
      <c r="J187" s="1310"/>
      <c r="K187" s="1278"/>
      <c r="L187" s="1125">
        <v>25</v>
      </c>
    </row>
    <row r="188" spans="1:12" s="1279" customFormat="1" ht="20.100000000000001" customHeight="1">
      <c r="A188" s="1377">
        <f t="shared" si="6"/>
        <v>0</v>
      </c>
      <c r="B188" s="1587" t="s">
        <v>492</v>
      </c>
      <c r="C188" s="1312"/>
      <c r="D188" s="1274">
        <f>VLOOKUP($B188,DG!A:D,DG!$B$2,)</f>
        <v>0</v>
      </c>
      <c r="E188" s="1275" t="str">
        <f>VLOOKUP($B188,DG!A:D,DG!$C$2,)</f>
        <v>Keo silicon bít miệng ống</v>
      </c>
      <c r="F188" s="1274" t="str">
        <f>VLOOKUP($B188,DG!A:D,DG!$D$2,)</f>
        <v>ống</v>
      </c>
      <c r="G188" s="1312">
        <f>G173</f>
        <v>0</v>
      </c>
      <c r="H188" s="1353">
        <f t="shared" si="7"/>
        <v>0</v>
      </c>
      <c r="I188" s="1310"/>
      <c r="J188" s="1310"/>
      <c r="K188" s="1278"/>
      <c r="L188" s="1125">
        <v>25</v>
      </c>
    </row>
    <row r="189" spans="1:12" s="1279" customFormat="1" ht="20.100000000000001" customHeight="1">
      <c r="A189" s="1377">
        <f t="shared" si="6"/>
        <v>0</v>
      </c>
      <c r="B189" s="1378" t="s">
        <v>677</v>
      </c>
      <c r="C189" s="1312"/>
      <c r="D189" s="1274">
        <f>VLOOKUP($B189,DG!A:D,DG!$B$2,)</f>
        <v>0</v>
      </c>
      <c r="E189" s="1275" t="str">
        <f>VLOOKUP($B189,DG!A:D,DG!$C$2,)</f>
        <v>Băng keo cách điện</v>
      </c>
      <c r="F189" s="1274" t="str">
        <f>VLOOKUP($B189,DG!A:D,DG!$D$2,)</f>
        <v>cuộn</v>
      </c>
      <c r="G189" s="1312">
        <f>G187</f>
        <v>0</v>
      </c>
      <c r="H189" s="1353">
        <f t="shared" si="7"/>
        <v>0</v>
      </c>
      <c r="I189" s="1310"/>
      <c r="J189" s="1310"/>
      <c r="K189" s="1278"/>
      <c r="L189" s="1125">
        <v>25</v>
      </c>
    </row>
    <row r="190" spans="1:12" s="1279" customFormat="1" ht="20.100000000000001" customHeight="1">
      <c r="A190" s="1377">
        <f t="shared" si="6"/>
        <v>0</v>
      </c>
      <c r="B190" s="1587" t="s">
        <v>2244</v>
      </c>
      <c r="C190" s="1312"/>
      <c r="D190" s="1274" t="str">
        <f>VLOOKUP($B190,DG!A:D,DG!$B$2,)</f>
        <v>07.2415</v>
      </c>
      <c r="E190" s="1275" t="str">
        <f>VLOOKUP($B190,DG!A:D,DG!$C$2,)</f>
        <v>Lắp ống nhựa PVC D90</v>
      </c>
      <c r="F190" s="1274" t="str">
        <f>VLOOKUP($B190,DG!A:D,DG!$D$2,)</f>
        <v>mét</v>
      </c>
      <c r="G190" s="1312">
        <f>G179</f>
        <v>0</v>
      </c>
      <c r="H190" s="1353">
        <f t="shared" si="7"/>
        <v>0</v>
      </c>
      <c r="I190" s="1310"/>
      <c r="J190" s="1310"/>
      <c r="K190" s="1278"/>
      <c r="L190" s="1125">
        <v>25</v>
      </c>
    </row>
    <row r="191" spans="1:12" s="1279" customFormat="1" ht="20.100000000000001" customHeight="1">
      <c r="A191" s="1377">
        <f t="shared" si="6"/>
        <v>0</v>
      </c>
      <c r="B191" s="1378" t="s">
        <v>1577</v>
      </c>
      <c r="C191" s="1312"/>
      <c r="D191" s="1274" t="str">
        <f>VLOOKUP($B191,DG!A:D,DG!$B$2,)</f>
        <v>04.4201</v>
      </c>
      <c r="E191" s="1275" t="str">
        <f>VLOOKUP($B191,DG!A:D,DG!$C$2,)</f>
        <v>Lắp cáp đồng xuống thiết bị D ≤ 95mm2</v>
      </c>
      <c r="F191" s="1274" t="str">
        <f>VLOOKUP($B191,DG!A:D,DG!$D$2,)</f>
        <v>m</v>
      </c>
      <c r="G191" s="1312">
        <f>G175</f>
        <v>0</v>
      </c>
      <c r="H191" s="1353">
        <f t="shared" si="7"/>
        <v>0</v>
      </c>
      <c r="I191" s="1310"/>
      <c r="J191" s="1310"/>
      <c r="K191" s="1278"/>
      <c r="L191" s="1125">
        <v>25</v>
      </c>
    </row>
    <row r="192" spans="1:12" s="1279" customFormat="1" ht="20.100000000000001" customHeight="1">
      <c r="A192" s="1377">
        <f t="shared" si="6"/>
        <v>0</v>
      </c>
      <c r="B192" s="1587" t="s">
        <v>290</v>
      </c>
      <c r="C192" s="1426">
        <f>IF(G192&gt;0,C173+1,C173)</f>
        <v>0</v>
      </c>
      <c r="D192" s="1427"/>
      <c r="E192" s="1275" t="str">
        <f>VLOOKUP($B192,DG!A:D,DG!$C$2,)</f>
        <v>Bảng tên trạm, bảng báo nguy hiểm + đinh vít</v>
      </c>
      <c r="F192" s="1274" t="str">
        <f>VLOOKUP($B192,DG!A:D,DG!$D$2,)</f>
        <v>bộ</v>
      </c>
      <c r="G192" s="1426">
        <f>G128</f>
        <v>0</v>
      </c>
      <c r="H192" s="1353">
        <f t="shared" si="7"/>
        <v>0</v>
      </c>
      <c r="I192" s="1310"/>
      <c r="J192" s="1310"/>
      <c r="K192" s="1298"/>
      <c r="L192" s="1125">
        <v>25</v>
      </c>
    </row>
    <row r="193" spans="1:13" s="1279" customFormat="1" ht="20.100000000000001" customHeight="1">
      <c r="A193" s="1377">
        <f t="shared" si="6"/>
        <v>0</v>
      </c>
      <c r="B193" s="1576"/>
      <c r="C193" s="1354"/>
      <c r="D193" s="1417"/>
      <c r="E193" s="1264"/>
      <c r="F193" s="1419"/>
      <c r="G193" s="1419"/>
      <c r="H193" s="1353">
        <f t="shared" si="7"/>
        <v>0</v>
      </c>
      <c r="I193" s="1420"/>
      <c r="J193" s="1421"/>
      <c r="K193" s="1354"/>
      <c r="L193" s="1125">
        <v>25</v>
      </c>
    </row>
    <row r="194" spans="1:13" s="1279" customFormat="1" ht="20.100000000000001" customHeight="1">
      <c r="A194" s="1377">
        <f t="shared" si="6"/>
        <v>0</v>
      </c>
      <c r="B194" s="1576"/>
      <c r="C194" s="1385"/>
      <c r="D194" s="1125"/>
      <c r="H194" s="1353">
        <f t="shared" si="7"/>
        <v>0</v>
      </c>
      <c r="L194" s="1125"/>
    </row>
    <row r="195" spans="1:13" s="1279" customFormat="1" ht="20.100000000000001" customHeight="1">
      <c r="A195" s="1377">
        <f t="shared" si="6"/>
        <v>0</v>
      </c>
      <c r="B195" s="1576"/>
      <c r="C195" s="1581" t="str">
        <f>"BAÛNG TOÅNG HÔÏP VAÄT LIEÄU, NHAÂN COÂNG, MAÙY THI COÂNG : "&amp;H8&amp;" TRAÏM 1P37,5KVA"</f>
        <v>BAÛNG TOÅNG HÔÏP VAÄT LIEÄU, NHAÂN COÂNG, MAÙY THI COÂNG : 0 TRAÏM 1P37,5KVA</v>
      </c>
      <c r="D195" s="1579"/>
      <c r="E195" s="1578"/>
      <c r="F195" s="1578"/>
      <c r="G195" s="1578"/>
      <c r="H195" s="1580">
        <f t="shared" si="7"/>
        <v>0</v>
      </c>
      <c r="I195" s="1578"/>
      <c r="J195" s="1578"/>
      <c r="K195" s="1132"/>
      <c r="L195" s="1125"/>
    </row>
    <row r="196" spans="1:13" s="1279" customFormat="1" ht="20.100000000000001" customHeight="1">
      <c r="A196" s="1377">
        <f t="shared" si="6"/>
        <v>0</v>
      </c>
      <c r="B196" s="1582"/>
      <c r="C196" s="1380"/>
      <c r="D196" s="1381"/>
      <c r="E196" s="1264" t="s">
        <v>3771</v>
      </c>
      <c r="F196" s="1383"/>
      <c r="G196" s="1383"/>
      <c r="H196" s="1353">
        <f t="shared" si="7"/>
        <v>0</v>
      </c>
      <c r="I196" s="1383"/>
      <c r="J196" s="1383"/>
      <c r="K196" s="1354"/>
      <c r="L196" s="1125" t="s">
        <v>4555</v>
      </c>
    </row>
    <row r="197" spans="1:13" s="1279" customFormat="1" ht="20.100000000000001" customHeight="1">
      <c r="A197" s="1377">
        <f t="shared" si="6"/>
        <v>0</v>
      </c>
      <c r="B197" s="1583" t="s">
        <v>1241</v>
      </c>
      <c r="C197" s="1286">
        <f>IF(G197&gt;0,1,0)</f>
        <v>0</v>
      </c>
      <c r="D197" s="1274" t="str">
        <f>VLOOKUP($B197,DG!A:D,DG!$B$2,)</f>
        <v>01.1412</v>
      </c>
      <c r="E197" s="1275" t="str">
        <f>VLOOKUP($B197,DG!A:D,DG!$C$2,)</f>
        <v>Máy biến áp 12,7/0,22-0,44kV  37,5kVA</v>
      </c>
      <c r="F197" s="1274" t="str">
        <f>VLOOKUP($B197,DG!A:D,DG!$D$2,)</f>
        <v>máy</v>
      </c>
      <c r="G197" s="1423">
        <f>H8</f>
        <v>0</v>
      </c>
      <c r="H197" s="1353">
        <f t="shared" si="7"/>
        <v>0</v>
      </c>
      <c r="I197" s="1310"/>
      <c r="J197" s="1310"/>
      <c r="K197" s="1424"/>
      <c r="L197" s="1125" t="s">
        <v>4555</v>
      </c>
    </row>
    <row r="198" spans="1:13" s="1279" customFormat="1" ht="20.100000000000001" customHeight="1">
      <c r="A198" s="1377">
        <f t="shared" si="6"/>
        <v>0</v>
      </c>
      <c r="B198" s="1583" t="s">
        <v>1704</v>
      </c>
      <c r="C198" s="1286">
        <f t="shared" ref="C198:C203" si="8">IF(G198&gt;0,C197+1,C197)</f>
        <v>0</v>
      </c>
      <c r="D198" s="1274" t="str">
        <f>VLOOKUP($B198,DG!A:D,DG!$B$2,)</f>
        <v>02.3155</v>
      </c>
      <c r="E198" s="1275" t="str">
        <f>VLOOKUP($B198,DG!A:D,DG!$C$2,)</f>
        <v>FCO 24kV - 100A</v>
      </c>
      <c r="F198" s="1274" t="str">
        <f>VLOOKUP($B198,DG!A:D,DG!$D$2,)</f>
        <v>cái</v>
      </c>
      <c r="G198" s="1312">
        <f>+G197</f>
        <v>0</v>
      </c>
      <c r="H198" s="1353">
        <f t="shared" si="7"/>
        <v>0</v>
      </c>
      <c r="I198" s="1310"/>
      <c r="J198" s="1310"/>
      <c r="K198" s="1278"/>
      <c r="L198" s="1125" t="s">
        <v>4555</v>
      </c>
    </row>
    <row r="199" spans="1:13" s="1279" customFormat="1" ht="20.100000000000001" customHeight="1">
      <c r="A199" s="1377">
        <f t="shared" si="6"/>
        <v>0</v>
      </c>
      <c r="B199" s="1583" t="s">
        <v>905</v>
      </c>
      <c r="C199" s="1286">
        <f t="shared" si="8"/>
        <v>0</v>
      </c>
      <c r="D199" s="1274">
        <f>VLOOKUP($B199,DG!A:D,DG!$B$2,)</f>
        <v>0</v>
      </c>
      <c r="E199" s="1275" t="str">
        <f>VLOOKUP($B199,DG!A:D,DG!$C$2,)</f>
        <v>Dây chảy 3K</v>
      </c>
      <c r="F199" s="1274" t="str">
        <f>VLOOKUP($B199,DG!A:D,DG!$D$2,)</f>
        <v>Sợi</v>
      </c>
      <c r="G199" s="1312">
        <f>G198</f>
        <v>0</v>
      </c>
      <c r="H199" s="1353">
        <f t="shared" si="7"/>
        <v>0</v>
      </c>
      <c r="I199" s="1310"/>
      <c r="J199" s="1310"/>
      <c r="K199" s="1278"/>
      <c r="L199" s="1125" t="s">
        <v>4555</v>
      </c>
    </row>
    <row r="200" spans="1:13" s="1279" customFormat="1" ht="20.100000000000001" customHeight="1">
      <c r="A200" s="1377">
        <f t="shared" si="6"/>
        <v>0</v>
      </c>
      <c r="B200" s="1576" t="s">
        <v>1406</v>
      </c>
      <c r="C200" s="1286">
        <f t="shared" si="8"/>
        <v>0</v>
      </c>
      <c r="D200" s="1274" t="str">
        <f>VLOOKUP($B200,DG!A:D,DG!$B$2,)</f>
        <v>02.5114</v>
      </c>
      <c r="E200" s="1275" t="str">
        <f>VLOOKUP($B200,DG!A:D,DG!$C$2,)</f>
        <v>LA 18kV 10kA</v>
      </c>
      <c r="F200" s="1274" t="str">
        <f>VLOOKUP($B200,DG!A:D,DG!$D$2,)</f>
        <v>cái</v>
      </c>
      <c r="G200" s="1312">
        <f>G198</f>
        <v>0</v>
      </c>
      <c r="H200" s="1353">
        <f t="shared" si="7"/>
        <v>0</v>
      </c>
      <c r="I200" s="1310"/>
      <c r="J200" s="1310"/>
      <c r="K200" s="1278"/>
      <c r="L200" s="1125" t="s">
        <v>4555</v>
      </c>
    </row>
    <row r="201" spans="1:13" s="1279" customFormat="1" ht="20.100000000000001" customHeight="1">
      <c r="A201" s="1377">
        <f t="shared" si="6"/>
        <v>0</v>
      </c>
      <c r="B201" s="1584" t="s">
        <v>801</v>
      </c>
      <c r="C201" s="1286">
        <f t="shared" si="8"/>
        <v>0</v>
      </c>
      <c r="D201" s="1274" t="str">
        <f>VLOOKUP($B201,DG!A:D,DG!$B$2,)</f>
        <v>02.8401</v>
      </c>
      <c r="E201" s="1275" t="str">
        <f>VLOOKUP($B201,DG!A:D,DG!$C$2,)</f>
        <v>MCCB 3 cực 400V-100A - 30KA</v>
      </c>
      <c r="F201" s="1274" t="str">
        <f>VLOOKUP($B201,DG!A:D,DG!$D$2,)</f>
        <v>cái</v>
      </c>
      <c r="G201" s="1312">
        <f>G197</f>
        <v>0</v>
      </c>
      <c r="H201" s="1353">
        <f t="shared" si="7"/>
        <v>0</v>
      </c>
      <c r="I201" s="1310"/>
      <c r="J201" s="1310"/>
      <c r="K201" s="1278"/>
      <c r="L201" s="1125" t="s">
        <v>4555</v>
      </c>
    </row>
    <row r="202" spans="1:13" s="1279" customFormat="1" ht="20.100000000000001" customHeight="1">
      <c r="A202" s="1377">
        <f t="shared" si="6"/>
        <v>0</v>
      </c>
      <c r="B202" s="1585" t="s">
        <v>2097</v>
      </c>
      <c r="C202" s="1286">
        <f t="shared" si="8"/>
        <v>0</v>
      </c>
      <c r="D202" s="1274">
        <f>VLOOKUP($B202,DG!A:D,DG!$B$2,)</f>
        <v>0</v>
      </c>
      <c r="E202" s="1275" t="str">
        <f>VLOOKUP($B202,DG!A:D,DG!$C$2,)</f>
        <v>Biến dòng 600V - 100/5A</v>
      </c>
      <c r="F202" s="1274" t="str">
        <f>VLOOKUP($B202,DG!A:D,DG!$D$2,)</f>
        <v>cái</v>
      </c>
      <c r="G202" s="1312">
        <f>G197*2</f>
        <v>0</v>
      </c>
      <c r="H202" s="1353">
        <f t="shared" si="7"/>
        <v>0</v>
      </c>
      <c r="I202" s="1310"/>
      <c r="J202" s="1310"/>
      <c r="K202" s="1278"/>
      <c r="L202" s="1125" t="s">
        <v>4555</v>
      </c>
    </row>
    <row r="203" spans="1:13" s="1279" customFormat="1" ht="20.100000000000001" customHeight="1">
      <c r="A203" s="1377">
        <f t="shared" si="6"/>
        <v>0</v>
      </c>
      <c r="B203" s="1589" t="s">
        <v>288</v>
      </c>
      <c r="C203" s="1286">
        <f t="shared" si="8"/>
        <v>0</v>
      </c>
      <c r="D203" s="1274">
        <f>VLOOKUP($B203,DG!A:D,DG!$B$2,)</f>
        <v>0</v>
      </c>
      <c r="E203" s="1275" t="str">
        <f>VLOOKUP($B203,DG!A:D,DG!$C$2,)</f>
        <v>Điện kế 1 pha 2 dây 220V-5A</v>
      </c>
      <c r="F203" s="1274" t="str">
        <f>VLOOKUP($B203,DG!A:D,DG!$D$2,)</f>
        <v>cái</v>
      </c>
      <c r="G203" s="1312">
        <f>G197*2</f>
        <v>0</v>
      </c>
      <c r="H203" s="1353">
        <f t="shared" si="7"/>
        <v>0</v>
      </c>
      <c r="I203" s="1310"/>
      <c r="J203" s="1310"/>
      <c r="K203" s="1278"/>
      <c r="L203" s="1125" t="s">
        <v>4555</v>
      </c>
    </row>
    <row r="204" spans="1:13" s="1279" customFormat="1" ht="20.100000000000001" customHeight="1">
      <c r="A204" s="1377">
        <f t="shared" si="6"/>
        <v>0</v>
      </c>
      <c r="B204" s="1582"/>
      <c r="C204" s="1309"/>
      <c r="D204" s="1405"/>
      <c r="E204" s="1384"/>
      <c r="F204" s="1309"/>
      <c r="G204" s="1309"/>
      <c r="H204" s="1353">
        <f t="shared" si="7"/>
        <v>0</v>
      </c>
      <c r="I204" s="1384"/>
      <c r="J204" s="1309"/>
      <c r="K204" s="1354"/>
      <c r="L204" s="1125" t="s">
        <v>4555</v>
      </c>
    </row>
    <row r="205" spans="1:13" s="1279" customFormat="1" ht="20.100000000000001" customHeight="1">
      <c r="A205" s="1377">
        <f t="shared" si="6"/>
        <v>0</v>
      </c>
      <c r="B205" s="1582"/>
      <c r="C205" s="1407"/>
      <c r="D205" s="1408"/>
      <c r="E205" s="1264" t="s">
        <v>3772</v>
      </c>
      <c r="F205" s="1264"/>
      <c r="G205" s="1264"/>
      <c r="H205" s="1353">
        <f t="shared" si="7"/>
        <v>0</v>
      </c>
      <c r="I205" s="1264"/>
      <c r="J205" s="1264"/>
      <c r="K205" s="1354"/>
      <c r="L205" s="1125" t="s">
        <v>4555</v>
      </c>
    </row>
    <row r="206" spans="1:13" s="1279" customFormat="1" ht="20.100000000000001" customHeight="1">
      <c r="A206" s="1377">
        <f t="shared" si="6"/>
        <v>0</v>
      </c>
      <c r="B206" s="1582" t="s">
        <v>1662</v>
      </c>
      <c r="C206" s="1409">
        <f>IF(G218&gt;0,1,0)</f>
        <v>0</v>
      </c>
      <c r="D206" s="1411"/>
      <c r="E206" s="1275" t="str">
        <f>VLOOKUP($B206,DG!A:D,DG!$C$2,)</f>
        <v>Boulon 16x300+ 2 long đền vuông D18-50x50x3/Zn</v>
      </c>
      <c r="F206" s="1274" t="str">
        <f>VLOOKUP($B206,DG!A:D,DG!$D$2,)</f>
        <v>bộ</v>
      </c>
      <c r="G206" s="1390">
        <f>2*SUM(G197:G197)</f>
        <v>0</v>
      </c>
      <c r="H206" s="1353">
        <f t="shared" si="7"/>
        <v>0</v>
      </c>
      <c r="I206" s="1310"/>
      <c r="J206" s="1310"/>
      <c r="K206" s="1424"/>
      <c r="L206" s="1125" t="s">
        <v>4555</v>
      </c>
    </row>
    <row r="207" spans="1:13" s="1279" customFormat="1" ht="20.100000000000001" customHeight="1">
      <c r="A207" s="1377">
        <f t="shared" si="6"/>
        <v>0</v>
      </c>
      <c r="B207" s="1582"/>
      <c r="C207" s="1273">
        <f>IF(G207&gt;0,C206+1,C206)</f>
        <v>0</v>
      </c>
      <c r="D207" s="1411"/>
      <c r="E207" s="1412" t="s">
        <v>3773</v>
      </c>
      <c r="F207" s="1390" t="s">
        <v>2449</v>
      </c>
      <c r="G207" s="1390">
        <f>G197</f>
        <v>0</v>
      </c>
      <c r="H207" s="1353">
        <f t="shared" si="7"/>
        <v>0</v>
      </c>
      <c r="I207" s="1342"/>
      <c r="J207" s="1342"/>
      <c r="K207" s="1312"/>
      <c r="L207" s="1125" t="s">
        <v>4555</v>
      </c>
    </row>
    <row r="208" spans="1:13" s="1279" customFormat="1" ht="20.100000000000001" customHeight="1">
      <c r="A208" s="1377">
        <f>IF(A207&gt;0,1,0)</f>
        <v>0</v>
      </c>
      <c r="B208" s="1582"/>
      <c r="C208" s="1390"/>
      <c r="D208" s="1411"/>
      <c r="E208" s="1634" t="s">
        <v>2342</v>
      </c>
      <c r="F208" s="1312"/>
      <c r="G208" s="1312"/>
      <c r="H208" s="1353">
        <f t="shared" si="7"/>
        <v>0</v>
      </c>
      <c r="I208" s="1342"/>
      <c r="J208" s="1342"/>
      <c r="K208" s="1312"/>
      <c r="L208" s="1125" t="s">
        <v>4555</v>
      </c>
      <c r="M208" s="1413"/>
    </row>
    <row r="209" spans="1:13" s="1279" customFormat="1" ht="20.100000000000001" customHeight="1">
      <c r="A209" s="1377">
        <f t="shared" si="6"/>
        <v>0</v>
      </c>
      <c r="B209" s="1378" t="s">
        <v>116</v>
      </c>
      <c r="C209" s="1312"/>
      <c r="D209" s="1274">
        <f>VLOOKUP($B209,DG!A:D,DG!$B$2,)</f>
        <v>0</v>
      </c>
      <c r="E209" s="1275" t="str">
        <f>VLOOKUP($B209,DG!A:D,DG!$C$2,)</f>
        <v>Trụ BTLT 12m F350 dự ứng lực</v>
      </c>
      <c r="F209" s="1274" t="str">
        <f>VLOOKUP($B209,DG!A:D,DG!$D$2,)</f>
        <v>trụ</v>
      </c>
      <c r="G209" s="1312">
        <f>1*G207</f>
        <v>0</v>
      </c>
      <c r="H209" s="1353">
        <f t="shared" si="7"/>
        <v>0</v>
      </c>
      <c r="I209" s="1310"/>
      <c r="J209" s="1310"/>
      <c r="K209" s="1312"/>
      <c r="L209" s="1125" t="s">
        <v>4555</v>
      </c>
      <c r="M209" s="1413"/>
    </row>
    <row r="210" spans="1:13" s="1279" customFormat="1" ht="20.100000000000001" customHeight="1">
      <c r="A210" s="1377">
        <f t="shared" si="6"/>
        <v>0</v>
      </c>
      <c r="B210" s="1378" t="s">
        <v>1867</v>
      </c>
      <c r="C210" s="1312"/>
      <c r="D210" s="1414"/>
      <c r="E210" s="1275" t="str">
        <f>VLOOKUP($B210,DG!A:D,DG!$C$2,)</f>
        <v>Vật liệu dựng trụ</v>
      </c>
      <c r="F210" s="1274" t="str">
        <f>VLOOKUP($B210,DG!A:D,DG!$D$2,)</f>
        <v>trụ</v>
      </c>
      <c r="G210" s="1312">
        <f>G209</f>
        <v>0</v>
      </c>
      <c r="H210" s="1353">
        <f t="shared" si="7"/>
        <v>0</v>
      </c>
      <c r="I210" s="1310"/>
      <c r="J210" s="1310"/>
      <c r="K210" s="1312"/>
      <c r="L210" s="1125" t="s">
        <v>4555</v>
      </c>
      <c r="M210" s="1413"/>
    </row>
    <row r="211" spans="1:13" s="1279" customFormat="1" ht="20.100000000000001" customHeight="1">
      <c r="A211" s="1377">
        <f t="shared" si="6"/>
        <v>0</v>
      </c>
      <c r="B211" s="1378" t="s">
        <v>2188</v>
      </c>
      <c r="C211" s="1312"/>
      <c r="D211" s="1274" t="str">
        <f>VLOOKUP($B211,DG!A:D,DG!$B$2,)</f>
        <v>04.9203</v>
      </c>
      <c r="E211" s="1275" t="str">
        <f>VLOOKUP($B211,DG!A:D,DG!$C$2,)</f>
        <v>Dựng trụ BTLT 12m trong TBA bằng thủ công + cơ giới</v>
      </c>
      <c r="F211" s="1274" t="str">
        <f>VLOOKUP($B211,DG!A:D,DG!$D$2,)</f>
        <v>trụ</v>
      </c>
      <c r="G211" s="1312">
        <f>G209</f>
        <v>0</v>
      </c>
      <c r="H211" s="1353">
        <f t="shared" si="7"/>
        <v>0</v>
      </c>
      <c r="I211" s="1310"/>
      <c r="J211" s="1310"/>
      <c r="K211" s="1312"/>
      <c r="L211" s="1125" t="s">
        <v>4555</v>
      </c>
      <c r="M211" s="1413"/>
    </row>
    <row r="212" spans="1:13" s="1279" customFormat="1" ht="20.100000000000001" customHeight="1">
      <c r="A212" s="1377">
        <f t="shared" si="6"/>
        <v>0</v>
      </c>
      <c r="B212" s="1582"/>
      <c r="C212" s="1273">
        <f>IF(G212&gt;0,C207+1,C207)</f>
        <v>0</v>
      </c>
      <c r="D212" s="1411"/>
      <c r="E212" s="1412" t="s">
        <v>2416</v>
      </c>
      <c r="F212" s="1390" t="s">
        <v>2449</v>
      </c>
      <c r="G212" s="1390">
        <f>G207</f>
        <v>0</v>
      </c>
      <c r="H212" s="1353">
        <f t="shared" si="7"/>
        <v>0</v>
      </c>
      <c r="I212" s="1342"/>
      <c r="J212" s="1342"/>
      <c r="K212" s="1312"/>
      <c r="L212" s="1125" t="s">
        <v>4555</v>
      </c>
    </row>
    <row r="213" spans="1:13" s="1279" customFormat="1" ht="20.100000000000001" customHeight="1">
      <c r="A213" s="1377">
        <f>IF(A212&gt;0,1,0)</f>
        <v>0</v>
      </c>
      <c r="B213" s="1582"/>
      <c r="C213" s="1390"/>
      <c r="D213" s="1411"/>
      <c r="E213" s="1634" t="s">
        <v>2342</v>
      </c>
      <c r="F213" s="1312"/>
      <c r="G213" s="1312"/>
      <c r="H213" s="1353">
        <f t="shared" si="7"/>
        <v>0</v>
      </c>
      <c r="I213" s="1342"/>
      <c r="J213" s="1342"/>
      <c r="K213" s="1312"/>
      <c r="L213" s="1125" t="s">
        <v>4555</v>
      </c>
      <c r="M213" s="1413"/>
    </row>
    <row r="214" spans="1:13" s="1279" customFormat="1" ht="20.100000000000001" customHeight="1">
      <c r="A214" s="1377">
        <f t="shared" si="6"/>
        <v>0</v>
      </c>
      <c r="B214" s="1589" t="s">
        <v>641</v>
      </c>
      <c r="C214" s="1312"/>
      <c r="D214" s="1274" t="str">
        <f>VLOOKUP($B214,DG!A:D,DG!$B$2,)</f>
        <v>04.4001</v>
      </c>
      <c r="E214" s="1275" t="str">
        <f>VLOOKUP($B214,DG!A:D,DG!$C$2,)</f>
        <v>Đà cản BTCT 1,2m</v>
      </c>
      <c r="F214" s="1274" t="str">
        <f>VLOOKUP($B214,DG!A:D,DG!$D$2,)</f>
        <v>cái</v>
      </c>
      <c r="G214" s="1312">
        <f>1*G212</f>
        <v>0</v>
      </c>
      <c r="H214" s="1353">
        <f t="shared" si="7"/>
        <v>0</v>
      </c>
      <c r="I214" s="1310"/>
      <c r="J214" s="1310"/>
      <c r="K214" s="1312"/>
      <c r="L214" s="1125" t="s">
        <v>4555</v>
      </c>
      <c r="M214" s="1413"/>
    </row>
    <row r="215" spans="1:13" s="1279" customFormat="1" ht="20.100000000000001" customHeight="1">
      <c r="A215" s="1377">
        <f t="shared" si="6"/>
        <v>0</v>
      </c>
      <c r="B215" s="1589" t="s">
        <v>570</v>
      </c>
      <c r="C215" s="1312"/>
      <c r="D215" s="1274">
        <f>VLOOKUP($B215,DG!A:D,DG!$B$2,)</f>
        <v>0</v>
      </c>
      <c r="E215" s="1275" t="str">
        <f>VLOOKUP($B215,DG!A:D,DG!$C$2,)</f>
        <v>Boulon 22x650+ 2 long đền vuông D24-50x50x3/Zn</v>
      </c>
      <c r="F215" s="1274" t="str">
        <f>VLOOKUP($B215,DG!A:D,DG!$D$2,)</f>
        <v>bộ</v>
      </c>
      <c r="G215" s="1312">
        <f>G212</f>
        <v>0</v>
      </c>
      <c r="H215" s="1353">
        <f t="shared" si="7"/>
        <v>0</v>
      </c>
      <c r="I215" s="1310"/>
      <c r="J215" s="1310"/>
      <c r="K215" s="1312"/>
      <c r="L215" s="1125" t="s">
        <v>4555</v>
      </c>
      <c r="M215" s="1413"/>
    </row>
    <row r="216" spans="1:13" s="1279" customFormat="1" ht="20.100000000000001" customHeight="1">
      <c r="A216" s="1377">
        <f t="shared" si="6"/>
        <v>0</v>
      </c>
      <c r="B216" s="1589" t="str">
        <f>IF(chitiet!F5=1,"MDD1",IF(chitiet!F5=2,"MDD2",IF(chitiet!F5=3,"MDD3",IF(chitiet!F5=4,"MDD4"))))</f>
        <v>MDD3</v>
      </c>
      <c r="C216" s="1312"/>
      <c r="D216" s="1274" t="str">
        <f>VLOOKUP($B216,DG!A:D,DG!$B$2,)</f>
        <v>03.1013</v>
      </c>
      <c r="E216" s="1275" t="str">
        <f>VLOOKUP($B216,DG!A:D,DG!$C$2,)</f>
        <v>Đào hố móng đất cấp 3 sâu &gt;1m DT&lt;5m2</v>
      </c>
      <c r="F216" s="1274" t="str">
        <f>VLOOKUP($B216,DG!A:D,DG!$D$2,)</f>
        <v>m3</v>
      </c>
      <c r="G216" s="1346">
        <f>G212*1.45</f>
        <v>0</v>
      </c>
      <c r="H216" s="1353">
        <f t="shared" si="7"/>
        <v>0</v>
      </c>
      <c r="I216" s="1310"/>
      <c r="J216" s="1310"/>
      <c r="K216" s="1312"/>
      <c r="L216" s="1125" t="s">
        <v>4555</v>
      </c>
      <c r="M216" s="1413"/>
    </row>
    <row r="217" spans="1:13" s="1279" customFormat="1" ht="20.100000000000001" customHeight="1">
      <c r="A217" s="1377">
        <f t="shared" si="6"/>
        <v>0</v>
      </c>
      <c r="B217" s="1589" t="str">
        <f>IF(chitiet!F5=1,"MDAP1",IF(chitiet!F5=2,"MDAP2",IF(chitiet!F5=3,"MDAP3",IF(chitiet!F5=4,"MDAP4"))))</f>
        <v>MDAP3</v>
      </c>
      <c r="C217" s="1312"/>
      <c r="D217" s="1274" t="str">
        <f>VLOOKUP($B217,DG!A:D,DG!$B$2,)</f>
        <v>03.4113</v>
      </c>
      <c r="E217" s="1275" t="str">
        <f>VLOOKUP($B217,DG!A:D,DG!$C$2,)</f>
        <v>Đắp đất hố móng, độ chặt k=0,95</v>
      </c>
      <c r="F217" s="1274" t="str">
        <f>VLOOKUP($B217,DG!A:D,DG!$D$2,)</f>
        <v>m3</v>
      </c>
      <c r="G217" s="1346">
        <f>G212*1.37</f>
        <v>0</v>
      </c>
      <c r="H217" s="1353">
        <f t="shared" si="7"/>
        <v>0</v>
      </c>
      <c r="I217" s="1310"/>
      <c r="J217" s="1310"/>
      <c r="K217" s="1312"/>
      <c r="L217" s="1125" t="s">
        <v>4555</v>
      </c>
      <c r="M217" s="1413"/>
    </row>
    <row r="218" spans="1:13" s="1279" customFormat="1" ht="20.100000000000001" customHeight="1">
      <c r="A218" s="1377">
        <f t="shared" si="6"/>
        <v>0</v>
      </c>
      <c r="B218" s="1582"/>
      <c r="C218" s="1273">
        <f>IF(G218&gt;0,C212+1,C212)</f>
        <v>0</v>
      </c>
      <c r="D218" s="1411"/>
      <c r="E218" s="1425" t="s">
        <v>3774</v>
      </c>
      <c r="F218" s="1390" t="s">
        <v>2449</v>
      </c>
      <c r="G218" s="1390">
        <f>SUM(G197:G197)</f>
        <v>0</v>
      </c>
      <c r="H218" s="1353">
        <f t="shared" si="7"/>
        <v>0</v>
      </c>
      <c r="I218" s="1310"/>
      <c r="J218" s="1310"/>
      <c r="K218" s="1278"/>
      <c r="L218" s="1125" t="s">
        <v>4555</v>
      </c>
    </row>
    <row r="219" spans="1:13" s="1279" customFormat="1" ht="20.100000000000001" customHeight="1">
      <c r="A219" s="1377">
        <f>IF(A218&gt;0,1,0)</f>
        <v>0</v>
      </c>
      <c r="B219" s="1582"/>
      <c r="C219" s="1390"/>
      <c r="D219" s="1411"/>
      <c r="E219" s="1635" t="s">
        <v>2342</v>
      </c>
      <c r="F219" s="1312"/>
      <c r="G219" s="1312"/>
      <c r="H219" s="1353">
        <f t="shared" si="7"/>
        <v>0</v>
      </c>
      <c r="I219" s="1310"/>
      <c r="J219" s="1310"/>
      <c r="K219" s="1278"/>
      <c r="L219" s="1125" t="s">
        <v>4555</v>
      </c>
    </row>
    <row r="220" spans="1:13" s="1279" customFormat="1" ht="20.100000000000001" customHeight="1">
      <c r="A220" s="1377">
        <f t="shared" si="6"/>
        <v>0</v>
      </c>
      <c r="B220" s="1582" t="s">
        <v>1019</v>
      </c>
      <c r="C220" s="1312"/>
      <c r="D220" s="1274" t="str">
        <f>VLOOKUP($B220,DG!A:D,DG!$B$2,)</f>
        <v>05.6001</v>
      </c>
      <c r="E220" s="1275" t="str">
        <f>VLOOKUP($B220,DG!A:D,DG!$C$2,)</f>
        <v>Giá chữ "T" lắp FCO, LA (V50x50x5)</v>
      </c>
      <c r="F220" s="1274" t="str">
        <f>VLOOKUP($B220,DG!A:D,DG!$D$2,)</f>
        <v>Kg</v>
      </c>
      <c r="G220" s="1312">
        <f>1*G218</f>
        <v>0</v>
      </c>
      <c r="H220" s="1353">
        <f t="shared" si="7"/>
        <v>0</v>
      </c>
      <c r="I220" s="1310"/>
      <c r="J220" s="1310"/>
      <c r="K220" s="1278"/>
      <c r="L220" s="1125" t="s">
        <v>4555</v>
      </c>
    </row>
    <row r="221" spans="1:13" s="1279" customFormat="1" ht="20.100000000000001" customHeight="1">
      <c r="A221" s="1377">
        <f t="shared" ref="A221:A282" si="9">IF(H221&gt;0,1,0)</f>
        <v>0</v>
      </c>
      <c r="B221" s="1582" t="s">
        <v>1662</v>
      </c>
      <c r="C221" s="1312"/>
      <c r="D221" s="1414"/>
      <c r="E221" s="1275" t="str">
        <f>VLOOKUP($B221,DG!A:D,DG!$C$2,)</f>
        <v>Boulon 16x300+ 2 long đền vuông D18-50x50x3/Zn</v>
      </c>
      <c r="F221" s="1274" t="str">
        <f>VLOOKUP($B221,DG!A:D,DG!$D$2,)</f>
        <v>bộ</v>
      </c>
      <c r="G221" s="1312">
        <f>2*G218</f>
        <v>0</v>
      </c>
      <c r="H221" s="1353">
        <f t="shared" si="7"/>
        <v>0</v>
      </c>
      <c r="I221" s="1310"/>
      <c r="J221" s="1310"/>
      <c r="K221" s="1278"/>
      <c r="L221" s="1125" t="s">
        <v>4555</v>
      </c>
    </row>
    <row r="222" spans="1:13" s="1279" customFormat="1" ht="20.100000000000001" customHeight="1">
      <c r="A222" s="1377">
        <f t="shared" si="9"/>
        <v>0</v>
      </c>
      <c r="B222" s="1582" t="s">
        <v>709</v>
      </c>
      <c r="C222" s="1312"/>
      <c r="D222" s="1414"/>
      <c r="E222" s="1275" t="str">
        <f>VLOOKUP($B222,DG!A:D,DG!$C$2,)</f>
        <v>Boulon 12x50+ 2 long đền vuông D14-50x50x3/Zn</v>
      </c>
      <c r="F222" s="1274" t="str">
        <f>VLOOKUP($B222,DG!A:D,DG!$D$2,)</f>
        <v>bộ</v>
      </c>
      <c r="G222" s="1312">
        <f>2*G218</f>
        <v>0</v>
      </c>
      <c r="H222" s="1353">
        <f t="shared" si="7"/>
        <v>0</v>
      </c>
      <c r="I222" s="1310"/>
      <c r="J222" s="1310"/>
      <c r="K222" s="1278"/>
      <c r="L222" s="1125" t="s">
        <v>4555</v>
      </c>
    </row>
    <row r="223" spans="1:13" s="1279" customFormat="1" ht="20.100000000000001" customHeight="1">
      <c r="A223" s="1377">
        <f t="shared" si="9"/>
        <v>0</v>
      </c>
      <c r="B223" s="1582"/>
      <c r="C223" s="1390">
        <f>IF(G223&gt;0,C218+1,C218)</f>
        <v>0</v>
      </c>
      <c r="D223" s="1411"/>
      <c r="E223" s="1425" t="s">
        <v>3775</v>
      </c>
      <c r="F223" s="1390" t="s">
        <v>2449</v>
      </c>
      <c r="G223" s="1390">
        <f>G218</f>
        <v>0</v>
      </c>
      <c r="H223" s="1353">
        <f t="shared" si="7"/>
        <v>0</v>
      </c>
      <c r="I223" s="1310"/>
      <c r="J223" s="1310"/>
      <c r="K223" s="1278"/>
      <c r="L223" s="1125" t="s">
        <v>4555</v>
      </c>
    </row>
    <row r="224" spans="1:13" s="1279" customFormat="1" ht="20.100000000000001" customHeight="1">
      <c r="A224" s="1377">
        <f>IF(A223&gt;0,1,0)</f>
        <v>0</v>
      </c>
      <c r="B224" s="1582"/>
      <c r="C224" s="1312"/>
      <c r="D224" s="1414"/>
      <c r="E224" s="1635" t="s">
        <v>2342</v>
      </c>
      <c r="F224" s="1312"/>
      <c r="G224" s="1312"/>
      <c r="H224" s="1353">
        <f t="shared" si="7"/>
        <v>0</v>
      </c>
      <c r="I224" s="1310"/>
      <c r="J224" s="1310"/>
      <c r="K224" s="1278"/>
      <c r="L224" s="1125" t="s">
        <v>4555</v>
      </c>
    </row>
    <row r="225" spans="1:12" s="1279" customFormat="1" ht="20.100000000000001" customHeight="1">
      <c r="A225" s="1377">
        <f t="shared" si="9"/>
        <v>0</v>
      </c>
      <c r="B225" s="1582" t="s">
        <v>1063</v>
      </c>
      <c r="C225" s="1312"/>
      <c r="D225" s="1274">
        <f>VLOOKUP($B225,DG!A:D,DG!$B$2,)</f>
        <v>0</v>
      </c>
      <c r="E225" s="1275" t="str">
        <f>VLOOKUP($B225,DG!A:D,DG!$C$2,)</f>
        <v>Cáp đồng trần M25mm2</v>
      </c>
      <c r="F225" s="1274" t="str">
        <f>VLOOKUP($B225,DG!A:D,DG!$D$2,)</f>
        <v>kg</v>
      </c>
      <c r="G225" s="1396">
        <f>+G223*10*0.224</f>
        <v>0</v>
      </c>
      <c r="H225" s="1353">
        <f t="shared" ref="H225:H288" si="10">IF(L225=$L$23,G225+I225-J225,0)</f>
        <v>0</v>
      </c>
      <c r="I225" s="1310"/>
      <c r="J225" s="1310"/>
      <c r="K225" s="1278"/>
      <c r="L225" s="1125" t="s">
        <v>4555</v>
      </c>
    </row>
    <row r="226" spans="1:12" s="1279" customFormat="1" ht="20.100000000000001" customHeight="1">
      <c r="A226" s="1377">
        <f t="shared" si="9"/>
        <v>0</v>
      </c>
      <c r="B226" s="1378" t="s">
        <v>1560</v>
      </c>
      <c r="C226" s="1312"/>
      <c r="D226" s="1274">
        <f>VLOOKUP($B226,DG!A:D,DG!$B$2,)</f>
        <v>0</v>
      </c>
      <c r="E226" s="1275" t="str">
        <f>VLOOKUP($B226,DG!A:D,DG!$C$2,)</f>
        <v>Cọc tiếp đất Ø 16- 2,4m + kẹp cọc</v>
      </c>
      <c r="F226" s="1274" t="str">
        <f>VLOOKUP($B226,DG!A:D,DG!$D$2,)</f>
        <v>bộ</v>
      </c>
      <c r="G226" s="1312">
        <f>12*G223</f>
        <v>0</v>
      </c>
      <c r="H226" s="1353">
        <f t="shared" si="10"/>
        <v>0</v>
      </c>
      <c r="I226" s="1310"/>
      <c r="J226" s="1310"/>
      <c r="K226" s="1278"/>
      <c r="L226" s="1125" t="s">
        <v>4555</v>
      </c>
    </row>
    <row r="227" spans="1:12" s="1279" customFormat="1" ht="20.100000000000001" customHeight="1">
      <c r="A227" s="1377">
        <f t="shared" si="9"/>
        <v>0</v>
      </c>
      <c r="B227" s="1613" t="s">
        <v>2061</v>
      </c>
      <c r="C227" s="1312"/>
      <c r="D227" s="1274">
        <f>VLOOKUP($B227,DG!A:D,DG!$B$2,)</f>
        <v>0</v>
      </c>
      <c r="E227" s="1275" t="str">
        <f>VLOOKUP($B227,DG!A:D,DG!$C$2,)</f>
        <v>Sắt   Ø10</v>
      </c>
      <c r="F227" s="1274" t="str">
        <f>VLOOKUP($B227,DG!A:D,DG!$D$2,)</f>
        <v>kg</v>
      </c>
      <c r="G227" s="1312">
        <f>40*G223</f>
        <v>0</v>
      </c>
      <c r="H227" s="1353">
        <f t="shared" si="10"/>
        <v>0</v>
      </c>
      <c r="I227" s="1310"/>
      <c r="J227" s="1310"/>
      <c r="K227" s="1278"/>
      <c r="L227" s="1125" t="s">
        <v>4555</v>
      </c>
    </row>
    <row r="228" spans="1:12" s="1279" customFormat="1" ht="20.100000000000001" customHeight="1">
      <c r="A228" s="1377">
        <f t="shared" si="9"/>
        <v>0</v>
      </c>
      <c r="B228" s="1587" t="s">
        <v>922</v>
      </c>
      <c r="C228" s="1312"/>
      <c r="D228" s="1274">
        <f>VLOOKUP($B228,DG!A:D,DG!$B$2,)</f>
        <v>0</v>
      </c>
      <c r="E228" s="1275" t="str">
        <f>VLOOKUP($B228,DG!A:D,DG!$C$2,)</f>
        <v>Kẹp ép WR cỡ dây 50mm2</v>
      </c>
      <c r="F228" s="1274" t="str">
        <f>VLOOKUP($B228,DG!A:D,DG!$D$2,)</f>
        <v>cái</v>
      </c>
      <c r="G228" s="1312">
        <f>2*G223</f>
        <v>0</v>
      </c>
      <c r="H228" s="1353">
        <f t="shared" si="10"/>
        <v>0</v>
      </c>
      <c r="I228" s="1310"/>
      <c r="J228" s="1310"/>
      <c r="K228" s="1278"/>
      <c r="L228" s="1125" t="s">
        <v>4555</v>
      </c>
    </row>
    <row r="229" spans="1:12" s="1279" customFormat="1" ht="20.100000000000001" customHeight="1">
      <c r="A229" s="1377">
        <f t="shared" si="9"/>
        <v>0</v>
      </c>
      <c r="B229" s="1587" t="s">
        <v>824</v>
      </c>
      <c r="C229" s="1312"/>
      <c r="D229" s="1274" t="str">
        <f>VLOOKUP($B229,DG!A:D,DG!$B$2,)</f>
        <v>04.3107</v>
      </c>
      <c r="E229" s="1275" t="str">
        <f>VLOOKUP($B229,DG!A:D,DG!$C$2,)</f>
        <v>Ốc xiết cáp cỡ 25mm2</v>
      </c>
      <c r="F229" s="1274" t="str">
        <f>VLOOKUP($B229,DG!A:D,DG!$D$2,)</f>
        <v>cái</v>
      </c>
      <c r="G229" s="1312">
        <f>4*G223</f>
        <v>0</v>
      </c>
      <c r="H229" s="1353">
        <f t="shared" si="10"/>
        <v>0</v>
      </c>
      <c r="I229" s="1310"/>
      <c r="J229" s="1310"/>
      <c r="K229" s="1278"/>
      <c r="L229" s="1125" t="s">
        <v>4555</v>
      </c>
    </row>
    <row r="230" spans="1:12" s="1279" customFormat="1" ht="20.100000000000001" customHeight="1">
      <c r="A230" s="1377">
        <f t="shared" si="9"/>
        <v>0</v>
      </c>
      <c r="B230" s="1587" t="s">
        <v>1336</v>
      </c>
      <c r="C230" s="1312"/>
      <c r="D230" s="1274" t="str">
        <f>VLOOKUP($B230,DG!A:D,DG!$B$2,)</f>
        <v>03.4003</v>
      </c>
      <c r="E230" s="1275" t="str">
        <f>VLOOKUP($B230,DG!A:D,DG!$C$2,)</f>
        <v>Đầu cosse ép Cu 70mm2</v>
      </c>
      <c r="F230" s="1274" t="str">
        <f>VLOOKUP($B230,DG!A:D,DG!$D$2,)</f>
        <v>cái</v>
      </c>
      <c r="G230" s="1312">
        <f>+G223*2</f>
        <v>0</v>
      </c>
      <c r="H230" s="1353">
        <f t="shared" si="10"/>
        <v>0</v>
      </c>
      <c r="I230" s="1310"/>
      <c r="J230" s="1310"/>
      <c r="K230" s="1278"/>
      <c r="L230" s="1125" t="s">
        <v>4555</v>
      </c>
    </row>
    <row r="231" spans="1:12" s="1279" customFormat="1" ht="20.100000000000001" customHeight="1">
      <c r="A231" s="1377">
        <f t="shared" si="9"/>
        <v>0</v>
      </c>
      <c r="B231" s="1587" t="s">
        <v>1335</v>
      </c>
      <c r="C231" s="1312"/>
      <c r="D231" s="1274" t="str">
        <f>VLOOKUP($B231,DG!A:D,DG!$B$2,)</f>
        <v>03.4002</v>
      </c>
      <c r="E231" s="1275" t="str">
        <f>VLOOKUP($B231,DG!A:D,DG!$C$2,)</f>
        <v>Đầu cosse ép Cu 50mm2</v>
      </c>
      <c r="F231" s="1274" t="str">
        <f>VLOOKUP($B231,DG!A:D,DG!$D$2,)</f>
        <v>cái</v>
      </c>
      <c r="G231" s="1312">
        <f>+G223*3</f>
        <v>0</v>
      </c>
      <c r="H231" s="1353">
        <f t="shared" si="10"/>
        <v>0</v>
      </c>
      <c r="I231" s="1310"/>
      <c r="J231" s="1310"/>
      <c r="K231" s="1278"/>
      <c r="L231" s="1125" t="s">
        <v>4555</v>
      </c>
    </row>
    <row r="232" spans="1:12" s="1279" customFormat="1" ht="20.100000000000001" customHeight="1">
      <c r="A232" s="1377">
        <f t="shared" si="9"/>
        <v>0</v>
      </c>
      <c r="B232" s="1378" t="s">
        <v>528</v>
      </c>
      <c r="C232" s="1312"/>
      <c r="D232" s="1274" t="str">
        <f>VLOOKUP($B232,DG!A:D,DG!$B$2,)</f>
        <v>06.3231</v>
      </c>
      <c r="E232" s="1275" t="str">
        <f>VLOOKUP($B232,DG!A:D,DG!$C$2,)</f>
        <v>Cổ dê kẹp ống PVC  21</v>
      </c>
      <c r="F232" s="1274" t="str">
        <f>VLOOKUP($B232,DG!A:D,DG!$D$2,)</f>
        <v>bộ</v>
      </c>
      <c r="G232" s="1312">
        <f>2*G223</f>
        <v>0</v>
      </c>
      <c r="H232" s="1353">
        <f t="shared" si="10"/>
        <v>0</v>
      </c>
      <c r="I232" s="1310"/>
      <c r="J232" s="1310"/>
      <c r="K232" s="1278"/>
      <c r="L232" s="1125" t="s">
        <v>4555</v>
      </c>
    </row>
    <row r="233" spans="1:12" s="1279" customFormat="1" ht="20.100000000000001" customHeight="1">
      <c r="A233" s="1377">
        <f t="shared" si="9"/>
        <v>0</v>
      </c>
      <c r="B233" s="1378" t="s">
        <v>1383</v>
      </c>
      <c r="C233" s="1273"/>
      <c r="D233" s="1274">
        <f>VLOOKUP($B233,DG!A:D,DG!$B$2,)</f>
        <v>0</v>
      </c>
      <c r="E233" s="1275" t="s">
        <v>829</v>
      </c>
      <c r="F233" s="1274" t="str">
        <f>VLOOKUP($B233,DG!A:D,DG!$D$2,)</f>
        <v>bộ</v>
      </c>
      <c r="G233" s="1276">
        <f>+G223*10</f>
        <v>0</v>
      </c>
      <c r="H233" s="1353">
        <f t="shared" si="10"/>
        <v>0</v>
      </c>
      <c r="I233" s="1277"/>
      <c r="J233" s="1277"/>
      <c r="K233" s="1278"/>
      <c r="L233" s="1125" t="s">
        <v>4555</v>
      </c>
    </row>
    <row r="234" spans="1:12" s="1279" customFormat="1" ht="20.100000000000001" customHeight="1">
      <c r="A234" s="1377">
        <f t="shared" si="9"/>
        <v>0</v>
      </c>
      <c r="B234" s="1587" t="s">
        <v>2245</v>
      </c>
      <c r="C234" s="1312"/>
      <c r="D234" s="1274" t="str">
        <f>VLOOKUP($B234,DG!A:D,DG!$B$2,)</f>
        <v>04.7002</v>
      </c>
      <c r="E234" s="1275" t="str">
        <f>VLOOKUP($B234,DG!A:D,DG!$C$2,)</f>
        <v>Kéo dây tiếp địa trong TBA</v>
      </c>
      <c r="F234" s="1274" t="str">
        <f>VLOOKUP($B234,DG!A:D,DG!$D$2,)</f>
        <v>mét</v>
      </c>
      <c r="G234" s="1312">
        <f>G223*H3</f>
        <v>0</v>
      </c>
      <c r="H234" s="1353">
        <f t="shared" si="10"/>
        <v>0</v>
      </c>
      <c r="I234" s="1310"/>
      <c r="J234" s="1310"/>
      <c r="K234" s="1278"/>
      <c r="L234" s="1125" t="s">
        <v>4555</v>
      </c>
    </row>
    <row r="235" spans="1:12" s="1279" customFormat="1" ht="20.100000000000001" customHeight="1">
      <c r="A235" s="1377">
        <f t="shared" si="9"/>
        <v>0</v>
      </c>
      <c r="B235" s="1378" t="s">
        <v>919</v>
      </c>
      <c r="C235" s="1312"/>
      <c r="D235" s="1274" t="str">
        <f>VLOOKUP($B235,DG!A:D,DG!$B$2,)</f>
        <v>04.7001</v>
      </c>
      <c r="E235" s="1275" t="str">
        <f>VLOOKUP($B235,DG!A:D,DG!$C$2,)</f>
        <v>Đóng cọc tiếp địa trong TBA</v>
      </c>
      <c r="F235" s="1274" t="str">
        <f>VLOOKUP($B235,DG!A:D,DG!$D$2,)</f>
        <v>cọc</v>
      </c>
      <c r="G235" s="1312">
        <f>G226</f>
        <v>0</v>
      </c>
      <c r="H235" s="1353">
        <f t="shared" si="10"/>
        <v>0</v>
      </c>
      <c r="I235" s="1310"/>
      <c r="J235" s="1310"/>
      <c r="K235" s="1278"/>
      <c r="L235" s="1125" t="s">
        <v>4555</v>
      </c>
    </row>
    <row r="236" spans="1:12" s="1279" customFormat="1" ht="20.100000000000001" customHeight="1">
      <c r="A236" s="1377">
        <f t="shared" si="9"/>
        <v>0</v>
      </c>
      <c r="B236" s="1587" t="str">
        <f>"dtd"&amp;chitiet!F5</f>
        <v>dtd3</v>
      </c>
      <c r="C236" s="1312"/>
      <c r="D236" s="1274" t="str">
        <f>VLOOKUP($B236,DG!A:D,DG!$B$2,)</f>
        <v>03.3123</v>
      </c>
      <c r="E236" s="1275" t="str">
        <f>VLOOKUP($B236,DG!A:D,DG!$C$2,)</f>
        <v>Đào rãnh tiếp địa đất cấp 3</v>
      </c>
      <c r="F236" s="1274" t="str">
        <f>VLOOKUP($B236,DG!A:D,DG!$D$2,)</f>
        <v>m3</v>
      </c>
      <c r="G236" s="1346">
        <f>+G223*11*0.3*0.8</f>
        <v>0</v>
      </c>
      <c r="H236" s="1353">
        <f t="shared" si="10"/>
        <v>0</v>
      </c>
      <c r="I236" s="1310"/>
      <c r="J236" s="1310"/>
      <c r="K236" s="1278"/>
      <c r="L236" s="1125" t="s">
        <v>4555</v>
      </c>
    </row>
    <row r="237" spans="1:12" s="1279" customFormat="1" ht="20.100000000000001" customHeight="1">
      <c r="A237" s="1377">
        <f t="shared" si="9"/>
        <v>0</v>
      </c>
      <c r="B237" s="1378" t="str">
        <f>"datd"&amp;chitiet!F5</f>
        <v>datd3</v>
      </c>
      <c r="C237" s="1312"/>
      <c r="D237" s="1274" t="str">
        <f>VLOOKUP($B237,DG!A:D,DG!$B$2,)</f>
        <v>03.4123</v>
      </c>
      <c r="E237" s="1275" t="str">
        <f>VLOOKUP($B237,DG!A:D,DG!$C$2,)</f>
        <v>Đắp đất rãnh tiếp độ chặt k=0,95</v>
      </c>
      <c r="F237" s="1274" t="str">
        <f>VLOOKUP($B237,DG!A:D,DG!$D$2,)</f>
        <v>m3</v>
      </c>
      <c r="G237" s="1346">
        <f>+G236</f>
        <v>0</v>
      </c>
      <c r="H237" s="1353">
        <f t="shared" si="10"/>
        <v>0</v>
      </c>
      <c r="I237" s="1310"/>
      <c r="J237" s="1310"/>
      <c r="K237" s="1278"/>
      <c r="L237" s="1125" t="s">
        <v>4555</v>
      </c>
    </row>
    <row r="238" spans="1:12" s="1279" customFormat="1" ht="20.100000000000001" customHeight="1">
      <c r="A238" s="1377">
        <f t="shared" si="9"/>
        <v>0</v>
      </c>
      <c r="B238" s="1587"/>
      <c r="C238" s="1390">
        <f>IF(G238&gt;0,C223+1,C223)</f>
        <v>0</v>
      </c>
      <c r="D238" s="1274"/>
      <c r="E238" s="1412" t="s">
        <v>3782</v>
      </c>
      <c r="F238" s="1390" t="s">
        <v>2449</v>
      </c>
      <c r="G238" s="1390">
        <f>G218</f>
        <v>0</v>
      </c>
      <c r="H238" s="1353">
        <f t="shared" si="10"/>
        <v>0</v>
      </c>
      <c r="I238" s="1310"/>
      <c r="J238" s="1310"/>
      <c r="K238" s="1278"/>
      <c r="L238" s="1125" t="s">
        <v>4555</v>
      </c>
    </row>
    <row r="239" spans="1:12" s="1279" customFormat="1" ht="20.100000000000001" customHeight="1">
      <c r="A239" s="1377">
        <f>IF(A238&gt;0,1,0)</f>
        <v>0</v>
      </c>
      <c r="B239" s="1587"/>
      <c r="C239" s="1390"/>
      <c r="D239" s="1274"/>
      <c r="E239" s="1635" t="s">
        <v>2342</v>
      </c>
      <c r="F239" s="1312"/>
      <c r="G239" s="1312"/>
      <c r="H239" s="1353">
        <f t="shared" si="10"/>
        <v>0</v>
      </c>
      <c r="I239" s="1310"/>
      <c r="J239" s="1310"/>
      <c r="K239" s="1278"/>
      <c r="L239" s="1125" t="s">
        <v>4555</v>
      </c>
    </row>
    <row r="240" spans="1:12" s="1279" customFormat="1" ht="20.100000000000001" customHeight="1">
      <c r="A240" s="1377">
        <f t="shared" si="9"/>
        <v>0</v>
      </c>
      <c r="B240" s="1589" t="s">
        <v>621</v>
      </c>
      <c r="C240" s="1312"/>
      <c r="D240" s="1274" t="str">
        <f>VLOOKUP($B240,DG!A:D,DG!$B$2,)</f>
        <v>05.1001</v>
      </c>
      <c r="E240" s="1275" t="str">
        <f>VLOOKUP($B240,DG!A:D,DG!$C$2,)</f>
        <v>Tủ CB trạm 1 pha + khóa + boulon</v>
      </c>
      <c r="F240" s="1274" t="str">
        <f>VLOOKUP($B240,DG!A:D,DG!$D$2,)</f>
        <v>cái</v>
      </c>
      <c r="G240" s="1312">
        <f>G238</f>
        <v>0</v>
      </c>
      <c r="H240" s="1353">
        <f t="shared" si="10"/>
        <v>0</v>
      </c>
      <c r="I240" s="1310"/>
      <c r="J240" s="1310"/>
      <c r="K240" s="1278"/>
      <c r="L240" s="1125" t="s">
        <v>4555</v>
      </c>
    </row>
    <row r="241" spans="1:12" s="1279" customFormat="1" ht="20.100000000000001" customHeight="1">
      <c r="A241" s="1377">
        <f t="shared" si="9"/>
        <v>0</v>
      </c>
      <c r="B241" s="1587" t="s">
        <v>896</v>
      </c>
      <c r="C241" s="1312"/>
      <c r="D241" s="1274" t="str">
        <f>VLOOKUP($B241,DG!A:D,DG!$B$2,)</f>
        <v>06.3231</v>
      </c>
      <c r="E241" s="1275" t="str">
        <f>VLOOKUP($B241,DG!A:D,DG!$C$2,)</f>
        <v>Cổ dê bắt tủ</v>
      </c>
      <c r="F241" s="1274" t="str">
        <f>VLOOKUP($B241,DG!A:D,DG!$D$2,)</f>
        <v>bộ</v>
      </c>
      <c r="G241" s="1312">
        <f>2*G238</f>
        <v>0</v>
      </c>
      <c r="H241" s="1353">
        <f t="shared" si="10"/>
        <v>0</v>
      </c>
      <c r="I241" s="1310"/>
      <c r="J241" s="1310"/>
      <c r="K241" s="1278"/>
      <c r="L241" s="1125" t="s">
        <v>4555</v>
      </c>
    </row>
    <row r="242" spans="1:12" s="1279" customFormat="1" ht="20.100000000000001" customHeight="1">
      <c r="A242" s="1377">
        <f t="shared" si="9"/>
        <v>0</v>
      </c>
      <c r="B242" s="1587" t="s">
        <v>897</v>
      </c>
      <c r="C242" s="1312"/>
      <c r="D242" s="1274">
        <f>VLOOKUP($B242,DG!A:D,DG!$B$2,)</f>
        <v>0</v>
      </c>
      <c r="E242" s="1275" t="str">
        <f>VLOOKUP($B242,DG!A:D,DG!$C$2,)</f>
        <v xml:space="preserve">Bakelit 550x450 dầy 10mm </v>
      </c>
      <c r="F242" s="1274" t="str">
        <f>VLOOKUP($B242,DG!A:D,DG!$D$2,)</f>
        <v>cái</v>
      </c>
      <c r="G242" s="1312">
        <f>G238</f>
        <v>0</v>
      </c>
      <c r="H242" s="1353">
        <f t="shared" si="10"/>
        <v>0</v>
      </c>
      <c r="I242" s="1310"/>
      <c r="J242" s="1310"/>
      <c r="K242" s="1278"/>
      <c r="L242" s="1125" t="s">
        <v>4555</v>
      </c>
    </row>
    <row r="243" spans="1:12" s="1279" customFormat="1" ht="20.100000000000001" customHeight="1">
      <c r="A243" s="1377">
        <f t="shared" si="9"/>
        <v>0</v>
      </c>
      <c r="B243" s="1587"/>
      <c r="C243" s="1390">
        <f>IF(G243&gt;0,C238+1,C238)</f>
        <v>0</v>
      </c>
      <c r="D243" s="1274"/>
      <c r="E243" s="1425" t="s">
        <v>3777</v>
      </c>
      <c r="F243" s="1390" t="s">
        <v>2449</v>
      </c>
      <c r="G243" s="1390">
        <f>G238</f>
        <v>0</v>
      </c>
      <c r="H243" s="1353">
        <f t="shared" si="10"/>
        <v>0</v>
      </c>
      <c r="I243" s="1310"/>
      <c r="J243" s="1310"/>
      <c r="K243" s="1278"/>
      <c r="L243" s="1125" t="s">
        <v>4555</v>
      </c>
    </row>
    <row r="244" spans="1:12" s="1279" customFormat="1" ht="20.100000000000001" customHeight="1">
      <c r="A244" s="1377">
        <f>IF(A243&gt;0,1,0)</f>
        <v>0</v>
      </c>
      <c r="B244" s="1587"/>
      <c r="C244" s="1390"/>
      <c r="D244" s="1274"/>
      <c r="E244" s="1635" t="s">
        <v>2342</v>
      </c>
      <c r="F244" s="1312"/>
      <c r="G244" s="1312"/>
      <c r="H244" s="1353">
        <f t="shared" si="10"/>
        <v>0</v>
      </c>
      <c r="I244" s="1310"/>
      <c r="J244" s="1310"/>
      <c r="K244" s="1278"/>
      <c r="L244" s="1125" t="s">
        <v>4555</v>
      </c>
    </row>
    <row r="245" spans="1:12" s="1279" customFormat="1" ht="20.100000000000001" customHeight="1">
      <c r="A245" s="1377">
        <f t="shared" si="9"/>
        <v>0</v>
      </c>
      <c r="B245" s="1585" t="s">
        <v>4700</v>
      </c>
      <c r="C245" s="1312"/>
      <c r="D245" s="1274">
        <f>VLOOKUP($B245,DG!A:D,DG!$B$2,)</f>
        <v>0</v>
      </c>
      <c r="E245" s="1275" t="str">
        <f>VLOOKUP($B245,DG!A:D,DG!$C$2,)</f>
        <v>Cáp 24KV C/XLPE/PVC 25mm2</v>
      </c>
      <c r="F245" s="1274" t="str">
        <f>VLOOKUP($B245,DG!A:D,DG!$D$2,)</f>
        <v>mét</v>
      </c>
      <c r="G245" s="1312">
        <f>3*G243</f>
        <v>0</v>
      </c>
      <c r="H245" s="1353">
        <f t="shared" si="10"/>
        <v>0</v>
      </c>
      <c r="I245" s="1310"/>
      <c r="J245" s="1310"/>
      <c r="K245" s="1278"/>
      <c r="L245" s="1125" t="s">
        <v>4555</v>
      </c>
    </row>
    <row r="246" spans="1:12" s="1279" customFormat="1" ht="20.100000000000001" customHeight="1">
      <c r="A246" s="1377">
        <f t="shared" si="9"/>
        <v>0</v>
      </c>
      <c r="B246" s="1378" t="s">
        <v>1531</v>
      </c>
      <c r="C246" s="1312"/>
      <c r="D246" s="1274" t="str">
        <f>VLOOKUP($B246,DG!A:D,DG!$B$2,)</f>
        <v>04.3007</v>
      </c>
      <c r="E246" s="1275" t="str">
        <f>VLOOKUP($B246,DG!A:D,DG!$C$2,)</f>
        <v>Kẹp quai 2/0</v>
      </c>
      <c r="F246" s="1274" t="str">
        <f>VLOOKUP($B246,DG!A:D,DG!$D$2,)</f>
        <v>cái</v>
      </c>
      <c r="G246" s="1312">
        <f>G243</f>
        <v>0</v>
      </c>
      <c r="H246" s="1353">
        <f t="shared" si="10"/>
        <v>0</v>
      </c>
      <c r="I246" s="1310"/>
      <c r="J246" s="1310"/>
      <c r="K246" s="1278"/>
      <c r="L246" s="1125" t="s">
        <v>4555</v>
      </c>
    </row>
    <row r="247" spans="1:12" s="1279" customFormat="1" ht="20.100000000000001" customHeight="1">
      <c r="A247" s="1377">
        <f t="shared" si="9"/>
        <v>0</v>
      </c>
      <c r="B247" s="1378" t="s">
        <v>1529</v>
      </c>
      <c r="C247" s="1312"/>
      <c r="D247" s="1274" t="str">
        <f>VLOOKUP($B247,DG!A:D,DG!$B$2,)</f>
        <v>04.3007</v>
      </c>
      <c r="E247" s="1275" t="str">
        <f>VLOOKUP($B247,DG!A:D,DG!$C$2,)</f>
        <v>Kẹp hotline 2/0</v>
      </c>
      <c r="F247" s="1274" t="str">
        <f>VLOOKUP($B247,DG!A:D,DG!$D$2,)</f>
        <v>cái</v>
      </c>
      <c r="G247" s="1312">
        <f>G243</f>
        <v>0</v>
      </c>
      <c r="H247" s="1353">
        <f t="shared" si="10"/>
        <v>0</v>
      </c>
      <c r="I247" s="1310"/>
      <c r="J247" s="1310"/>
      <c r="K247" s="1278"/>
      <c r="L247" s="1125" t="s">
        <v>4555</v>
      </c>
    </row>
    <row r="248" spans="1:12" s="1279" customFormat="1" ht="20.100000000000001" customHeight="1">
      <c r="A248" s="1377">
        <f t="shared" si="9"/>
        <v>0</v>
      </c>
      <c r="B248" s="1378" t="s">
        <v>1577</v>
      </c>
      <c r="C248" s="1312"/>
      <c r="D248" s="1274" t="str">
        <f>VLOOKUP($B248,DG!A:D,DG!$B$2,)</f>
        <v>04.4201</v>
      </c>
      <c r="E248" s="1275" t="str">
        <f>VLOOKUP($B248,DG!A:D,DG!$C$2,)</f>
        <v>Lắp cáp đồng xuống thiết bị D ≤ 95mm2</v>
      </c>
      <c r="F248" s="1274" t="str">
        <f>VLOOKUP($B248,DG!A:D,DG!$D$2,)</f>
        <v>m</v>
      </c>
      <c r="G248" s="1312">
        <f>G245</f>
        <v>0</v>
      </c>
      <c r="H248" s="1353">
        <f t="shared" si="10"/>
        <v>0</v>
      </c>
      <c r="I248" s="1310"/>
      <c r="J248" s="1310"/>
      <c r="K248" s="1278"/>
      <c r="L248" s="1125" t="s">
        <v>4555</v>
      </c>
    </row>
    <row r="249" spans="1:12" s="1279" customFormat="1" ht="20.100000000000001" customHeight="1">
      <c r="A249" s="1377">
        <f t="shared" si="9"/>
        <v>0</v>
      </c>
      <c r="B249" s="1582"/>
      <c r="C249" s="1390">
        <f>IF(G249&gt;0,C243+1,C243)</f>
        <v>0</v>
      </c>
      <c r="D249" s="1274"/>
      <c r="E249" s="1412" t="s">
        <v>3783</v>
      </c>
      <c r="F249" s="1390" t="s">
        <v>2449</v>
      </c>
      <c r="G249" s="1390">
        <f>G197</f>
        <v>0</v>
      </c>
      <c r="H249" s="1353">
        <f t="shared" si="10"/>
        <v>0</v>
      </c>
      <c r="I249" s="1310"/>
      <c r="J249" s="1310"/>
      <c r="K249" s="1278"/>
      <c r="L249" s="1125" t="s">
        <v>4555</v>
      </c>
    </row>
    <row r="250" spans="1:12" s="1279" customFormat="1" ht="20.100000000000001" customHeight="1">
      <c r="A250" s="1377">
        <f>IF(A249&gt;0,1,0)</f>
        <v>0</v>
      </c>
      <c r="B250" s="1582"/>
      <c r="C250" s="1390"/>
      <c r="D250" s="1274"/>
      <c r="E250" s="1634" t="s">
        <v>2342</v>
      </c>
      <c r="F250" s="1390"/>
      <c r="G250" s="1390"/>
      <c r="H250" s="1353">
        <f t="shared" si="10"/>
        <v>0</v>
      </c>
      <c r="I250" s="1310"/>
      <c r="J250" s="1310"/>
      <c r="K250" s="1278"/>
      <c r="L250" s="1125" t="s">
        <v>4555</v>
      </c>
    </row>
    <row r="251" spans="1:12" s="1279" customFormat="1" ht="20.100000000000001" customHeight="1">
      <c r="A251" s="1377">
        <f t="shared" si="9"/>
        <v>0</v>
      </c>
      <c r="B251" s="1582" t="s">
        <v>238</v>
      </c>
      <c r="C251" s="1390"/>
      <c r="D251" s="1274">
        <f>VLOOKUP($B251,DG!A:D,DG!$B$2,)</f>
        <v>0</v>
      </c>
      <c r="E251" s="1275" t="str">
        <f>VLOOKUP($B251,DG!A:D,DG!$C$2,)</f>
        <v>Cáp đồng bọc CV70</v>
      </c>
      <c r="F251" s="1274" t="str">
        <f>VLOOKUP($B251,DG!A:D,DG!$D$2,)</f>
        <v>mét</v>
      </c>
      <c r="G251" s="1312">
        <f>G249*10*2</f>
        <v>0</v>
      </c>
      <c r="H251" s="1353">
        <f t="shared" si="10"/>
        <v>0</v>
      </c>
      <c r="I251" s="1310"/>
      <c r="J251" s="1310"/>
      <c r="K251" s="1278"/>
      <c r="L251" s="1125" t="s">
        <v>4555</v>
      </c>
    </row>
    <row r="252" spans="1:12" s="1279" customFormat="1" ht="20.100000000000001" customHeight="1">
      <c r="A252" s="1377">
        <f t="shared" si="9"/>
        <v>0</v>
      </c>
      <c r="B252" s="1582" t="s">
        <v>82</v>
      </c>
      <c r="C252" s="1390"/>
      <c r="D252" s="1274">
        <f>VLOOKUP($B252,DG!A:D,DG!$B$2,)</f>
        <v>0</v>
      </c>
      <c r="E252" s="1275" t="str">
        <f>VLOOKUP($B252,DG!A:D,DG!$C$2,)</f>
        <v>Cáp đồng bọc CV50</v>
      </c>
      <c r="F252" s="1274" t="str">
        <f>VLOOKUP($B252,DG!A:D,DG!$D$2,)</f>
        <v>mét</v>
      </c>
      <c r="G252" s="1312">
        <f>G249*10</f>
        <v>0</v>
      </c>
      <c r="H252" s="1353">
        <f t="shared" si="10"/>
        <v>0</v>
      </c>
      <c r="I252" s="1310"/>
      <c r="J252" s="1310"/>
      <c r="K252" s="1278"/>
      <c r="L252" s="1125" t="s">
        <v>4555</v>
      </c>
    </row>
    <row r="253" spans="1:12" s="1279" customFormat="1" ht="20.100000000000001" customHeight="1">
      <c r="A253" s="1377">
        <f t="shared" si="9"/>
        <v>0</v>
      </c>
      <c r="B253" s="1582" t="s">
        <v>1099</v>
      </c>
      <c r="C253" s="1390"/>
      <c r="D253" s="1274" t="str">
        <f>VLOOKUP($B253,DG!A:D,DG!$B$2,)</f>
        <v>03.1401</v>
      </c>
      <c r="E253" s="1275" t="str">
        <f>VLOOKUP($B253,DG!A:D,DG!$C$2,)</f>
        <v xml:space="preserve">Cáp CVV 4x2,5mm2  </v>
      </c>
      <c r="F253" s="1274" t="str">
        <f>VLOOKUP($B253,DG!A:D,DG!$D$2,)</f>
        <v>mét</v>
      </c>
      <c r="G253" s="1312">
        <f>6*G249</f>
        <v>0</v>
      </c>
      <c r="H253" s="1353">
        <f t="shared" si="10"/>
        <v>0</v>
      </c>
      <c r="I253" s="1310"/>
      <c r="J253" s="1310"/>
      <c r="K253" s="1278"/>
      <c r="L253" s="1125" t="s">
        <v>4555</v>
      </c>
    </row>
    <row r="254" spans="1:12" s="1279" customFormat="1" ht="20.100000000000001" customHeight="1">
      <c r="A254" s="1377">
        <f t="shared" si="9"/>
        <v>0</v>
      </c>
      <c r="B254" s="1587" t="s">
        <v>1336</v>
      </c>
      <c r="C254" s="1312"/>
      <c r="D254" s="1274" t="str">
        <f>VLOOKUP($B254,DG!A:D,DG!$B$2,)</f>
        <v>03.4003</v>
      </c>
      <c r="E254" s="1275" t="str">
        <f>VLOOKUP($B254,DG!A:D,DG!$C$2,)</f>
        <v>Đầu cosse ép Cu 70mm2</v>
      </c>
      <c r="F254" s="1274" t="str">
        <f>VLOOKUP($B254,DG!A:D,DG!$D$2,)</f>
        <v>cái</v>
      </c>
      <c r="G254" s="1312">
        <f>2*G249</f>
        <v>0</v>
      </c>
      <c r="H254" s="1353">
        <f t="shared" si="10"/>
        <v>0</v>
      </c>
      <c r="I254" s="1310"/>
      <c r="J254" s="1310"/>
      <c r="K254" s="1278"/>
      <c r="L254" s="1125" t="s">
        <v>4555</v>
      </c>
    </row>
    <row r="255" spans="1:12" s="1279" customFormat="1" ht="20.100000000000001" customHeight="1">
      <c r="A255" s="1377">
        <f t="shared" si="9"/>
        <v>0</v>
      </c>
      <c r="B255" s="1587" t="s">
        <v>1335</v>
      </c>
      <c r="C255" s="1312"/>
      <c r="D255" s="1274" t="str">
        <f>VLOOKUP($B255,DG!A:D,DG!$B$2,)</f>
        <v>03.4002</v>
      </c>
      <c r="E255" s="1275" t="str">
        <f>VLOOKUP($B255,DG!A:D,DG!$C$2,)</f>
        <v>Đầu cosse ép Cu 50mm2</v>
      </c>
      <c r="F255" s="1274" t="str">
        <f>VLOOKUP($B255,DG!A:D,DG!$D$2,)</f>
        <v>cái</v>
      </c>
      <c r="G255" s="1312">
        <f>G249*2</f>
        <v>0</v>
      </c>
      <c r="H255" s="1353">
        <f t="shared" si="10"/>
        <v>0</v>
      </c>
      <c r="I255" s="1310"/>
      <c r="J255" s="1310"/>
      <c r="K255" s="1278"/>
      <c r="L255" s="1125" t="s">
        <v>4555</v>
      </c>
    </row>
    <row r="256" spans="1:12" s="1279" customFormat="1" ht="20.100000000000001" customHeight="1">
      <c r="A256" s="1377">
        <f t="shared" si="9"/>
        <v>0</v>
      </c>
      <c r="B256" s="1614" t="s">
        <v>616</v>
      </c>
      <c r="C256" s="1312"/>
      <c r="D256" s="1274">
        <f>VLOOKUP($B256,DG!A:D,DG!$B$2,)</f>
        <v>0</v>
      </c>
      <c r="E256" s="1275" t="str">
        <f>VLOOKUP($B256,DG!A:D,DG!$C$2,)</f>
        <v>Chụp đầu cosse  70mm2</v>
      </c>
      <c r="F256" s="1274" t="str">
        <f>VLOOKUP($B256,DG!A:D,DG!$D$2,)</f>
        <v>cái</v>
      </c>
      <c r="G256" s="1312">
        <f>G254</f>
        <v>0</v>
      </c>
      <c r="H256" s="1353">
        <f t="shared" si="10"/>
        <v>0</v>
      </c>
      <c r="I256" s="1310"/>
      <c r="J256" s="1310"/>
      <c r="K256" s="1278"/>
      <c r="L256" s="1125" t="s">
        <v>4555</v>
      </c>
    </row>
    <row r="257" spans="1:12" s="1279" customFormat="1" ht="20.100000000000001" customHeight="1">
      <c r="A257" s="1377">
        <f t="shared" si="9"/>
        <v>0</v>
      </c>
      <c r="B257" s="1614" t="s">
        <v>2213</v>
      </c>
      <c r="C257" s="1312"/>
      <c r="D257" s="1274">
        <f>VLOOKUP($B257,DG!A:D,DG!$B$2,)</f>
        <v>0</v>
      </c>
      <c r="E257" s="1275" t="str">
        <f>VLOOKUP($B257,DG!A:D,DG!$C$2,)</f>
        <v>Chụp đầu cosse  50mm2</v>
      </c>
      <c r="F257" s="1274" t="str">
        <f>VLOOKUP($B257,DG!A:D,DG!$D$2,)</f>
        <v>cái</v>
      </c>
      <c r="G257" s="1312">
        <f>G255</f>
        <v>0</v>
      </c>
      <c r="H257" s="1353">
        <f t="shared" si="10"/>
        <v>0</v>
      </c>
      <c r="I257" s="1310"/>
      <c r="J257" s="1310"/>
      <c r="K257" s="1278"/>
      <c r="L257" s="1125" t="s">
        <v>4555</v>
      </c>
    </row>
    <row r="258" spans="1:12" s="1279" customFormat="1" ht="20.100000000000001" customHeight="1">
      <c r="A258" s="1377">
        <f t="shared" si="9"/>
        <v>0</v>
      </c>
      <c r="B258" s="1587" t="s">
        <v>283</v>
      </c>
      <c r="C258" s="1312"/>
      <c r="D258" s="1274" t="str">
        <f>VLOOKUP($B258,DG!A:D,DG!$B$2,)</f>
        <v>04.8003</v>
      </c>
      <c r="E258" s="1275" t="str">
        <f>VLOOKUP($B258,DG!A:D,DG!$C$2,)</f>
        <v xml:space="preserve">Ống PVC D90x3,8mm </v>
      </c>
      <c r="F258" s="1274" t="str">
        <f>VLOOKUP($B258,DG!A:D,DG!$D$2,)</f>
        <v>m</v>
      </c>
      <c r="G258" s="1312">
        <f>8*G249</f>
        <v>0</v>
      </c>
      <c r="H258" s="1353">
        <f t="shared" si="10"/>
        <v>0</v>
      </c>
      <c r="I258" s="1310"/>
      <c r="J258" s="1310"/>
      <c r="K258" s="1278"/>
      <c r="L258" s="1125" t="s">
        <v>4555</v>
      </c>
    </row>
    <row r="259" spans="1:12" s="1279" customFormat="1" ht="20.100000000000001" customHeight="1">
      <c r="A259" s="1377">
        <f t="shared" si="9"/>
        <v>0</v>
      </c>
      <c r="B259" s="1378" t="s">
        <v>277</v>
      </c>
      <c r="C259" s="1312"/>
      <c r="D259" s="1274" t="str">
        <f>VLOOKUP($B259,DG!A:D,DG!$B$2,)</f>
        <v>06.3231</v>
      </c>
      <c r="E259" s="1275" t="str">
        <f>VLOOKUP($B259,DG!A:D,DG!$C$2,)</f>
        <v>Cổ dê kẹp ống PVC Ø 90</v>
      </c>
      <c r="F259" s="1274" t="str">
        <f>VLOOKUP($B259,DG!A:D,DG!$D$2,)</f>
        <v>bộ</v>
      </c>
      <c r="G259" s="1312">
        <f>3*G249</f>
        <v>0</v>
      </c>
      <c r="H259" s="1353">
        <f t="shared" si="10"/>
        <v>0</v>
      </c>
      <c r="I259" s="1310"/>
      <c r="J259" s="1310"/>
      <c r="K259" s="1278"/>
      <c r="L259" s="1125" t="s">
        <v>4555</v>
      </c>
    </row>
    <row r="260" spans="1:12" s="1279" customFormat="1" ht="20.100000000000001" customHeight="1">
      <c r="A260" s="1377">
        <f t="shared" si="9"/>
        <v>0</v>
      </c>
      <c r="B260" s="1587" t="s">
        <v>284</v>
      </c>
      <c r="C260" s="1312"/>
      <c r="D260" s="1274">
        <f>VLOOKUP($B260,DG!A:D,DG!$B$2,)</f>
        <v>0</v>
      </c>
      <c r="E260" s="1275" t="str">
        <f>VLOOKUP($B260,DG!A:D,DG!$C$2,)</f>
        <v>Co sừng 90 độ PVC 90</v>
      </c>
      <c r="F260" s="1274" t="str">
        <f>VLOOKUP($B260,DG!A:D,DG!$D$2,)</f>
        <v>cái</v>
      </c>
      <c r="G260" s="1312">
        <f>4*G249</f>
        <v>0</v>
      </c>
      <c r="H260" s="1353">
        <f t="shared" si="10"/>
        <v>0</v>
      </c>
      <c r="I260" s="1310"/>
      <c r="J260" s="1310"/>
      <c r="K260" s="1278"/>
      <c r="L260" s="1125" t="s">
        <v>4555</v>
      </c>
    </row>
    <row r="261" spans="1:12" s="1279" customFormat="1" ht="20.100000000000001" customHeight="1">
      <c r="A261" s="1377">
        <f t="shared" si="9"/>
        <v>0</v>
      </c>
      <c r="B261" s="1587" t="s">
        <v>733</v>
      </c>
      <c r="C261" s="1312"/>
      <c r="D261" s="1274">
        <f>VLOOKUP($B261,DG!A:D,DG!$B$2,)</f>
        <v>0</v>
      </c>
      <c r="E261" s="1275" t="str">
        <f>VLOOKUP($B261,DG!A:D,DG!$C$2,)</f>
        <v xml:space="preserve">Nối thẳng ống PVC 90 </v>
      </c>
      <c r="F261" s="1274" t="str">
        <f>VLOOKUP($B261,DG!A:D,DG!$D$2,)</f>
        <v>cái</v>
      </c>
      <c r="G261" s="1312">
        <f>G249</f>
        <v>0</v>
      </c>
      <c r="H261" s="1353">
        <f t="shared" si="10"/>
        <v>0</v>
      </c>
      <c r="I261" s="1310"/>
      <c r="J261" s="1310"/>
      <c r="K261" s="1278"/>
      <c r="L261" s="1125" t="s">
        <v>4555</v>
      </c>
    </row>
    <row r="262" spans="1:12" s="1279" customFormat="1" ht="20.100000000000001" customHeight="1">
      <c r="A262" s="1377">
        <f t="shared" si="9"/>
        <v>0</v>
      </c>
      <c r="B262" s="1587" t="s">
        <v>2136</v>
      </c>
      <c r="C262" s="1312"/>
      <c r="D262" s="1274">
        <f>VLOOKUP($B262,DG!A:D,DG!$B$2,)</f>
        <v>0</v>
      </c>
      <c r="E262" s="1275" t="str">
        <f>VLOOKUP($B262,DG!A:D,DG!$C$2,)</f>
        <v>Keo dán ống PVC (100gr)</v>
      </c>
      <c r="F262" s="1274" t="str">
        <f>VLOOKUP($B262,DG!A:D,DG!$D$2,)</f>
        <v>tuýp</v>
      </c>
      <c r="G262" s="1312">
        <f>G249</f>
        <v>0</v>
      </c>
      <c r="H262" s="1353">
        <f t="shared" si="10"/>
        <v>0</v>
      </c>
      <c r="I262" s="1310"/>
      <c r="J262" s="1310"/>
      <c r="K262" s="1278"/>
      <c r="L262" s="1125" t="s">
        <v>4555</v>
      </c>
    </row>
    <row r="263" spans="1:12" s="1279" customFormat="1" ht="20.100000000000001" customHeight="1">
      <c r="A263" s="1377">
        <f t="shared" si="9"/>
        <v>0</v>
      </c>
      <c r="B263" s="1587" t="s">
        <v>492</v>
      </c>
      <c r="C263" s="1312"/>
      <c r="D263" s="1274">
        <f>VLOOKUP($B263,DG!A:D,DG!$B$2,)</f>
        <v>0</v>
      </c>
      <c r="E263" s="1275" t="str">
        <f>VLOOKUP($B263,DG!A:D,DG!$C$2,)</f>
        <v>Keo silicon bít miệng ống</v>
      </c>
      <c r="F263" s="1274" t="str">
        <f>VLOOKUP($B263,DG!A:D,DG!$D$2,)</f>
        <v>ống</v>
      </c>
      <c r="G263" s="1312">
        <f>G249</f>
        <v>0</v>
      </c>
      <c r="H263" s="1353">
        <f t="shared" si="10"/>
        <v>0</v>
      </c>
      <c r="I263" s="1310"/>
      <c r="J263" s="1310"/>
      <c r="K263" s="1278"/>
      <c r="L263" s="1125" t="s">
        <v>4555</v>
      </c>
    </row>
    <row r="264" spans="1:12" s="1279" customFormat="1" ht="20.100000000000001" customHeight="1">
      <c r="A264" s="1377">
        <f t="shared" si="9"/>
        <v>0</v>
      </c>
      <c r="B264" s="1378" t="s">
        <v>677</v>
      </c>
      <c r="C264" s="1312"/>
      <c r="D264" s="1274">
        <f>VLOOKUP($B264,DG!A:D,DG!$B$2,)</f>
        <v>0</v>
      </c>
      <c r="E264" s="1275" t="str">
        <f>VLOOKUP($B264,DG!A:D,DG!$C$2,)</f>
        <v>Băng keo cách điện</v>
      </c>
      <c r="F264" s="1274" t="str">
        <f>VLOOKUP($B264,DG!A:D,DG!$D$2,)</f>
        <v>cuộn</v>
      </c>
      <c r="G264" s="1312">
        <f>G249</f>
        <v>0</v>
      </c>
      <c r="H264" s="1353">
        <f t="shared" si="10"/>
        <v>0</v>
      </c>
      <c r="I264" s="1310"/>
      <c r="J264" s="1310"/>
      <c r="K264" s="1278"/>
      <c r="L264" s="1125" t="s">
        <v>4555</v>
      </c>
    </row>
    <row r="265" spans="1:12" s="1279" customFormat="1" ht="20.100000000000001" customHeight="1">
      <c r="A265" s="1377">
        <f t="shared" si="9"/>
        <v>0</v>
      </c>
      <c r="B265" s="1587" t="s">
        <v>2244</v>
      </c>
      <c r="C265" s="1312"/>
      <c r="D265" s="1274" t="str">
        <f>VLOOKUP($B265,DG!A:D,DG!$B$2,)</f>
        <v>07.2415</v>
      </c>
      <c r="E265" s="1275" t="str">
        <f>VLOOKUP($B265,DG!A:D,DG!$C$2,)</f>
        <v>Lắp ống nhựa PVC D90</v>
      </c>
      <c r="F265" s="1274" t="str">
        <f>VLOOKUP($B265,DG!A:D,DG!$D$2,)</f>
        <v>mét</v>
      </c>
      <c r="G265" s="1312">
        <f>G258</f>
        <v>0</v>
      </c>
      <c r="H265" s="1353">
        <f t="shared" si="10"/>
        <v>0</v>
      </c>
      <c r="I265" s="1310"/>
      <c r="J265" s="1310"/>
      <c r="K265" s="1278"/>
      <c r="L265" s="1125" t="s">
        <v>4555</v>
      </c>
    </row>
    <row r="266" spans="1:12" s="1279" customFormat="1" ht="20.100000000000001" customHeight="1">
      <c r="A266" s="1377">
        <f t="shared" si="9"/>
        <v>0</v>
      </c>
      <c r="B266" s="1378" t="s">
        <v>1577</v>
      </c>
      <c r="C266" s="1312"/>
      <c r="D266" s="1274" t="str">
        <f>VLOOKUP($B266,DG!A:D,DG!$B$2,)</f>
        <v>04.4201</v>
      </c>
      <c r="E266" s="1275" t="str">
        <f>VLOOKUP($B266,DG!A:D,DG!$C$2,)</f>
        <v>Lắp cáp đồng xuống thiết bị D ≤ 95mm2</v>
      </c>
      <c r="F266" s="1274" t="str">
        <f>VLOOKUP($B266,DG!A:D,DG!$D$2,)</f>
        <v>m</v>
      </c>
      <c r="G266" s="1312">
        <f>G251+G252</f>
        <v>0</v>
      </c>
      <c r="H266" s="1353">
        <f t="shared" si="10"/>
        <v>0</v>
      </c>
      <c r="I266" s="1310"/>
      <c r="J266" s="1310"/>
      <c r="K266" s="1278"/>
      <c r="L266" s="1125" t="s">
        <v>4555</v>
      </c>
    </row>
    <row r="267" spans="1:12" s="1279" customFormat="1" ht="20.100000000000001" customHeight="1">
      <c r="A267" s="1377">
        <f t="shared" si="9"/>
        <v>0</v>
      </c>
      <c r="B267" s="1587" t="s">
        <v>290</v>
      </c>
      <c r="C267" s="1394">
        <f>IF(G267&gt;0,C249+1,C249)</f>
        <v>0</v>
      </c>
      <c r="D267" s="1274" t="str">
        <f>VLOOKUP($B267,DG!A:D,DG!$B$2,)</f>
        <v>06.3191</v>
      </c>
      <c r="E267" s="1275" t="str">
        <f>VLOOKUP($B267,DG!A:D,DG!$C$2,)</f>
        <v>Bảng tên trạm, bảng báo nguy hiểm + đinh vít</v>
      </c>
      <c r="F267" s="1274" t="str">
        <f>VLOOKUP($B267,DG!A:D,DG!$D$2,)</f>
        <v>bộ</v>
      </c>
      <c r="G267" s="1394">
        <f>G218</f>
        <v>0</v>
      </c>
      <c r="H267" s="1353">
        <f t="shared" si="10"/>
        <v>0</v>
      </c>
      <c r="I267" s="1310"/>
      <c r="J267" s="1310"/>
      <c r="K267" s="1298"/>
      <c r="L267" s="1125" t="s">
        <v>4555</v>
      </c>
    </row>
    <row r="268" spans="1:12" s="1279" customFormat="1" ht="20.100000000000001" customHeight="1">
      <c r="A268" s="1377">
        <f t="shared" si="9"/>
        <v>0</v>
      </c>
      <c r="B268" s="1582"/>
      <c r="C268" s="1417"/>
      <c r="D268" s="1418"/>
      <c r="E268" s="1264"/>
      <c r="F268" s="1419"/>
      <c r="G268" s="1419"/>
      <c r="H268" s="1353">
        <f t="shared" si="10"/>
        <v>0</v>
      </c>
      <c r="I268" s="1420"/>
      <c r="J268" s="1421"/>
      <c r="K268" s="1354"/>
      <c r="L268" s="1125"/>
    </row>
    <row r="269" spans="1:12" s="1279" customFormat="1" ht="20.100000000000001" customHeight="1">
      <c r="A269" s="1377">
        <f t="shared" si="9"/>
        <v>0</v>
      </c>
      <c r="B269" s="1576"/>
      <c r="C269" s="1385"/>
      <c r="D269" s="1125"/>
      <c r="H269" s="1353">
        <f t="shared" si="10"/>
        <v>0</v>
      </c>
      <c r="L269" s="1125"/>
    </row>
    <row r="270" spans="1:12" s="1279" customFormat="1" ht="20.100000000000001" customHeight="1">
      <c r="A270" s="1377">
        <f t="shared" si="9"/>
        <v>0</v>
      </c>
      <c r="B270" s="1576"/>
      <c r="C270" s="1352" t="str">
        <f>"BAÛNG TOÅNG HÔÏP VAÄT LIEÄU, NHAÂN COÂNG, MAÙY THI COÂNG : "&amp;H9&amp;" TRAÏM 1P50KVA"</f>
        <v>BAÛNG TOÅNG HÔÏP VAÄT LIEÄU, NHAÂN COÂNG, MAÙY THI COÂNG :  TRAÏM 1P50KVA</v>
      </c>
      <c r="D270" s="1422"/>
      <c r="E270" s="1300"/>
      <c r="F270" s="1300"/>
      <c r="G270" s="1300"/>
      <c r="H270" s="1353">
        <f t="shared" si="10"/>
        <v>0</v>
      </c>
      <c r="I270" s="1300"/>
      <c r="J270" s="1300"/>
      <c r="K270" s="1125"/>
      <c r="L270" s="1125"/>
    </row>
    <row r="271" spans="1:12" s="1279" customFormat="1" ht="20.100000000000001" customHeight="1">
      <c r="A271" s="1377">
        <f t="shared" si="9"/>
        <v>0</v>
      </c>
      <c r="B271" s="1582"/>
      <c r="C271" s="1380"/>
      <c r="D271" s="1381"/>
      <c r="E271" s="1264" t="s">
        <v>3784</v>
      </c>
      <c r="F271" s="1383"/>
      <c r="G271" s="1383"/>
      <c r="H271" s="1353">
        <f t="shared" si="10"/>
        <v>0</v>
      </c>
      <c r="I271" s="1383"/>
      <c r="J271" s="1383"/>
      <c r="K271" s="1354"/>
      <c r="L271" s="1125">
        <v>50</v>
      </c>
    </row>
    <row r="272" spans="1:12" s="1279" customFormat="1" ht="20.100000000000001" customHeight="1">
      <c r="A272" s="1377">
        <f t="shared" si="9"/>
        <v>0</v>
      </c>
      <c r="B272" s="1583" t="s">
        <v>1242</v>
      </c>
      <c r="C272" s="1286">
        <f>IF(G272&gt;0,1,0)</f>
        <v>0</v>
      </c>
      <c r="D272" s="1274" t="str">
        <f>VLOOKUP($B272,DG!A:D,DG!$B$2,)</f>
        <v>01.1162</v>
      </c>
      <c r="E272" s="1275" t="str">
        <f>VLOOKUP($B272,DG!A:D,DG!$C$2,)</f>
        <v>Máy biến áp 12,7/0,22-0,44kV  50kVA</v>
      </c>
      <c r="F272" s="1274" t="str">
        <f>VLOOKUP($B272,DG!A:D,DG!$D$2,)</f>
        <v>máy</v>
      </c>
      <c r="G272" s="1423">
        <f>H9</f>
        <v>0</v>
      </c>
      <c r="H272" s="1353">
        <f t="shared" si="10"/>
        <v>0</v>
      </c>
      <c r="I272" s="1310"/>
      <c r="J272" s="1310"/>
      <c r="K272" s="1278"/>
      <c r="L272" s="1125">
        <v>50</v>
      </c>
    </row>
    <row r="273" spans="1:12" s="1279" customFormat="1" ht="20.100000000000001" customHeight="1">
      <c r="A273" s="1377">
        <f t="shared" si="9"/>
        <v>0</v>
      </c>
      <c r="B273" s="1583" t="s">
        <v>1704</v>
      </c>
      <c r="C273" s="1286">
        <f t="shared" ref="C273:C279" si="11">IF(G273&gt;0,C272+1,C272)</f>
        <v>0</v>
      </c>
      <c r="D273" s="1274" t="str">
        <f>VLOOKUP($B273,DG!A:D,DG!$B$2,)</f>
        <v>02.3155</v>
      </c>
      <c r="E273" s="1275" t="str">
        <f>VLOOKUP($B273,DG!A:D,DG!$C$2,)</f>
        <v>FCO 24kV - 100A</v>
      </c>
      <c r="F273" s="1274" t="str">
        <f>VLOOKUP($B273,DG!A:D,DG!$D$2,)</f>
        <v>cái</v>
      </c>
      <c r="G273" s="1312">
        <f>+G272</f>
        <v>0</v>
      </c>
      <c r="H273" s="1353">
        <f t="shared" si="10"/>
        <v>0</v>
      </c>
      <c r="I273" s="1310"/>
      <c r="J273" s="1310"/>
      <c r="K273" s="1278"/>
      <c r="L273" s="1125">
        <v>50</v>
      </c>
    </row>
    <row r="274" spans="1:12" s="1279" customFormat="1" ht="20.100000000000001" customHeight="1">
      <c r="A274" s="1377">
        <f t="shared" si="9"/>
        <v>0</v>
      </c>
      <c r="B274" s="1583" t="s">
        <v>26</v>
      </c>
      <c r="C274" s="1286">
        <f t="shared" si="11"/>
        <v>0</v>
      </c>
      <c r="D274" s="1274">
        <f>VLOOKUP($B274,DG!A:D,DG!$B$2,)</f>
        <v>0</v>
      </c>
      <c r="E274" s="1275" t="str">
        <f>VLOOKUP($B274,DG!A:D,DG!$C$2,)</f>
        <v>Dây chảy 6K</v>
      </c>
      <c r="F274" s="1274" t="str">
        <f>VLOOKUP($B274,DG!A:D,DG!$D$2,)</f>
        <v>Sợi</v>
      </c>
      <c r="G274" s="1312">
        <f>G273</f>
        <v>0</v>
      </c>
      <c r="H274" s="1353">
        <f t="shared" si="10"/>
        <v>0</v>
      </c>
      <c r="I274" s="1310"/>
      <c r="J274" s="1310"/>
      <c r="K274" s="1278"/>
      <c r="L274" s="1125">
        <v>50</v>
      </c>
    </row>
    <row r="275" spans="1:12" s="1279" customFormat="1" ht="20.100000000000001" customHeight="1">
      <c r="A275" s="1377">
        <f t="shared" si="9"/>
        <v>0</v>
      </c>
      <c r="B275" s="1576" t="s">
        <v>1406</v>
      </c>
      <c r="C275" s="1286">
        <f t="shared" si="11"/>
        <v>0</v>
      </c>
      <c r="D275" s="1274" t="str">
        <f>VLOOKUP($B275,DG!A:D,DG!$B$2,)</f>
        <v>02.5114</v>
      </c>
      <c r="E275" s="1275" t="str">
        <f>VLOOKUP($B275,DG!A:D,DG!$C$2,)</f>
        <v>LA 18kV 10kA</v>
      </c>
      <c r="F275" s="1274" t="str">
        <f>VLOOKUP($B275,DG!A:D,DG!$D$2,)</f>
        <v>cái</v>
      </c>
      <c r="G275" s="1312">
        <f>G273</f>
        <v>0</v>
      </c>
      <c r="H275" s="1353">
        <f t="shared" si="10"/>
        <v>0</v>
      </c>
      <c r="I275" s="1310"/>
      <c r="J275" s="1310"/>
      <c r="K275" s="1278"/>
      <c r="L275" s="1125">
        <v>50</v>
      </c>
    </row>
    <row r="276" spans="1:12" s="1279" customFormat="1" ht="20.100000000000001" customHeight="1">
      <c r="A276" s="1377">
        <f t="shared" si="9"/>
        <v>0</v>
      </c>
      <c r="B276" s="1584" t="s">
        <v>1612</v>
      </c>
      <c r="C276" s="1286">
        <f t="shared" si="11"/>
        <v>0</v>
      </c>
      <c r="D276" s="1274" t="str">
        <f>VLOOKUP($B276,DG!A:D,DG!$B$2,)</f>
        <v>02.8401</v>
      </c>
      <c r="E276" s="1275" t="str">
        <f>VLOOKUP($B276,DG!A:D,DG!$C$2,)</f>
        <v xml:space="preserve">MCCB 3 cực 600V -250A - 36KA </v>
      </c>
      <c r="F276" s="1274" t="str">
        <f>VLOOKUP($B276,DG!A:D,DG!$D$2,)</f>
        <v>cái</v>
      </c>
      <c r="G276" s="1312">
        <f>G272</f>
        <v>0</v>
      </c>
      <c r="H276" s="1353">
        <f t="shared" si="10"/>
        <v>0</v>
      </c>
      <c r="I276" s="1310"/>
      <c r="J276" s="1310"/>
      <c r="K276" s="1278"/>
      <c r="L276" s="1125">
        <v>50</v>
      </c>
    </row>
    <row r="277" spans="1:12" s="1279" customFormat="1" ht="20.100000000000001" customHeight="1">
      <c r="A277" s="1377">
        <f t="shared" si="9"/>
        <v>0</v>
      </c>
      <c r="B277" s="1585" t="s">
        <v>1146</v>
      </c>
      <c r="C277" s="1286">
        <f t="shared" si="11"/>
        <v>0</v>
      </c>
      <c r="D277" s="1274">
        <f>VLOOKUP($B277,DG!A:D,DG!$B$2,)</f>
        <v>0</v>
      </c>
      <c r="E277" s="1275" t="str">
        <f>VLOOKUP($B277,DG!A:D,DG!$C$2,)</f>
        <v xml:space="preserve">Biến dòng 600V - 200/5A </v>
      </c>
      <c r="F277" s="1274" t="str">
        <f>VLOOKUP($B277,DG!A:D,DG!$D$2,)</f>
        <v>cái</v>
      </c>
      <c r="G277" s="1312">
        <f>G272*2</f>
        <v>0</v>
      </c>
      <c r="H277" s="1353">
        <f t="shared" si="10"/>
        <v>0</v>
      </c>
      <c r="I277" s="1310"/>
      <c r="J277" s="1310"/>
      <c r="K277" s="1312" t="s">
        <v>2666</v>
      </c>
      <c r="L277" s="1125">
        <v>50</v>
      </c>
    </row>
    <row r="278" spans="1:12" s="1279" customFormat="1" ht="20.100000000000001" customHeight="1">
      <c r="A278" s="1377">
        <f t="shared" si="9"/>
        <v>0</v>
      </c>
      <c r="B278" s="1589" t="s">
        <v>288</v>
      </c>
      <c r="C278" s="1286">
        <f t="shared" si="11"/>
        <v>0</v>
      </c>
      <c r="D278" s="1274">
        <f>VLOOKUP($B278,DG!A:D,DG!$B$2,)</f>
        <v>0</v>
      </c>
      <c r="E278" s="1275" t="str">
        <f>VLOOKUP($B278,DG!A:D,DG!$C$2,)</f>
        <v>Điện kế 1 pha 2 dây 220V-5A</v>
      </c>
      <c r="F278" s="1274" t="str">
        <f>VLOOKUP($B278,DG!A:D,DG!$D$2,)</f>
        <v>cái</v>
      </c>
      <c r="G278" s="1312">
        <f>G277</f>
        <v>0</v>
      </c>
      <c r="H278" s="1353">
        <f t="shared" si="10"/>
        <v>0</v>
      </c>
      <c r="I278" s="1310"/>
      <c r="J278" s="1310"/>
      <c r="K278" s="1312" t="s">
        <v>2666</v>
      </c>
      <c r="L278" s="1125">
        <v>50</v>
      </c>
    </row>
    <row r="279" spans="1:12" s="1279" customFormat="1" ht="20.100000000000001" customHeight="1">
      <c r="A279" s="1377">
        <f t="shared" si="9"/>
        <v>0</v>
      </c>
      <c r="B279" s="1582" t="s">
        <v>200</v>
      </c>
      <c r="C279" s="1286">
        <f t="shared" si="11"/>
        <v>0</v>
      </c>
      <c r="D279" s="1274">
        <f>VLOOKUP($B279,DG!A:D,DG!$B$2,)</f>
        <v>0</v>
      </c>
      <c r="E279" s="1275" t="str">
        <f>VLOOKUP($B279,DG!A:D,DG!$C$2,)</f>
        <v xml:space="preserve">Ampe kế 100/5A-600v +AS </v>
      </c>
      <c r="F279" s="1274" t="str">
        <f>VLOOKUP($B279,DG!A:D,DG!$D$2,)</f>
        <v>Bộ</v>
      </c>
      <c r="G279" s="1312">
        <f>G278*0</f>
        <v>0</v>
      </c>
      <c r="H279" s="1353">
        <f t="shared" si="10"/>
        <v>0</v>
      </c>
      <c r="I279" s="1310"/>
      <c r="J279" s="1310"/>
      <c r="K279" s="1278"/>
      <c r="L279" s="1125">
        <v>50</v>
      </c>
    </row>
    <row r="280" spans="1:12" s="1279" customFormat="1" ht="20.100000000000001" customHeight="1">
      <c r="A280" s="1377">
        <f t="shared" si="9"/>
        <v>0</v>
      </c>
      <c r="B280" s="1582"/>
      <c r="C280" s="1309"/>
      <c r="D280" s="1405"/>
      <c r="E280" s="1384" t="s">
        <v>3785</v>
      </c>
      <c r="F280" s="1309"/>
      <c r="G280" s="1309"/>
      <c r="H280" s="1353">
        <f t="shared" si="10"/>
        <v>0</v>
      </c>
      <c r="I280" s="1384"/>
      <c r="J280" s="1309"/>
      <c r="K280" s="1354"/>
      <c r="L280" s="1125">
        <v>50</v>
      </c>
    </row>
    <row r="281" spans="1:12" s="1279" customFormat="1" ht="20.100000000000001" customHeight="1">
      <c r="A281" s="1377">
        <f t="shared" si="9"/>
        <v>0</v>
      </c>
      <c r="B281" s="1582"/>
      <c r="C281" s="1380"/>
      <c r="D281" s="1381"/>
      <c r="E281" s="1420" t="s">
        <v>4701</v>
      </c>
      <c r="F281" s="1383"/>
      <c r="G281" s="1383"/>
      <c r="H281" s="1353">
        <f t="shared" si="10"/>
        <v>0</v>
      </c>
      <c r="I281" s="1383"/>
      <c r="J281" s="1383"/>
      <c r="K281" s="1354"/>
      <c r="L281" s="1125">
        <v>50</v>
      </c>
    </row>
    <row r="282" spans="1:12" s="1279" customFormat="1" ht="20.100000000000001" customHeight="1">
      <c r="A282" s="1377">
        <f t="shared" si="9"/>
        <v>0</v>
      </c>
      <c r="B282" s="1583" t="s">
        <v>1240</v>
      </c>
      <c r="C282" s="1286">
        <f>IF(G282&gt;0,1,0)</f>
        <v>0</v>
      </c>
      <c r="D282" s="1274" t="str">
        <f>VLOOKUP($B282,DG!A:D,DG!$B$2,)</f>
        <v>01.1161</v>
      </c>
      <c r="E282" s="1275" t="str">
        <f>VLOOKUP($B282,DG!A:D,DG!$C$2,)</f>
        <v>Máy biến áp 12,7/0,22-0,44kV  25kVA</v>
      </c>
      <c r="F282" s="1274" t="str">
        <f>VLOOKUP($B282,DG!A:D,DG!$D$2,)</f>
        <v>máy</v>
      </c>
      <c r="G282" s="1423"/>
      <c r="H282" s="1353">
        <f t="shared" si="10"/>
        <v>0</v>
      </c>
      <c r="I282" s="1310"/>
      <c r="J282" s="1310"/>
      <c r="K282" s="1278"/>
      <c r="L282" s="1125">
        <v>50</v>
      </c>
    </row>
    <row r="283" spans="1:12" s="1279" customFormat="1" ht="20.100000000000001" customHeight="1">
      <c r="A283" s="1377">
        <f t="shared" ref="A283:A346" si="12">IF(H283&gt;0,1,0)</f>
        <v>0</v>
      </c>
      <c r="B283" s="1583" t="s">
        <v>1241</v>
      </c>
      <c r="C283" s="1286">
        <f>IF(G283&gt;0,C282+1,C282)</f>
        <v>0</v>
      </c>
      <c r="D283" s="1274" t="str">
        <f>VLOOKUP($B283,DG!A:D,DG!$B$2,)</f>
        <v>01.1412</v>
      </c>
      <c r="E283" s="1275" t="str">
        <f>VLOOKUP($B283,DG!A:D,DG!$C$2,)</f>
        <v>Máy biến áp 12,7/0,22-0,44kV  37,5kVA</v>
      </c>
      <c r="F283" s="1274" t="str">
        <f>VLOOKUP($B283,DG!A:D,DG!$D$2,)</f>
        <v>máy</v>
      </c>
      <c r="G283" s="1423"/>
      <c r="H283" s="1353">
        <f t="shared" si="10"/>
        <v>0</v>
      </c>
      <c r="I283" s="1310"/>
      <c r="J283" s="1310"/>
      <c r="K283" s="1278"/>
      <c r="L283" s="1125">
        <v>50</v>
      </c>
    </row>
    <row r="284" spans="1:12" s="1279" customFormat="1" ht="20.100000000000001" customHeight="1">
      <c r="A284" s="1377">
        <f t="shared" si="12"/>
        <v>0</v>
      </c>
      <c r="B284" s="1583" t="s">
        <v>1242</v>
      </c>
      <c r="C284" s="1286">
        <f>IF(G284&gt;0,C283+1,C283)</f>
        <v>0</v>
      </c>
      <c r="D284" s="1274" t="str">
        <f>VLOOKUP($B284,DG!A:D,DG!$B$2,)</f>
        <v>01.1162</v>
      </c>
      <c r="E284" s="1275" t="str">
        <f>VLOOKUP($B284,DG!A:D,DG!$C$2,)</f>
        <v>Máy biến áp 12,7/0,22-0,44kV  50kVA</v>
      </c>
      <c r="F284" s="1274" t="str">
        <f>VLOOKUP($B284,DG!A:D,DG!$D$2,)</f>
        <v>máy</v>
      </c>
      <c r="G284" s="1423"/>
      <c r="H284" s="1353">
        <f t="shared" si="10"/>
        <v>0</v>
      </c>
      <c r="I284" s="1310"/>
      <c r="J284" s="1310"/>
      <c r="K284" s="1278"/>
      <c r="L284" s="1125">
        <v>50</v>
      </c>
    </row>
    <row r="285" spans="1:12" s="1279" customFormat="1" ht="20.100000000000001" customHeight="1">
      <c r="A285" s="1377">
        <f t="shared" si="12"/>
        <v>0</v>
      </c>
      <c r="B285" s="1583" t="s">
        <v>1243</v>
      </c>
      <c r="C285" s="1286">
        <f>IF(G285&gt;0,C284+1,C284)</f>
        <v>0</v>
      </c>
      <c r="D285" s="1274" t="str">
        <f>VLOOKUP($B285,DG!A:D,DG!$B$2,)</f>
        <v>01.1163</v>
      </c>
      <c r="E285" s="1275" t="str">
        <f>VLOOKUP($B285,DG!A:D,DG!$C$2,)</f>
        <v>Máy biến áp 12,7/0,23-0,46kV  75kVA</v>
      </c>
      <c r="F285" s="1274" t="str">
        <f>VLOOKUP($B285,DG!A:D,DG!$D$2,)</f>
        <v>máy</v>
      </c>
      <c r="G285" s="1423"/>
      <c r="H285" s="1353">
        <f t="shared" si="10"/>
        <v>0</v>
      </c>
      <c r="I285" s="1310"/>
      <c r="J285" s="1310"/>
      <c r="K285" s="1278"/>
      <c r="L285" s="1125">
        <v>50</v>
      </c>
    </row>
    <row r="286" spans="1:12" s="1279" customFormat="1" ht="20.100000000000001" customHeight="1">
      <c r="A286" s="1377">
        <f t="shared" si="12"/>
        <v>0</v>
      </c>
      <c r="B286" s="1583" t="s">
        <v>1555</v>
      </c>
      <c r="C286" s="1286">
        <f>IF(G286&gt;0,C285+1,C285)</f>
        <v>0</v>
      </c>
      <c r="D286" s="1274" t="str">
        <f>VLOOKUP($B286,DG!A:D,DG!$B$2,)</f>
        <v>01.1144</v>
      </c>
      <c r="E286" s="1275" t="str">
        <f>VLOOKUP($B286,DG!A:D,DG!$C$2,)</f>
        <v>Máy biến áp 22/0,4kV  160kVA</v>
      </c>
      <c r="F286" s="1274" t="str">
        <f>VLOOKUP($B286,DG!A:D,DG!$D$2,)</f>
        <v>máy</v>
      </c>
      <c r="G286" s="1423"/>
      <c r="H286" s="1353">
        <f t="shared" si="10"/>
        <v>0</v>
      </c>
      <c r="I286" s="1310"/>
      <c r="J286" s="1310"/>
      <c r="K286" s="1278"/>
      <c r="L286" s="1125">
        <v>50</v>
      </c>
    </row>
    <row r="287" spans="1:12" s="1279" customFormat="1" ht="20.100000000000001" customHeight="1">
      <c r="A287" s="1377">
        <f t="shared" si="12"/>
        <v>0</v>
      </c>
      <c r="B287" s="1582" t="s">
        <v>1274</v>
      </c>
      <c r="C287" s="1286">
        <f>IF(G287&gt;0,C286+1,C286)</f>
        <v>0</v>
      </c>
      <c r="D287" s="1274" t="str">
        <f>VLOOKUP($B287,DG!A:D,DG!$B$2,)</f>
        <v>01.1144</v>
      </c>
      <c r="E287" s="1275" t="str">
        <f>VLOOKUP($B287,DG!A:D,DG!$C$2,)</f>
        <v>Máy biến áp 22/0,4kV  180kVA</v>
      </c>
      <c r="F287" s="1274" t="str">
        <f>VLOOKUP($B287,DG!A:D,DG!$D$2,)</f>
        <v>máy</v>
      </c>
      <c r="G287" s="1423"/>
      <c r="H287" s="1353">
        <f t="shared" si="10"/>
        <v>0</v>
      </c>
      <c r="I287" s="1310"/>
      <c r="J287" s="1310"/>
      <c r="K287" s="1278"/>
      <c r="L287" s="1125">
        <v>50</v>
      </c>
    </row>
    <row r="288" spans="1:12" s="1279" customFormat="1" ht="20.100000000000001" customHeight="1">
      <c r="A288" s="1377">
        <f t="shared" si="12"/>
        <v>0</v>
      </c>
      <c r="B288" s="1582" t="s">
        <v>1406</v>
      </c>
      <c r="C288" s="1286">
        <f>IF(G288&gt;0,C286+1,C286)</f>
        <v>0</v>
      </c>
      <c r="D288" s="1274" t="str">
        <f>VLOOKUP($B288,DG!A:D,DG!$B$2,)</f>
        <v>02.5114</v>
      </c>
      <c r="E288" s="1275" t="str">
        <f>VLOOKUP($B288,DG!A:D,DG!$C$2,)&amp;" : thuoäc ñieän löïc"</f>
        <v>LA 18kV 10kA : thuoäc ñieän löïc</v>
      </c>
      <c r="F288" s="1274" t="str">
        <f>VLOOKUP($B288,DG!A:D,DG!$D$2,)</f>
        <v>cái</v>
      </c>
      <c r="G288" s="1423"/>
      <c r="H288" s="1353">
        <f t="shared" si="10"/>
        <v>0</v>
      </c>
      <c r="I288" s="1310"/>
      <c r="J288" s="1310"/>
      <c r="K288" s="1298"/>
      <c r="L288" s="1125">
        <v>50</v>
      </c>
    </row>
    <row r="289" spans="1:13" s="1279" customFormat="1" ht="20.100000000000001" customHeight="1">
      <c r="A289" s="1377">
        <f t="shared" si="12"/>
        <v>0</v>
      </c>
      <c r="B289" s="1582" t="s">
        <v>1406</v>
      </c>
      <c r="C289" s="1286">
        <f>IF(G289&gt;0,C287+1,C287)</f>
        <v>0</v>
      </c>
      <c r="D289" s="1274" t="str">
        <f>VLOOKUP($B289,DG!A:D,DG!$B$2,)</f>
        <v>02.5114</v>
      </c>
      <c r="E289" s="1275" t="str">
        <f>VLOOKUP($B289,DG!A:D,DG!$C$2,)&amp;" : thuoäc khaùch haøng"</f>
        <v>LA 18kV 10kA : thuoäc khaùch haøng</v>
      </c>
      <c r="F289" s="1274" t="str">
        <f>VLOOKUP($B289,DG!A:D,DG!$D$2,)</f>
        <v>cái</v>
      </c>
      <c r="G289" s="1423"/>
      <c r="H289" s="1353">
        <f t="shared" ref="H289:H352" si="13">IF(L289=$L$23,G289+I289-J289,0)</f>
        <v>0</v>
      </c>
      <c r="I289" s="1310"/>
      <c r="J289" s="1310"/>
      <c r="K289" s="1298"/>
      <c r="L289" s="1125">
        <v>50</v>
      </c>
    </row>
    <row r="290" spans="1:13" s="1279" customFormat="1" ht="20.100000000000001" customHeight="1">
      <c r="A290" s="1377">
        <f t="shared" si="12"/>
        <v>0</v>
      </c>
      <c r="B290" s="1582" t="s">
        <v>905</v>
      </c>
      <c r="C290" s="1286">
        <f>IF(G290&gt;0,C286+1,C286)</f>
        <v>0</v>
      </c>
      <c r="D290" s="1274">
        <f>VLOOKUP($B290,DG!A:D,DG!$B$2,)</f>
        <v>0</v>
      </c>
      <c r="E290" s="1275" t="str">
        <f>VLOOKUP($B290,DG!A:D,DG!$C$2,)</f>
        <v>Dây chảy 3K</v>
      </c>
      <c r="F290" s="1274" t="str">
        <f>VLOOKUP($B290,DG!A:D,DG!$D$2,)</f>
        <v>Sợi</v>
      </c>
      <c r="G290" s="1423"/>
      <c r="H290" s="1353">
        <f t="shared" si="13"/>
        <v>0</v>
      </c>
      <c r="I290" s="1310"/>
      <c r="J290" s="1310"/>
      <c r="K290" s="1298"/>
      <c r="L290" s="1125">
        <v>50</v>
      </c>
    </row>
    <row r="291" spans="1:13" s="1279" customFormat="1" ht="20.100000000000001" customHeight="1">
      <c r="A291" s="1377">
        <f t="shared" si="12"/>
        <v>0</v>
      </c>
      <c r="B291" s="1582" t="s">
        <v>26</v>
      </c>
      <c r="C291" s="1286">
        <f>IF(G291&gt;0,C287+1,C287)</f>
        <v>0</v>
      </c>
      <c r="D291" s="1274">
        <f>VLOOKUP($B291,DG!A:D,DG!$B$2,)</f>
        <v>0</v>
      </c>
      <c r="E291" s="1275" t="str">
        <f>VLOOKUP($B291,DG!A:D,DG!$C$2,)</f>
        <v>Dây chảy 6K</v>
      </c>
      <c r="F291" s="1274" t="str">
        <f>VLOOKUP($B291,DG!A:D,DG!$D$2,)</f>
        <v>Sợi</v>
      </c>
      <c r="G291" s="1423"/>
      <c r="H291" s="1353">
        <f t="shared" si="13"/>
        <v>0</v>
      </c>
      <c r="I291" s="1310"/>
      <c r="J291" s="1310"/>
      <c r="K291" s="1298"/>
      <c r="L291" s="1125">
        <v>50</v>
      </c>
    </row>
    <row r="292" spans="1:13" s="1279" customFormat="1" ht="20.100000000000001" customHeight="1">
      <c r="A292" s="1377">
        <f t="shared" si="12"/>
        <v>0</v>
      </c>
      <c r="B292" s="1582" t="s">
        <v>1057</v>
      </c>
      <c r="C292" s="1286">
        <f>IF(G292&gt;0,C288+1,C288)</f>
        <v>0</v>
      </c>
      <c r="D292" s="1274">
        <f>VLOOKUP($B292,DG!A:D,DG!$B$2,)</f>
        <v>0</v>
      </c>
      <c r="E292" s="1275" t="str">
        <f>VLOOKUP($B292,DG!A:D,DG!$C$2,)</f>
        <v>Dây chảy 8K</v>
      </c>
      <c r="F292" s="1274" t="str">
        <f>VLOOKUP($B292,DG!A:D,DG!$D$2,)</f>
        <v>Sợi</v>
      </c>
      <c r="G292" s="1423"/>
      <c r="H292" s="1353">
        <f t="shared" si="13"/>
        <v>0</v>
      </c>
      <c r="I292" s="1310"/>
      <c r="J292" s="1310"/>
      <c r="K292" s="1298"/>
      <c r="L292" s="1125">
        <v>50</v>
      </c>
    </row>
    <row r="293" spans="1:13" s="1279" customFormat="1" ht="20.100000000000001" customHeight="1">
      <c r="A293" s="1377">
        <f t="shared" si="12"/>
        <v>0</v>
      </c>
      <c r="B293" s="1582" t="s">
        <v>1176</v>
      </c>
      <c r="C293" s="1286">
        <f>IF(G293&gt;0,C290+1,C290)</f>
        <v>0</v>
      </c>
      <c r="D293" s="1274">
        <f>VLOOKUP($B293,DG!A:D,DG!$B$2,)</f>
        <v>0</v>
      </c>
      <c r="E293" s="1275" t="str">
        <f>VLOOKUP($B293,DG!A:D,DG!$C$2,)</f>
        <v>Dây chảy 10K</v>
      </c>
      <c r="F293" s="1274" t="str">
        <f>VLOOKUP($B293,DG!A:D,DG!$D$2,)</f>
        <v>Sợi</v>
      </c>
      <c r="G293" s="1423"/>
      <c r="H293" s="1353">
        <f t="shared" si="13"/>
        <v>0</v>
      </c>
      <c r="I293" s="1310"/>
      <c r="J293" s="1310"/>
      <c r="K293" s="1298"/>
      <c r="L293" s="1125">
        <v>50</v>
      </c>
    </row>
    <row r="294" spans="1:13" s="1279" customFormat="1" ht="20.100000000000001" customHeight="1">
      <c r="A294" s="1377">
        <f t="shared" si="12"/>
        <v>0</v>
      </c>
      <c r="B294" s="1582" t="s">
        <v>1406</v>
      </c>
      <c r="C294" s="1286">
        <f>IF(G294&gt;0,C287+1,C287)</f>
        <v>0</v>
      </c>
      <c r="D294" s="1274" t="str">
        <f>VLOOKUP($B294,DG!A:D,DG!$B$2,)</f>
        <v>02.5114</v>
      </c>
      <c r="E294" s="1275" t="str">
        <f>VLOOKUP($B294,DG!A:D,DG!$C$2,)</f>
        <v>LA 18kV 10kA</v>
      </c>
      <c r="F294" s="1274" t="str">
        <f>VLOOKUP($B294,DG!A:D,DG!$D$2,)</f>
        <v>cái</v>
      </c>
      <c r="G294" s="1423"/>
      <c r="H294" s="1353">
        <f t="shared" si="13"/>
        <v>0</v>
      </c>
      <c r="I294" s="1310"/>
      <c r="J294" s="1310"/>
      <c r="K294" s="1298"/>
      <c r="L294" s="1125">
        <v>50</v>
      </c>
    </row>
    <row r="295" spans="1:13" s="1279" customFormat="1" ht="20.100000000000001" customHeight="1">
      <c r="A295" s="1377">
        <f t="shared" si="12"/>
        <v>0</v>
      </c>
      <c r="B295" s="1582"/>
      <c r="C295" s="1309"/>
      <c r="D295" s="1405"/>
      <c r="E295" s="1384" t="s">
        <v>3786</v>
      </c>
      <c r="F295" s="1309"/>
      <c r="G295" s="1309"/>
      <c r="H295" s="1353">
        <f t="shared" si="13"/>
        <v>0</v>
      </c>
      <c r="I295" s="1384"/>
      <c r="J295" s="1309"/>
      <c r="K295" s="1354"/>
      <c r="L295" s="1125">
        <v>50</v>
      </c>
    </row>
    <row r="296" spans="1:13" s="1279" customFormat="1" ht="20.100000000000001" customHeight="1">
      <c r="A296" s="1377">
        <f t="shared" si="12"/>
        <v>0</v>
      </c>
      <c r="B296" s="1582"/>
      <c r="C296" s="1407"/>
      <c r="D296" s="1408"/>
      <c r="E296" s="1264" t="s">
        <v>3772</v>
      </c>
      <c r="F296" s="1264"/>
      <c r="G296" s="1264"/>
      <c r="H296" s="1353">
        <f t="shared" si="13"/>
        <v>0</v>
      </c>
      <c r="I296" s="1264"/>
      <c r="J296" s="1264"/>
      <c r="K296" s="1354"/>
      <c r="L296" s="1125">
        <v>50</v>
      </c>
    </row>
    <row r="297" spans="1:13" s="1279" customFormat="1" ht="20.100000000000001" customHeight="1">
      <c r="A297" s="1377">
        <f t="shared" si="12"/>
        <v>0</v>
      </c>
      <c r="B297" s="1582" t="s">
        <v>1662</v>
      </c>
      <c r="C297" s="1409">
        <f>IF(G309&gt;0,1,0)</f>
        <v>0</v>
      </c>
      <c r="D297" s="1411"/>
      <c r="E297" s="1275" t="str">
        <f>VLOOKUP($B297,DG!A:D,DG!$C$2,)</f>
        <v>Boulon 16x300+ 2 long đền vuông D18-50x50x3/Zn</v>
      </c>
      <c r="F297" s="1274" t="str">
        <f>VLOOKUP($B297,DG!A:D,DG!$D$2,)</f>
        <v>bộ</v>
      </c>
      <c r="G297" s="1390">
        <f>2*SUM(G272:G272)</f>
        <v>0</v>
      </c>
      <c r="H297" s="1353">
        <f t="shared" si="13"/>
        <v>0</v>
      </c>
      <c r="I297" s="1310"/>
      <c r="J297" s="1310"/>
      <c r="K297" s="1424"/>
      <c r="L297" s="1125">
        <v>50</v>
      </c>
    </row>
    <row r="298" spans="1:13" s="1279" customFormat="1" ht="20.100000000000001" customHeight="1">
      <c r="A298" s="1377">
        <f t="shared" si="12"/>
        <v>0</v>
      </c>
      <c r="B298" s="1582"/>
      <c r="C298" s="1273">
        <f>IF(G298&gt;0,C297+1,C297)</f>
        <v>0</v>
      </c>
      <c r="D298" s="1411"/>
      <c r="E298" s="1412" t="s">
        <v>3773</v>
      </c>
      <c r="F298" s="1390" t="s">
        <v>2449</v>
      </c>
      <c r="G298" s="1390">
        <f>G272*0</f>
        <v>0</v>
      </c>
      <c r="H298" s="1353">
        <f t="shared" si="13"/>
        <v>0</v>
      </c>
      <c r="I298" s="1342"/>
      <c r="J298" s="1342"/>
      <c r="K298" s="1312"/>
      <c r="L298" s="1125">
        <v>50</v>
      </c>
    </row>
    <row r="299" spans="1:13" s="1279" customFormat="1" ht="20.100000000000001" customHeight="1">
      <c r="A299" s="1377">
        <f>IF(A298&gt;0,1,0)</f>
        <v>0</v>
      </c>
      <c r="B299" s="1582"/>
      <c r="C299" s="1390"/>
      <c r="D299" s="1411"/>
      <c r="E299" s="1634" t="s">
        <v>2342</v>
      </c>
      <c r="F299" s="1312"/>
      <c r="G299" s="1312"/>
      <c r="H299" s="1353">
        <f t="shared" si="13"/>
        <v>0</v>
      </c>
      <c r="I299" s="1342"/>
      <c r="J299" s="1342"/>
      <c r="K299" s="1312"/>
      <c r="L299" s="1125">
        <v>50</v>
      </c>
      <c r="M299" s="1413"/>
    </row>
    <row r="300" spans="1:13" s="1279" customFormat="1" ht="20.100000000000001" customHeight="1">
      <c r="A300" s="1377">
        <f t="shared" si="12"/>
        <v>0</v>
      </c>
      <c r="B300" s="1378" t="s">
        <v>116</v>
      </c>
      <c r="C300" s="1312"/>
      <c r="D300" s="1274">
        <f>VLOOKUP($B300,DG!A:D,DG!$B$2,)</f>
        <v>0</v>
      </c>
      <c r="E300" s="1275" t="str">
        <f>VLOOKUP($B300,DG!A:D,DG!$C$2,)</f>
        <v>Trụ BTLT 12m F350 dự ứng lực</v>
      </c>
      <c r="F300" s="1274" t="str">
        <f>VLOOKUP($B300,DG!A:D,DG!$D$2,)</f>
        <v>trụ</v>
      </c>
      <c r="G300" s="1312">
        <f>1*G298</f>
        <v>0</v>
      </c>
      <c r="H300" s="1353">
        <f t="shared" si="13"/>
        <v>0</v>
      </c>
      <c r="I300" s="1310"/>
      <c r="J300" s="1310"/>
      <c r="K300" s="1312"/>
      <c r="L300" s="1125">
        <v>50</v>
      </c>
      <c r="M300" s="1413"/>
    </row>
    <row r="301" spans="1:13" s="1279" customFormat="1" ht="20.100000000000001" customHeight="1">
      <c r="A301" s="1377">
        <f t="shared" si="12"/>
        <v>0</v>
      </c>
      <c r="B301" s="1378" t="s">
        <v>1867</v>
      </c>
      <c r="C301" s="1312"/>
      <c r="D301" s="1414"/>
      <c r="E301" s="1275" t="str">
        <f>VLOOKUP($B301,DG!A:D,DG!$C$2,)</f>
        <v>Vật liệu dựng trụ</v>
      </c>
      <c r="F301" s="1274" t="str">
        <f>VLOOKUP($B301,DG!A:D,DG!$D$2,)</f>
        <v>trụ</v>
      </c>
      <c r="G301" s="1312">
        <f>G300</f>
        <v>0</v>
      </c>
      <c r="H301" s="1353">
        <f t="shared" si="13"/>
        <v>0</v>
      </c>
      <c r="I301" s="1310"/>
      <c r="J301" s="1310"/>
      <c r="K301" s="1312"/>
      <c r="L301" s="1125">
        <v>50</v>
      </c>
      <c r="M301" s="1413"/>
    </row>
    <row r="302" spans="1:13" s="1279" customFormat="1" ht="20.100000000000001" customHeight="1">
      <c r="A302" s="1377">
        <f t="shared" si="12"/>
        <v>0</v>
      </c>
      <c r="B302" s="1378" t="s">
        <v>2188</v>
      </c>
      <c r="C302" s="1312"/>
      <c r="D302" s="1414"/>
      <c r="E302" s="1275" t="str">
        <f>VLOOKUP($B302,DG!A:D,DG!$C$2,)</f>
        <v>Dựng trụ BTLT 12m trong TBA bằng thủ công + cơ giới</v>
      </c>
      <c r="F302" s="1274" t="str">
        <f>VLOOKUP($B302,DG!A:D,DG!$D$2,)</f>
        <v>trụ</v>
      </c>
      <c r="G302" s="1312">
        <f>G300</f>
        <v>0</v>
      </c>
      <c r="H302" s="1353">
        <f t="shared" si="13"/>
        <v>0</v>
      </c>
      <c r="I302" s="1310"/>
      <c r="J302" s="1310"/>
      <c r="K302" s="1312"/>
      <c r="L302" s="1125">
        <v>50</v>
      </c>
      <c r="M302" s="1413"/>
    </row>
    <row r="303" spans="1:13" s="1279" customFormat="1" ht="20.100000000000001" customHeight="1">
      <c r="A303" s="1377">
        <f t="shared" si="12"/>
        <v>0</v>
      </c>
      <c r="B303" s="1582"/>
      <c r="C303" s="1273">
        <f>IF(G303&gt;0,C298+1,C298)</f>
        <v>0</v>
      </c>
      <c r="D303" s="1411"/>
      <c r="E303" s="1412" t="s">
        <v>2416</v>
      </c>
      <c r="F303" s="1390" t="s">
        <v>2449</v>
      </c>
      <c r="G303" s="1390">
        <f>G298</f>
        <v>0</v>
      </c>
      <c r="H303" s="1353">
        <f t="shared" si="13"/>
        <v>0</v>
      </c>
      <c r="I303" s="1342"/>
      <c r="J303" s="1342"/>
      <c r="K303" s="1312"/>
      <c r="L303" s="1125">
        <v>50</v>
      </c>
    </row>
    <row r="304" spans="1:13" s="1279" customFormat="1" ht="20.100000000000001" customHeight="1">
      <c r="A304" s="1377">
        <f>IF(A303&gt;0,1,0)</f>
        <v>0</v>
      </c>
      <c r="B304" s="1582"/>
      <c r="C304" s="1390"/>
      <c r="D304" s="1411"/>
      <c r="E304" s="1634" t="s">
        <v>2342</v>
      </c>
      <c r="F304" s="1312"/>
      <c r="G304" s="1312"/>
      <c r="H304" s="1353">
        <f t="shared" si="13"/>
        <v>0</v>
      </c>
      <c r="I304" s="1342"/>
      <c r="J304" s="1342"/>
      <c r="K304" s="1312"/>
      <c r="L304" s="1125">
        <v>50</v>
      </c>
      <c r="M304" s="1413"/>
    </row>
    <row r="305" spans="1:13" s="1279" customFormat="1" ht="20.100000000000001" customHeight="1">
      <c r="A305" s="1377">
        <f t="shared" si="12"/>
        <v>0</v>
      </c>
      <c r="B305" s="1589" t="s">
        <v>641</v>
      </c>
      <c r="C305" s="1312"/>
      <c r="D305" s="1274" t="str">
        <f>VLOOKUP($B305,DG!A:D,DG!$B$2,)</f>
        <v>04.4001</v>
      </c>
      <c r="E305" s="1275" t="str">
        <f>VLOOKUP($B305,DG!A:D,DG!$C$2,)</f>
        <v>Đà cản BTCT 1,2m</v>
      </c>
      <c r="F305" s="1274" t="str">
        <f>VLOOKUP($B305,DG!A:D,DG!$D$2,)</f>
        <v>cái</v>
      </c>
      <c r="G305" s="1312">
        <f>1*G303</f>
        <v>0</v>
      </c>
      <c r="H305" s="1353">
        <f t="shared" si="13"/>
        <v>0</v>
      </c>
      <c r="I305" s="1310"/>
      <c r="J305" s="1310"/>
      <c r="K305" s="1312"/>
      <c r="L305" s="1125">
        <v>50</v>
      </c>
      <c r="M305" s="1413"/>
    </row>
    <row r="306" spans="1:13" s="1279" customFormat="1" ht="20.100000000000001" customHeight="1">
      <c r="A306" s="1377">
        <f t="shared" si="12"/>
        <v>0</v>
      </c>
      <c r="B306" s="1589" t="s">
        <v>570</v>
      </c>
      <c r="C306" s="1312"/>
      <c r="D306" s="1274">
        <f>VLOOKUP($B306,DG!A:D,DG!$B$2,)</f>
        <v>0</v>
      </c>
      <c r="E306" s="1275" t="str">
        <f>VLOOKUP($B306,DG!A:D,DG!$C$2,)</f>
        <v>Boulon 22x650+ 2 long đền vuông D24-50x50x3/Zn</v>
      </c>
      <c r="F306" s="1274" t="str">
        <f>VLOOKUP($B306,DG!A:D,DG!$D$2,)</f>
        <v>bộ</v>
      </c>
      <c r="G306" s="1312">
        <f>G303</f>
        <v>0</v>
      </c>
      <c r="H306" s="1353">
        <f t="shared" si="13"/>
        <v>0</v>
      </c>
      <c r="I306" s="1310"/>
      <c r="J306" s="1310"/>
      <c r="K306" s="1312"/>
      <c r="L306" s="1125">
        <v>50</v>
      </c>
      <c r="M306" s="1413"/>
    </row>
    <row r="307" spans="1:13" s="1279" customFormat="1" ht="20.100000000000001" customHeight="1">
      <c r="A307" s="1377">
        <f t="shared" si="12"/>
        <v>0</v>
      </c>
      <c r="B307" s="1589" t="str">
        <f>IF(chitiet!F5=1,"MDD1",IF(chitiet!F5=2,"MDD2",IF(chitiet!F5=3,"MDD3",IF(chitiet!F5=4,"MDD4"))))</f>
        <v>MDD3</v>
      </c>
      <c r="C307" s="1312"/>
      <c r="D307" s="1274" t="str">
        <f>VLOOKUP($B307,DG!A:D,DG!$B$2,)</f>
        <v>03.1013</v>
      </c>
      <c r="E307" s="1275" t="str">
        <f>VLOOKUP($B307,DG!A:D,DG!$C$2,)</f>
        <v>Đào hố móng đất cấp 3 sâu &gt;1m DT&lt;5m2</v>
      </c>
      <c r="F307" s="1274" t="str">
        <f>VLOOKUP($B307,DG!A:D,DG!$D$2,)</f>
        <v>m3</v>
      </c>
      <c r="G307" s="1346">
        <f>G303*1.45</f>
        <v>0</v>
      </c>
      <c r="H307" s="1353">
        <f t="shared" si="13"/>
        <v>0</v>
      </c>
      <c r="I307" s="1310"/>
      <c r="J307" s="1310"/>
      <c r="K307" s="1312"/>
      <c r="L307" s="1125">
        <v>50</v>
      </c>
      <c r="M307" s="1413"/>
    </row>
    <row r="308" spans="1:13" s="1279" customFormat="1" ht="20.100000000000001" customHeight="1">
      <c r="A308" s="1377">
        <f t="shared" si="12"/>
        <v>0</v>
      </c>
      <c r="B308" s="1589" t="str">
        <f>IF(chitiet!F5=1,"MDAP1",IF(chitiet!F5=2,"MDAP2",IF(chitiet!F5=3,"MDAP3",IF(chitiet!F5=4,"MDAP4"))))</f>
        <v>MDAP3</v>
      </c>
      <c r="C308" s="1312"/>
      <c r="D308" s="1274" t="str">
        <f>VLOOKUP($B308,DG!A:D,DG!$B$2,)</f>
        <v>03.4113</v>
      </c>
      <c r="E308" s="1275" t="str">
        <f>VLOOKUP($B308,DG!A:D,DG!$C$2,)</f>
        <v>Đắp đất hố móng, độ chặt k=0,95</v>
      </c>
      <c r="F308" s="1274" t="str">
        <f>VLOOKUP($B308,DG!A:D,DG!$D$2,)</f>
        <v>m3</v>
      </c>
      <c r="G308" s="1346">
        <f>G303*1.37</f>
        <v>0</v>
      </c>
      <c r="H308" s="1353">
        <f t="shared" si="13"/>
        <v>0</v>
      </c>
      <c r="I308" s="1310"/>
      <c r="J308" s="1310"/>
      <c r="K308" s="1312"/>
      <c r="L308" s="1125">
        <v>50</v>
      </c>
      <c r="M308" s="1413"/>
    </row>
    <row r="309" spans="1:13" s="1279" customFormat="1" ht="20.100000000000001" customHeight="1">
      <c r="A309" s="1377">
        <f t="shared" si="12"/>
        <v>0</v>
      </c>
      <c r="B309" s="1582"/>
      <c r="C309" s="1273">
        <f>IF(G309&gt;0,C303+1,C303)</f>
        <v>0</v>
      </c>
      <c r="D309" s="1411"/>
      <c r="E309" s="1425" t="s">
        <v>3774</v>
      </c>
      <c r="F309" s="1390" t="s">
        <v>2449</v>
      </c>
      <c r="G309" s="1390">
        <f>SUM(G272:G272)</f>
        <v>0</v>
      </c>
      <c r="H309" s="1353">
        <f t="shared" si="13"/>
        <v>0</v>
      </c>
      <c r="I309" s="1310"/>
      <c r="J309" s="1310"/>
      <c r="K309" s="1278"/>
      <c r="L309" s="1125">
        <v>50</v>
      </c>
    </row>
    <row r="310" spans="1:13" s="1279" customFormat="1" ht="20.100000000000001" customHeight="1">
      <c r="A310" s="1377">
        <f>IF(A309&gt;0,1,0)</f>
        <v>0</v>
      </c>
      <c r="B310" s="1582"/>
      <c r="C310" s="1390"/>
      <c r="D310" s="1411"/>
      <c r="E310" s="1635" t="s">
        <v>2342</v>
      </c>
      <c r="F310" s="1312"/>
      <c r="G310" s="1312"/>
      <c r="H310" s="1353">
        <f t="shared" si="13"/>
        <v>0</v>
      </c>
      <c r="I310" s="1310"/>
      <c r="J310" s="1310"/>
      <c r="K310" s="1278"/>
      <c r="L310" s="1125">
        <v>50</v>
      </c>
    </row>
    <row r="311" spans="1:13" s="1279" customFormat="1" ht="20.100000000000001" customHeight="1">
      <c r="A311" s="1377">
        <f t="shared" si="12"/>
        <v>0</v>
      </c>
      <c r="B311" s="1582" t="s">
        <v>1508</v>
      </c>
      <c r="C311" s="1312"/>
      <c r="D311" s="1274" t="str">
        <f>VLOOKUP($B311,DG!A:D,DG!$B$2,)</f>
        <v>05.6100</v>
      </c>
      <c r="E311" s="1275" t="str">
        <f>VLOOKUP($B311,DG!A:D,DG!$C$2,)</f>
        <v>Giá chữ "T" lắp FCO, LA (V63x63x6)</v>
      </c>
      <c r="F311" s="1274" t="str">
        <f>VLOOKUP($B311,DG!A:D,DG!$D$2,)</f>
        <v>bộ</v>
      </c>
      <c r="G311" s="1312">
        <f>1*G309</f>
        <v>0</v>
      </c>
      <c r="H311" s="1353">
        <f t="shared" si="13"/>
        <v>0</v>
      </c>
      <c r="I311" s="1310"/>
      <c r="J311" s="1310"/>
      <c r="K311" s="1278"/>
      <c r="L311" s="1125">
        <v>50</v>
      </c>
    </row>
    <row r="312" spans="1:13" s="1279" customFormat="1" ht="20.100000000000001" customHeight="1">
      <c r="A312" s="1377">
        <f t="shared" si="12"/>
        <v>0</v>
      </c>
      <c r="B312" s="1582" t="s">
        <v>1662</v>
      </c>
      <c r="C312" s="1312"/>
      <c r="D312" s="1414"/>
      <c r="E312" s="1275" t="str">
        <f>VLOOKUP($B312,DG!A:D,DG!$C$2,)</f>
        <v>Boulon 16x300+ 2 long đền vuông D18-50x50x3/Zn</v>
      </c>
      <c r="F312" s="1274" t="str">
        <f>VLOOKUP($B312,DG!A:D,DG!$D$2,)</f>
        <v>bộ</v>
      </c>
      <c r="G312" s="1312">
        <f>2*G309</f>
        <v>0</v>
      </c>
      <c r="H312" s="1353">
        <f t="shared" si="13"/>
        <v>0</v>
      </c>
      <c r="I312" s="1310"/>
      <c r="J312" s="1310"/>
      <c r="K312" s="1278"/>
      <c r="L312" s="1125">
        <v>50</v>
      </c>
    </row>
    <row r="313" spans="1:13" s="1279" customFormat="1" ht="20.100000000000001" customHeight="1">
      <c r="A313" s="1377">
        <f t="shared" si="12"/>
        <v>0</v>
      </c>
      <c r="B313" s="1582" t="s">
        <v>709</v>
      </c>
      <c r="C313" s="1312"/>
      <c r="D313" s="1414"/>
      <c r="E313" s="1275" t="str">
        <f>VLOOKUP($B313,DG!A:D,DG!$C$2,)</f>
        <v>Boulon 12x50+ 2 long đền vuông D14-50x50x3/Zn</v>
      </c>
      <c r="F313" s="1274" t="str">
        <f>VLOOKUP($B313,DG!A:D,DG!$D$2,)</f>
        <v>bộ</v>
      </c>
      <c r="G313" s="1312">
        <f>2*G309</f>
        <v>0</v>
      </c>
      <c r="H313" s="1353">
        <f t="shared" si="13"/>
        <v>0</v>
      </c>
      <c r="I313" s="1310"/>
      <c r="J313" s="1310"/>
      <c r="K313" s="1278"/>
      <c r="L313" s="1125">
        <v>50</v>
      </c>
    </row>
    <row r="314" spans="1:13" s="1279" customFormat="1" ht="20.100000000000001" customHeight="1">
      <c r="A314" s="1377">
        <f t="shared" si="12"/>
        <v>0</v>
      </c>
      <c r="B314" s="1582"/>
      <c r="C314" s="1390">
        <f>IF(G314&gt;0,C309+1,C309)</f>
        <v>0</v>
      </c>
      <c r="D314" s="1411"/>
      <c r="E314" s="1425" t="s">
        <v>3775</v>
      </c>
      <c r="F314" s="1390" t="s">
        <v>2449</v>
      </c>
      <c r="G314" s="1390">
        <f>G309</f>
        <v>0</v>
      </c>
      <c r="H314" s="1353">
        <f t="shared" si="13"/>
        <v>0</v>
      </c>
      <c r="I314" s="1310"/>
      <c r="J314" s="1310"/>
      <c r="K314" s="1278"/>
      <c r="L314" s="1125">
        <v>50</v>
      </c>
    </row>
    <row r="315" spans="1:13" s="1279" customFormat="1" ht="20.100000000000001" customHeight="1">
      <c r="A315" s="1377">
        <f>IF(A314&gt;0,1,0)</f>
        <v>0</v>
      </c>
      <c r="B315" s="1582"/>
      <c r="C315" s="1312"/>
      <c r="D315" s="1414"/>
      <c r="E315" s="1635" t="s">
        <v>2342</v>
      </c>
      <c r="F315" s="1312"/>
      <c r="G315" s="1312"/>
      <c r="H315" s="1353">
        <f t="shared" si="13"/>
        <v>0</v>
      </c>
      <c r="I315" s="1310"/>
      <c r="J315" s="1310"/>
      <c r="K315" s="1278"/>
      <c r="L315" s="1125">
        <v>50</v>
      </c>
    </row>
    <row r="316" spans="1:13" s="1279" customFormat="1" ht="20.100000000000001" customHeight="1">
      <c r="A316" s="1377">
        <f t="shared" si="12"/>
        <v>0</v>
      </c>
      <c r="B316" s="1582" t="s">
        <v>103</v>
      </c>
      <c r="C316" s="1312"/>
      <c r="D316" s="1274">
        <f>VLOOKUP($B316,DG!A:D,DG!$B$2,)</f>
        <v>0</v>
      </c>
      <c r="E316" s="1275" t="str">
        <f>VLOOKUP($B316,DG!A:D,DG!$C$2,)</f>
        <v>Cáp đồng trần M25mm2</v>
      </c>
      <c r="F316" s="1274" t="str">
        <f>VLOOKUP($B316,DG!A:D,DG!$D$2,)</f>
        <v>kg</v>
      </c>
      <c r="G316" s="1396">
        <f>G314*10*0.224</f>
        <v>0</v>
      </c>
      <c r="H316" s="1353">
        <f t="shared" si="13"/>
        <v>0</v>
      </c>
      <c r="I316" s="1310"/>
      <c r="J316" s="1310"/>
      <c r="K316" s="1278"/>
      <c r="L316" s="1125">
        <v>50</v>
      </c>
    </row>
    <row r="317" spans="1:13" s="1279" customFormat="1" ht="20.100000000000001" customHeight="1">
      <c r="A317" s="1377">
        <f t="shared" si="12"/>
        <v>0</v>
      </c>
      <c r="B317" s="1378" t="s">
        <v>1560</v>
      </c>
      <c r="C317" s="1312"/>
      <c r="D317" s="1274">
        <f>VLOOKUP($B317,DG!A:D,DG!$B$2,)</f>
        <v>0</v>
      </c>
      <c r="E317" s="1275" t="str">
        <f>VLOOKUP($B317,DG!A:D,DG!$C$2,)</f>
        <v>Cọc tiếp đất Ø 16- 2,4m + kẹp cọc</v>
      </c>
      <c r="F317" s="1274" t="str">
        <f>VLOOKUP($B317,DG!A:D,DG!$D$2,)</f>
        <v>bộ</v>
      </c>
      <c r="G317" s="1312">
        <f>G314*12</f>
        <v>0</v>
      </c>
      <c r="H317" s="1353">
        <f t="shared" si="13"/>
        <v>0</v>
      </c>
      <c r="I317" s="1310"/>
      <c r="J317" s="1310"/>
      <c r="K317" s="1278"/>
      <c r="L317" s="1125">
        <v>50</v>
      </c>
    </row>
    <row r="318" spans="1:13" s="1279" customFormat="1" ht="20.100000000000001" customHeight="1">
      <c r="A318" s="1377">
        <f t="shared" si="12"/>
        <v>0</v>
      </c>
      <c r="B318" s="1378" t="s">
        <v>1025</v>
      </c>
      <c r="C318" s="1312"/>
      <c r="D318" s="1274">
        <f>VLOOKUP($B318,DG!A:D,DG!$B$2,)</f>
        <v>0</v>
      </c>
      <c r="E318" s="1275" t="str">
        <f>VLOOKUP($B318,DG!A:D,DG!$C$2,)</f>
        <v>Sắt   Ø10</v>
      </c>
      <c r="F318" s="1274" t="str">
        <f>VLOOKUP($B318,DG!A:D,DG!$D$2,)</f>
        <v>kg</v>
      </c>
      <c r="G318" s="1312">
        <f>0.395*40*G314</f>
        <v>0</v>
      </c>
      <c r="H318" s="1353">
        <f t="shared" si="13"/>
        <v>0</v>
      </c>
      <c r="I318" s="1310"/>
      <c r="J318" s="1310"/>
      <c r="K318" s="1278"/>
      <c r="L318" s="1125">
        <v>50</v>
      </c>
    </row>
    <row r="319" spans="1:13" s="1279" customFormat="1" ht="20.100000000000001" customHeight="1">
      <c r="A319" s="1377">
        <f t="shared" si="12"/>
        <v>0</v>
      </c>
      <c r="B319" s="1378" t="s">
        <v>377</v>
      </c>
      <c r="C319" s="1312"/>
      <c r="D319" s="1274">
        <f>VLOOKUP($B319,DG!A:D,DG!$B$2,)</f>
        <v>0</v>
      </c>
      <c r="E319" s="1275" t="str">
        <f>VLOOKUP($B319,DG!A:D,DG!$C$2,)</f>
        <v>Bake D16 - 200x200</v>
      </c>
      <c r="F319" s="1274" t="str">
        <f>VLOOKUP($B319,DG!A:D,DG!$D$2,)</f>
        <v>cái</v>
      </c>
      <c r="G319" s="1312">
        <f>G314*14</f>
        <v>0</v>
      </c>
      <c r="H319" s="1353">
        <f t="shared" si="13"/>
        <v>0</v>
      </c>
      <c r="I319" s="1310"/>
      <c r="J319" s="1310"/>
      <c r="K319" s="1278"/>
      <c r="L319" s="1125">
        <v>50</v>
      </c>
    </row>
    <row r="320" spans="1:13" s="1279" customFormat="1" ht="20.100000000000001" customHeight="1">
      <c r="A320" s="1377">
        <f t="shared" si="12"/>
        <v>0</v>
      </c>
      <c r="B320" s="1587" t="s">
        <v>1631</v>
      </c>
      <c r="C320" s="1312"/>
      <c r="D320" s="1274">
        <f>VLOOKUP($B320,DG!A:D,DG!$B$2,)</f>
        <v>0</v>
      </c>
      <c r="E320" s="1275" t="str">
        <f>VLOOKUP($B320,DG!A:D,DG!$C$2,)</f>
        <v>Kẹp ép WR cỡ dây 50mm2</v>
      </c>
      <c r="F320" s="1274" t="str">
        <f>VLOOKUP($B320,DG!A:D,DG!$D$2,)</f>
        <v>cái</v>
      </c>
      <c r="G320" s="1312">
        <f>2*G314</f>
        <v>0</v>
      </c>
      <c r="H320" s="1353">
        <f t="shared" si="13"/>
        <v>0</v>
      </c>
      <c r="I320" s="1310"/>
      <c r="J320" s="1310"/>
      <c r="K320" s="1278"/>
      <c r="L320" s="1125">
        <v>50</v>
      </c>
    </row>
    <row r="321" spans="1:12" s="1279" customFormat="1" ht="20.100000000000001" customHeight="1">
      <c r="A321" s="1377">
        <f t="shared" si="12"/>
        <v>0</v>
      </c>
      <c r="B321" s="1587" t="s">
        <v>1144</v>
      </c>
      <c r="C321" s="1312"/>
      <c r="D321" s="1274">
        <f>VLOOKUP($B321,DG!A:D,DG!$B$2,)</f>
        <v>0</v>
      </c>
      <c r="E321" s="1275" t="str">
        <f>VLOOKUP($B321,DG!A:D,DG!$C$2,)</f>
        <v>Kẹp ép cỡ dây 25mm2</v>
      </c>
      <c r="F321" s="1274" t="str">
        <f>VLOOKUP($B321,DG!A:D,DG!$D$2,)</f>
        <v>cái</v>
      </c>
      <c r="G321" s="1312">
        <f>G314*4</f>
        <v>0</v>
      </c>
      <c r="H321" s="1353">
        <f t="shared" si="13"/>
        <v>0</v>
      </c>
      <c r="I321" s="1310"/>
      <c r="J321" s="1310"/>
      <c r="K321" s="1278"/>
      <c r="L321" s="1125">
        <v>50</v>
      </c>
    </row>
    <row r="322" spans="1:12" s="1279" customFormat="1" ht="20.100000000000001" customHeight="1">
      <c r="A322" s="1377">
        <f t="shared" si="12"/>
        <v>0</v>
      </c>
      <c r="B322" s="1587" t="s">
        <v>378</v>
      </c>
      <c r="C322" s="1312"/>
      <c r="D322" s="1274" t="str">
        <f>VLOOKUP($B322,DG!A:D,DG!$B$2,)</f>
        <v>03.4002</v>
      </c>
      <c r="E322" s="1275" t="str">
        <f>VLOOKUP($B322,DG!A:D,DG!$C$2,)</f>
        <v>Đầu cosse ép Cu 35mm2</v>
      </c>
      <c r="F322" s="1274" t="str">
        <f>VLOOKUP($B322,DG!A:D,DG!$D$2,)</f>
        <v>cái</v>
      </c>
      <c r="G322" s="1312">
        <f>G314*3</f>
        <v>0</v>
      </c>
      <c r="H322" s="1353">
        <f t="shared" si="13"/>
        <v>0</v>
      </c>
      <c r="I322" s="1310"/>
      <c r="J322" s="1310"/>
      <c r="K322" s="1278"/>
      <c r="L322" s="1125">
        <v>50</v>
      </c>
    </row>
    <row r="323" spans="1:12" s="1279" customFormat="1" ht="20.100000000000001" customHeight="1">
      <c r="A323" s="1377">
        <f t="shared" si="12"/>
        <v>0</v>
      </c>
      <c r="B323" s="1587" t="s">
        <v>372</v>
      </c>
      <c r="C323" s="1312"/>
      <c r="D323" s="1274" t="str">
        <f>VLOOKUP($B323,DG!A:D,DG!$B$2,)</f>
        <v>03.4003</v>
      </c>
      <c r="E323" s="1275" t="str">
        <f>VLOOKUP($B323,DG!A:D,DG!$C$2,)</f>
        <v>Đầu cosse ép Cu 70mm2</v>
      </c>
      <c r="F323" s="1274" t="str">
        <f>VLOOKUP($B323,DG!A:D,DG!$D$2,)</f>
        <v>cái</v>
      </c>
      <c r="G323" s="1312">
        <f>G314*2</f>
        <v>0</v>
      </c>
      <c r="H323" s="1353">
        <f t="shared" si="13"/>
        <v>0</v>
      </c>
      <c r="I323" s="1310"/>
      <c r="J323" s="1310"/>
      <c r="K323" s="1278"/>
      <c r="L323" s="1125">
        <v>50</v>
      </c>
    </row>
    <row r="324" spans="1:12" s="1279" customFormat="1" ht="20.100000000000001" customHeight="1">
      <c r="A324" s="1377">
        <f t="shared" si="12"/>
        <v>0</v>
      </c>
      <c r="B324" s="1378" t="s">
        <v>376</v>
      </c>
      <c r="C324" s="1312"/>
      <c r="D324" s="1274" t="str">
        <f>VLOOKUP($B324,DG!A:D,DG!$B$2,)</f>
        <v>06.3231</v>
      </c>
      <c r="E324" s="1275" t="str">
        <f>VLOOKUP($B324,DG!A:D,DG!$C$2,)</f>
        <v>Cổ dê kẹp sắt Ø 10</v>
      </c>
      <c r="F324" s="1274" t="str">
        <f>VLOOKUP($B324,DG!A:D,DG!$D$2,)</f>
        <v>bộ</v>
      </c>
      <c r="G324" s="1312">
        <f>4*G314</f>
        <v>0</v>
      </c>
      <c r="H324" s="1353">
        <f t="shared" si="13"/>
        <v>0</v>
      </c>
      <c r="I324" s="1310"/>
      <c r="J324" s="1310"/>
      <c r="K324" s="1278"/>
      <c r="L324" s="1125">
        <v>50</v>
      </c>
    </row>
    <row r="325" spans="1:12" s="1279" customFormat="1" ht="20.100000000000001" customHeight="1">
      <c r="A325" s="1377">
        <f t="shared" si="12"/>
        <v>0</v>
      </c>
      <c r="B325" s="1378" t="s">
        <v>1383</v>
      </c>
      <c r="C325" s="1312"/>
      <c r="D325" s="1274">
        <f>VLOOKUP($B325,DG!A:D,DG!$B$2,)</f>
        <v>0</v>
      </c>
      <c r="E325" s="1275" t="s">
        <v>829</v>
      </c>
      <c r="F325" s="1274" t="str">
        <f>VLOOKUP($B325,DG!A:D,DG!$D$2,)</f>
        <v>bộ</v>
      </c>
      <c r="G325" s="1312">
        <f>2*G314</f>
        <v>0</v>
      </c>
      <c r="H325" s="1353">
        <f t="shared" si="13"/>
        <v>0</v>
      </c>
      <c r="I325" s="1310"/>
      <c r="J325" s="1310"/>
      <c r="K325" s="1278"/>
      <c r="L325" s="1125">
        <v>50</v>
      </c>
    </row>
    <row r="326" spans="1:12" s="1279" customFormat="1" ht="20.100000000000001" customHeight="1">
      <c r="A326" s="1377">
        <f t="shared" si="12"/>
        <v>0</v>
      </c>
      <c r="B326" s="1587" t="s">
        <v>2245</v>
      </c>
      <c r="C326" s="1312"/>
      <c r="D326" s="1274" t="str">
        <f>VLOOKUP($B326,DG!A:D,DG!$B$2,)</f>
        <v>04.7002</v>
      </c>
      <c r="E326" s="1275" t="str">
        <f>VLOOKUP($B326,DG!A:D,DG!$C$2,)</f>
        <v>Kéo dây tiếp địa trong TBA</v>
      </c>
      <c r="F326" s="1274" t="str">
        <f>VLOOKUP($B326,DG!A:D,DG!$D$2,)</f>
        <v>mét</v>
      </c>
      <c r="G326" s="1312">
        <f>G314*31</f>
        <v>0</v>
      </c>
      <c r="H326" s="1353">
        <f t="shared" si="13"/>
        <v>0</v>
      </c>
      <c r="I326" s="1310"/>
      <c r="J326" s="1310"/>
      <c r="K326" s="1278"/>
      <c r="L326" s="1125">
        <v>50</v>
      </c>
    </row>
    <row r="327" spans="1:12" s="1279" customFormat="1" ht="20.100000000000001" customHeight="1">
      <c r="A327" s="1377">
        <f t="shared" si="12"/>
        <v>0</v>
      </c>
      <c r="B327" s="1378" t="s">
        <v>919</v>
      </c>
      <c r="C327" s="1312"/>
      <c r="D327" s="1274" t="str">
        <f>VLOOKUP($B327,DG!A:D,DG!$B$2,)</f>
        <v>04.7001</v>
      </c>
      <c r="E327" s="1275" t="str">
        <f>VLOOKUP($B327,DG!A:D,DG!$C$2,)</f>
        <v>Đóng cọc tiếp địa trong TBA</v>
      </c>
      <c r="F327" s="1274" t="str">
        <f>VLOOKUP($B327,DG!A:D,DG!$D$2,)</f>
        <v>cọc</v>
      </c>
      <c r="G327" s="1312">
        <f>G317</f>
        <v>0</v>
      </c>
      <c r="H327" s="1353">
        <f t="shared" si="13"/>
        <v>0</v>
      </c>
      <c r="I327" s="1310"/>
      <c r="J327" s="1310"/>
      <c r="K327" s="1278"/>
      <c r="L327" s="1125">
        <v>50</v>
      </c>
    </row>
    <row r="328" spans="1:12" s="1279" customFormat="1" ht="20.100000000000001" customHeight="1">
      <c r="A328" s="1377">
        <f t="shared" si="12"/>
        <v>0</v>
      </c>
      <c r="B328" s="1587" t="str">
        <f>"dtd"&amp;chitiet!F5</f>
        <v>dtd3</v>
      </c>
      <c r="C328" s="1312"/>
      <c r="D328" s="1274" t="str">
        <f>VLOOKUP($B328,DG!A:D,DG!$B$2,)</f>
        <v>03.3123</v>
      </c>
      <c r="E328" s="1275" t="str">
        <f>VLOOKUP($B328,DG!A:D,DG!$C$2,)</f>
        <v>Đào rãnh tiếp địa đất cấp 3</v>
      </c>
      <c r="F328" s="1274" t="str">
        <f>VLOOKUP($B328,DG!A:D,DG!$D$2,)</f>
        <v>m3</v>
      </c>
      <c r="G328" s="1346">
        <f>G314*11*0.3*0.5</f>
        <v>0</v>
      </c>
      <c r="H328" s="1353">
        <f t="shared" si="13"/>
        <v>0</v>
      </c>
      <c r="I328" s="1310"/>
      <c r="J328" s="1310"/>
      <c r="K328" s="1278"/>
      <c r="L328" s="1125">
        <v>50</v>
      </c>
    </row>
    <row r="329" spans="1:12" s="1279" customFormat="1" ht="20.100000000000001" customHeight="1">
      <c r="A329" s="1377">
        <f t="shared" si="12"/>
        <v>0</v>
      </c>
      <c r="B329" s="1378" t="str">
        <f>"datd"&amp;chitiet!F5</f>
        <v>datd3</v>
      </c>
      <c r="C329" s="1312"/>
      <c r="D329" s="1274" t="str">
        <f>VLOOKUP($B329,DG!A:D,DG!$B$2,)</f>
        <v>03.4123</v>
      </c>
      <c r="E329" s="1275" t="str">
        <f>VLOOKUP($B329,DG!A:D,DG!$C$2,)</f>
        <v>Đắp đất rãnh tiếp độ chặt k=0,95</v>
      </c>
      <c r="F329" s="1274" t="str">
        <f>VLOOKUP($B329,DG!A:D,DG!$D$2,)</f>
        <v>m3</v>
      </c>
      <c r="G329" s="1346">
        <f>G328</f>
        <v>0</v>
      </c>
      <c r="H329" s="1353">
        <f t="shared" si="13"/>
        <v>0</v>
      </c>
      <c r="I329" s="1310"/>
      <c r="J329" s="1310"/>
      <c r="K329" s="1278"/>
      <c r="L329" s="1125">
        <v>50</v>
      </c>
    </row>
    <row r="330" spans="1:12" s="1279" customFormat="1" ht="20.100000000000001" customHeight="1">
      <c r="A330" s="1377">
        <f t="shared" si="12"/>
        <v>0</v>
      </c>
      <c r="B330" s="1587"/>
      <c r="C330" s="1390">
        <f>IF(G330&gt;0,C314+1,C314)</f>
        <v>0</v>
      </c>
      <c r="D330" s="1411"/>
      <c r="E330" s="1412" t="s">
        <v>3782</v>
      </c>
      <c r="F330" s="1390" t="s">
        <v>2449</v>
      </c>
      <c r="G330" s="1390">
        <f>G309</f>
        <v>0</v>
      </c>
      <c r="H330" s="1353">
        <f t="shared" si="13"/>
        <v>0</v>
      </c>
      <c r="I330" s="1310"/>
      <c r="J330" s="1310"/>
      <c r="K330" s="1278"/>
      <c r="L330" s="1125">
        <v>50</v>
      </c>
    </row>
    <row r="331" spans="1:12" s="1279" customFormat="1" ht="20.100000000000001" customHeight="1">
      <c r="A331" s="1377">
        <f>IF(A330&gt;0,1,0)</f>
        <v>0</v>
      </c>
      <c r="B331" s="1587"/>
      <c r="C331" s="1390"/>
      <c r="D331" s="1411"/>
      <c r="E331" s="1635" t="s">
        <v>2342</v>
      </c>
      <c r="F331" s="1312"/>
      <c r="G331" s="1312"/>
      <c r="H331" s="1353">
        <f t="shared" si="13"/>
        <v>0</v>
      </c>
      <c r="I331" s="1310"/>
      <c r="J331" s="1310"/>
      <c r="K331" s="1278"/>
      <c r="L331" s="1125">
        <v>50</v>
      </c>
    </row>
    <row r="332" spans="1:12" s="1279" customFormat="1" ht="20.100000000000001" customHeight="1">
      <c r="A332" s="1377">
        <f t="shared" si="12"/>
        <v>0</v>
      </c>
      <c r="B332" s="1589" t="s">
        <v>621</v>
      </c>
      <c r="C332" s="1312"/>
      <c r="D332" s="1274" t="str">
        <f>VLOOKUP($B332,DG!A:D,DG!$B$2,)</f>
        <v>05.1001</v>
      </c>
      <c r="E332" s="1275" t="str">
        <f>VLOOKUP($B332,DG!A:D,DG!$C$2,)</f>
        <v>Tủ CB trạm 1 pha + khóa + boulon</v>
      </c>
      <c r="F332" s="1274" t="str">
        <f>VLOOKUP($B332,DG!A:D,DG!$D$2,)</f>
        <v>cái</v>
      </c>
      <c r="G332" s="1312">
        <f>G330</f>
        <v>0</v>
      </c>
      <c r="H332" s="1353">
        <f t="shared" si="13"/>
        <v>0</v>
      </c>
      <c r="I332" s="1310"/>
      <c r="J332" s="1310"/>
      <c r="K332" s="1278"/>
      <c r="L332" s="1125">
        <v>50</v>
      </c>
    </row>
    <row r="333" spans="1:12" s="1279" customFormat="1" ht="20.100000000000001" customHeight="1">
      <c r="A333" s="1377">
        <f t="shared" si="12"/>
        <v>0</v>
      </c>
      <c r="B333" s="1587" t="s">
        <v>896</v>
      </c>
      <c r="C333" s="1312"/>
      <c r="D333" s="1274" t="str">
        <f>VLOOKUP($B333,DG!A:D,DG!$B$2,)</f>
        <v>06.3231</v>
      </c>
      <c r="E333" s="1275" t="str">
        <f>VLOOKUP($B333,DG!A:D,DG!$C$2,)</f>
        <v>Cổ dê bắt tủ</v>
      </c>
      <c r="F333" s="1274" t="str">
        <f>VLOOKUP($B333,DG!A:D,DG!$D$2,)</f>
        <v>bộ</v>
      </c>
      <c r="G333" s="1312">
        <f>2*G330</f>
        <v>0</v>
      </c>
      <c r="H333" s="1353">
        <f t="shared" si="13"/>
        <v>0</v>
      </c>
      <c r="I333" s="1310"/>
      <c r="J333" s="1310"/>
      <c r="K333" s="1278"/>
      <c r="L333" s="1125">
        <v>50</v>
      </c>
    </row>
    <row r="334" spans="1:12" s="1279" customFormat="1" ht="20.100000000000001" customHeight="1">
      <c r="A334" s="1377">
        <f t="shared" si="12"/>
        <v>0</v>
      </c>
      <c r="B334" s="1587" t="s">
        <v>897</v>
      </c>
      <c r="C334" s="1312"/>
      <c r="D334" s="1274">
        <f>VLOOKUP($B334,DG!A:D,DG!$B$2,)</f>
        <v>0</v>
      </c>
      <c r="E334" s="1275" t="str">
        <f>VLOOKUP($B334,DG!A:D,DG!$C$2,)</f>
        <v xml:space="preserve">Bakelit 550x450 dầy 10mm </v>
      </c>
      <c r="F334" s="1274" t="str">
        <f>VLOOKUP($B334,DG!A:D,DG!$D$2,)</f>
        <v>cái</v>
      </c>
      <c r="G334" s="1312">
        <f>G330</f>
        <v>0</v>
      </c>
      <c r="H334" s="1353">
        <f t="shared" si="13"/>
        <v>0</v>
      </c>
      <c r="I334" s="1310"/>
      <c r="J334" s="1310"/>
      <c r="K334" s="1278"/>
      <c r="L334" s="1125">
        <v>50</v>
      </c>
    </row>
    <row r="335" spans="1:12" s="1279" customFormat="1" ht="20.100000000000001" customHeight="1">
      <c r="A335" s="1377">
        <f t="shared" si="12"/>
        <v>0</v>
      </c>
      <c r="B335" s="1587"/>
      <c r="C335" s="1390">
        <f>IF(G335&gt;0,C330+1,C330)</f>
        <v>0</v>
      </c>
      <c r="D335" s="1411"/>
      <c r="E335" s="1425" t="s">
        <v>3777</v>
      </c>
      <c r="F335" s="1390" t="s">
        <v>2449</v>
      </c>
      <c r="G335" s="1390">
        <f>G330</f>
        <v>0</v>
      </c>
      <c r="H335" s="1353">
        <f t="shared" si="13"/>
        <v>0</v>
      </c>
      <c r="I335" s="1310"/>
      <c r="J335" s="1310"/>
      <c r="K335" s="1278"/>
      <c r="L335" s="1125">
        <v>50</v>
      </c>
    </row>
    <row r="336" spans="1:12" s="1279" customFormat="1" ht="20.100000000000001" customHeight="1">
      <c r="A336" s="1377">
        <f>IF(A335&gt;0,1,0)</f>
        <v>0</v>
      </c>
      <c r="B336" s="1587"/>
      <c r="C336" s="1390"/>
      <c r="D336" s="1411"/>
      <c r="E336" s="1635" t="s">
        <v>2342</v>
      </c>
      <c r="F336" s="1312"/>
      <c r="G336" s="1312"/>
      <c r="H336" s="1353">
        <f t="shared" si="13"/>
        <v>0</v>
      </c>
      <c r="I336" s="1310"/>
      <c r="J336" s="1310"/>
      <c r="K336" s="1278"/>
      <c r="L336" s="1125">
        <v>50</v>
      </c>
    </row>
    <row r="337" spans="1:12" s="1279" customFormat="1" ht="20.100000000000001" customHeight="1">
      <c r="A337" s="1377">
        <f t="shared" si="12"/>
        <v>0</v>
      </c>
      <c r="B337" s="1378" t="s">
        <v>704</v>
      </c>
      <c r="C337" s="1312"/>
      <c r="D337" s="1274">
        <f>VLOOKUP($B337,DG!A:D,DG!$B$2,)</f>
        <v>0</v>
      </c>
      <c r="E337" s="1275" t="str">
        <f>VLOOKUP($B337,DG!A:D,DG!$C$2,)</f>
        <v>Cáp 24KV C/XLPE/PVC 25mm2</v>
      </c>
      <c r="F337" s="1274" t="str">
        <f>VLOOKUP($B337,DG!A:D,DG!$D$2,)</f>
        <v>mét</v>
      </c>
      <c r="G337" s="1312">
        <f>3*G335</f>
        <v>0</v>
      </c>
      <c r="H337" s="1353">
        <f t="shared" si="13"/>
        <v>0</v>
      </c>
      <c r="I337" s="1310"/>
      <c r="J337" s="1310"/>
      <c r="K337" s="1278"/>
      <c r="L337" s="1125">
        <v>50</v>
      </c>
    </row>
    <row r="338" spans="1:12" s="1279" customFormat="1" ht="20.100000000000001" customHeight="1">
      <c r="A338" s="1377">
        <f t="shared" si="12"/>
        <v>0</v>
      </c>
      <c r="B338" s="1378" t="s">
        <v>1531</v>
      </c>
      <c r="C338" s="1312"/>
      <c r="D338" s="1274" t="str">
        <f>VLOOKUP($B338,DG!A:D,DG!$B$2,)</f>
        <v>04.3007</v>
      </c>
      <c r="E338" s="1275" t="str">
        <f>VLOOKUP($B338,DG!A:D,DG!$C$2,)</f>
        <v>Kẹp quai 2/0</v>
      </c>
      <c r="F338" s="1274" t="str">
        <f>VLOOKUP($B338,DG!A:D,DG!$D$2,)</f>
        <v>cái</v>
      </c>
      <c r="G338" s="1312">
        <f>G335</f>
        <v>0</v>
      </c>
      <c r="H338" s="1353">
        <f t="shared" si="13"/>
        <v>0</v>
      </c>
      <c r="I338" s="1310"/>
      <c r="J338" s="1310"/>
      <c r="K338" s="1278"/>
      <c r="L338" s="1125">
        <v>50</v>
      </c>
    </row>
    <row r="339" spans="1:12" s="1279" customFormat="1" ht="20.100000000000001" customHeight="1">
      <c r="A339" s="1377">
        <f t="shared" si="12"/>
        <v>0</v>
      </c>
      <c r="B339" s="1378" t="s">
        <v>1529</v>
      </c>
      <c r="C339" s="1312"/>
      <c r="D339" s="1274" t="str">
        <f>VLOOKUP($B339,DG!A:D,DG!$B$2,)</f>
        <v>04.3007</v>
      </c>
      <c r="E339" s="1275" t="str">
        <f>VLOOKUP($B339,DG!A:D,DG!$C$2,)</f>
        <v>Kẹp hotline 2/0</v>
      </c>
      <c r="F339" s="1274" t="str">
        <f>VLOOKUP($B339,DG!A:D,DG!$D$2,)</f>
        <v>cái</v>
      </c>
      <c r="G339" s="1312">
        <f>G335</f>
        <v>0</v>
      </c>
      <c r="H339" s="1353">
        <f t="shared" si="13"/>
        <v>0</v>
      </c>
      <c r="I339" s="1310"/>
      <c r="J339" s="1310"/>
      <c r="K339" s="1278"/>
      <c r="L339" s="1125">
        <v>50</v>
      </c>
    </row>
    <row r="340" spans="1:12" s="1279" customFormat="1" ht="20.100000000000001" customHeight="1">
      <c r="A340" s="1377">
        <f t="shared" si="12"/>
        <v>0</v>
      </c>
      <c r="B340" s="1378" t="s">
        <v>383</v>
      </c>
      <c r="C340" s="1312"/>
      <c r="D340" s="1274">
        <f>VLOOKUP($B340,DG!A:D,DG!$B$2,)</f>
        <v>0</v>
      </c>
      <c r="E340" s="1275" t="str">
        <f>VLOOKUP($B340,DG!A:D,DG!$C$2,)</f>
        <v>Chụp đầu cực FCO (bộ 2 cái)</v>
      </c>
      <c r="F340" s="1274" t="str">
        <f>VLOOKUP($B340,DG!A:D,DG!$D$2,)</f>
        <v>bộ</v>
      </c>
      <c r="G340" s="1312">
        <f>G273</f>
        <v>0</v>
      </c>
      <c r="H340" s="1353">
        <f t="shared" si="13"/>
        <v>0</v>
      </c>
      <c r="I340" s="1310"/>
      <c r="J340" s="1310"/>
      <c r="K340" s="1278"/>
      <c r="L340" s="1125">
        <v>50</v>
      </c>
    </row>
    <row r="341" spans="1:12" s="1279" customFormat="1" ht="20.100000000000001" customHeight="1">
      <c r="A341" s="1377">
        <f t="shared" si="12"/>
        <v>0</v>
      </c>
      <c r="B341" s="1378" t="s">
        <v>384</v>
      </c>
      <c r="C341" s="1312"/>
      <c r="D341" s="1274">
        <f>VLOOKUP($B341,DG!A:D,DG!$B$2,)</f>
        <v>0</v>
      </c>
      <c r="E341" s="1275" t="str">
        <f>VLOOKUP($B341,DG!A:D,DG!$C$2,)</f>
        <v>Chụp đầu cực LA</v>
      </c>
      <c r="F341" s="1274" t="str">
        <f>VLOOKUP($B341,DG!A:D,DG!$D$2,)</f>
        <v>cái</v>
      </c>
      <c r="G341" s="1312">
        <f>G275</f>
        <v>0</v>
      </c>
      <c r="H341" s="1353">
        <f t="shared" si="13"/>
        <v>0</v>
      </c>
      <c r="I341" s="1310"/>
      <c r="J341" s="1310"/>
      <c r="K341" s="1278"/>
      <c r="L341" s="1125">
        <v>50</v>
      </c>
    </row>
    <row r="342" spans="1:12" s="1279" customFormat="1" ht="20.100000000000001" customHeight="1">
      <c r="A342" s="1377">
        <f t="shared" si="12"/>
        <v>0</v>
      </c>
      <c r="B342" s="1378" t="s">
        <v>385</v>
      </c>
      <c r="C342" s="1312"/>
      <c r="D342" s="1274">
        <f>VLOOKUP($B342,DG!A:D,DG!$B$2,)</f>
        <v>0</v>
      </c>
      <c r="E342" s="1275" t="str">
        <f>VLOOKUP($B342,DG!A:D,DG!$C$2,)</f>
        <v>Chụp đầu MBA</v>
      </c>
      <c r="F342" s="1274" t="str">
        <f>VLOOKUP($B342,DG!A:D,DG!$D$2,)</f>
        <v>cái</v>
      </c>
      <c r="G342" s="1312">
        <f>G272</f>
        <v>0</v>
      </c>
      <c r="H342" s="1353">
        <f t="shared" si="13"/>
        <v>0</v>
      </c>
      <c r="I342" s="1310"/>
      <c r="J342" s="1310"/>
      <c r="K342" s="1278"/>
      <c r="L342" s="1125">
        <v>50</v>
      </c>
    </row>
    <row r="343" spans="1:12" s="1279" customFormat="1" ht="20.100000000000001" customHeight="1">
      <c r="A343" s="1377">
        <f t="shared" si="12"/>
        <v>0</v>
      </c>
      <c r="B343" s="1378" t="s">
        <v>1577</v>
      </c>
      <c r="C343" s="1312"/>
      <c r="D343" s="1274" t="str">
        <f>VLOOKUP($B343,DG!A:D,DG!$B$2,)</f>
        <v>04.4201</v>
      </c>
      <c r="E343" s="1275" t="str">
        <f>VLOOKUP($B343,DG!A:D,DG!$C$2,)</f>
        <v>Lắp cáp đồng xuống thiết bị D ≤ 95mm2</v>
      </c>
      <c r="F343" s="1274" t="str">
        <f>VLOOKUP($B343,DG!A:D,DG!$D$2,)</f>
        <v>m</v>
      </c>
      <c r="G343" s="1312">
        <f>G337</f>
        <v>0</v>
      </c>
      <c r="H343" s="1353">
        <f t="shared" si="13"/>
        <v>0</v>
      </c>
      <c r="I343" s="1310"/>
      <c r="J343" s="1310"/>
      <c r="K343" s="1278"/>
      <c r="L343" s="1125">
        <v>50</v>
      </c>
    </row>
    <row r="344" spans="1:12" s="1279" customFormat="1" ht="20.100000000000001" customHeight="1">
      <c r="A344" s="1377">
        <f t="shared" si="12"/>
        <v>0</v>
      </c>
      <c r="B344" s="1582"/>
      <c r="C344" s="1390">
        <f>IF(G344&gt;0,C335+1,C335)</f>
        <v>0</v>
      </c>
      <c r="D344" s="1411"/>
      <c r="E344" s="1412" t="s">
        <v>3787</v>
      </c>
      <c r="F344" s="1390" t="s">
        <v>2449</v>
      </c>
      <c r="G344" s="1390">
        <f>G272</f>
        <v>0</v>
      </c>
      <c r="H344" s="1353">
        <f t="shared" si="13"/>
        <v>0</v>
      </c>
      <c r="I344" s="1310"/>
      <c r="J344" s="1310"/>
      <c r="K344" s="1278"/>
      <c r="L344" s="1125">
        <v>50</v>
      </c>
    </row>
    <row r="345" spans="1:12" s="1279" customFormat="1" ht="20.100000000000001" customHeight="1">
      <c r="A345" s="1377">
        <f>IF(A344&gt;0,1,0)</f>
        <v>0</v>
      </c>
      <c r="B345" s="1582"/>
      <c r="C345" s="1390"/>
      <c r="D345" s="1411"/>
      <c r="E345" s="1634" t="s">
        <v>2342</v>
      </c>
      <c r="F345" s="1390"/>
      <c r="G345" s="1390"/>
      <c r="H345" s="1353">
        <f t="shared" si="13"/>
        <v>0</v>
      </c>
      <c r="I345" s="1310"/>
      <c r="J345" s="1310"/>
      <c r="K345" s="1278"/>
      <c r="L345" s="1125">
        <v>50</v>
      </c>
    </row>
    <row r="346" spans="1:12" s="1279" customFormat="1" ht="20.100000000000001" customHeight="1">
      <c r="A346" s="1377">
        <f t="shared" si="12"/>
        <v>0</v>
      </c>
      <c r="B346" s="1582" t="s">
        <v>238</v>
      </c>
      <c r="C346" s="1390"/>
      <c r="D346" s="1274">
        <f>VLOOKUP($B346,DG!A:D,DG!$B$2,)</f>
        <v>0</v>
      </c>
      <c r="E346" s="1275" t="str">
        <f>VLOOKUP($B346,DG!A:D,DG!$C$2,)</f>
        <v>Cáp đồng bọc CV70</v>
      </c>
      <c r="F346" s="1274" t="str">
        <f>VLOOKUP($B346,DG!A:D,DG!$D$2,)</f>
        <v>mét</v>
      </c>
      <c r="G346" s="1312">
        <f>G344*9*2</f>
        <v>0</v>
      </c>
      <c r="H346" s="1353">
        <f t="shared" si="13"/>
        <v>0</v>
      </c>
      <c r="I346" s="1310"/>
      <c r="J346" s="1310"/>
      <c r="K346" s="1278"/>
      <c r="L346" s="1125">
        <v>50</v>
      </c>
    </row>
    <row r="347" spans="1:12" s="1279" customFormat="1" ht="20.100000000000001" customHeight="1">
      <c r="A347" s="1377">
        <f t="shared" ref="A347:A408" si="14">IF(H347&gt;0,1,0)</f>
        <v>0</v>
      </c>
      <c r="B347" s="1582" t="s">
        <v>82</v>
      </c>
      <c r="C347" s="1390"/>
      <c r="D347" s="1274">
        <f>VLOOKUP($B347,DG!A:D,DG!$B$2,)</f>
        <v>0</v>
      </c>
      <c r="E347" s="1275" t="str">
        <f>VLOOKUP($B347,DG!A:D,DG!$C$2,)</f>
        <v>Cáp đồng bọc CV50</v>
      </c>
      <c r="F347" s="1274" t="str">
        <f>VLOOKUP($B347,DG!A:D,DG!$D$2,)</f>
        <v>mét</v>
      </c>
      <c r="G347" s="1312">
        <f>G344*9</f>
        <v>0</v>
      </c>
      <c r="H347" s="1353">
        <f t="shared" si="13"/>
        <v>0</v>
      </c>
      <c r="I347" s="1310"/>
      <c r="J347" s="1310"/>
      <c r="K347" s="1278"/>
      <c r="L347" s="1125">
        <v>50</v>
      </c>
    </row>
    <row r="348" spans="1:12" s="1279" customFormat="1" ht="20.100000000000001" customHeight="1">
      <c r="A348" s="1377">
        <f t="shared" si="14"/>
        <v>0</v>
      </c>
      <c r="B348" s="1582" t="s">
        <v>1099</v>
      </c>
      <c r="C348" s="1312"/>
      <c r="D348" s="1274" t="str">
        <f>VLOOKUP($B348,DG!A:D,DG!$B$2,)</f>
        <v>03.1401</v>
      </c>
      <c r="E348" s="1275" t="str">
        <f>VLOOKUP($B348,DG!A:D,DG!$C$2,)</f>
        <v xml:space="preserve">Cáp CVV 4x2,5mm2  </v>
      </c>
      <c r="F348" s="1274" t="str">
        <f>VLOOKUP($B348,DG!A:D,DG!$D$2,)</f>
        <v>mét</v>
      </c>
      <c r="G348" s="1312">
        <f>2*G344</f>
        <v>0</v>
      </c>
      <c r="H348" s="1353">
        <f t="shared" si="13"/>
        <v>0</v>
      </c>
      <c r="I348" s="1310"/>
      <c r="J348" s="1310"/>
      <c r="K348" s="1278"/>
      <c r="L348" s="1125">
        <v>50</v>
      </c>
    </row>
    <row r="349" spans="1:12" s="1279" customFormat="1" ht="20.100000000000001" customHeight="1">
      <c r="A349" s="1377">
        <f t="shared" si="14"/>
        <v>0</v>
      </c>
      <c r="B349" s="1587" t="s">
        <v>1336</v>
      </c>
      <c r="C349" s="1312"/>
      <c r="D349" s="1274" t="str">
        <f>VLOOKUP($B349,DG!A:D,DG!$B$2,)</f>
        <v>03.4003</v>
      </c>
      <c r="E349" s="1275" t="str">
        <f>VLOOKUP($B349,DG!A:D,DG!$C$2,)</f>
        <v>Đầu cosse ép Cu 70mm2</v>
      </c>
      <c r="F349" s="1274" t="str">
        <f>VLOOKUP($B349,DG!A:D,DG!$D$2,)</f>
        <v>cái</v>
      </c>
      <c r="G349" s="1312">
        <f>G344*4</f>
        <v>0</v>
      </c>
      <c r="H349" s="1353">
        <f t="shared" si="13"/>
        <v>0</v>
      </c>
      <c r="I349" s="1310"/>
      <c r="J349" s="1310"/>
      <c r="K349" s="1278"/>
      <c r="L349" s="1125">
        <v>50</v>
      </c>
    </row>
    <row r="350" spans="1:12" s="1279" customFormat="1" ht="20.100000000000001" customHeight="1">
      <c r="A350" s="1377">
        <f t="shared" si="14"/>
        <v>0</v>
      </c>
      <c r="B350" s="1587" t="s">
        <v>616</v>
      </c>
      <c r="C350" s="1312"/>
      <c r="D350" s="1274">
        <f>VLOOKUP($B350,DG!A:D,DG!$B$2,)</f>
        <v>0</v>
      </c>
      <c r="E350" s="1275" t="str">
        <f>VLOOKUP($B350,DG!A:D,DG!$C$2,)</f>
        <v>Chụp đầu cosse  70mm2</v>
      </c>
      <c r="F350" s="1274" t="str">
        <f>VLOOKUP($B350,DG!A:D,DG!$D$2,)</f>
        <v>cái</v>
      </c>
      <c r="G350" s="1312">
        <f>G349</f>
        <v>0</v>
      </c>
      <c r="H350" s="1353">
        <f t="shared" si="13"/>
        <v>0</v>
      </c>
      <c r="I350" s="1310"/>
      <c r="J350" s="1310"/>
      <c r="K350" s="1278"/>
      <c r="L350" s="1125">
        <v>50</v>
      </c>
    </row>
    <row r="351" spans="1:12" s="1279" customFormat="1" ht="20.100000000000001" customHeight="1">
      <c r="A351" s="1377">
        <f t="shared" si="14"/>
        <v>0</v>
      </c>
      <c r="B351" s="1587" t="s">
        <v>1335</v>
      </c>
      <c r="C351" s="1312"/>
      <c r="D351" s="1274" t="str">
        <f>VLOOKUP($B351,DG!A:D,DG!$B$2,)</f>
        <v>03.4002</v>
      </c>
      <c r="E351" s="1275" t="str">
        <f>VLOOKUP($B351,DG!A:D,DG!$C$2,)</f>
        <v>Đầu cosse ép Cu 50mm2</v>
      </c>
      <c r="F351" s="1274" t="str">
        <f>VLOOKUP($B351,DG!A:D,DG!$D$2,)</f>
        <v>cái</v>
      </c>
      <c r="G351" s="1312">
        <f>G346*G279</f>
        <v>0</v>
      </c>
      <c r="H351" s="1353">
        <f t="shared" si="13"/>
        <v>0</v>
      </c>
      <c r="I351" s="1310"/>
      <c r="J351" s="1310"/>
      <c r="K351" s="1278"/>
      <c r="L351" s="1125">
        <v>50</v>
      </c>
    </row>
    <row r="352" spans="1:12" s="1279" customFormat="1" ht="20.100000000000001" customHeight="1">
      <c r="A352" s="1377">
        <f t="shared" si="14"/>
        <v>0</v>
      </c>
      <c r="B352" s="1587" t="s">
        <v>2213</v>
      </c>
      <c r="C352" s="1312"/>
      <c r="D352" s="1274">
        <f>VLOOKUP($B352,DG!A:D,DG!$B$2,)</f>
        <v>0</v>
      </c>
      <c r="E352" s="1275" t="str">
        <f>VLOOKUP($B352,DG!A:D,DG!$C$2,)</f>
        <v>Chụp đầu cosse  50mm2</v>
      </c>
      <c r="F352" s="1274" t="str">
        <f>VLOOKUP($B352,DG!A:D,DG!$D$2,)</f>
        <v>cái</v>
      </c>
      <c r="G352" s="1312">
        <f>G351</f>
        <v>0</v>
      </c>
      <c r="H352" s="1353">
        <f t="shared" si="13"/>
        <v>0</v>
      </c>
      <c r="I352" s="1310"/>
      <c r="J352" s="1310"/>
      <c r="K352" s="1278"/>
      <c r="L352" s="1125">
        <v>50</v>
      </c>
    </row>
    <row r="353" spans="1:12" s="1279" customFormat="1" ht="20.100000000000001" customHeight="1">
      <c r="A353" s="1377">
        <f t="shared" si="14"/>
        <v>0</v>
      </c>
      <c r="B353" s="1587" t="s">
        <v>283</v>
      </c>
      <c r="C353" s="1312"/>
      <c r="D353" s="1274" t="str">
        <f>VLOOKUP($B353,DG!A:D,DG!$B$2,)</f>
        <v>04.8003</v>
      </c>
      <c r="E353" s="1275" t="str">
        <f>VLOOKUP($B353,DG!A:D,DG!$C$2,)</f>
        <v xml:space="preserve">Ống PVC D90x3,8mm </v>
      </c>
      <c r="F353" s="1274" t="str">
        <f>VLOOKUP($B353,DG!A:D,DG!$D$2,)</f>
        <v>m</v>
      </c>
      <c r="G353" s="1312">
        <f>8*G344</f>
        <v>0</v>
      </c>
      <c r="H353" s="1353">
        <f t="shared" ref="H353:H416" si="15">IF(L353=$L$23,G353+I353-J353,0)</f>
        <v>0</v>
      </c>
      <c r="I353" s="1310"/>
      <c r="J353" s="1310"/>
      <c r="K353" s="1278"/>
      <c r="L353" s="1125">
        <v>50</v>
      </c>
    </row>
    <row r="354" spans="1:12" s="1279" customFormat="1" ht="20.100000000000001" customHeight="1">
      <c r="A354" s="1377">
        <f t="shared" si="14"/>
        <v>0</v>
      </c>
      <c r="B354" s="1378" t="s">
        <v>277</v>
      </c>
      <c r="C354" s="1312"/>
      <c r="D354" s="1274" t="str">
        <f>VLOOKUP($B354,DG!A:D,DG!$B$2,)</f>
        <v>06.3231</v>
      </c>
      <c r="E354" s="1275" t="str">
        <f>VLOOKUP($B354,DG!A:D,DG!$C$2,)</f>
        <v>Cổ dê kẹp ống PVC Ø 90</v>
      </c>
      <c r="F354" s="1274" t="str">
        <f>VLOOKUP($B354,DG!A:D,DG!$D$2,)</f>
        <v>bộ</v>
      </c>
      <c r="G354" s="1312">
        <f>3*G344</f>
        <v>0</v>
      </c>
      <c r="H354" s="1353">
        <f t="shared" si="15"/>
        <v>0</v>
      </c>
      <c r="I354" s="1310"/>
      <c r="J354" s="1310"/>
      <c r="K354" s="1278"/>
      <c r="L354" s="1125">
        <v>50</v>
      </c>
    </row>
    <row r="355" spans="1:12" s="1279" customFormat="1" ht="20.100000000000001" customHeight="1">
      <c r="A355" s="1377">
        <f t="shared" si="14"/>
        <v>0</v>
      </c>
      <c r="B355" s="1587" t="s">
        <v>69</v>
      </c>
      <c r="C355" s="1312"/>
      <c r="D355" s="1274">
        <f>VLOOKUP($B355,DG!A:D,DG!$B$2,)</f>
        <v>0</v>
      </c>
      <c r="E355" s="1275" t="str">
        <f>VLOOKUP($B355,DG!A:D,DG!$C$2,)</f>
        <v>Co  90 độ PVC 90</v>
      </c>
      <c r="F355" s="1274" t="str">
        <f>VLOOKUP($B355,DG!A:D,DG!$D$2,)</f>
        <v>cái</v>
      </c>
      <c r="G355" s="1312">
        <f>2*G344</f>
        <v>0</v>
      </c>
      <c r="H355" s="1353">
        <f t="shared" si="15"/>
        <v>0</v>
      </c>
      <c r="I355" s="1310"/>
      <c r="J355" s="1310"/>
      <c r="K355" s="1278"/>
      <c r="L355" s="1125">
        <v>50</v>
      </c>
    </row>
    <row r="356" spans="1:12" s="1279" customFormat="1" ht="20.100000000000001" customHeight="1">
      <c r="A356" s="1377">
        <f t="shared" si="14"/>
        <v>0</v>
      </c>
      <c r="B356" s="1587" t="s">
        <v>733</v>
      </c>
      <c r="C356" s="1312"/>
      <c r="D356" s="1274">
        <f>VLOOKUP($B356,DG!A:D,DG!$B$2,)</f>
        <v>0</v>
      </c>
      <c r="E356" s="1275" t="str">
        <f>VLOOKUP($B356,DG!A:D,DG!$C$2,)</f>
        <v xml:space="preserve">Nối thẳng ống PVC 90 </v>
      </c>
      <c r="F356" s="1274" t="str">
        <f>VLOOKUP($B356,DG!A:D,DG!$D$2,)</f>
        <v>cái</v>
      </c>
      <c r="G356" s="1312">
        <f>G344</f>
        <v>0</v>
      </c>
      <c r="H356" s="1353">
        <f t="shared" si="15"/>
        <v>0</v>
      </c>
      <c r="I356" s="1310"/>
      <c r="J356" s="1310"/>
      <c r="K356" s="1278"/>
      <c r="L356" s="1125">
        <v>50</v>
      </c>
    </row>
    <row r="357" spans="1:12" s="1279" customFormat="1" ht="20.100000000000001" customHeight="1">
      <c r="A357" s="1377">
        <f t="shared" si="14"/>
        <v>0</v>
      </c>
      <c r="B357" s="1587" t="s">
        <v>2136</v>
      </c>
      <c r="C357" s="1312"/>
      <c r="D357" s="1274">
        <f>VLOOKUP($B357,DG!A:D,DG!$B$2,)</f>
        <v>0</v>
      </c>
      <c r="E357" s="1275" t="str">
        <f>VLOOKUP($B357,DG!A:D,DG!$C$2,)</f>
        <v>Keo dán ống PVC (100gr)</v>
      </c>
      <c r="F357" s="1274" t="str">
        <f>VLOOKUP($B357,DG!A:D,DG!$D$2,)</f>
        <v>tuýp</v>
      </c>
      <c r="G357" s="1312">
        <f>G344</f>
        <v>0</v>
      </c>
      <c r="H357" s="1353">
        <f t="shared" si="15"/>
        <v>0</v>
      </c>
      <c r="I357" s="1310"/>
      <c r="J357" s="1310"/>
      <c r="K357" s="1278"/>
      <c r="L357" s="1125">
        <v>50</v>
      </c>
    </row>
    <row r="358" spans="1:12" s="1279" customFormat="1" ht="20.100000000000001" customHeight="1">
      <c r="A358" s="1377">
        <f t="shared" si="14"/>
        <v>0</v>
      </c>
      <c r="B358" s="1587" t="s">
        <v>492</v>
      </c>
      <c r="C358" s="1312"/>
      <c r="D358" s="1274">
        <f>VLOOKUP($B358,DG!A:D,DG!$B$2,)</f>
        <v>0</v>
      </c>
      <c r="E358" s="1275" t="str">
        <f>VLOOKUP($B358,DG!A:D,DG!$C$2,)</f>
        <v>Keo silicon bít miệng ống</v>
      </c>
      <c r="F358" s="1274" t="str">
        <f>VLOOKUP($B358,DG!A:D,DG!$D$2,)</f>
        <v>ống</v>
      </c>
      <c r="G358" s="1312">
        <f>G344</f>
        <v>0</v>
      </c>
      <c r="H358" s="1353">
        <f t="shared" si="15"/>
        <v>0</v>
      </c>
      <c r="I358" s="1310"/>
      <c r="J358" s="1310"/>
      <c r="K358" s="1278"/>
      <c r="L358" s="1125">
        <v>50</v>
      </c>
    </row>
    <row r="359" spans="1:12" s="1279" customFormat="1" ht="20.100000000000001" customHeight="1">
      <c r="A359" s="1377">
        <f t="shared" si="14"/>
        <v>0</v>
      </c>
      <c r="B359" s="1378" t="s">
        <v>677</v>
      </c>
      <c r="C359" s="1312"/>
      <c r="D359" s="1414"/>
      <c r="E359" s="1275" t="str">
        <f>VLOOKUP($B359,DG!A:D,DG!$C$2,)</f>
        <v>Băng keo cách điện</v>
      </c>
      <c r="F359" s="1274" t="str">
        <f>VLOOKUP($B359,DG!A:D,DG!$D$2,)</f>
        <v>cuộn</v>
      </c>
      <c r="G359" s="1312">
        <f>G344</f>
        <v>0</v>
      </c>
      <c r="H359" s="1353">
        <f t="shared" si="15"/>
        <v>0</v>
      </c>
      <c r="I359" s="1310"/>
      <c r="J359" s="1310"/>
      <c r="K359" s="1278"/>
      <c r="L359" s="1125">
        <v>50</v>
      </c>
    </row>
    <row r="360" spans="1:12" s="1279" customFormat="1" ht="20.100000000000001" customHeight="1">
      <c r="A360" s="1377">
        <f t="shared" si="14"/>
        <v>0</v>
      </c>
      <c r="B360" s="1587" t="s">
        <v>2244</v>
      </c>
      <c r="C360" s="1312"/>
      <c r="D360" s="1274" t="str">
        <f>VLOOKUP($B360,DG!A:D,DG!$B$2,)</f>
        <v>07.2415</v>
      </c>
      <c r="E360" s="1275" t="str">
        <f>VLOOKUP($B360,DG!A:D,DG!$C$2,)</f>
        <v>Lắp ống nhựa PVC D90</v>
      </c>
      <c r="F360" s="1274" t="str">
        <f>VLOOKUP($B360,DG!A:D,DG!$D$2,)</f>
        <v>mét</v>
      </c>
      <c r="G360" s="1312">
        <f>G353</f>
        <v>0</v>
      </c>
      <c r="H360" s="1353">
        <f t="shared" si="15"/>
        <v>0</v>
      </c>
      <c r="I360" s="1310"/>
      <c r="J360" s="1310"/>
      <c r="K360" s="1278"/>
      <c r="L360" s="1125">
        <v>50</v>
      </c>
    </row>
    <row r="361" spans="1:12" s="1279" customFormat="1" ht="20.100000000000001" customHeight="1">
      <c r="A361" s="1377">
        <f t="shared" si="14"/>
        <v>0</v>
      </c>
      <c r="B361" s="1378" t="s">
        <v>1577</v>
      </c>
      <c r="C361" s="1312"/>
      <c r="D361" s="1274" t="str">
        <f>VLOOKUP($B361,DG!A:D,DG!$B$2,)</f>
        <v>04.4201</v>
      </c>
      <c r="E361" s="1275" t="str">
        <f>VLOOKUP($B361,DG!A:D,DG!$C$2,)</f>
        <v>Lắp cáp đồng xuống thiết bị D ≤ 95mm2</v>
      </c>
      <c r="F361" s="1274" t="str">
        <f>VLOOKUP($B361,DG!A:D,DG!$D$2,)</f>
        <v>m</v>
      </c>
      <c r="G361" s="1312">
        <f>G346+G347</f>
        <v>0</v>
      </c>
      <c r="H361" s="1353">
        <f t="shared" si="15"/>
        <v>0</v>
      </c>
      <c r="I361" s="1310"/>
      <c r="J361" s="1310"/>
      <c r="K361" s="1278"/>
      <c r="L361" s="1125">
        <v>50</v>
      </c>
    </row>
    <row r="362" spans="1:12" s="1279" customFormat="1" ht="20.100000000000001" customHeight="1">
      <c r="A362" s="1377">
        <f t="shared" si="14"/>
        <v>0</v>
      </c>
      <c r="B362" s="1587" t="s">
        <v>290</v>
      </c>
      <c r="C362" s="1394">
        <f>IF(G362&gt;0,C344+1,C344)</f>
        <v>0</v>
      </c>
      <c r="D362" s="1416"/>
      <c r="E362" s="1275" t="str">
        <f>VLOOKUP($B362,DG!A:D,DG!$C$2,)</f>
        <v>Bảng tên trạm, bảng báo nguy hiểm + đinh vít</v>
      </c>
      <c r="F362" s="1274" t="str">
        <f>VLOOKUP($B362,DG!A:D,DG!$D$2,)</f>
        <v>bộ</v>
      </c>
      <c r="G362" s="1394">
        <f>G309</f>
        <v>0</v>
      </c>
      <c r="H362" s="1353">
        <f t="shared" si="15"/>
        <v>0</v>
      </c>
      <c r="I362" s="1310"/>
      <c r="J362" s="1310"/>
      <c r="K362" s="1298"/>
      <c r="L362" s="1125">
        <v>50</v>
      </c>
    </row>
    <row r="363" spans="1:12" s="1279" customFormat="1" ht="20.100000000000001" customHeight="1">
      <c r="A363" s="1377">
        <f t="shared" si="14"/>
        <v>0</v>
      </c>
      <c r="B363" s="1582"/>
      <c r="C363" s="1417"/>
      <c r="D363" s="1418"/>
      <c r="E363" s="1264"/>
      <c r="F363" s="1419"/>
      <c r="G363" s="1419"/>
      <c r="H363" s="1353">
        <f t="shared" si="15"/>
        <v>0</v>
      </c>
      <c r="I363" s="1420"/>
      <c r="J363" s="1421"/>
      <c r="K363" s="1354"/>
      <c r="L363" s="1125"/>
    </row>
    <row r="364" spans="1:12" s="1279" customFormat="1" ht="20.100000000000001" customHeight="1">
      <c r="A364" s="1377">
        <f t="shared" si="14"/>
        <v>0</v>
      </c>
      <c r="B364" s="1576"/>
      <c r="C364" s="1385"/>
      <c r="D364" s="1125"/>
      <c r="H364" s="1353">
        <f t="shared" si="15"/>
        <v>0</v>
      </c>
      <c r="L364" s="1125"/>
    </row>
    <row r="365" spans="1:12" s="1279" customFormat="1" ht="20.100000000000001" customHeight="1">
      <c r="A365" s="1377">
        <f t="shared" si="14"/>
        <v>0</v>
      </c>
      <c r="B365" s="1576"/>
      <c r="C365" s="1352" t="str">
        <f>"BAÛNG TOÅNG HÔÏP VAÄT LIEÄU, NHAÂN COÂNG, MAÙY THI COÂNG : "&amp;H10&amp;" TRAÏM 1P_75KVA"</f>
        <v>BAÛNG TOÅNG HÔÏP VAÄT LIEÄU, NHAÂN COÂNG, MAÙY THI COÂNG :  TRAÏM 1P_75KVA</v>
      </c>
      <c r="D365" s="1422"/>
      <c r="E365" s="1300"/>
      <c r="F365" s="1300"/>
      <c r="G365" s="1300"/>
      <c r="H365" s="1353">
        <f t="shared" si="15"/>
        <v>0</v>
      </c>
      <c r="I365" s="1300"/>
      <c r="J365" s="1300"/>
      <c r="K365" s="1125"/>
      <c r="L365" s="1125"/>
    </row>
    <row r="366" spans="1:12" s="1279" customFormat="1" ht="20.100000000000001" customHeight="1">
      <c r="A366" s="1377">
        <f t="shared" si="14"/>
        <v>0</v>
      </c>
      <c r="B366" s="1582"/>
      <c r="C366" s="1380"/>
      <c r="D366" s="1381"/>
      <c r="E366" s="1264" t="s">
        <v>3771</v>
      </c>
      <c r="F366" s="1383"/>
      <c r="G366" s="1383"/>
      <c r="H366" s="1383">
        <f t="shared" si="15"/>
        <v>0</v>
      </c>
      <c r="I366" s="1383"/>
      <c r="J366" s="1383"/>
      <c r="K366" s="1354"/>
      <c r="L366" s="1125">
        <v>75</v>
      </c>
    </row>
    <row r="367" spans="1:12" s="1279" customFormat="1" ht="20.100000000000001" customHeight="1">
      <c r="A367" s="1377">
        <f t="shared" si="14"/>
        <v>0</v>
      </c>
      <c r="B367" s="1583" t="s">
        <v>1243</v>
      </c>
      <c r="C367" s="1286">
        <f>IF(G367&gt;0,1,0)</f>
        <v>0</v>
      </c>
      <c r="D367" s="1274" t="str">
        <f>VLOOKUP($B367,DG!A:D,DG!$B$2,)</f>
        <v>01.1163</v>
      </c>
      <c r="E367" s="1289" t="str">
        <f>VLOOKUP($B367,DG!A:D,DG!$C$2,)</f>
        <v>Máy biến áp 12,7/0,23-0,46kV  75kVA</v>
      </c>
      <c r="F367" s="1274" t="str">
        <f>VLOOKUP($B367,DG!A:D,DG!$D$2,)</f>
        <v>máy</v>
      </c>
      <c r="G367" s="1423">
        <f>H10</f>
        <v>0</v>
      </c>
      <c r="H367" s="1353">
        <f t="shared" si="15"/>
        <v>0</v>
      </c>
      <c r="I367" s="1310"/>
      <c r="J367" s="1310"/>
      <c r="K367" s="1278"/>
      <c r="L367" s="1125">
        <v>75</v>
      </c>
    </row>
    <row r="368" spans="1:12" s="1279" customFormat="1" ht="20.100000000000001" customHeight="1">
      <c r="A368" s="1377">
        <f t="shared" si="14"/>
        <v>0</v>
      </c>
      <c r="B368" s="1583" t="s">
        <v>1704</v>
      </c>
      <c r="C368" s="1286">
        <f t="shared" ref="C368:C375" si="16">IF(G368&gt;0,C367+1,C367)</f>
        <v>0</v>
      </c>
      <c r="D368" s="1274" t="str">
        <f>VLOOKUP($B368,DG!A:D,DG!$B$2,)</f>
        <v>02.3155</v>
      </c>
      <c r="E368" s="1289" t="str">
        <f>VLOOKUP($B368,DG!A:D,DG!$C$2,)</f>
        <v>FCO 24kV - 100A</v>
      </c>
      <c r="F368" s="1274" t="str">
        <f>VLOOKUP($B368,DG!A:D,DG!$D$2,)</f>
        <v>cái</v>
      </c>
      <c r="G368" s="1312">
        <f>+G367</f>
        <v>0</v>
      </c>
      <c r="H368" s="1353">
        <f t="shared" si="15"/>
        <v>0</v>
      </c>
      <c r="I368" s="1310"/>
      <c r="J368" s="1310"/>
      <c r="K368" s="1278"/>
      <c r="L368" s="1125">
        <v>75</v>
      </c>
    </row>
    <row r="369" spans="1:13" s="1279" customFormat="1" ht="20.100000000000001" customHeight="1">
      <c r="A369" s="1377">
        <f t="shared" si="14"/>
        <v>0</v>
      </c>
      <c r="B369" s="1583" t="s">
        <v>1057</v>
      </c>
      <c r="C369" s="1286">
        <f t="shared" si="16"/>
        <v>0</v>
      </c>
      <c r="D369" s="1274">
        <f>VLOOKUP($B369,DG!A:D,DG!$B$2,)</f>
        <v>0</v>
      </c>
      <c r="E369" s="1289" t="str">
        <f>VLOOKUP($B369,DG!A:D,DG!$C$2,)</f>
        <v>Dây chảy 8K</v>
      </c>
      <c r="F369" s="1274" t="str">
        <f>VLOOKUP($B369,DG!A:D,DG!$D$2,)</f>
        <v>Sợi</v>
      </c>
      <c r="G369" s="1312">
        <f>G368</f>
        <v>0</v>
      </c>
      <c r="H369" s="1353">
        <f t="shared" si="15"/>
        <v>0</v>
      </c>
      <c r="I369" s="1310"/>
      <c r="J369" s="1310"/>
      <c r="K369" s="1278"/>
      <c r="L369" s="1125">
        <v>75</v>
      </c>
    </row>
    <row r="370" spans="1:13" s="1279" customFormat="1" ht="20.100000000000001" customHeight="1">
      <c r="A370" s="1377">
        <f t="shared" si="14"/>
        <v>0</v>
      </c>
      <c r="B370" s="1576" t="s">
        <v>1406</v>
      </c>
      <c r="C370" s="1286">
        <f t="shared" si="16"/>
        <v>0</v>
      </c>
      <c r="D370" s="1274" t="str">
        <f>VLOOKUP($B370,DG!A:D,DG!$B$2,)</f>
        <v>02.5114</v>
      </c>
      <c r="E370" s="1289" t="str">
        <f>VLOOKUP($B370,DG!A:D,DG!$C$2,)</f>
        <v>LA 18kV 10kA</v>
      </c>
      <c r="F370" s="1274" t="str">
        <f>VLOOKUP($B370,DG!A:D,DG!$D$2,)</f>
        <v>cái</v>
      </c>
      <c r="G370" s="1312">
        <f>G368</f>
        <v>0</v>
      </c>
      <c r="H370" s="1353">
        <f t="shared" si="15"/>
        <v>0</v>
      </c>
      <c r="I370" s="1310"/>
      <c r="J370" s="1310"/>
      <c r="K370" s="1278"/>
      <c r="L370" s="1125">
        <v>75</v>
      </c>
    </row>
    <row r="371" spans="1:13" s="1279" customFormat="1" ht="20.100000000000001" customHeight="1">
      <c r="A371" s="1377">
        <f t="shared" si="14"/>
        <v>0</v>
      </c>
      <c r="B371" s="1585" t="s">
        <v>1016</v>
      </c>
      <c r="C371" s="1286">
        <f t="shared" si="16"/>
        <v>0</v>
      </c>
      <c r="D371" s="1274" t="str">
        <f>VLOOKUP($B371,DG!A:D,DG!$B$2,)</f>
        <v>02.8402</v>
      </c>
      <c r="E371" s="1289" t="str">
        <f>VLOOKUP($B371,DG!A:D,DG!$C$2,)</f>
        <v>MCCB 3 cực 690V - 400A - 50KA</v>
      </c>
      <c r="F371" s="1274" t="str">
        <f>VLOOKUP($B371,DG!A:D,DG!$D$2,)</f>
        <v>cái</v>
      </c>
      <c r="G371" s="1312">
        <f>G367</f>
        <v>0</v>
      </c>
      <c r="H371" s="1353">
        <f t="shared" si="15"/>
        <v>0</v>
      </c>
      <c r="I371" s="1310"/>
      <c r="J371" s="1310"/>
      <c r="K371" s="1278"/>
      <c r="L371" s="1125">
        <v>75</v>
      </c>
    </row>
    <row r="372" spans="1:13" s="1279" customFormat="1" ht="20.100000000000001" customHeight="1">
      <c r="A372" s="1377">
        <f t="shared" si="14"/>
        <v>0</v>
      </c>
      <c r="B372" s="1585" t="s">
        <v>4789</v>
      </c>
      <c r="C372" s="1286">
        <f t="shared" si="16"/>
        <v>0</v>
      </c>
      <c r="D372" s="1274">
        <f>VLOOKUP($B372,DG!A:D,DG!$B$2,)</f>
        <v>0</v>
      </c>
      <c r="E372" s="1275" t="str">
        <f>VLOOKUP($B372,DG!A:D,DG!$C$2,)</f>
        <v xml:space="preserve">Biến dòng 600V - 300/5A </v>
      </c>
      <c r="F372" s="1274" t="str">
        <f>VLOOKUP($B372,DG!A:D,DG!$D$2,)</f>
        <v>cái</v>
      </c>
      <c r="G372" s="1312">
        <f>G367</f>
        <v>0</v>
      </c>
      <c r="H372" s="1353">
        <f t="shared" si="15"/>
        <v>0</v>
      </c>
      <c r="I372" s="1310"/>
      <c r="J372" s="1310"/>
      <c r="K372" s="1312" t="s">
        <v>2666</v>
      </c>
      <c r="L372" s="1125">
        <v>75</v>
      </c>
    </row>
    <row r="373" spans="1:13" s="1279" customFormat="1" ht="20.100000000000001" customHeight="1">
      <c r="A373" s="1377">
        <f t="shared" si="14"/>
        <v>0</v>
      </c>
      <c r="B373" s="1589" t="s">
        <v>4790</v>
      </c>
      <c r="C373" s="1286">
        <f>IF(G373&gt;0,C372+1,C372)</f>
        <v>0</v>
      </c>
      <c r="D373" s="1274" t="str">
        <f>VLOOKUP($B373,DG!A:D,DG!$B$2,)</f>
        <v>05.5104</v>
      </c>
      <c r="E373" s="1275" t="str">
        <f>VLOOKUP($B373,DG!A:D,DG!$C$2,)</f>
        <v>Điện kế 3 pha điện tử 220/380V-5A</v>
      </c>
      <c r="F373" s="1274" t="str">
        <f>VLOOKUP($B373,DG!A:D,DG!$D$2,)</f>
        <v>cái</v>
      </c>
      <c r="G373" s="1312">
        <f>G372</f>
        <v>0</v>
      </c>
      <c r="H373" s="1353">
        <f t="shared" si="15"/>
        <v>0</v>
      </c>
      <c r="I373" s="1310"/>
      <c r="J373" s="1310"/>
      <c r="K373" s="1312" t="s">
        <v>2666</v>
      </c>
      <c r="L373" s="1125">
        <v>75</v>
      </c>
    </row>
    <row r="374" spans="1:13" s="1279" customFormat="1" ht="20.100000000000001" customHeight="1">
      <c r="A374" s="1377">
        <f t="shared" si="14"/>
        <v>0</v>
      </c>
      <c r="B374" s="1582" t="s">
        <v>200</v>
      </c>
      <c r="C374" s="1286">
        <f t="shared" si="16"/>
        <v>0</v>
      </c>
      <c r="D374" s="1274">
        <f>VLOOKUP($B374,DG!A:D,DG!$B$2,)</f>
        <v>0</v>
      </c>
      <c r="E374" s="1275" t="str">
        <f>VLOOKUP($B374,DG!A:D,DG!$C$2,)</f>
        <v xml:space="preserve">Ampe kế 100/5A-600v +AS </v>
      </c>
      <c r="F374" s="1274" t="str">
        <f>VLOOKUP($B374,DG!A:D,DG!$D$2,)</f>
        <v>Bộ</v>
      </c>
      <c r="G374" s="1312">
        <f>G373*0</f>
        <v>0</v>
      </c>
      <c r="H374" s="1353">
        <f t="shared" si="15"/>
        <v>0</v>
      </c>
      <c r="I374" s="1310"/>
      <c r="J374" s="1310"/>
      <c r="K374" s="1312" t="s">
        <v>2666</v>
      </c>
      <c r="L374" s="1125">
        <v>75</v>
      </c>
    </row>
    <row r="375" spans="1:13" s="1279" customFormat="1" ht="20.100000000000001" customHeight="1">
      <c r="A375" s="1377">
        <f t="shared" si="14"/>
        <v>0</v>
      </c>
      <c r="B375" s="1582" t="s">
        <v>201</v>
      </c>
      <c r="C375" s="1286">
        <f t="shared" si="16"/>
        <v>0</v>
      </c>
      <c r="D375" s="1274">
        <f>VLOOKUP($B375,DG!A:D,DG!$B$2,)</f>
        <v>0</v>
      </c>
      <c r="E375" s="1275" t="str">
        <f>VLOOKUP($B375,DG!A:D,DG!$C$2,)</f>
        <v>Volt kế 500V + VS + 2xChì ống 1A-230V</v>
      </c>
      <c r="F375" s="1274" t="str">
        <f>VLOOKUP($B375,DG!A:D,DG!$D$2,)</f>
        <v>Bộ</v>
      </c>
      <c r="G375" s="1312">
        <f>G374</f>
        <v>0</v>
      </c>
      <c r="H375" s="1353">
        <f t="shared" si="15"/>
        <v>0</v>
      </c>
      <c r="I375" s="1310"/>
      <c r="J375" s="1310"/>
      <c r="K375" s="1298"/>
      <c r="L375" s="1125">
        <v>75</v>
      </c>
    </row>
    <row r="376" spans="1:13" s="1279" customFormat="1" ht="20.100000000000001" customHeight="1">
      <c r="A376" s="1377">
        <f>A378</f>
        <v>0</v>
      </c>
      <c r="B376" s="1582"/>
      <c r="C376" s="1309"/>
      <c r="D376" s="1405"/>
      <c r="E376" s="1384"/>
      <c r="F376" s="1309"/>
      <c r="G376" s="1309"/>
      <c r="H376" s="1309">
        <f t="shared" si="15"/>
        <v>0</v>
      </c>
      <c r="I376" s="1384"/>
      <c r="J376" s="1309"/>
      <c r="K376" s="1354"/>
      <c r="L376" s="1125">
        <v>75</v>
      </c>
    </row>
    <row r="377" spans="1:13" s="1279" customFormat="1" ht="20.100000000000001" customHeight="1">
      <c r="A377" s="1377">
        <f>A378</f>
        <v>0</v>
      </c>
      <c r="B377" s="1582"/>
      <c r="C377" s="1407"/>
      <c r="D377" s="1408"/>
      <c r="E377" s="1264" t="s">
        <v>3772</v>
      </c>
      <c r="F377" s="1264"/>
      <c r="G377" s="1264"/>
      <c r="H377" s="1264">
        <f t="shared" si="15"/>
        <v>0</v>
      </c>
      <c r="I377" s="1264"/>
      <c r="J377" s="1264"/>
      <c r="K377" s="1354"/>
      <c r="L377" s="1125">
        <v>75</v>
      </c>
    </row>
    <row r="378" spans="1:13" s="1279" customFormat="1" ht="20.100000000000001" customHeight="1">
      <c r="A378" s="1377">
        <f t="shared" si="14"/>
        <v>0</v>
      </c>
      <c r="B378" s="1582" t="s">
        <v>1662</v>
      </c>
      <c r="C378" s="1409">
        <f>IF(G390&gt;0,1,0)</f>
        <v>0</v>
      </c>
      <c r="D378" s="1411"/>
      <c r="E378" s="1275" t="str">
        <f>VLOOKUP($B378,DG!A:D,DG!$C$2,)</f>
        <v>Boulon 16x300+ 2 long đền vuông D18-50x50x3/Zn</v>
      </c>
      <c r="F378" s="1274" t="str">
        <f>VLOOKUP($B378,DG!A:D,DG!$D$2,)</f>
        <v>bộ</v>
      </c>
      <c r="G378" s="1390">
        <f>2*SUM(G367:G367)</f>
        <v>0</v>
      </c>
      <c r="H378" s="1353">
        <f t="shared" si="15"/>
        <v>0</v>
      </c>
      <c r="I378" s="1310"/>
      <c r="J378" s="1310"/>
      <c r="K378" s="1424"/>
      <c r="L378" s="1125">
        <v>75</v>
      </c>
    </row>
    <row r="379" spans="1:13" s="1279" customFormat="1" ht="20.100000000000001" customHeight="1">
      <c r="A379" s="1377">
        <f t="shared" si="14"/>
        <v>0</v>
      </c>
      <c r="B379" s="1582"/>
      <c r="C379" s="1273">
        <f>IF(G379&gt;0,C378+1,C378)</f>
        <v>0</v>
      </c>
      <c r="D379" s="1411"/>
      <c r="E379" s="1412" t="s">
        <v>3773</v>
      </c>
      <c r="F379" s="1390" t="s">
        <v>2449</v>
      </c>
      <c r="G379" s="1390">
        <f>G367*0</f>
        <v>0</v>
      </c>
      <c r="H379" s="1353">
        <f t="shared" si="15"/>
        <v>0</v>
      </c>
      <c r="I379" s="1342"/>
      <c r="J379" s="1342"/>
      <c r="K379" s="1312"/>
      <c r="L379" s="1125">
        <v>75</v>
      </c>
    </row>
    <row r="380" spans="1:13" s="1279" customFormat="1" ht="20.100000000000001" customHeight="1">
      <c r="A380" s="1377">
        <f>IF(A379&gt;0,1,0)</f>
        <v>0</v>
      </c>
      <c r="B380" s="1582"/>
      <c r="C380" s="1390"/>
      <c r="D380" s="1411"/>
      <c r="E380" s="1634" t="s">
        <v>2342</v>
      </c>
      <c r="F380" s="1312"/>
      <c r="G380" s="1312"/>
      <c r="H380" s="1353">
        <f t="shared" si="15"/>
        <v>0</v>
      </c>
      <c r="I380" s="1342"/>
      <c r="J380" s="1342"/>
      <c r="K380" s="1312"/>
      <c r="L380" s="1125">
        <v>75</v>
      </c>
      <c r="M380" s="1413"/>
    </row>
    <row r="381" spans="1:13" s="1279" customFormat="1" ht="20.100000000000001" customHeight="1">
      <c r="A381" s="1377">
        <f t="shared" si="14"/>
        <v>0</v>
      </c>
      <c r="B381" s="1378" t="s">
        <v>116</v>
      </c>
      <c r="C381" s="1312"/>
      <c r="D381" s="1274">
        <f>VLOOKUP($B381,DG!A:D,DG!$B$2,)</f>
        <v>0</v>
      </c>
      <c r="E381" s="1275" t="str">
        <f>VLOOKUP($B381,DG!A:D,DG!$C$2,)</f>
        <v>Trụ BTLT 12m F350 dự ứng lực</v>
      </c>
      <c r="F381" s="1274" t="str">
        <f>VLOOKUP($B381,DG!A:D,DG!$D$2,)</f>
        <v>trụ</v>
      </c>
      <c r="G381" s="1312">
        <f>1*G379</f>
        <v>0</v>
      </c>
      <c r="H381" s="1353">
        <f t="shared" si="15"/>
        <v>0</v>
      </c>
      <c r="I381" s="1310"/>
      <c r="J381" s="1310"/>
      <c r="K381" s="1312"/>
      <c r="L381" s="1125">
        <v>75</v>
      </c>
      <c r="M381" s="1413"/>
    </row>
    <row r="382" spans="1:13" s="1279" customFormat="1" ht="20.100000000000001" customHeight="1">
      <c r="A382" s="1377">
        <f t="shared" si="14"/>
        <v>0</v>
      </c>
      <c r="B382" s="1378" t="s">
        <v>1867</v>
      </c>
      <c r="C382" s="1312"/>
      <c r="D382" s="1414"/>
      <c r="E382" s="1275" t="str">
        <f>VLOOKUP($B382,DG!A:D,DG!$C$2,)</f>
        <v>Vật liệu dựng trụ</v>
      </c>
      <c r="F382" s="1274" t="str">
        <f>VLOOKUP($B382,DG!A:D,DG!$D$2,)</f>
        <v>trụ</v>
      </c>
      <c r="G382" s="1312">
        <f>G381</f>
        <v>0</v>
      </c>
      <c r="H382" s="1353">
        <f t="shared" si="15"/>
        <v>0</v>
      </c>
      <c r="I382" s="1310"/>
      <c r="J382" s="1310"/>
      <c r="K382" s="1312"/>
      <c r="L382" s="1125">
        <v>75</v>
      </c>
      <c r="M382" s="1413"/>
    </row>
    <row r="383" spans="1:13" s="1279" customFormat="1" ht="20.100000000000001" customHeight="1">
      <c r="A383" s="1377">
        <f t="shared" si="14"/>
        <v>0</v>
      </c>
      <c r="B383" s="1378" t="s">
        <v>2188</v>
      </c>
      <c r="C383" s="1312"/>
      <c r="D383" s="1414"/>
      <c r="E383" s="1275" t="str">
        <f>VLOOKUP($B383,DG!A:D,DG!$C$2,)</f>
        <v>Dựng trụ BTLT 12m trong TBA bằng thủ công + cơ giới</v>
      </c>
      <c r="F383" s="1274" t="str">
        <f>VLOOKUP($B383,DG!A:D,DG!$D$2,)</f>
        <v>trụ</v>
      </c>
      <c r="G383" s="1312">
        <f>G381</f>
        <v>0</v>
      </c>
      <c r="H383" s="1353">
        <f t="shared" si="15"/>
        <v>0</v>
      </c>
      <c r="I383" s="1310"/>
      <c r="J383" s="1310"/>
      <c r="K383" s="1312"/>
      <c r="L383" s="1125">
        <v>75</v>
      </c>
      <c r="M383" s="1413"/>
    </row>
    <row r="384" spans="1:13" s="1279" customFormat="1" ht="20.100000000000001" customHeight="1">
      <c r="A384" s="1377">
        <f t="shared" si="14"/>
        <v>0</v>
      </c>
      <c r="B384" s="1582"/>
      <c r="C384" s="1273">
        <f>IF(G384&gt;0,C379+1,C379)</f>
        <v>0</v>
      </c>
      <c r="D384" s="1411"/>
      <c r="E384" s="1412" t="s">
        <v>2416</v>
      </c>
      <c r="F384" s="1390" t="s">
        <v>2449</v>
      </c>
      <c r="G384" s="1390">
        <f>G379</f>
        <v>0</v>
      </c>
      <c r="H384" s="1353">
        <f t="shared" si="15"/>
        <v>0</v>
      </c>
      <c r="I384" s="1342"/>
      <c r="J384" s="1342"/>
      <c r="K384" s="1312"/>
      <c r="L384" s="1125">
        <v>75</v>
      </c>
    </row>
    <row r="385" spans="1:13" s="1279" customFormat="1" ht="20.100000000000001" customHeight="1">
      <c r="A385" s="1377">
        <f>IF(A384&gt;0,1,0)</f>
        <v>0</v>
      </c>
      <c r="B385" s="1582"/>
      <c r="C385" s="1390"/>
      <c r="D385" s="1411"/>
      <c r="E385" s="1634" t="s">
        <v>2342</v>
      </c>
      <c r="F385" s="1312"/>
      <c r="G385" s="1312"/>
      <c r="H385" s="1353">
        <f t="shared" si="15"/>
        <v>0</v>
      </c>
      <c r="I385" s="1342"/>
      <c r="J385" s="1342"/>
      <c r="K385" s="1312"/>
      <c r="L385" s="1125">
        <v>75</v>
      </c>
      <c r="M385" s="1413"/>
    </row>
    <row r="386" spans="1:13" s="1279" customFormat="1" ht="20.100000000000001" customHeight="1">
      <c r="A386" s="1377">
        <f t="shared" si="14"/>
        <v>0</v>
      </c>
      <c r="B386" s="1589" t="s">
        <v>641</v>
      </c>
      <c r="C386" s="1312"/>
      <c r="D386" s="1274" t="str">
        <f>VLOOKUP($B386,DG!A:D,DG!$B$2,)</f>
        <v>04.4001</v>
      </c>
      <c r="E386" s="1275" t="str">
        <f>VLOOKUP($B386,DG!A:D,DG!$C$2,)</f>
        <v>Đà cản BTCT 1,2m</v>
      </c>
      <c r="F386" s="1274" t="str">
        <f>VLOOKUP($B386,DG!A:D,DG!$D$2,)</f>
        <v>cái</v>
      </c>
      <c r="G386" s="1312">
        <f>1*G384</f>
        <v>0</v>
      </c>
      <c r="H386" s="1353">
        <f t="shared" si="15"/>
        <v>0</v>
      </c>
      <c r="I386" s="1310"/>
      <c r="J386" s="1310"/>
      <c r="K386" s="1312"/>
      <c r="L386" s="1125">
        <v>75</v>
      </c>
      <c r="M386" s="1413"/>
    </row>
    <row r="387" spans="1:13" s="1279" customFormat="1" ht="20.100000000000001" customHeight="1">
      <c r="A387" s="1377">
        <f t="shared" si="14"/>
        <v>0</v>
      </c>
      <c r="B387" s="1589" t="s">
        <v>570</v>
      </c>
      <c r="C387" s="1312"/>
      <c r="D387" s="1274">
        <f>VLOOKUP($B387,DG!A:D,DG!$B$2,)</f>
        <v>0</v>
      </c>
      <c r="E387" s="1275" t="str">
        <f>VLOOKUP($B387,DG!A:D,DG!$C$2,)</f>
        <v>Boulon 22x650+ 2 long đền vuông D24-50x50x3/Zn</v>
      </c>
      <c r="F387" s="1274" t="str">
        <f>VLOOKUP($B387,DG!A:D,DG!$D$2,)</f>
        <v>bộ</v>
      </c>
      <c r="G387" s="1312">
        <f>G384</f>
        <v>0</v>
      </c>
      <c r="H387" s="1353">
        <f t="shared" si="15"/>
        <v>0</v>
      </c>
      <c r="I387" s="1310"/>
      <c r="J387" s="1310"/>
      <c r="K387" s="1312"/>
      <c r="L387" s="1125">
        <v>75</v>
      </c>
      <c r="M387" s="1413"/>
    </row>
    <row r="388" spans="1:13" s="1279" customFormat="1" ht="20.100000000000001" customHeight="1">
      <c r="A388" s="1377">
        <f t="shared" si="14"/>
        <v>0</v>
      </c>
      <c r="B388" s="1589" t="str">
        <f>IF(chitiet!F5=1,"MDD1",IF(chitiet!F5=2,"MDD2",IF(chitiet!F5=3,"MDD3",IF(chitiet!F5=4,"MDD4"))))</f>
        <v>MDD3</v>
      </c>
      <c r="C388" s="1312"/>
      <c r="D388" s="1274" t="str">
        <f>VLOOKUP($B388,DG!A:D,DG!$B$2,)</f>
        <v>03.1013</v>
      </c>
      <c r="E388" s="1275" t="str">
        <f>VLOOKUP($B388,DG!A:D,DG!$C$2,)</f>
        <v>Đào hố móng đất cấp 3 sâu &gt;1m DT&lt;5m2</v>
      </c>
      <c r="F388" s="1274" t="str">
        <f>VLOOKUP($B388,DG!A:D,DG!$D$2,)</f>
        <v>m3</v>
      </c>
      <c r="G388" s="1346">
        <f>G384*1.45</f>
        <v>0</v>
      </c>
      <c r="H388" s="1353">
        <f t="shared" si="15"/>
        <v>0</v>
      </c>
      <c r="I388" s="1310"/>
      <c r="J388" s="1310"/>
      <c r="K388" s="1312"/>
      <c r="L388" s="1125">
        <v>75</v>
      </c>
      <c r="M388" s="1413"/>
    </row>
    <row r="389" spans="1:13" s="1279" customFormat="1" ht="20.100000000000001" customHeight="1">
      <c r="A389" s="1377">
        <f t="shared" si="14"/>
        <v>0</v>
      </c>
      <c r="B389" s="1589" t="str">
        <f>IF(chitiet!F5=1,"MDAP1",IF(chitiet!F5=2,"MDAP2",IF(chitiet!F5=3,"MDAP3",IF(chitiet!F5=4,"MDAP4"))))</f>
        <v>MDAP3</v>
      </c>
      <c r="C389" s="1312"/>
      <c r="D389" s="1274" t="str">
        <f>VLOOKUP($B389,DG!A:D,DG!$B$2,)</f>
        <v>03.4113</v>
      </c>
      <c r="E389" s="1275" t="str">
        <f>VLOOKUP($B389,DG!A:D,DG!$C$2,)</f>
        <v>Đắp đất hố móng, độ chặt k=0,95</v>
      </c>
      <c r="F389" s="1274" t="str">
        <f>VLOOKUP($B389,DG!A:D,DG!$D$2,)</f>
        <v>m3</v>
      </c>
      <c r="G389" s="1346">
        <f>G384*1.37</f>
        <v>0</v>
      </c>
      <c r="H389" s="1353">
        <f t="shared" si="15"/>
        <v>0</v>
      </c>
      <c r="I389" s="1310"/>
      <c r="J389" s="1310"/>
      <c r="K389" s="1312"/>
      <c r="L389" s="1125">
        <v>75</v>
      </c>
      <c r="M389" s="1413"/>
    </row>
    <row r="390" spans="1:13" s="1279" customFormat="1" ht="20.100000000000001" customHeight="1">
      <c r="A390" s="1377">
        <f t="shared" si="14"/>
        <v>0</v>
      </c>
      <c r="B390" s="1582"/>
      <c r="C390" s="1273">
        <f>IF(G390&gt;0,C384+1,C384)</f>
        <v>0</v>
      </c>
      <c r="D390" s="1411"/>
      <c r="E390" s="1425" t="s">
        <v>3774</v>
      </c>
      <c r="F390" s="1390" t="s">
        <v>2449</v>
      </c>
      <c r="G390" s="1390">
        <f>SUM(G367:G367)</f>
        <v>0</v>
      </c>
      <c r="H390" s="1353">
        <f t="shared" si="15"/>
        <v>0</v>
      </c>
      <c r="I390" s="1310"/>
      <c r="J390" s="1310"/>
      <c r="K390" s="1278"/>
      <c r="L390" s="1125">
        <v>75</v>
      </c>
    </row>
    <row r="391" spans="1:13" s="1279" customFormat="1" ht="20.100000000000001" customHeight="1">
      <c r="A391" s="1377">
        <f>IF(A390&gt;0,1,0)</f>
        <v>0</v>
      </c>
      <c r="B391" s="1582"/>
      <c r="C391" s="1390"/>
      <c r="D391" s="1411"/>
      <c r="E391" s="1635" t="s">
        <v>2342</v>
      </c>
      <c r="F391" s="1312"/>
      <c r="G391" s="1312"/>
      <c r="H391" s="1353">
        <f t="shared" si="15"/>
        <v>0</v>
      </c>
      <c r="I391" s="1310"/>
      <c r="J391" s="1310"/>
      <c r="K391" s="1278"/>
      <c r="L391" s="1125">
        <v>75</v>
      </c>
    </row>
    <row r="392" spans="1:13" s="1279" customFormat="1" ht="20.100000000000001" customHeight="1">
      <c r="A392" s="1377">
        <f t="shared" si="14"/>
        <v>0</v>
      </c>
      <c r="B392" s="1847" t="s">
        <v>4792</v>
      </c>
      <c r="C392" s="1312"/>
      <c r="D392" s="1274">
        <f>VLOOKUP($B392,DG!A:D,DG!$B$2,)</f>
        <v>0</v>
      </c>
      <c r="E392" s="1289" t="str">
        <f>VLOOKUP($B392,DG!A:D,DG!$C$2,)</f>
        <v>Đà composite 0,8m + Thanh chống đà 720</v>
      </c>
      <c r="F392" s="1274" t="str">
        <f>VLOOKUP($B392,DG!A:D,DG!$D$2,)</f>
        <v>cái</v>
      </c>
      <c r="G392" s="1312">
        <f>1*G390</f>
        <v>0</v>
      </c>
      <c r="H392" s="1353">
        <f t="shared" si="15"/>
        <v>0</v>
      </c>
      <c r="I392" s="1310"/>
      <c r="J392" s="1310"/>
      <c r="K392" s="1278"/>
      <c r="L392" s="1125">
        <v>75</v>
      </c>
    </row>
    <row r="393" spans="1:13" s="1279" customFormat="1" ht="20.100000000000001" customHeight="1">
      <c r="A393" s="1377">
        <f t="shared" si="14"/>
        <v>0</v>
      </c>
      <c r="B393" s="1582" t="s">
        <v>1109</v>
      </c>
      <c r="C393" s="1312"/>
      <c r="D393" s="1274">
        <f>VLOOKUP($B393,DG!A:D,DG!$B$2,)</f>
        <v>0</v>
      </c>
      <c r="E393" s="1275" t="str">
        <f>VLOOKUP($B393,DG!A:D,DG!$C$2,)</f>
        <v>Boulon 16x350+ 2 long đền vuông D18-50x50x3/Zn</v>
      </c>
      <c r="F393" s="1274" t="str">
        <f>VLOOKUP($B393,DG!A:D,DG!$D$2,)</f>
        <v>bộ</v>
      </c>
      <c r="G393" s="1312">
        <f>G392*2</f>
        <v>0</v>
      </c>
      <c r="H393" s="1353">
        <f t="shared" si="15"/>
        <v>0</v>
      </c>
      <c r="I393" s="1310"/>
      <c r="J393" s="1310"/>
      <c r="K393" s="1278"/>
      <c r="L393" s="1125">
        <v>75</v>
      </c>
    </row>
    <row r="394" spans="1:13" s="1279" customFormat="1" ht="20.100000000000001" customHeight="1">
      <c r="A394" s="1377">
        <f t="shared" si="14"/>
        <v>0</v>
      </c>
      <c r="B394" s="1582" t="s">
        <v>4794</v>
      </c>
      <c r="C394" s="1312"/>
      <c r="D394" s="1414"/>
      <c r="E394" s="1275" t="str">
        <f>VLOOKUP($B394,DG!A:D,DG!$C$2,)</f>
        <v>Boulon 14x100+ 2 long đền vuông D16-50x50x3/Zn</v>
      </c>
      <c r="F394" s="1274" t="str">
        <f>VLOOKUP($B394,DG!A:D,DG!$D$2,)</f>
        <v>bộ</v>
      </c>
      <c r="G394" s="1312">
        <f>G390</f>
        <v>0</v>
      </c>
      <c r="H394" s="1353">
        <f t="shared" si="15"/>
        <v>0</v>
      </c>
      <c r="I394" s="1310"/>
      <c r="J394" s="1310"/>
      <c r="K394" s="1278"/>
      <c r="L394" s="1125">
        <v>75</v>
      </c>
    </row>
    <row r="395" spans="1:13" s="1279" customFormat="1" ht="20.100000000000001" customHeight="1">
      <c r="A395" s="1377">
        <f t="shared" si="14"/>
        <v>0</v>
      </c>
      <c r="B395" s="1582" t="s">
        <v>2333</v>
      </c>
      <c r="C395" s="1312"/>
      <c r="D395" s="1414"/>
      <c r="E395" s="1275" t="str">
        <f>VLOOKUP($B395,DG!A:D,DG!$C$2,)</f>
        <v>Bass LL bắt FCO và LA</v>
      </c>
      <c r="F395" s="1274" t="str">
        <f>VLOOKUP($B395,DG!A:D,DG!$D$2,)</f>
        <v>bộ</v>
      </c>
      <c r="G395" s="1312">
        <f>G390</f>
        <v>0</v>
      </c>
      <c r="H395" s="1353">
        <f t="shared" si="15"/>
        <v>0</v>
      </c>
      <c r="I395" s="1310"/>
      <c r="J395" s="1310"/>
      <c r="K395" s="1278"/>
      <c r="L395" s="1125">
        <v>75</v>
      </c>
    </row>
    <row r="396" spans="1:13" s="1279" customFormat="1" ht="20.100000000000001" customHeight="1">
      <c r="A396" s="1377">
        <f t="shared" si="14"/>
        <v>0</v>
      </c>
      <c r="B396" s="1582"/>
      <c r="C396" s="1390">
        <f>IF(G396&gt;0,C390+1,C390)</f>
        <v>0</v>
      </c>
      <c r="D396" s="1411"/>
      <c r="E396" s="1425" t="s">
        <v>3775</v>
      </c>
      <c r="F396" s="1390" t="s">
        <v>2449</v>
      </c>
      <c r="G396" s="1390">
        <f>G390</f>
        <v>0</v>
      </c>
      <c r="H396" s="1353">
        <f t="shared" si="15"/>
        <v>0</v>
      </c>
      <c r="I396" s="1310"/>
      <c r="J396" s="1310"/>
      <c r="K396" s="1278"/>
      <c r="L396" s="1125">
        <v>75</v>
      </c>
    </row>
    <row r="397" spans="1:13" s="1279" customFormat="1" ht="20.100000000000001" customHeight="1">
      <c r="A397" s="1377">
        <f>IF(A396&gt;0,1,0)</f>
        <v>0</v>
      </c>
      <c r="B397" s="1582"/>
      <c r="C397" s="1312"/>
      <c r="D397" s="1414"/>
      <c r="E397" s="1635" t="s">
        <v>2342</v>
      </c>
      <c r="F397" s="1312"/>
      <c r="G397" s="1312"/>
      <c r="H397" s="1353">
        <f t="shared" si="15"/>
        <v>0</v>
      </c>
      <c r="I397" s="1310"/>
      <c r="J397" s="1310"/>
      <c r="K397" s="1278"/>
      <c r="L397" s="1125">
        <v>75</v>
      </c>
    </row>
    <row r="398" spans="1:13" s="1279" customFormat="1" ht="20.100000000000001" customHeight="1">
      <c r="A398" s="1377">
        <f t="shared" si="14"/>
        <v>0</v>
      </c>
      <c r="B398" s="1582" t="s">
        <v>1063</v>
      </c>
      <c r="C398" s="1312"/>
      <c r="D398" s="1274">
        <f>VLOOKUP($B398,DG!A:D,DG!$B$2,)</f>
        <v>0</v>
      </c>
      <c r="E398" s="1289" t="str">
        <f>VLOOKUP($B398,DG!A:D,DG!$C$2,)</f>
        <v>Cáp đồng trần M25mm2</v>
      </c>
      <c r="F398" s="1274" t="str">
        <f>VLOOKUP($B398,DG!A:D,DG!$D$2,)</f>
        <v>kg</v>
      </c>
      <c r="G398" s="1396">
        <f>53*G396*0.224</f>
        <v>0</v>
      </c>
      <c r="H398" s="1848">
        <f t="shared" si="15"/>
        <v>0</v>
      </c>
      <c r="I398" s="1310"/>
      <c r="J398" s="1310"/>
      <c r="K398" s="1278"/>
      <c r="L398" s="1125">
        <v>75</v>
      </c>
    </row>
    <row r="399" spans="1:13" s="1279" customFormat="1" ht="20.100000000000001" customHeight="1">
      <c r="A399" s="1377">
        <f t="shared" si="14"/>
        <v>0</v>
      </c>
      <c r="B399" s="1378" t="s">
        <v>1560</v>
      </c>
      <c r="C399" s="1312"/>
      <c r="D399" s="1274">
        <f>VLOOKUP($B399,DG!A:D,DG!$B$2,)</f>
        <v>0</v>
      </c>
      <c r="E399" s="1289" t="str">
        <f>VLOOKUP($B399,DG!A:D,DG!$C$2,)</f>
        <v>Cọc tiếp đất Ø 16- 2,4m + kẹp cọc</v>
      </c>
      <c r="F399" s="1274" t="str">
        <f>VLOOKUP($B399,DG!A:D,DG!$D$2,)</f>
        <v>bộ</v>
      </c>
      <c r="G399" s="1312">
        <f>9*G396</f>
        <v>0</v>
      </c>
      <c r="H399" s="1353">
        <f t="shared" si="15"/>
        <v>0</v>
      </c>
      <c r="I399" s="1310"/>
      <c r="J399" s="1310"/>
      <c r="K399" s="1278"/>
      <c r="L399" s="1125">
        <v>75</v>
      </c>
    </row>
    <row r="400" spans="1:13" s="1279" customFormat="1" ht="20.100000000000001" customHeight="1">
      <c r="A400" s="1377">
        <f t="shared" si="14"/>
        <v>0</v>
      </c>
      <c r="B400" s="1378" t="s">
        <v>1542</v>
      </c>
      <c r="C400" s="1312"/>
      <c r="D400" s="1274" t="str">
        <f>VLOOKUP($B400,DG!A:D,DG!$B$2,)</f>
        <v>07.2403</v>
      </c>
      <c r="E400" s="1275" t="str">
        <f>VLOOKUP($B400,DG!A:D,DG!$C$2,)</f>
        <v xml:space="preserve">Ống PVC D21x1,6mm </v>
      </c>
      <c r="F400" s="1274" t="str">
        <f>VLOOKUP($B400,DG!A:D,DG!$D$2,)</f>
        <v>m</v>
      </c>
      <c r="G400" s="1312">
        <f>6*G396</f>
        <v>0</v>
      </c>
      <c r="H400" s="1353">
        <f t="shared" si="15"/>
        <v>0</v>
      </c>
      <c r="I400" s="1310"/>
      <c r="J400" s="1310"/>
      <c r="K400" s="1278"/>
      <c r="L400" s="1125">
        <v>75</v>
      </c>
    </row>
    <row r="401" spans="1:12" s="1279" customFormat="1" ht="20.100000000000001" customHeight="1">
      <c r="A401" s="1377">
        <f t="shared" si="14"/>
        <v>0</v>
      </c>
      <c r="B401" s="1587" t="s">
        <v>1631</v>
      </c>
      <c r="C401" s="1312"/>
      <c r="D401" s="1274">
        <f>VLOOKUP($B401,DG!A:D,DG!$B$2,)</f>
        <v>0</v>
      </c>
      <c r="E401" s="1275" t="str">
        <f>VLOOKUP($B401,DG!A:D,DG!$C$2,)</f>
        <v>Kẹp ép WR cỡ dây 50mm2</v>
      </c>
      <c r="F401" s="1274" t="str">
        <f>VLOOKUP($B401,DG!A:D,DG!$D$2,)</f>
        <v>cái</v>
      </c>
      <c r="G401" s="1312">
        <f>2*G396</f>
        <v>0</v>
      </c>
      <c r="H401" s="1353">
        <f t="shared" si="15"/>
        <v>0</v>
      </c>
      <c r="I401" s="1310"/>
      <c r="J401" s="1310"/>
      <c r="K401" s="1278"/>
      <c r="L401" s="1125">
        <v>75</v>
      </c>
    </row>
    <row r="402" spans="1:12" s="1279" customFormat="1" ht="20.100000000000001" customHeight="1">
      <c r="A402" s="1377">
        <f t="shared" si="14"/>
        <v>0</v>
      </c>
      <c r="B402" s="1587" t="s">
        <v>1145</v>
      </c>
      <c r="C402" s="1312"/>
      <c r="D402" s="1274">
        <f>VLOOKUP($B402,DG!A:D,DG!$B$2,)</f>
        <v>0</v>
      </c>
      <c r="E402" s="1275" t="str">
        <f>VLOOKUP($B402,DG!A:D,DG!$C$2,)</f>
        <v>Kẹp ép cỡ dây 25mm2</v>
      </c>
      <c r="F402" s="1274" t="str">
        <f>VLOOKUP($B402,DG!A:D,DG!$D$2,)</f>
        <v>cái</v>
      </c>
      <c r="G402" s="1312">
        <f>G396*10</f>
        <v>0</v>
      </c>
      <c r="H402" s="1353">
        <f t="shared" si="15"/>
        <v>0</v>
      </c>
      <c r="I402" s="1310"/>
      <c r="J402" s="1310"/>
      <c r="K402" s="1278"/>
      <c r="L402" s="1125">
        <v>75</v>
      </c>
    </row>
    <row r="403" spans="1:12" s="1279" customFormat="1" ht="20.100000000000001" customHeight="1">
      <c r="A403" s="1377">
        <f t="shared" si="14"/>
        <v>0</v>
      </c>
      <c r="B403" s="1378" t="s">
        <v>528</v>
      </c>
      <c r="C403" s="1312"/>
      <c r="D403" s="1274" t="str">
        <f>VLOOKUP($B403,DG!A:D,DG!$B$2,)</f>
        <v>06.3231</v>
      </c>
      <c r="E403" s="1275" t="str">
        <f>VLOOKUP($B403,DG!A:D,DG!$C$2,)</f>
        <v>Cổ dê kẹp ống PVC  21</v>
      </c>
      <c r="F403" s="1274" t="str">
        <f>VLOOKUP($B403,DG!A:D,DG!$D$2,)</f>
        <v>bộ</v>
      </c>
      <c r="G403" s="1312">
        <f>3*G396</f>
        <v>0</v>
      </c>
      <c r="H403" s="1353">
        <f t="shared" si="15"/>
        <v>0</v>
      </c>
      <c r="I403" s="1310"/>
      <c r="J403" s="1310"/>
      <c r="K403" s="1278"/>
      <c r="L403" s="1125">
        <v>75</v>
      </c>
    </row>
    <row r="404" spans="1:12" s="1279" customFormat="1" ht="20.100000000000001" customHeight="1">
      <c r="A404" s="1377">
        <f t="shared" si="14"/>
        <v>0</v>
      </c>
      <c r="B404" s="1587" t="s">
        <v>2245</v>
      </c>
      <c r="C404" s="1312"/>
      <c r="D404" s="1274" t="str">
        <f>VLOOKUP($B404,DG!A:D,DG!$B$2,)</f>
        <v>04.7002</v>
      </c>
      <c r="E404" s="1275" t="str">
        <f>VLOOKUP($B404,DG!A:D,DG!$C$2,)</f>
        <v>Kéo dây tiếp địa trong TBA</v>
      </c>
      <c r="F404" s="1274" t="str">
        <f>VLOOKUP($B404,DG!A:D,DG!$D$2,)</f>
        <v>mét</v>
      </c>
      <c r="G404" s="1312">
        <f>G398/0.224</f>
        <v>0</v>
      </c>
      <c r="H404" s="1353">
        <f t="shared" si="15"/>
        <v>0</v>
      </c>
      <c r="I404" s="1310"/>
      <c r="J404" s="1310"/>
      <c r="K404" s="1278"/>
      <c r="L404" s="1125">
        <v>75</v>
      </c>
    </row>
    <row r="405" spans="1:12" s="1279" customFormat="1" ht="20.100000000000001" customHeight="1">
      <c r="A405" s="1377">
        <f t="shared" si="14"/>
        <v>0</v>
      </c>
      <c r="B405" s="1378" t="s">
        <v>919</v>
      </c>
      <c r="C405" s="1312"/>
      <c r="D405" s="1274" t="str">
        <f>VLOOKUP($B405,DG!A:D,DG!$B$2,)</f>
        <v>04.7001</v>
      </c>
      <c r="E405" s="1275" t="str">
        <f>VLOOKUP($B405,DG!A:D,DG!$C$2,)</f>
        <v>Đóng cọc tiếp địa trong TBA</v>
      </c>
      <c r="F405" s="1274" t="str">
        <f>VLOOKUP($B405,DG!A:D,DG!$D$2,)</f>
        <v>cọc</v>
      </c>
      <c r="G405" s="1312">
        <f>G399</f>
        <v>0</v>
      </c>
      <c r="H405" s="1353">
        <f t="shared" si="15"/>
        <v>0</v>
      </c>
      <c r="I405" s="1310"/>
      <c r="J405" s="1310"/>
      <c r="K405" s="1278"/>
      <c r="L405" s="1125">
        <v>75</v>
      </c>
    </row>
    <row r="406" spans="1:12" s="1279" customFormat="1" ht="20.100000000000001" customHeight="1">
      <c r="A406" s="1377">
        <f t="shared" si="14"/>
        <v>0</v>
      </c>
      <c r="B406" s="1587" t="str">
        <f>"dtd"&amp;chitiet!F5</f>
        <v>dtd3</v>
      </c>
      <c r="C406" s="1312"/>
      <c r="D406" s="1274" t="str">
        <f>VLOOKUP($B406,DG!A:D,DG!$B$2,)</f>
        <v>03.3123</v>
      </c>
      <c r="E406" s="1275" t="str">
        <f>VLOOKUP($B406,DG!A:D,DG!$C$2,)</f>
        <v>Đào rãnh tiếp địa đất cấp 3</v>
      </c>
      <c r="F406" s="1274" t="str">
        <f>VLOOKUP($B406,DG!A:D,DG!$D$2,)</f>
        <v>m3</v>
      </c>
      <c r="G406" s="1346">
        <f>G396*2.64</f>
        <v>0</v>
      </c>
      <c r="H406" s="1661">
        <f t="shared" si="15"/>
        <v>0</v>
      </c>
      <c r="I406" s="1310"/>
      <c r="J406" s="1310"/>
      <c r="K406" s="1278"/>
      <c r="L406" s="1125">
        <v>75</v>
      </c>
    </row>
    <row r="407" spans="1:12" s="1279" customFormat="1" ht="20.100000000000001" customHeight="1">
      <c r="A407" s="1377">
        <f t="shared" si="14"/>
        <v>0</v>
      </c>
      <c r="B407" s="1378" t="str">
        <f>"datd"&amp;chitiet!F5</f>
        <v>datd3</v>
      </c>
      <c r="C407" s="1312"/>
      <c r="D407" s="1274" t="str">
        <f>VLOOKUP($B407,DG!A:D,DG!$B$2,)</f>
        <v>03.4123</v>
      </c>
      <c r="E407" s="1275" t="str">
        <f>VLOOKUP($B407,DG!A:D,DG!$C$2,)</f>
        <v>Đắp đất rãnh tiếp độ chặt k=0,95</v>
      </c>
      <c r="F407" s="1274" t="str">
        <f>VLOOKUP($B407,DG!A:D,DG!$D$2,)</f>
        <v>m3</v>
      </c>
      <c r="G407" s="1346">
        <f>G406</f>
        <v>0</v>
      </c>
      <c r="H407" s="1661">
        <f t="shared" si="15"/>
        <v>0</v>
      </c>
      <c r="I407" s="1310"/>
      <c r="J407" s="1310"/>
      <c r="K407" s="1278"/>
      <c r="L407" s="1125">
        <v>75</v>
      </c>
    </row>
    <row r="408" spans="1:12" s="1279" customFormat="1" ht="20.100000000000001" customHeight="1">
      <c r="A408" s="1377">
        <f t="shared" si="14"/>
        <v>0</v>
      </c>
      <c r="B408" s="1587"/>
      <c r="C408" s="1390">
        <f>IF(G408&gt;0,C396+1,C396)</f>
        <v>0</v>
      </c>
      <c r="D408" s="1411"/>
      <c r="E408" s="1412" t="s">
        <v>3782</v>
      </c>
      <c r="F408" s="1390" t="s">
        <v>2449</v>
      </c>
      <c r="G408" s="1390">
        <f>G390</f>
        <v>0</v>
      </c>
      <c r="H408" s="1353">
        <f t="shared" si="15"/>
        <v>0</v>
      </c>
      <c r="I408" s="1310"/>
      <c r="J408" s="1310"/>
      <c r="K408" s="1278"/>
      <c r="L408" s="1125">
        <v>75</v>
      </c>
    </row>
    <row r="409" spans="1:12" s="1279" customFormat="1" ht="20.100000000000001" customHeight="1">
      <c r="A409" s="1377">
        <f>IF(A408&gt;0,1,0)</f>
        <v>0</v>
      </c>
      <c r="B409" s="1587"/>
      <c r="C409" s="1390"/>
      <c r="D409" s="1411"/>
      <c r="E409" s="1635" t="s">
        <v>2342</v>
      </c>
      <c r="F409" s="1312"/>
      <c r="G409" s="1312"/>
      <c r="H409" s="1353">
        <f t="shared" si="15"/>
        <v>0</v>
      </c>
      <c r="I409" s="1310"/>
      <c r="J409" s="1310"/>
      <c r="K409" s="1278"/>
      <c r="L409" s="1125">
        <v>75</v>
      </c>
    </row>
    <row r="410" spans="1:12" s="1279" customFormat="1" ht="20.100000000000001" customHeight="1">
      <c r="A410" s="1377">
        <f t="shared" ref="A410:A473" si="17">IF(H410&gt;0,1,0)</f>
        <v>0</v>
      </c>
      <c r="B410" s="1589" t="s">
        <v>621</v>
      </c>
      <c r="C410" s="1312"/>
      <c r="D410" s="1274" t="str">
        <f>VLOOKUP($B410,DG!A:D,DG!$B$2,)</f>
        <v>05.1001</v>
      </c>
      <c r="E410" s="1289" t="str">
        <f>VLOOKUP($B410,DG!A:D,DG!$C$2,)</f>
        <v>Tủ CB trạm 1 pha + khóa + boulon</v>
      </c>
      <c r="F410" s="1274" t="str">
        <f>VLOOKUP($B410,DG!A:D,DG!$D$2,)</f>
        <v>cái</v>
      </c>
      <c r="G410" s="1312">
        <f>G408</f>
        <v>0</v>
      </c>
      <c r="H410" s="1353">
        <f t="shared" si="15"/>
        <v>0</v>
      </c>
      <c r="I410" s="1310"/>
      <c r="J410" s="1310"/>
      <c r="K410" s="1278"/>
      <c r="L410" s="1125">
        <v>75</v>
      </c>
    </row>
    <row r="411" spans="1:12" s="1279" customFormat="1" ht="20.100000000000001" customHeight="1">
      <c r="A411" s="1377">
        <f t="shared" si="17"/>
        <v>0</v>
      </c>
      <c r="B411" s="1587" t="s">
        <v>896</v>
      </c>
      <c r="C411" s="1312"/>
      <c r="D411" s="1274" t="str">
        <f>VLOOKUP($B411,DG!A:D,DG!$B$2,)</f>
        <v>06.3231</v>
      </c>
      <c r="E411" s="1275" t="str">
        <f>VLOOKUP($B411,DG!A:D,DG!$C$2,)</f>
        <v>Cổ dê bắt tủ</v>
      </c>
      <c r="F411" s="1274" t="str">
        <f>VLOOKUP($B411,DG!A:D,DG!$D$2,)</f>
        <v>bộ</v>
      </c>
      <c r="G411" s="1312">
        <f>2*G408*7</f>
        <v>0</v>
      </c>
      <c r="H411" s="1353">
        <f t="shared" si="15"/>
        <v>0</v>
      </c>
      <c r="I411" s="1310"/>
      <c r="J411" s="1310"/>
      <c r="K411" s="1278"/>
      <c r="L411" s="1125">
        <v>75</v>
      </c>
    </row>
    <row r="412" spans="1:12" s="1279" customFormat="1" ht="20.100000000000001" customHeight="1">
      <c r="A412" s="1377">
        <f t="shared" si="17"/>
        <v>0</v>
      </c>
      <c r="B412" s="1587" t="s">
        <v>1161</v>
      </c>
      <c r="C412" s="1312"/>
      <c r="D412" s="1274" t="str">
        <f>VLOOKUP($B412,DG!A:D,DG!$B$2,)</f>
        <v>06.2110</v>
      </c>
      <c r="E412" s="1275" t="str">
        <f>VLOOKUP($B412,DG!A:D,DG!$C$2,)</f>
        <v>Lắp cổ dề</v>
      </c>
      <c r="F412" s="1274" t="str">
        <f>VLOOKUP($B412,DG!A:D,DG!$D$2,)</f>
        <v>bộ</v>
      </c>
      <c r="G412" s="1312">
        <f>G408*2</f>
        <v>0</v>
      </c>
      <c r="H412" s="1353">
        <f t="shared" si="15"/>
        <v>0</v>
      </c>
      <c r="I412" s="1310"/>
      <c r="J412" s="1310"/>
      <c r="K412" s="1278"/>
      <c r="L412" s="1125">
        <v>75</v>
      </c>
    </row>
    <row r="413" spans="1:12" s="1279" customFormat="1" ht="20.100000000000001" customHeight="1">
      <c r="A413" s="1377">
        <f t="shared" si="17"/>
        <v>0</v>
      </c>
      <c r="B413" s="1587" t="s">
        <v>897</v>
      </c>
      <c r="C413" s="1312"/>
      <c r="D413" s="1274">
        <f>VLOOKUP($B413,DG!A:D,DG!$B$2,)</f>
        <v>0</v>
      </c>
      <c r="E413" s="1275" t="str">
        <f>VLOOKUP($B413,DG!A:D,DG!$C$2,)</f>
        <v xml:space="preserve">Bakelit 550x450 dầy 10mm </v>
      </c>
      <c r="F413" s="1274" t="str">
        <f>VLOOKUP($B413,DG!A:D,DG!$D$2,)</f>
        <v>cái</v>
      </c>
      <c r="G413" s="1312">
        <f>G408</f>
        <v>0</v>
      </c>
      <c r="H413" s="1353">
        <f t="shared" si="15"/>
        <v>0</v>
      </c>
      <c r="I413" s="1310"/>
      <c r="J413" s="1310"/>
      <c r="K413" s="1278"/>
      <c r="L413" s="1125">
        <v>75</v>
      </c>
    </row>
    <row r="414" spans="1:12" s="1279" customFormat="1" ht="20.100000000000001" customHeight="1">
      <c r="A414" s="1377">
        <f t="shared" si="17"/>
        <v>0</v>
      </c>
      <c r="B414" s="1587"/>
      <c r="C414" s="1390">
        <f>IF(G414&gt;0,C408+1,C408)</f>
        <v>0</v>
      </c>
      <c r="D414" s="1411"/>
      <c r="E414" s="1425" t="s">
        <v>3788</v>
      </c>
      <c r="F414" s="1390" t="s">
        <v>2449</v>
      </c>
      <c r="G414" s="1390">
        <f>G408</f>
        <v>0</v>
      </c>
      <c r="H414" s="1353">
        <f t="shared" si="15"/>
        <v>0</v>
      </c>
      <c r="I414" s="1310"/>
      <c r="J414" s="1310"/>
      <c r="K414" s="1278"/>
      <c r="L414" s="1125">
        <v>75</v>
      </c>
    </row>
    <row r="415" spans="1:12" s="1279" customFormat="1" ht="20.100000000000001" customHeight="1">
      <c r="A415" s="1377">
        <f>IF(A414&gt;0,1,0)</f>
        <v>0</v>
      </c>
      <c r="B415" s="1587"/>
      <c r="C415" s="1390"/>
      <c r="D415" s="1411"/>
      <c r="E415" s="1635" t="s">
        <v>2342</v>
      </c>
      <c r="F415" s="1312"/>
      <c r="G415" s="1312"/>
      <c r="H415" s="1353">
        <f t="shared" si="15"/>
        <v>0</v>
      </c>
      <c r="I415" s="1310"/>
      <c r="J415" s="1310"/>
      <c r="K415" s="1278"/>
      <c r="L415" s="1125">
        <v>75</v>
      </c>
    </row>
    <row r="416" spans="1:12" s="1279" customFormat="1" ht="20.100000000000001" customHeight="1">
      <c r="A416" s="1377">
        <f t="shared" si="17"/>
        <v>0</v>
      </c>
      <c r="B416" s="1378" t="s">
        <v>704</v>
      </c>
      <c r="C416" s="1312"/>
      <c r="D416" s="1274">
        <f>VLOOKUP($B416,DG!A:D,DG!$B$2,)</f>
        <v>0</v>
      </c>
      <c r="E416" s="1289" t="str">
        <f>VLOOKUP($B416,DG!A:D,DG!$C$2,)</f>
        <v>Cáp 24KV C/XLPE/PVC 25mm2</v>
      </c>
      <c r="F416" s="1274" t="str">
        <f>VLOOKUP($B416,DG!A:D,DG!$D$2,)</f>
        <v>mét</v>
      </c>
      <c r="G416" s="1312">
        <f>3*G414</f>
        <v>0</v>
      </c>
      <c r="H416" s="1353">
        <f t="shared" si="15"/>
        <v>0</v>
      </c>
      <c r="I416" s="1310"/>
      <c r="J416" s="1310"/>
      <c r="K416" s="1278"/>
      <c r="L416" s="1125">
        <v>75</v>
      </c>
    </row>
    <row r="417" spans="1:12" s="1279" customFormat="1" ht="20.100000000000001" customHeight="1">
      <c r="A417" s="1377">
        <f t="shared" si="17"/>
        <v>0</v>
      </c>
      <c r="B417" s="1378" t="s">
        <v>4726</v>
      </c>
      <c r="C417" s="1312"/>
      <c r="D417" s="1274" t="str">
        <f>VLOOKUP($B417,DG!A:D,DG!$B$2,)</f>
        <v>04.3007</v>
      </c>
      <c r="E417" s="1275" t="str">
        <f>VLOOKUP($B417,DG!A:D,DG!$C$2,)</f>
        <v>Kẹp quai 2/0 + chụp cách điện</v>
      </c>
      <c r="F417" s="1274" t="str">
        <f>VLOOKUP($B417,DG!A:D,DG!$D$2,)</f>
        <v>bộ</v>
      </c>
      <c r="G417" s="1312">
        <f>G414</f>
        <v>0</v>
      </c>
      <c r="H417" s="1353">
        <f t="shared" ref="H417:H483" si="18">IF(L417=$L$23,G417+I417-J417,0)</f>
        <v>0</v>
      </c>
      <c r="I417" s="1310"/>
      <c r="J417" s="1310"/>
      <c r="K417" s="1278"/>
      <c r="L417" s="1125">
        <v>75</v>
      </c>
    </row>
    <row r="418" spans="1:12" s="1279" customFormat="1" ht="20.100000000000001" customHeight="1">
      <c r="A418" s="1377">
        <f>IF(H418&gt;0,1,0)</f>
        <v>0</v>
      </c>
      <c r="B418" s="1378" t="s">
        <v>1529</v>
      </c>
      <c r="C418" s="1312"/>
      <c r="D418" s="1274" t="str">
        <f>VLOOKUP($B418,DG!A:D,DG!$B$2,)</f>
        <v>04.3007</v>
      </c>
      <c r="E418" s="1275" t="str">
        <f>VLOOKUP($B418,DG!A:D,DG!$C$2,)</f>
        <v>Kẹp hotline 2/0</v>
      </c>
      <c r="F418" s="1274" t="str">
        <f>VLOOKUP($B418,DG!A:D,DG!$D$2,)</f>
        <v>cái</v>
      </c>
      <c r="G418" s="1312">
        <f>G413</f>
        <v>0</v>
      </c>
      <c r="H418" s="1353">
        <f>IF(L418=$L$23,G418+I418-J418,0)</f>
        <v>0</v>
      </c>
      <c r="I418" s="1310"/>
      <c r="J418" s="1310"/>
      <c r="K418" s="1278"/>
      <c r="L418" s="1125">
        <v>75</v>
      </c>
    </row>
    <row r="419" spans="1:12" s="1279" customFormat="1" ht="20.100000000000001" customHeight="1">
      <c r="A419" s="1377">
        <f>IF(H419&gt;0,1,0)</f>
        <v>0</v>
      </c>
      <c r="B419" s="1378" t="s">
        <v>4544</v>
      </c>
      <c r="C419" s="1312"/>
      <c r="D419" s="1274">
        <f>VLOOKUP($B419,DG!A:D,DG!$B$2,)</f>
        <v>0</v>
      </c>
      <c r="E419" s="1275" t="str">
        <f>VLOOKUP($B419,DG!A:D,DG!$C$2,)</f>
        <v>Chụp cách điện đầu cực FCO (trên + dưới)</v>
      </c>
      <c r="F419" s="1274" t="str">
        <f>VLOOKUP($B419,DG!A:D,DG!$D$2,)</f>
        <v>bộ</v>
      </c>
      <c r="G419" s="1312">
        <f>G368</f>
        <v>0</v>
      </c>
      <c r="H419" s="1353">
        <f>IF(L419=$L$23,G419+I419-J419,0)</f>
        <v>0</v>
      </c>
      <c r="I419" s="1310"/>
      <c r="J419" s="1310"/>
      <c r="K419" s="1278"/>
      <c r="L419" s="1125">
        <v>75</v>
      </c>
    </row>
    <row r="420" spans="1:12" s="1279" customFormat="1" ht="20.100000000000001" customHeight="1">
      <c r="A420" s="1377">
        <f>IF(H420&gt;0,1,0)</f>
        <v>0</v>
      </c>
      <c r="B420" s="1378" t="s">
        <v>4552</v>
      </c>
      <c r="C420" s="1312"/>
      <c r="D420" s="1274">
        <f>VLOOKUP($B420,DG!A:D,DG!$B$2,)</f>
        <v>0</v>
      </c>
      <c r="E420" s="1275" t="str">
        <f>VLOOKUP($B420,DG!A:D,DG!$C$2,)</f>
        <v>Chụp cách điện đầu cực LA</v>
      </c>
      <c r="F420" s="1274" t="str">
        <f>VLOOKUP($B420,DG!A:D,DG!$D$2,)</f>
        <v>cái</v>
      </c>
      <c r="G420" s="1312">
        <f>G370</f>
        <v>0</v>
      </c>
      <c r="H420" s="1353">
        <f>IF(L420=$L$23,G420+I420-J420,0)</f>
        <v>0</v>
      </c>
      <c r="I420" s="1310"/>
      <c r="J420" s="1310"/>
      <c r="K420" s="1278"/>
      <c r="L420" s="1125">
        <v>75</v>
      </c>
    </row>
    <row r="421" spans="1:12" s="1279" customFormat="1" ht="20.100000000000001" customHeight="1">
      <c r="A421" s="1377">
        <f t="shared" si="17"/>
        <v>0</v>
      </c>
      <c r="B421" s="1378" t="s">
        <v>4796</v>
      </c>
      <c r="C421" s="1312"/>
      <c r="D421" s="1274">
        <f>VLOOKUP($B421,DG!A:D,DG!$B$2,)</f>
        <v>0</v>
      </c>
      <c r="E421" s="1275" t="str">
        <f>VLOOKUP($B421,DG!A:D,DG!$C$2,)</f>
        <v>Chụp cách điện đầu cực MBA</v>
      </c>
      <c r="F421" s="1274" t="str">
        <f>VLOOKUP($B421,DG!A:D,DG!$D$2,)</f>
        <v>cái</v>
      </c>
      <c r="G421" s="1312">
        <f>G367</f>
        <v>0</v>
      </c>
      <c r="H421" s="1353">
        <f t="shared" si="18"/>
        <v>0</v>
      </c>
      <c r="I421" s="1310"/>
      <c r="J421" s="1310"/>
      <c r="K421" s="1278"/>
      <c r="L421" s="1125">
        <v>75</v>
      </c>
    </row>
    <row r="422" spans="1:12" s="1279" customFormat="1" ht="20.100000000000001" customHeight="1">
      <c r="A422" s="1377">
        <f t="shared" si="17"/>
        <v>0</v>
      </c>
      <c r="B422" s="1378" t="s">
        <v>1577</v>
      </c>
      <c r="C422" s="1312"/>
      <c r="D422" s="1274" t="str">
        <f>VLOOKUP($B422,DG!A:D,DG!$B$2,)</f>
        <v>04.4201</v>
      </c>
      <c r="E422" s="1275" t="str">
        <f>VLOOKUP($B422,DG!A:D,DG!$C$2,)</f>
        <v>Lắp cáp đồng xuống thiết bị D ≤ 95mm2</v>
      </c>
      <c r="F422" s="1274" t="str">
        <f>VLOOKUP($B422,DG!A:D,DG!$D$2,)</f>
        <v>m</v>
      </c>
      <c r="G422" s="1312">
        <f>G416</f>
        <v>0</v>
      </c>
      <c r="H422" s="1353">
        <f t="shared" si="18"/>
        <v>0</v>
      </c>
      <c r="I422" s="1310"/>
      <c r="J422" s="1310"/>
      <c r="K422" s="1278"/>
      <c r="L422" s="1125">
        <v>75</v>
      </c>
    </row>
    <row r="423" spans="1:12" s="1279" customFormat="1" ht="20.100000000000001" customHeight="1">
      <c r="A423" s="1377">
        <f t="shared" si="17"/>
        <v>0</v>
      </c>
      <c r="B423" s="1582"/>
      <c r="C423" s="1390">
        <f>IF(G423&gt;0,C414+1,C414)</f>
        <v>0</v>
      </c>
      <c r="D423" s="1411"/>
      <c r="E423" s="1412" t="s">
        <v>3789</v>
      </c>
      <c r="F423" s="1390" t="s">
        <v>2449</v>
      </c>
      <c r="G423" s="1390">
        <f>G367</f>
        <v>0</v>
      </c>
      <c r="H423" s="1353">
        <f t="shared" si="18"/>
        <v>0</v>
      </c>
      <c r="I423" s="1310"/>
      <c r="J423" s="1310"/>
      <c r="K423" s="1278"/>
      <c r="L423" s="1125">
        <v>75</v>
      </c>
    </row>
    <row r="424" spans="1:12" s="1279" customFormat="1" ht="20.100000000000001" customHeight="1">
      <c r="A424" s="1377">
        <f>IF(A423&gt;0,1,0)</f>
        <v>0</v>
      </c>
      <c r="B424" s="1582"/>
      <c r="C424" s="1390"/>
      <c r="D424" s="1411"/>
      <c r="E424" s="1634" t="s">
        <v>2342</v>
      </c>
      <c r="F424" s="1390"/>
      <c r="G424" s="1390"/>
      <c r="H424" s="1353">
        <f t="shared" si="18"/>
        <v>0</v>
      </c>
      <c r="I424" s="1310"/>
      <c r="J424" s="1310"/>
      <c r="K424" s="1278"/>
      <c r="L424" s="1125">
        <v>75</v>
      </c>
    </row>
    <row r="425" spans="1:12" s="1279" customFormat="1" ht="20.100000000000001" customHeight="1">
      <c r="A425" s="1377">
        <f t="shared" si="17"/>
        <v>0</v>
      </c>
      <c r="B425" s="1582" t="s">
        <v>4797</v>
      </c>
      <c r="C425" s="1390"/>
      <c r="D425" s="1274">
        <f>VLOOKUP($B425,DG!A:D,DG!$B$2,)</f>
        <v>0</v>
      </c>
      <c r="E425" s="1289" t="str">
        <f>VLOOKUP($B425,DG!A:D,DG!$C$2,)</f>
        <v>Cáp đồng bọc CV185</v>
      </c>
      <c r="F425" s="1274" t="str">
        <f>VLOOKUP($B425,DG!A:D,DG!$D$2,)</f>
        <v>mét</v>
      </c>
      <c r="G425" s="1312">
        <f>G423*10*2</f>
        <v>0</v>
      </c>
      <c r="H425" s="1353">
        <f t="shared" si="18"/>
        <v>0</v>
      </c>
      <c r="I425" s="1310"/>
      <c r="J425" s="1310"/>
      <c r="K425" s="1278"/>
      <c r="L425" s="1125">
        <v>75</v>
      </c>
    </row>
    <row r="426" spans="1:12" s="1279" customFormat="1" ht="20.100000000000001" customHeight="1">
      <c r="A426" s="1377">
        <f t="shared" si="17"/>
        <v>0</v>
      </c>
      <c r="B426" s="1582" t="s">
        <v>238</v>
      </c>
      <c r="C426" s="1390"/>
      <c r="D426" s="1274">
        <f>VLOOKUP($B426,DG!A:D,DG!$B$2,)</f>
        <v>0</v>
      </c>
      <c r="E426" s="1275" t="str">
        <f>VLOOKUP($B426,DG!A:D,DG!$C$2,)</f>
        <v>Cáp đồng bọc CV70</v>
      </c>
      <c r="F426" s="1274" t="str">
        <f>VLOOKUP($B426,DG!A:D,DG!$D$2,)</f>
        <v>mét</v>
      </c>
      <c r="G426" s="1312">
        <f>G423*9*0</f>
        <v>0</v>
      </c>
      <c r="H426" s="1353">
        <f t="shared" si="18"/>
        <v>0</v>
      </c>
      <c r="I426" s="1310"/>
      <c r="J426" s="1310"/>
      <c r="K426" s="1278"/>
      <c r="L426" s="1125">
        <v>75</v>
      </c>
    </row>
    <row r="427" spans="1:12" s="1279" customFormat="1" ht="20.100000000000001" customHeight="1">
      <c r="A427" s="1377">
        <f t="shared" si="17"/>
        <v>0</v>
      </c>
      <c r="B427" s="1582" t="s">
        <v>4798</v>
      </c>
      <c r="C427" s="1312"/>
      <c r="D427" s="1274" t="str">
        <f>VLOOKUP($B427,DG!A:D,DG!$B$2,)</f>
        <v>03.1401</v>
      </c>
      <c r="E427" s="1289" t="str">
        <f>VLOOKUP($B427,DG!A:D,DG!$C$2,)</f>
        <v xml:space="preserve">Cáp CVV 4x4mm2  </v>
      </c>
      <c r="F427" s="1274" t="str">
        <f>VLOOKUP($B427,DG!A:D,DG!$D$2,)</f>
        <v>mét</v>
      </c>
      <c r="G427" s="1312">
        <f>2*G423</f>
        <v>0</v>
      </c>
      <c r="H427" s="1353">
        <f t="shared" si="18"/>
        <v>0</v>
      </c>
      <c r="I427" s="1310"/>
      <c r="J427" s="1310"/>
      <c r="K427" s="1278"/>
      <c r="L427" s="1125">
        <v>75</v>
      </c>
    </row>
    <row r="428" spans="1:12" s="1279" customFormat="1" ht="20.100000000000001" customHeight="1">
      <c r="A428" s="1377">
        <f t="shared" si="17"/>
        <v>0</v>
      </c>
      <c r="B428" s="1587" t="s">
        <v>152</v>
      </c>
      <c r="C428" s="1312"/>
      <c r="D428" s="1274" t="str">
        <f>VLOOKUP($B428,DG!A:D,DG!$B$2,)</f>
        <v>03.4007</v>
      </c>
      <c r="E428" s="1275" t="str">
        <f>VLOOKUP($B428,DG!A:D,DG!$C$2,)</f>
        <v>Đầu cosse ép Cu 185mm2</v>
      </c>
      <c r="F428" s="1274" t="str">
        <f>VLOOKUP($B428,DG!A:D,DG!$D$2,)</f>
        <v>cái</v>
      </c>
      <c r="G428" s="1312">
        <f>G423*G372*2</f>
        <v>0</v>
      </c>
      <c r="H428" s="1353">
        <f t="shared" si="18"/>
        <v>0</v>
      </c>
      <c r="I428" s="1310"/>
      <c r="J428" s="1310"/>
      <c r="K428" s="1278"/>
      <c r="L428" s="1125">
        <v>75</v>
      </c>
    </row>
    <row r="429" spans="1:12" s="1279" customFormat="1" ht="20.100000000000001" customHeight="1">
      <c r="A429" s="1377">
        <f t="shared" si="17"/>
        <v>0</v>
      </c>
      <c r="B429" s="1587" t="s">
        <v>1104</v>
      </c>
      <c r="C429" s="1312"/>
      <c r="D429" s="1274" t="str">
        <f>VLOOKUP($B429,DG!A:D,DG!$B$2,)</f>
        <v>03.4003</v>
      </c>
      <c r="E429" s="1275" t="str">
        <f>VLOOKUP($B429,DG!A:D,DG!$C$2,)</f>
        <v>Đầu cosse ép Cu 70mm2</v>
      </c>
      <c r="F429" s="1274" t="str">
        <f>VLOOKUP($B429,DG!A:D,DG!$D$2,)</f>
        <v>cái</v>
      </c>
      <c r="G429" s="1312">
        <f>G423*0</f>
        <v>0</v>
      </c>
      <c r="H429" s="1353">
        <f t="shared" si="18"/>
        <v>0</v>
      </c>
      <c r="I429" s="1310"/>
      <c r="J429" s="1310"/>
      <c r="K429" s="1278"/>
      <c r="L429" s="1125">
        <v>75</v>
      </c>
    </row>
    <row r="430" spans="1:12" s="1279" customFormat="1" ht="20.100000000000001" customHeight="1">
      <c r="A430" s="1377">
        <f t="shared" si="17"/>
        <v>0</v>
      </c>
      <c r="B430" s="1587" t="s">
        <v>1914</v>
      </c>
      <c r="C430" s="1312"/>
      <c r="D430" s="1274">
        <f>VLOOKUP($B430,DG!A:D,DG!$B$2,)</f>
        <v>0</v>
      </c>
      <c r="E430" s="1275" t="str">
        <f>VLOOKUP($B430,DG!A:D,DG!$C$2,)</f>
        <v>Chụp đầu cosse  120mm2</v>
      </c>
      <c r="F430" s="1274" t="str">
        <f>VLOOKUP($B430,DG!A:D,DG!$D$2,)</f>
        <v>cái</v>
      </c>
      <c r="G430" s="1312">
        <f>G428</f>
        <v>0</v>
      </c>
      <c r="H430" s="1353">
        <f t="shared" si="18"/>
        <v>0</v>
      </c>
      <c r="I430" s="1310"/>
      <c r="J430" s="1310"/>
      <c r="K430" s="1278"/>
      <c r="L430" s="1125">
        <v>75</v>
      </c>
    </row>
    <row r="431" spans="1:12" s="1279" customFormat="1" ht="20.100000000000001" customHeight="1">
      <c r="A431" s="1377">
        <f t="shared" si="17"/>
        <v>0</v>
      </c>
      <c r="B431" s="1587" t="s">
        <v>2140</v>
      </c>
      <c r="C431" s="1312"/>
      <c r="D431" s="1274">
        <f>VLOOKUP($B431,DG!A:D,DG!$B$2,)</f>
        <v>0</v>
      </c>
      <c r="E431" s="1275" t="str">
        <f>VLOOKUP($B431,DG!A:D,DG!$C$2,)</f>
        <v>Chụp đầu cosse  70mm2</v>
      </c>
      <c r="F431" s="1274" t="str">
        <f>VLOOKUP($B431,DG!A:D,DG!$D$2,)</f>
        <v>cái</v>
      </c>
      <c r="G431" s="1312">
        <f>G429*0</f>
        <v>0</v>
      </c>
      <c r="H431" s="1353">
        <f t="shared" si="18"/>
        <v>0</v>
      </c>
      <c r="I431" s="1310"/>
      <c r="J431" s="1310"/>
      <c r="K431" s="1278"/>
      <c r="L431" s="1125">
        <v>75</v>
      </c>
    </row>
    <row r="432" spans="1:12" s="1279" customFormat="1" ht="20.100000000000001" customHeight="1">
      <c r="A432" s="1377">
        <f t="shared" si="17"/>
        <v>0</v>
      </c>
      <c r="B432" s="1587" t="s">
        <v>1072</v>
      </c>
      <c r="C432" s="1312"/>
      <c r="D432" s="1274">
        <f>VLOOKUP($B432,DG!A:D,DG!$B$2,)</f>
        <v>0</v>
      </c>
      <c r="E432" s="1275" t="str">
        <f>VLOOKUP($B432,DG!A:D,DG!$C$2,)</f>
        <v xml:space="preserve">Ống PVC D114x4,9mm </v>
      </c>
      <c r="F432" s="1274" t="str">
        <f>VLOOKUP($B432,DG!A:D,DG!$D$2,)</f>
        <v>m</v>
      </c>
      <c r="G432" s="1312">
        <f>6*G423</f>
        <v>0</v>
      </c>
      <c r="H432" s="1353">
        <f t="shared" si="18"/>
        <v>0</v>
      </c>
      <c r="I432" s="1310"/>
      <c r="J432" s="1310"/>
      <c r="K432" s="1278"/>
      <c r="L432" s="1125">
        <v>75</v>
      </c>
    </row>
    <row r="433" spans="1:12" s="1279" customFormat="1" ht="20.100000000000001" customHeight="1">
      <c r="A433" s="1377">
        <f t="shared" si="17"/>
        <v>0</v>
      </c>
      <c r="B433" s="1378" t="s">
        <v>1915</v>
      </c>
      <c r="C433" s="1312"/>
      <c r="D433" s="1274" t="str">
        <f>VLOOKUP($B433,DG!A:D,DG!$B$2,)</f>
        <v>06.3231</v>
      </c>
      <c r="E433" s="1275" t="str">
        <f>VLOOKUP($B433,DG!A:D,DG!$C$2,)</f>
        <v>Cổ dê kẹp ống PVC Ø 114</v>
      </c>
      <c r="F433" s="1274" t="str">
        <f>VLOOKUP($B433,DG!A:D,DG!$D$2,)</f>
        <v>bộ</v>
      </c>
      <c r="G433" s="1312">
        <f>3*G423</f>
        <v>0</v>
      </c>
      <c r="H433" s="1353">
        <f t="shared" si="18"/>
        <v>0</v>
      </c>
      <c r="I433" s="1310"/>
      <c r="J433" s="1310"/>
      <c r="K433" s="1278"/>
      <c r="L433" s="1125">
        <v>75</v>
      </c>
    </row>
    <row r="434" spans="1:12" s="1279" customFormat="1" ht="20.100000000000001" customHeight="1">
      <c r="A434" s="1377">
        <f t="shared" si="17"/>
        <v>0</v>
      </c>
      <c r="B434" s="1378" t="s">
        <v>2072</v>
      </c>
      <c r="C434" s="1312"/>
      <c r="D434" s="1274">
        <f>VLOOKUP($B434,DG!A:D,DG!$B$2,)</f>
        <v>0</v>
      </c>
      <c r="E434" s="1275" t="str">
        <f>VLOOKUP($B434,DG!A:D,DG!$C$2,)</f>
        <v>Boulon 12x40+ 2 long đền vuông D14-50x50x3/Zn</v>
      </c>
      <c r="F434" s="1274" t="str">
        <f>VLOOKUP($B434,DG!A:D,DG!$D$2,)</f>
        <v>bộ</v>
      </c>
      <c r="G434" s="1312">
        <f>G435*4*0</f>
        <v>0</v>
      </c>
      <c r="H434" s="1353">
        <f t="shared" si="18"/>
        <v>0</v>
      </c>
      <c r="I434" s="1310"/>
      <c r="J434" s="1310"/>
      <c r="K434" s="1278"/>
      <c r="L434" s="1125">
        <v>75</v>
      </c>
    </row>
    <row r="435" spans="1:12" s="1279" customFormat="1" ht="20.100000000000001" customHeight="1">
      <c r="A435" s="1377">
        <f t="shared" si="17"/>
        <v>0</v>
      </c>
      <c r="B435" s="1378" t="s">
        <v>1161</v>
      </c>
      <c r="C435" s="1312"/>
      <c r="D435" s="1274" t="str">
        <f>VLOOKUP($B435,DG!A:D,DG!$B$2,)</f>
        <v>06.2110</v>
      </c>
      <c r="E435" s="1275" t="str">
        <f>VLOOKUP($B435,DG!A:D,DG!$C$2,)</f>
        <v>Lắp cổ dề</v>
      </c>
      <c r="F435" s="1274" t="str">
        <f>VLOOKUP($B435,DG!A:D,DG!$D$2,)</f>
        <v>bộ</v>
      </c>
      <c r="G435" s="1312">
        <f>G423*3</f>
        <v>0</v>
      </c>
      <c r="H435" s="1353">
        <f t="shared" si="18"/>
        <v>0</v>
      </c>
      <c r="I435" s="1310"/>
      <c r="J435" s="1310"/>
      <c r="K435" s="1278"/>
      <c r="L435" s="1125">
        <v>75</v>
      </c>
    </row>
    <row r="436" spans="1:12" s="1279" customFormat="1" ht="20.100000000000001" customHeight="1">
      <c r="A436" s="1377">
        <f t="shared" si="17"/>
        <v>0</v>
      </c>
      <c r="B436" s="1587" t="s">
        <v>1917</v>
      </c>
      <c r="C436" s="1312"/>
      <c r="D436" s="1274">
        <f>VLOOKUP($B436,DG!A:D,DG!$B$2,)</f>
        <v>0</v>
      </c>
      <c r="E436" s="1275" t="str">
        <f>VLOOKUP($B436,DG!A:D,DG!$C$2,)</f>
        <v>Co  90 độ PVC 114</v>
      </c>
      <c r="F436" s="1274" t="str">
        <f>VLOOKUP($B436,DG!A:D,DG!$D$2,)</f>
        <v>cái</v>
      </c>
      <c r="G436" s="1312">
        <f>2*G423</f>
        <v>0</v>
      </c>
      <c r="H436" s="1353">
        <f t="shared" si="18"/>
        <v>0</v>
      </c>
      <c r="I436" s="1310"/>
      <c r="J436" s="1310"/>
      <c r="K436" s="1278"/>
      <c r="L436" s="1125">
        <v>75</v>
      </c>
    </row>
    <row r="437" spans="1:12" s="1279" customFormat="1" ht="20.100000000000001" customHeight="1">
      <c r="A437" s="1377">
        <f t="shared" si="17"/>
        <v>0</v>
      </c>
      <c r="B437" s="1587" t="s">
        <v>695</v>
      </c>
      <c r="C437" s="1312"/>
      <c r="D437" s="1274">
        <f>VLOOKUP($B437,DG!A:D,DG!$B$2,)</f>
        <v>0</v>
      </c>
      <c r="E437" s="1275" t="str">
        <f>VLOOKUP($B437,DG!A:D,DG!$C$2,)</f>
        <v>Nối ống PVC 114</v>
      </c>
      <c r="F437" s="1274" t="str">
        <f>VLOOKUP($B437,DG!A:D,DG!$D$2,)</f>
        <v>cái</v>
      </c>
      <c r="G437" s="1312">
        <f>G423</f>
        <v>0</v>
      </c>
      <c r="H437" s="1353">
        <f t="shared" si="18"/>
        <v>0</v>
      </c>
      <c r="I437" s="1310"/>
      <c r="J437" s="1310"/>
      <c r="K437" s="1278"/>
      <c r="L437" s="1125">
        <v>75</v>
      </c>
    </row>
    <row r="438" spans="1:12" s="1279" customFormat="1" ht="20.100000000000001" customHeight="1">
      <c r="A438" s="1377">
        <f t="shared" si="17"/>
        <v>0</v>
      </c>
      <c r="B438" s="1587" t="s">
        <v>2229</v>
      </c>
      <c r="C438" s="1312"/>
      <c r="D438" s="1274">
        <f>VLOOKUP($B438,DG!A:D,DG!$B$2,)</f>
        <v>0</v>
      </c>
      <c r="E438" s="1275" t="str">
        <f>VLOOKUP($B438,DG!A:D,DG!$C$2,)</f>
        <v>Khâu ven răng trong D114</v>
      </c>
      <c r="F438" s="1274" t="str">
        <f>VLOOKUP($B438,DG!A:D,DG!$D$2,)</f>
        <v>cái</v>
      </c>
      <c r="G438" s="1312">
        <f>G437*0</f>
        <v>0</v>
      </c>
      <c r="H438" s="1353">
        <f t="shared" si="18"/>
        <v>0</v>
      </c>
      <c r="I438" s="1310"/>
      <c r="J438" s="1310"/>
      <c r="K438" s="1278"/>
      <c r="L438" s="1125">
        <v>75</v>
      </c>
    </row>
    <row r="439" spans="1:12" s="1279" customFormat="1" ht="20.100000000000001" customHeight="1">
      <c r="A439" s="1377">
        <f t="shared" si="17"/>
        <v>0</v>
      </c>
      <c r="B439" s="1587" t="s">
        <v>2230</v>
      </c>
      <c r="C439" s="1312"/>
      <c r="D439" s="1274">
        <f>VLOOKUP($B439,DG!A:D,DG!$B$2,)</f>
        <v>0</v>
      </c>
      <c r="E439" s="1275" t="str">
        <f>VLOOKUP($B439,DG!A:D,DG!$C$2,)</f>
        <v>Khâu ven răng ngoài D114</v>
      </c>
      <c r="F439" s="1274" t="str">
        <f>VLOOKUP($B439,DG!A:D,DG!$D$2,)</f>
        <v>cái</v>
      </c>
      <c r="G439" s="1312">
        <f>G438*0</f>
        <v>0</v>
      </c>
      <c r="H439" s="1353">
        <f t="shared" si="18"/>
        <v>0</v>
      </c>
      <c r="I439" s="1310"/>
      <c r="J439" s="1310"/>
      <c r="K439" s="1278"/>
      <c r="L439" s="1125">
        <v>75</v>
      </c>
    </row>
    <row r="440" spans="1:12" s="1279" customFormat="1" ht="20.100000000000001" customHeight="1">
      <c r="A440" s="1377">
        <f t="shared" si="17"/>
        <v>0</v>
      </c>
      <c r="B440" s="1587" t="s">
        <v>2136</v>
      </c>
      <c r="C440" s="1312"/>
      <c r="D440" s="1274">
        <f>VLOOKUP($B440,DG!A:D,DG!$B$2,)</f>
        <v>0</v>
      </c>
      <c r="E440" s="1275" t="str">
        <f>VLOOKUP($B440,DG!A:D,DG!$C$2,)</f>
        <v>Keo dán ống PVC (100gr)</v>
      </c>
      <c r="F440" s="1274" t="str">
        <f>VLOOKUP($B440,DG!A:D,DG!$D$2,)</f>
        <v>tuýp</v>
      </c>
      <c r="G440" s="1312">
        <f>G423</f>
        <v>0</v>
      </c>
      <c r="H440" s="1353">
        <f t="shared" si="18"/>
        <v>0</v>
      </c>
      <c r="I440" s="1310"/>
      <c r="J440" s="1310"/>
      <c r="K440" s="1278"/>
      <c r="L440" s="1125">
        <v>75</v>
      </c>
    </row>
    <row r="441" spans="1:12" s="1279" customFormat="1" ht="20.100000000000001" customHeight="1">
      <c r="A441" s="1377">
        <f t="shared" si="17"/>
        <v>0</v>
      </c>
      <c r="B441" s="1587" t="s">
        <v>492</v>
      </c>
      <c r="C441" s="1312"/>
      <c r="D441" s="1274">
        <f>VLOOKUP($B441,DG!A:D,DG!$B$2,)</f>
        <v>0</v>
      </c>
      <c r="E441" s="1275" t="str">
        <f>VLOOKUP($B441,DG!A:D,DG!$C$2,)</f>
        <v>Keo silicon bít miệng ống</v>
      </c>
      <c r="F441" s="1274" t="str">
        <f>VLOOKUP($B441,DG!A:D,DG!$D$2,)</f>
        <v>ống</v>
      </c>
      <c r="G441" s="1312">
        <f>G423</f>
        <v>0</v>
      </c>
      <c r="H441" s="1353">
        <f t="shared" si="18"/>
        <v>0</v>
      </c>
      <c r="I441" s="1310"/>
      <c r="J441" s="1310"/>
      <c r="K441" s="1278"/>
      <c r="L441" s="1125">
        <v>75</v>
      </c>
    </row>
    <row r="442" spans="1:12" s="1279" customFormat="1" ht="20.100000000000001" customHeight="1">
      <c r="A442" s="1377">
        <f t="shared" si="17"/>
        <v>0</v>
      </c>
      <c r="B442" s="1378" t="s">
        <v>677</v>
      </c>
      <c r="C442" s="1312"/>
      <c r="D442" s="1414"/>
      <c r="E442" s="1275" t="str">
        <f>VLOOKUP($B442,DG!A:D,DG!$C$2,)</f>
        <v>Băng keo cách điện</v>
      </c>
      <c r="F442" s="1274" t="str">
        <f>VLOOKUP($B442,DG!A:D,DG!$D$2,)</f>
        <v>cuộn</v>
      </c>
      <c r="G442" s="1312">
        <f>G423</f>
        <v>0</v>
      </c>
      <c r="H442" s="1353">
        <f t="shared" si="18"/>
        <v>0</v>
      </c>
      <c r="I442" s="1310"/>
      <c r="J442" s="1310"/>
      <c r="K442" s="1278"/>
      <c r="L442" s="1125">
        <v>75</v>
      </c>
    </row>
    <row r="443" spans="1:12" s="1279" customFormat="1" ht="20.100000000000001" customHeight="1">
      <c r="A443" s="1377">
        <f t="shared" si="17"/>
        <v>0</v>
      </c>
      <c r="B443" s="1587" t="s">
        <v>1916</v>
      </c>
      <c r="C443" s="1312"/>
      <c r="D443" s="1274" t="str">
        <f>VLOOKUP($B443,DG!A:D,DG!$B$2,)</f>
        <v>07,2407</v>
      </c>
      <c r="E443" s="1275" t="str">
        <f>VLOOKUP($B443,DG!A:D,DG!$C$2,)</f>
        <v>Lắp ống nhựa PVC D114</v>
      </c>
      <c r="F443" s="1274" t="str">
        <f>VLOOKUP($B443,DG!A:D,DG!$D$2,)</f>
        <v>mét</v>
      </c>
      <c r="G443" s="1312">
        <f>G432</f>
        <v>0</v>
      </c>
      <c r="H443" s="1353">
        <f t="shared" si="18"/>
        <v>0</v>
      </c>
      <c r="I443" s="1310"/>
      <c r="J443" s="1310"/>
      <c r="K443" s="1278"/>
      <c r="L443" s="1125">
        <v>75</v>
      </c>
    </row>
    <row r="444" spans="1:12" s="1279" customFormat="1" ht="20.100000000000001" customHeight="1">
      <c r="A444" s="1377">
        <f t="shared" si="17"/>
        <v>0</v>
      </c>
      <c r="B444" s="1378" t="s">
        <v>1577</v>
      </c>
      <c r="C444" s="1312"/>
      <c r="D444" s="1274" t="str">
        <f>VLOOKUP($B444,DG!A:D,DG!$B$2,)</f>
        <v>04.4201</v>
      </c>
      <c r="E444" s="1275" t="str">
        <f>VLOOKUP($B444,DG!A:D,DG!$C$2,)</f>
        <v>Lắp cáp đồng xuống thiết bị D ≤ 95mm2</v>
      </c>
      <c r="F444" s="1274" t="str">
        <f>VLOOKUP($B444,DG!A:D,DG!$D$2,)</f>
        <v>m</v>
      </c>
      <c r="G444" s="1312">
        <f>G425+G426</f>
        <v>0</v>
      </c>
      <c r="H444" s="1353">
        <f t="shared" si="18"/>
        <v>0</v>
      </c>
      <c r="I444" s="1310"/>
      <c r="J444" s="1310"/>
      <c r="K444" s="1278"/>
      <c r="L444" s="1125">
        <v>75</v>
      </c>
    </row>
    <row r="445" spans="1:12" s="1279" customFormat="1" ht="20.100000000000001" customHeight="1">
      <c r="A445" s="1377">
        <f t="shared" si="17"/>
        <v>0</v>
      </c>
      <c r="B445" s="1587" t="s">
        <v>290</v>
      </c>
      <c r="C445" s="1394">
        <f>IF(G445&gt;0,C423+1,C423)</f>
        <v>0</v>
      </c>
      <c r="D445" s="1416"/>
      <c r="E445" s="1275" t="str">
        <f>VLOOKUP($B445,DG!A:D,DG!$C$2,)</f>
        <v>Bảng tên trạm, bảng báo nguy hiểm + đinh vít</v>
      </c>
      <c r="F445" s="1274" t="str">
        <f>VLOOKUP($B445,DG!A:D,DG!$D$2,)</f>
        <v>bộ</v>
      </c>
      <c r="G445" s="1394">
        <f>G390</f>
        <v>0</v>
      </c>
      <c r="H445" s="1353">
        <f t="shared" si="18"/>
        <v>0</v>
      </c>
      <c r="I445" s="1310"/>
      <c r="J445" s="1310"/>
      <c r="K445" s="1298"/>
      <c r="L445" s="1125">
        <v>75</v>
      </c>
    </row>
    <row r="446" spans="1:12" s="1279" customFormat="1" ht="20.100000000000001" customHeight="1">
      <c r="A446" s="1377">
        <f t="shared" si="17"/>
        <v>0</v>
      </c>
      <c r="B446" s="1582"/>
      <c r="C446" s="1417"/>
      <c r="D446" s="1418"/>
      <c r="E446" s="1264"/>
      <c r="F446" s="1419"/>
      <c r="G446" s="1419"/>
      <c r="H446" s="1353">
        <f t="shared" si="18"/>
        <v>0</v>
      </c>
      <c r="I446" s="1420"/>
      <c r="J446" s="1421"/>
      <c r="K446" s="1354"/>
      <c r="L446" s="1125"/>
    </row>
    <row r="447" spans="1:12" s="1279" customFormat="1" ht="20.100000000000001" customHeight="1">
      <c r="A447" s="1377">
        <f t="shared" si="17"/>
        <v>0</v>
      </c>
      <c r="B447" s="1582"/>
      <c r="C447" s="1385"/>
      <c r="D447" s="1428"/>
      <c r="E447" s="1429"/>
      <c r="H447" s="1353">
        <f t="shared" si="18"/>
        <v>0</v>
      </c>
      <c r="L447" s="1125"/>
    </row>
    <row r="448" spans="1:12" s="1279" customFormat="1" ht="20.100000000000001" customHeight="1">
      <c r="A448" s="1377">
        <f t="shared" si="17"/>
        <v>0</v>
      </c>
      <c r="B448" s="1576"/>
      <c r="C448" s="1352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22"/>
      <c r="E448" s="1300"/>
      <c r="F448" s="1300"/>
      <c r="G448" s="1300"/>
      <c r="H448" s="1353">
        <f t="shared" si="18"/>
        <v>0</v>
      </c>
      <c r="I448" s="1300"/>
      <c r="J448" s="1300"/>
      <c r="K448" s="1125"/>
      <c r="L448" s="1125"/>
    </row>
    <row r="449" spans="1:13" s="1279" customFormat="1" ht="20.100000000000001" customHeight="1">
      <c r="A449" s="1377">
        <f t="shared" si="17"/>
        <v>0</v>
      </c>
      <c r="B449" s="1582"/>
      <c r="C449" s="1380"/>
      <c r="D449" s="1381"/>
      <c r="E449" s="1264" t="s">
        <v>3771</v>
      </c>
      <c r="F449" s="1383"/>
      <c r="G449" s="1383"/>
      <c r="H449" s="1353">
        <f t="shared" si="18"/>
        <v>0</v>
      </c>
      <c r="I449" s="1383"/>
      <c r="J449" s="1383"/>
      <c r="K449" s="1354"/>
      <c r="L449" s="1125">
        <v>100</v>
      </c>
    </row>
    <row r="450" spans="1:13" s="1279" customFormat="1" ht="20.100000000000001" customHeight="1">
      <c r="A450" s="1377">
        <f t="shared" si="17"/>
        <v>0</v>
      </c>
      <c r="B450" s="1583" t="s">
        <v>963</v>
      </c>
      <c r="C450" s="1286">
        <f>IF(G450&gt;0,1,0)</f>
        <v>0</v>
      </c>
      <c r="D450" s="1274" t="str">
        <f>VLOOKUP($B450,DG!A:D,DG!$B$2,)</f>
        <v>01.1143</v>
      </c>
      <c r="E450" s="1275" t="str">
        <f>VLOOKUP($B450,DG!A:D,DG!$C$2,)</f>
        <v>Máy biến áp 22/0,4kV  100kVA</v>
      </c>
      <c r="F450" s="1274" t="str">
        <f>VLOOKUP($B450,DG!A:D,DG!$D$2,)</f>
        <v>máy</v>
      </c>
      <c r="G450" s="1423">
        <f>H11</f>
        <v>0</v>
      </c>
      <c r="H450" s="1353">
        <f t="shared" si="18"/>
        <v>0</v>
      </c>
      <c r="I450" s="1310"/>
      <c r="J450" s="1310"/>
      <c r="K450" s="1278"/>
      <c r="L450" s="1125">
        <v>100</v>
      </c>
    </row>
    <row r="451" spans="1:13" s="1279" customFormat="1" ht="20.100000000000001" customHeight="1">
      <c r="A451" s="1377">
        <f t="shared" si="17"/>
        <v>0</v>
      </c>
      <c r="B451" s="1583" t="s">
        <v>1704</v>
      </c>
      <c r="C451" s="1286">
        <f t="shared" ref="C451:C458" si="19">IF(G451&gt;0,C450+1,C450)</f>
        <v>0</v>
      </c>
      <c r="D451" s="1274" t="str">
        <f>VLOOKUP($B451,DG!A:D,DG!$B$2,)</f>
        <v>02.3155</v>
      </c>
      <c r="E451" s="1275" t="str">
        <f>VLOOKUP($B451,DG!A:D,DG!$C$2,)</f>
        <v>FCO 24kV - 100A</v>
      </c>
      <c r="F451" s="1274" t="str">
        <f>VLOOKUP($B451,DG!A:D,DG!$D$2,)</f>
        <v>cái</v>
      </c>
      <c r="G451" s="1312">
        <f>G450</f>
        <v>0</v>
      </c>
      <c r="H451" s="1353">
        <f t="shared" si="18"/>
        <v>0</v>
      </c>
      <c r="I451" s="1310"/>
      <c r="J451" s="1310"/>
      <c r="K451" s="1278"/>
      <c r="L451" s="1125">
        <v>100</v>
      </c>
    </row>
    <row r="452" spans="1:13" s="1279" customFormat="1" ht="20.100000000000001" customHeight="1">
      <c r="A452" s="1377">
        <f t="shared" si="17"/>
        <v>0</v>
      </c>
      <c r="B452" s="1583" t="s">
        <v>1176</v>
      </c>
      <c r="C452" s="1286">
        <f t="shared" si="19"/>
        <v>0</v>
      </c>
      <c r="D452" s="1274">
        <f>VLOOKUP($B452,DG!A:D,DG!$B$2,)</f>
        <v>0</v>
      </c>
      <c r="E452" s="1275" t="str">
        <f>VLOOKUP($B452,DG!A:D,DG!$C$2,)</f>
        <v>Dây chảy 10K</v>
      </c>
      <c r="F452" s="1274" t="str">
        <f>VLOOKUP($B452,DG!A:D,DG!$D$2,)</f>
        <v>Sợi</v>
      </c>
      <c r="G452" s="1312">
        <f>G451</f>
        <v>0</v>
      </c>
      <c r="H452" s="1353">
        <f t="shared" si="18"/>
        <v>0</v>
      </c>
      <c r="I452" s="1310"/>
      <c r="J452" s="1310"/>
      <c r="K452" s="1278"/>
      <c r="L452" s="1125">
        <v>100</v>
      </c>
    </row>
    <row r="453" spans="1:13" s="1279" customFormat="1" ht="20.100000000000001" customHeight="1">
      <c r="A453" s="1377">
        <f t="shared" si="17"/>
        <v>0</v>
      </c>
      <c r="B453" s="1576" t="s">
        <v>1406</v>
      </c>
      <c r="C453" s="1286">
        <f t="shared" si="19"/>
        <v>0</v>
      </c>
      <c r="D453" s="1274" t="str">
        <f>VLOOKUP($B453,DG!A:D,DG!$B$2,)</f>
        <v>02.5114</v>
      </c>
      <c r="E453" s="1275" t="str">
        <f>VLOOKUP($B453,DG!A:D,DG!$C$2,)</f>
        <v>LA 18kV 10kA</v>
      </c>
      <c r="F453" s="1274" t="str">
        <f>VLOOKUP($B453,DG!A:D,DG!$D$2,)</f>
        <v>cái</v>
      </c>
      <c r="G453" s="1312">
        <f>G452</f>
        <v>0</v>
      </c>
      <c r="H453" s="1353">
        <f t="shared" si="18"/>
        <v>0</v>
      </c>
      <c r="I453" s="1310"/>
      <c r="J453" s="1310"/>
      <c r="K453" s="1278"/>
      <c r="L453" s="1125">
        <v>100</v>
      </c>
    </row>
    <row r="454" spans="1:13" s="1279" customFormat="1" ht="20.100000000000001" customHeight="1">
      <c r="A454" s="1377">
        <f t="shared" si="17"/>
        <v>0</v>
      </c>
      <c r="B454" s="1584" t="s">
        <v>1146</v>
      </c>
      <c r="C454" s="1286">
        <f t="shared" si="19"/>
        <v>0</v>
      </c>
      <c r="D454" s="1274">
        <f>VLOOKUP($B454,DG!A:D,DG!$B$2,)</f>
        <v>0</v>
      </c>
      <c r="E454" s="1275" t="str">
        <f>VLOOKUP($B454,DG!A:D,DG!$C$2,)</f>
        <v xml:space="preserve">Biến dòng 600V - 200/5A </v>
      </c>
      <c r="F454" s="1274" t="str">
        <f>VLOOKUP($B454,DG!A:D,DG!$D$2,)</f>
        <v>cái</v>
      </c>
      <c r="G454" s="1312"/>
      <c r="H454" s="1353">
        <f t="shared" si="18"/>
        <v>0</v>
      </c>
      <c r="I454" s="1310"/>
      <c r="J454" s="1310"/>
      <c r="K454" s="1278"/>
      <c r="L454" s="1125">
        <v>100</v>
      </c>
    </row>
    <row r="455" spans="1:13" s="1279" customFormat="1" ht="20.100000000000001" customHeight="1">
      <c r="A455" s="1377">
        <f t="shared" si="17"/>
        <v>0</v>
      </c>
      <c r="B455" s="1585" t="s">
        <v>718</v>
      </c>
      <c r="C455" s="1286">
        <f t="shared" si="19"/>
        <v>0</v>
      </c>
      <c r="D455" s="1274" t="str">
        <f>VLOOKUP($B455,DG!A:D,DG!$B$2,)</f>
        <v>02.8401</v>
      </c>
      <c r="E455" s="1275" t="str">
        <f>VLOOKUP($B455,DG!A:D,DG!$C$2,)</f>
        <v xml:space="preserve">MCCB 3 cực 600V -250A - 36KA </v>
      </c>
      <c r="F455" s="1274" t="str">
        <f>VLOOKUP($B455,DG!A:D,DG!$D$2,)</f>
        <v>cái</v>
      </c>
      <c r="G455" s="1312">
        <f>G450</f>
        <v>0</v>
      </c>
      <c r="H455" s="1353">
        <f t="shared" si="18"/>
        <v>0</v>
      </c>
      <c r="I455" s="1310"/>
      <c r="J455" s="1310"/>
      <c r="K455" s="1312" t="s">
        <v>2666</v>
      </c>
      <c r="L455" s="1125">
        <v>100</v>
      </c>
    </row>
    <row r="456" spans="1:13" s="1279" customFormat="1" ht="20.100000000000001" customHeight="1">
      <c r="A456" s="1377">
        <f t="shared" si="17"/>
        <v>0</v>
      </c>
      <c r="B456" s="1589" t="s">
        <v>288</v>
      </c>
      <c r="C456" s="1286">
        <f t="shared" si="19"/>
        <v>0</v>
      </c>
      <c r="D456" s="1274">
        <f>VLOOKUP($B456,DG!A:D,DG!$B$2,)</f>
        <v>0</v>
      </c>
      <c r="E456" s="1275" t="str">
        <f>VLOOKUP($B456,DG!A:D,DG!$C$2,)</f>
        <v>Điện kế 1 pha 2 dây 220V-5A</v>
      </c>
      <c r="F456" s="1274" t="str">
        <f>VLOOKUP($B456,DG!A:D,DG!$D$2,)</f>
        <v>cái</v>
      </c>
      <c r="G456" s="1312"/>
      <c r="H456" s="1353">
        <f t="shared" si="18"/>
        <v>0</v>
      </c>
      <c r="I456" s="1310"/>
      <c r="J456" s="1310"/>
      <c r="K456" s="1312" t="s">
        <v>2666</v>
      </c>
      <c r="L456" s="1125">
        <v>100</v>
      </c>
      <c r="M456" s="1279">
        <f>100/0.2</f>
        <v>500</v>
      </c>
    </row>
    <row r="457" spans="1:13" s="1279" customFormat="1" ht="20.100000000000001" customHeight="1">
      <c r="A457" s="1377">
        <f t="shared" si="17"/>
        <v>0</v>
      </c>
      <c r="B457" s="1582" t="s">
        <v>200</v>
      </c>
      <c r="C457" s="1286">
        <f t="shared" si="19"/>
        <v>0</v>
      </c>
      <c r="D457" s="1274">
        <f>VLOOKUP($B457,DG!A:D,DG!$B$2,)</f>
        <v>0</v>
      </c>
      <c r="E457" s="1275" t="str">
        <f>VLOOKUP($B457,DG!A:D,DG!$C$2,)</f>
        <v xml:space="preserve">Ampe kế 100/5A-600v +AS </v>
      </c>
      <c r="F457" s="1274" t="str">
        <f>VLOOKUP($B457,DG!A:D,DG!$D$2,)</f>
        <v>Bộ</v>
      </c>
      <c r="G457" s="1312">
        <f>G456*0</f>
        <v>0</v>
      </c>
      <c r="H457" s="1353">
        <f t="shared" si="18"/>
        <v>0</v>
      </c>
      <c r="I457" s="1310"/>
      <c r="J457" s="1310"/>
      <c r="K457" s="1278"/>
      <c r="L457" s="1125">
        <v>100</v>
      </c>
    </row>
    <row r="458" spans="1:13" s="1279" customFormat="1" ht="20.100000000000001" customHeight="1">
      <c r="A458" s="1377">
        <f t="shared" si="17"/>
        <v>0</v>
      </c>
      <c r="B458" s="1582" t="s">
        <v>201</v>
      </c>
      <c r="C458" s="1286">
        <f t="shared" si="19"/>
        <v>0</v>
      </c>
      <c r="D458" s="1274">
        <f>VLOOKUP($B458,DG!A:D,DG!$B$2,)</f>
        <v>0</v>
      </c>
      <c r="E458" s="1275" t="str">
        <f>VLOOKUP($B458,DG!A:D,DG!$C$2,)</f>
        <v>Volt kế 500V + VS + 2xChì ống 1A-230V</v>
      </c>
      <c r="F458" s="1274" t="str">
        <f>VLOOKUP($B458,DG!A:D,DG!$D$2,)</f>
        <v>Bộ</v>
      </c>
      <c r="G458" s="1312">
        <f>G457*0</f>
        <v>0</v>
      </c>
      <c r="H458" s="1353">
        <f t="shared" si="18"/>
        <v>0</v>
      </c>
      <c r="I458" s="1310"/>
      <c r="J458" s="1310"/>
      <c r="K458" s="1298"/>
      <c r="L458" s="1125">
        <v>100</v>
      </c>
    </row>
    <row r="459" spans="1:13" s="1279" customFormat="1" ht="20.100000000000001" customHeight="1">
      <c r="A459" s="1377">
        <f t="shared" si="17"/>
        <v>0</v>
      </c>
      <c r="B459" s="1582"/>
      <c r="C459" s="1309"/>
      <c r="D459" s="1405"/>
      <c r="E459" s="1384"/>
      <c r="F459" s="1309"/>
      <c r="G459" s="1309"/>
      <c r="H459" s="1353">
        <f t="shared" si="18"/>
        <v>0</v>
      </c>
      <c r="I459" s="1384"/>
      <c r="J459" s="1309"/>
      <c r="K459" s="1354"/>
      <c r="L459" s="1125">
        <v>100</v>
      </c>
    </row>
    <row r="460" spans="1:13" s="1279" customFormat="1" ht="20.100000000000001" customHeight="1">
      <c r="A460" s="1377">
        <f t="shared" si="17"/>
        <v>0</v>
      </c>
      <c r="B460" s="1582"/>
      <c r="C460" s="1407"/>
      <c r="D460" s="1408"/>
      <c r="E460" s="1264" t="s">
        <v>3772</v>
      </c>
      <c r="F460" s="1264"/>
      <c r="G460" s="1264"/>
      <c r="H460" s="1353">
        <f t="shared" si="18"/>
        <v>0</v>
      </c>
      <c r="I460" s="1264"/>
      <c r="J460" s="1264"/>
      <c r="K460" s="1354"/>
      <c r="L460" s="1125">
        <v>100</v>
      </c>
    </row>
    <row r="461" spans="1:13" s="1279" customFormat="1" ht="20.100000000000001" customHeight="1">
      <c r="A461" s="1377">
        <f t="shared" si="17"/>
        <v>0</v>
      </c>
      <c r="B461" s="1582" t="s">
        <v>1662</v>
      </c>
      <c r="C461" s="1409">
        <f>IF(G473&gt;0,1,0)</f>
        <v>0</v>
      </c>
      <c r="D461" s="1411"/>
      <c r="E461" s="1275" t="str">
        <f>VLOOKUP($B461,DG!A:D,DG!$C$2,)</f>
        <v>Boulon 16x300+ 2 long đền vuông D18-50x50x3/Zn</v>
      </c>
      <c r="F461" s="1274" t="str">
        <f>VLOOKUP($B461,DG!A:D,DG!$D$2,)</f>
        <v>bộ</v>
      </c>
      <c r="G461" s="1390">
        <f>2*SUM(G450:G450)</f>
        <v>0</v>
      </c>
      <c r="H461" s="1353">
        <f t="shared" si="18"/>
        <v>0</v>
      </c>
      <c r="I461" s="1310"/>
      <c r="J461" s="1310"/>
      <c r="K461" s="1424"/>
      <c r="L461" s="1125">
        <v>100</v>
      </c>
    </row>
    <row r="462" spans="1:13" s="1279" customFormat="1" ht="20.100000000000001" customHeight="1">
      <c r="A462" s="1377">
        <f t="shared" si="17"/>
        <v>0</v>
      </c>
      <c r="B462" s="1582"/>
      <c r="C462" s="1273">
        <f>IF(G462&gt;0,C461+1,C461)</f>
        <v>0</v>
      </c>
      <c r="D462" s="1411"/>
      <c r="E462" s="1412" t="s">
        <v>3773</v>
      </c>
      <c r="F462" s="1390" t="s">
        <v>2449</v>
      </c>
      <c r="G462" s="1390">
        <f>G450*0</f>
        <v>0</v>
      </c>
      <c r="H462" s="1353">
        <f t="shared" si="18"/>
        <v>0</v>
      </c>
      <c r="I462" s="1342"/>
      <c r="J462" s="1342"/>
      <c r="K462" s="1312"/>
      <c r="L462" s="1125">
        <v>100</v>
      </c>
    </row>
    <row r="463" spans="1:13" s="1279" customFormat="1" ht="20.100000000000001" customHeight="1">
      <c r="A463" s="1377">
        <f>IF(A462&gt;0,1,0)</f>
        <v>0</v>
      </c>
      <c r="B463" s="1582"/>
      <c r="C463" s="1390"/>
      <c r="D463" s="1411"/>
      <c r="E463" s="1634" t="s">
        <v>2342</v>
      </c>
      <c r="F463" s="1312"/>
      <c r="G463" s="1312"/>
      <c r="H463" s="1353">
        <f t="shared" si="18"/>
        <v>0</v>
      </c>
      <c r="I463" s="1342"/>
      <c r="J463" s="1342"/>
      <c r="K463" s="1312"/>
      <c r="L463" s="1125">
        <v>100</v>
      </c>
      <c r="M463" s="1413"/>
    </row>
    <row r="464" spans="1:13" s="1279" customFormat="1" ht="20.100000000000001" customHeight="1">
      <c r="A464" s="1377">
        <f t="shared" si="17"/>
        <v>0</v>
      </c>
      <c r="B464" s="1378" t="s">
        <v>116</v>
      </c>
      <c r="C464" s="1312"/>
      <c r="D464" s="1274">
        <f>VLOOKUP($B464,DG!A:D,DG!$B$2,)</f>
        <v>0</v>
      </c>
      <c r="E464" s="1275" t="str">
        <f>VLOOKUP($B464,DG!A:D,DG!$C$2,)</f>
        <v>Trụ BTLT 12m F350 dự ứng lực</v>
      </c>
      <c r="F464" s="1274" t="str">
        <f>VLOOKUP($B464,DG!A:D,DG!$D$2,)</f>
        <v>trụ</v>
      </c>
      <c r="G464" s="1312">
        <f>1*G462</f>
        <v>0</v>
      </c>
      <c r="H464" s="1353">
        <f t="shared" si="18"/>
        <v>0</v>
      </c>
      <c r="I464" s="1310"/>
      <c r="J464" s="1310"/>
      <c r="K464" s="1312"/>
      <c r="L464" s="1125">
        <v>100</v>
      </c>
      <c r="M464" s="1413"/>
    </row>
    <row r="465" spans="1:13" s="1279" customFormat="1" ht="20.100000000000001" customHeight="1">
      <c r="A465" s="1377">
        <f t="shared" si="17"/>
        <v>0</v>
      </c>
      <c r="B465" s="1378" t="s">
        <v>1867</v>
      </c>
      <c r="C465" s="1312"/>
      <c r="D465" s="1414"/>
      <c r="E465" s="1275" t="str">
        <f>VLOOKUP($B465,DG!A:D,DG!$C$2,)</f>
        <v>Vật liệu dựng trụ</v>
      </c>
      <c r="F465" s="1274" t="str">
        <f>VLOOKUP($B465,DG!A:D,DG!$D$2,)</f>
        <v>trụ</v>
      </c>
      <c r="G465" s="1312">
        <f>G464</f>
        <v>0</v>
      </c>
      <c r="H465" s="1353">
        <f t="shared" si="18"/>
        <v>0</v>
      </c>
      <c r="I465" s="1310"/>
      <c r="J465" s="1310"/>
      <c r="K465" s="1312"/>
      <c r="L465" s="1125">
        <v>100</v>
      </c>
      <c r="M465" s="1413"/>
    </row>
    <row r="466" spans="1:13" s="1279" customFormat="1" ht="20.100000000000001" customHeight="1">
      <c r="A466" s="1377">
        <f t="shared" si="17"/>
        <v>0</v>
      </c>
      <c r="B466" s="1378" t="s">
        <v>2188</v>
      </c>
      <c r="C466" s="1312"/>
      <c r="D466" s="1414"/>
      <c r="E466" s="1275" t="str">
        <f>VLOOKUP($B466,DG!A:D,DG!$C$2,)</f>
        <v>Dựng trụ BTLT 12m trong TBA bằng thủ công + cơ giới</v>
      </c>
      <c r="F466" s="1274" t="str">
        <f>VLOOKUP($B466,DG!A:D,DG!$D$2,)</f>
        <v>trụ</v>
      </c>
      <c r="G466" s="1312">
        <f>G464</f>
        <v>0</v>
      </c>
      <c r="H466" s="1353">
        <f t="shared" si="18"/>
        <v>0</v>
      </c>
      <c r="I466" s="1310"/>
      <c r="J466" s="1310"/>
      <c r="K466" s="1312"/>
      <c r="L466" s="1125">
        <v>100</v>
      </c>
      <c r="M466" s="1413"/>
    </row>
    <row r="467" spans="1:13" s="1279" customFormat="1" ht="20.100000000000001" customHeight="1">
      <c r="A467" s="1377">
        <f t="shared" si="17"/>
        <v>0</v>
      </c>
      <c r="B467" s="1582"/>
      <c r="C467" s="1273">
        <f>IF(G467&gt;0,C462+1,C462)</f>
        <v>0</v>
      </c>
      <c r="D467" s="1411"/>
      <c r="E467" s="1412" t="s">
        <v>2416</v>
      </c>
      <c r="F467" s="1390" t="s">
        <v>2449</v>
      </c>
      <c r="G467" s="1390">
        <f>G462</f>
        <v>0</v>
      </c>
      <c r="H467" s="1353">
        <f t="shared" si="18"/>
        <v>0</v>
      </c>
      <c r="I467" s="1342"/>
      <c r="J467" s="1342"/>
      <c r="K467" s="1312"/>
      <c r="L467" s="1125">
        <v>100</v>
      </c>
    </row>
    <row r="468" spans="1:13" s="1279" customFormat="1" ht="20.100000000000001" customHeight="1">
      <c r="A468" s="1377">
        <f>IF(A467&gt;0,1,0)</f>
        <v>0</v>
      </c>
      <c r="B468" s="1582"/>
      <c r="C468" s="1390"/>
      <c r="D468" s="1411"/>
      <c r="E468" s="1634" t="s">
        <v>2342</v>
      </c>
      <c r="F468" s="1312"/>
      <c r="G468" s="1312"/>
      <c r="H468" s="1353">
        <f t="shared" si="18"/>
        <v>0</v>
      </c>
      <c r="I468" s="1342"/>
      <c r="J468" s="1342"/>
      <c r="K468" s="1312"/>
      <c r="L468" s="1125">
        <v>100</v>
      </c>
      <c r="M468" s="1413"/>
    </row>
    <row r="469" spans="1:13" s="1279" customFormat="1" ht="20.100000000000001" customHeight="1">
      <c r="A469" s="1377">
        <f t="shared" si="17"/>
        <v>0</v>
      </c>
      <c r="B469" s="1589" t="s">
        <v>641</v>
      </c>
      <c r="C469" s="1312"/>
      <c r="D469" s="1274" t="str">
        <f>VLOOKUP($B469,DG!A:D,DG!$B$2,)</f>
        <v>04.4001</v>
      </c>
      <c r="E469" s="1275" t="str">
        <f>VLOOKUP($B469,DG!A:D,DG!$C$2,)</f>
        <v>Đà cản BTCT 1,2m</v>
      </c>
      <c r="F469" s="1274" t="str">
        <f>VLOOKUP($B469,DG!A:D,DG!$D$2,)</f>
        <v>cái</v>
      </c>
      <c r="G469" s="1312">
        <f>1*G467</f>
        <v>0</v>
      </c>
      <c r="H469" s="1353">
        <f t="shared" si="18"/>
        <v>0</v>
      </c>
      <c r="I469" s="1310"/>
      <c r="J469" s="1310"/>
      <c r="K469" s="1312"/>
      <c r="L469" s="1125">
        <v>100</v>
      </c>
      <c r="M469" s="1413"/>
    </row>
    <row r="470" spans="1:13" s="1279" customFormat="1" ht="20.100000000000001" customHeight="1">
      <c r="A470" s="1377">
        <f t="shared" si="17"/>
        <v>0</v>
      </c>
      <c r="B470" s="1589" t="s">
        <v>570</v>
      </c>
      <c r="C470" s="1312"/>
      <c r="D470" s="1274">
        <f>VLOOKUP($B470,DG!A:D,DG!$B$2,)</f>
        <v>0</v>
      </c>
      <c r="E470" s="1275" t="str">
        <f>VLOOKUP($B470,DG!A:D,DG!$C$2,)</f>
        <v>Boulon 22x650+ 2 long đền vuông D24-50x50x3/Zn</v>
      </c>
      <c r="F470" s="1274" t="str">
        <f>VLOOKUP($B470,DG!A:D,DG!$D$2,)</f>
        <v>bộ</v>
      </c>
      <c r="G470" s="1312">
        <f>G467</f>
        <v>0</v>
      </c>
      <c r="H470" s="1353">
        <f t="shared" si="18"/>
        <v>0</v>
      </c>
      <c r="I470" s="1310"/>
      <c r="J470" s="1310"/>
      <c r="K470" s="1312"/>
      <c r="L470" s="1125">
        <v>100</v>
      </c>
      <c r="M470" s="1413"/>
    </row>
    <row r="471" spans="1:13" s="1279" customFormat="1" ht="20.100000000000001" customHeight="1">
      <c r="A471" s="1377">
        <f t="shared" si="17"/>
        <v>0</v>
      </c>
      <c r="B471" s="1589" t="str">
        <f>IF(chitiet!F5=1,"MDD1",IF(chitiet!F5=2,"MDD2",IF(chitiet!F5=3,"MDD3",IF(chitiet!F5=4,"MDD4"))))</f>
        <v>MDD3</v>
      </c>
      <c r="C471" s="1312"/>
      <c r="D471" s="1274" t="str">
        <f>VLOOKUP($B471,DG!A:D,DG!$B$2,)</f>
        <v>03.1013</v>
      </c>
      <c r="E471" s="1275" t="str">
        <f>VLOOKUP($B471,DG!A:D,DG!$C$2,)</f>
        <v>Đào hố móng đất cấp 3 sâu &gt;1m DT&lt;5m2</v>
      </c>
      <c r="F471" s="1274" t="str">
        <f>VLOOKUP($B471,DG!A:D,DG!$D$2,)</f>
        <v>m3</v>
      </c>
      <c r="G471" s="1346">
        <f>G467*1.45</f>
        <v>0</v>
      </c>
      <c r="H471" s="1353">
        <f t="shared" si="18"/>
        <v>0</v>
      </c>
      <c r="I471" s="1310"/>
      <c r="J471" s="1310"/>
      <c r="K471" s="1312"/>
      <c r="L471" s="1125">
        <v>100</v>
      </c>
      <c r="M471" s="1413"/>
    </row>
    <row r="472" spans="1:13" s="1279" customFormat="1" ht="20.100000000000001" customHeight="1">
      <c r="A472" s="1377">
        <f t="shared" si="17"/>
        <v>0</v>
      </c>
      <c r="B472" s="1589" t="str">
        <f>IF(chitiet!F5=1,"MDAP1",IF(chitiet!F5=2,"MDAP2",IF(chitiet!F5=3,"MDAP3",IF(chitiet!F5=4,"MDAP4"))))</f>
        <v>MDAP3</v>
      </c>
      <c r="C472" s="1312"/>
      <c r="D472" s="1274" t="str">
        <f>VLOOKUP($B472,DG!A:D,DG!$B$2,)</f>
        <v>03.4113</v>
      </c>
      <c r="E472" s="1275" t="str">
        <f>VLOOKUP($B472,DG!A:D,DG!$C$2,)</f>
        <v>Đắp đất hố móng, độ chặt k=0,95</v>
      </c>
      <c r="F472" s="1274" t="str">
        <f>VLOOKUP($B472,DG!A:D,DG!$D$2,)</f>
        <v>m3</v>
      </c>
      <c r="G472" s="1346">
        <f>G467*1.37</f>
        <v>0</v>
      </c>
      <c r="H472" s="1353">
        <f t="shared" si="18"/>
        <v>0</v>
      </c>
      <c r="I472" s="1310"/>
      <c r="J472" s="1310"/>
      <c r="K472" s="1312"/>
      <c r="L472" s="1125">
        <v>100</v>
      </c>
      <c r="M472" s="1413"/>
    </row>
    <row r="473" spans="1:13" s="1279" customFormat="1" ht="20.100000000000001" customHeight="1">
      <c r="A473" s="1377">
        <f t="shared" si="17"/>
        <v>0</v>
      </c>
      <c r="B473" s="1582"/>
      <c r="C473" s="1273">
        <f>IF(G473&gt;0,C467+1,C467)</f>
        <v>0</v>
      </c>
      <c r="D473" s="1411"/>
      <c r="E473" s="1425" t="s">
        <v>3774</v>
      </c>
      <c r="F473" s="1390" t="s">
        <v>2449</v>
      </c>
      <c r="G473" s="1390">
        <f>SUM(G450:G450)</f>
        <v>0</v>
      </c>
      <c r="H473" s="1353">
        <f t="shared" si="18"/>
        <v>0</v>
      </c>
      <c r="I473" s="1310"/>
      <c r="J473" s="1310"/>
      <c r="K473" s="1278"/>
      <c r="L473" s="1125">
        <v>100</v>
      </c>
    </row>
    <row r="474" spans="1:13" s="1279" customFormat="1" ht="20.100000000000001" customHeight="1">
      <c r="A474" s="1377">
        <f>IF(A473&gt;0,1,0)</f>
        <v>0</v>
      </c>
      <c r="B474" s="1582"/>
      <c r="C474" s="1390"/>
      <c r="D474" s="1411"/>
      <c r="E474" s="1635" t="s">
        <v>2342</v>
      </c>
      <c r="F474" s="1312"/>
      <c r="G474" s="1312"/>
      <c r="H474" s="1353">
        <f t="shared" si="18"/>
        <v>0</v>
      </c>
      <c r="I474" s="1310"/>
      <c r="J474" s="1310"/>
      <c r="K474" s="1278"/>
      <c r="L474" s="1125">
        <v>100</v>
      </c>
    </row>
    <row r="475" spans="1:13" s="1279" customFormat="1" ht="20.100000000000001" customHeight="1">
      <c r="A475" s="1377">
        <f t="shared" ref="A475:A535" si="20">IF(H475&gt;0,1,0)</f>
        <v>0</v>
      </c>
      <c r="B475" s="1582" t="s">
        <v>1019</v>
      </c>
      <c r="C475" s="1312"/>
      <c r="D475" s="1274" t="str">
        <f>VLOOKUP($B475,DG!A:D,DG!$B$2,)</f>
        <v>05.6001</v>
      </c>
      <c r="E475" s="1275" t="str">
        <f>VLOOKUP($B475,DG!A:D,DG!$C$2,)</f>
        <v>Giá chữ "T" lắp FCO, LA (V50x50x5)</v>
      </c>
      <c r="F475" s="1274" t="str">
        <f>VLOOKUP($B475,DG!A:D,DG!$D$2,)</f>
        <v>Kg</v>
      </c>
      <c r="G475" s="1312">
        <f>5.01*G473</f>
        <v>0</v>
      </c>
      <c r="H475" s="1353">
        <f t="shared" si="18"/>
        <v>0</v>
      </c>
      <c r="I475" s="1310"/>
      <c r="J475" s="1310"/>
      <c r="K475" s="1278"/>
      <c r="L475" s="1125">
        <v>100</v>
      </c>
    </row>
    <row r="476" spans="1:13" s="1279" customFormat="1" ht="20.100000000000001" customHeight="1">
      <c r="A476" s="1377">
        <f t="shared" si="20"/>
        <v>0</v>
      </c>
      <c r="B476" s="1582" t="s">
        <v>1662</v>
      </c>
      <c r="C476" s="1312"/>
      <c r="D476" s="1414"/>
      <c r="E476" s="1275" t="str">
        <f>VLOOKUP($B476,DG!A:D,DG!$C$2,)</f>
        <v>Boulon 16x300+ 2 long đền vuông D18-50x50x3/Zn</v>
      </c>
      <c r="F476" s="1274" t="str">
        <f>VLOOKUP($B476,DG!A:D,DG!$D$2,)</f>
        <v>bộ</v>
      </c>
      <c r="G476" s="1312">
        <f>G473*2</f>
        <v>0</v>
      </c>
      <c r="H476" s="1353">
        <f t="shared" si="18"/>
        <v>0</v>
      </c>
      <c r="I476" s="1310"/>
      <c r="J476" s="1310"/>
      <c r="K476" s="1278"/>
      <c r="L476" s="1125">
        <v>100</v>
      </c>
    </row>
    <row r="477" spans="1:13" s="1279" customFormat="1" ht="20.100000000000001" customHeight="1">
      <c r="A477" s="1377">
        <f t="shared" si="20"/>
        <v>0</v>
      </c>
      <c r="B477" s="1582" t="s">
        <v>709</v>
      </c>
      <c r="C477" s="1312"/>
      <c r="D477" s="1414"/>
      <c r="E477" s="1275" t="str">
        <f>VLOOKUP($B477,DG!A:D,DG!$C$2,)</f>
        <v>Boulon 12x50+ 2 long đền vuông D14-50x50x3/Zn</v>
      </c>
      <c r="F477" s="1274" t="str">
        <f>VLOOKUP($B477,DG!A:D,DG!$D$2,)</f>
        <v>bộ</v>
      </c>
      <c r="G477" s="1312">
        <f>G476</f>
        <v>0</v>
      </c>
      <c r="H477" s="1353">
        <f t="shared" si="18"/>
        <v>0</v>
      </c>
      <c r="I477" s="1310"/>
      <c r="J477" s="1310"/>
      <c r="K477" s="1278"/>
      <c r="L477" s="1125">
        <v>100</v>
      </c>
    </row>
    <row r="478" spans="1:13" s="1279" customFormat="1" ht="20.100000000000001" customHeight="1">
      <c r="A478" s="1377">
        <f t="shared" si="20"/>
        <v>0</v>
      </c>
      <c r="B478" s="1582"/>
      <c r="C478" s="1390">
        <f>IF(G478&gt;0,C473+1,C473)</f>
        <v>0</v>
      </c>
      <c r="D478" s="1411"/>
      <c r="E478" s="1425" t="s">
        <v>3775</v>
      </c>
      <c r="F478" s="1390" t="s">
        <v>2449</v>
      </c>
      <c r="G478" s="1390">
        <f>G473</f>
        <v>0</v>
      </c>
      <c r="H478" s="1353">
        <f t="shared" si="18"/>
        <v>0</v>
      </c>
      <c r="I478" s="1310"/>
      <c r="J478" s="1310"/>
      <c r="K478" s="1278"/>
      <c r="L478" s="1125">
        <v>100</v>
      </c>
    </row>
    <row r="479" spans="1:13" s="1279" customFormat="1" ht="20.100000000000001" customHeight="1">
      <c r="A479" s="1377">
        <f>IF(A478&gt;0,1,0)</f>
        <v>0</v>
      </c>
      <c r="B479" s="1582"/>
      <c r="C479" s="1312"/>
      <c r="D479" s="1414"/>
      <c r="E479" s="1635" t="s">
        <v>2342</v>
      </c>
      <c r="F479" s="1312"/>
      <c r="G479" s="1312"/>
      <c r="H479" s="1353">
        <f t="shared" si="18"/>
        <v>0</v>
      </c>
      <c r="I479" s="1310"/>
      <c r="J479" s="1310"/>
      <c r="K479" s="1278"/>
      <c r="L479" s="1125">
        <v>100</v>
      </c>
    </row>
    <row r="480" spans="1:13" s="1279" customFormat="1" ht="20.100000000000001" customHeight="1">
      <c r="A480" s="1377">
        <f t="shared" si="20"/>
        <v>0</v>
      </c>
      <c r="B480" s="1582" t="s">
        <v>1063</v>
      </c>
      <c r="C480" s="1312"/>
      <c r="D480" s="1274">
        <f>VLOOKUP($B480,DG!A:D,DG!$B$2,)</f>
        <v>0</v>
      </c>
      <c r="E480" s="1590" t="str">
        <f>VLOOKUP($B480,DG!A:D,DG!$C$2,)&amp;": "&amp;H3&amp;I3</f>
        <v>Cáp đồng trần M25mm2: 51m</v>
      </c>
      <c r="F480" s="1274" t="str">
        <f>VLOOKUP($B480,DG!A:D,DG!$D$2,)</f>
        <v>kg</v>
      </c>
      <c r="G480" s="1396">
        <f>53*G478*0.224</f>
        <v>0</v>
      </c>
      <c r="H480" s="1353">
        <f t="shared" si="18"/>
        <v>0</v>
      </c>
      <c r="I480" s="1310"/>
      <c r="J480" s="1310"/>
      <c r="K480" s="1278"/>
      <c r="L480" s="1125">
        <v>100</v>
      </c>
    </row>
    <row r="481" spans="1:12" s="1279" customFormat="1" ht="20.100000000000001" customHeight="1">
      <c r="A481" s="1377">
        <f t="shared" si="20"/>
        <v>0</v>
      </c>
      <c r="B481" s="1378" t="s">
        <v>1560</v>
      </c>
      <c r="C481" s="1312"/>
      <c r="D481" s="1274">
        <f>VLOOKUP($B481,DG!A:D,DG!$B$2,)</f>
        <v>0</v>
      </c>
      <c r="E481" s="1275" t="str">
        <f>VLOOKUP($B481,DG!A:D,DG!$C$2,)</f>
        <v>Cọc tiếp đất Ø 16- 2,4m + kẹp cọc</v>
      </c>
      <c r="F481" s="1274" t="str">
        <f>VLOOKUP($B481,DG!A:D,DG!$D$2,)</f>
        <v>bộ</v>
      </c>
      <c r="G481" s="1312">
        <f>9*G478</f>
        <v>0</v>
      </c>
      <c r="H481" s="1353">
        <f t="shared" si="18"/>
        <v>0</v>
      </c>
      <c r="I481" s="1310"/>
      <c r="J481" s="1310"/>
      <c r="K481" s="1278"/>
      <c r="L481" s="1125">
        <v>100</v>
      </c>
    </row>
    <row r="482" spans="1:12" s="1279" customFormat="1" ht="20.100000000000001" customHeight="1">
      <c r="A482" s="1377">
        <f t="shared" si="20"/>
        <v>0</v>
      </c>
      <c r="B482" s="1378" t="s">
        <v>1542</v>
      </c>
      <c r="C482" s="1312"/>
      <c r="D482" s="1274" t="str">
        <f>VLOOKUP($B482,DG!A:D,DG!$B$2,)</f>
        <v>07.2403</v>
      </c>
      <c r="E482" s="1275" t="str">
        <f>VLOOKUP($B482,DG!A:D,DG!$C$2,)</f>
        <v xml:space="preserve">Ống PVC D21x1,6mm </v>
      </c>
      <c r="F482" s="1274" t="str">
        <f>VLOOKUP($B482,DG!A:D,DG!$D$2,)</f>
        <v>m</v>
      </c>
      <c r="G482" s="1312">
        <f>6*G478</f>
        <v>0</v>
      </c>
      <c r="H482" s="1353">
        <f t="shared" si="18"/>
        <v>0</v>
      </c>
      <c r="I482" s="1310"/>
      <c r="J482" s="1310"/>
      <c r="K482" s="1278"/>
      <c r="L482" s="1125">
        <v>100</v>
      </c>
    </row>
    <row r="483" spans="1:12" s="1279" customFormat="1" ht="20.100000000000001" customHeight="1">
      <c r="A483" s="1377">
        <f t="shared" si="20"/>
        <v>0</v>
      </c>
      <c r="B483" s="1587" t="s">
        <v>1631</v>
      </c>
      <c r="C483" s="1312"/>
      <c r="D483" s="1274">
        <f>VLOOKUP($B483,DG!A:D,DG!$B$2,)</f>
        <v>0</v>
      </c>
      <c r="E483" s="1275" t="str">
        <f>VLOOKUP($B483,DG!A:D,DG!$C$2,)</f>
        <v>Kẹp ép WR cỡ dây 50mm2</v>
      </c>
      <c r="F483" s="1274" t="str">
        <f>VLOOKUP($B483,DG!A:D,DG!$D$2,)</f>
        <v>cái</v>
      </c>
      <c r="G483" s="1312">
        <f>2*G478</f>
        <v>0</v>
      </c>
      <c r="H483" s="1353">
        <f t="shared" si="18"/>
        <v>0</v>
      </c>
      <c r="I483" s="1310"/>
      <c r="J483" s="1310"/>
      <c r="K483" s="1278"/>
      <c r="L483" s="1125">
        <v>100</v>
      </c>
    </row>
    <row r="484" spans="1:12" s="1279" customFormat="1" ht="20.100000000000001" customHeight="1">
      <c r="A484" s="1377">
        <f t="shared" si="20"/>
        <v>0</v>
      </c>
      <c r="B484" s="1587" t="s">
        <v>1145</v>
      </c>
      <c r="C484" s="1312"/>
      <c r="D484" s="1274">
        <f>VLOOKUP($B484,DG!A:D,DG!$B$2,)</f>
        <v>0</v>
      </c>
      <c r="E484" s="1275" t="str">
        <f>VLOOKUP($B484,DG!A:D,DG!$C$2,)</f>
        <v>Kẹp ép cỡ dây 25mm2</v>
      </c>
      <c r="F484" s="1274" t="str">
        <f>VLOOKUP($B484,DG!A:D,DG!$D$2,)</f>
        <v>cái</v>
      </c>
      <c r="G484" s="1312">
        <f>G478*11</f>
        <v>0</v>
      </c>
      <c r="H484" s="1353">
        <f t="shared" ref="H484:H547" si="21">IF(L484=$L$23,G484+I484-J484,0)</f>
        <v>0</v>
      </c>
      <c r="I484" s="1310"/>
      <c r="J484" s="1310"/>
      <c r="K484" s="1278"/>
      <c r="L484" s="1125">
        <v>100</v>
      </c>
    </row>
    <row r="485" spans="1:12" s="1279" customFormat="1" ht="20.100000000000001" customHeight="1">
      <c r="A485" s="1377">
        <f t="shared" si="20"/>
        <v>0</v>
      </c>
      <c r="B485" s="1378" t="s">
        <v>528</v>
      </c>
      <c r="C485" s="1312"/>
      <c r="D485" s="1274" t="str">
        <f>VLOOKUP($B485,DG!A:D,DG!$B$2,)</f>
        <v>06.3231</v>
      </c>
      <c r="E485" s="1275" t="str">
        <f>VLOOKUP($B485,DG!A:D,DG!$C$2,)</f>
        <v>Cổ dê kẹp ống PVC  21</v>
      </c>
      <c r="F485" s="1274" t="str">
        <f>VLOOKUP($B485,DG!A:D,DG!$D$2,)</f>
        <v>bộ</v>
      </c>
      <c r="G485" s="1312">
        <f>4*G478</f>
        <v>0</v>
      </c>
      <c r="H485" s="1353">
        <f t="shared" si="21"/>
        <v>0</v>
      </c>
      <c r="I485" s="1310"/>
      <c r="J485" s="1310"/>
      <c r="K485" s="1278"/>
      <c r="L485" s="1125">
        <v>100</v>
      </c>
    </row>
    <row r="486" spans="1:12" s="1279" customFormat="1" ht="20.100000000000001" customHeight="1">
      <c r="A486" s="1377">
        <f t="shared" si="20"/>
        <v>0</v>
      </c>
      <c r="B486" s="1587" t="s">
        <v>2245</v>
      </c>
      <c r="C486" s="1312"/>
      <c r="D486" s="1274" t="str">
        <f>VLOOKUP($B486,DG!A:D,DG!$B$2,)</f>
        <v>04.7002</v>
      </c>
      <c r="E486" s="1275" t="str">
        <f>VLOOKUP($B486,DG!A:D,DG!$C$2,)</f>
        <v>Kéo dây tiếp địa trong TBA</v>
      </c>
      <c r="F486" s="1274" t="str">
        <f>VLOOKUP($B486,DG!A:D,DG!$D$2,)</f>
        <v>mét</v>
      </c>
      <c r="G486" s="1312">
        <f>G480/0.224</f>
        <v>0</v>
      </c>
      <c r="H486" s="1353">
        <f t="shared" si="21"/>
        <v>0</v>
      </c>
      <c r="I486" s="1310"/>
      <c r="J486" s="1310"/>
      <c r="K486" s="1278"/>
      <c r="L486" s="1125">
        <v>100</v>
      </c>
    </row>
    <row r="487" spans="1:12" s="1279" customFormat="1" ht="20.100000000000001" customHeight="1">
      <c r="A487" s="1377">
        <f t="shared" si="20"/>
        <v>0</v>
      </c>
      <c r="B487" s="1378" t="s">
        <v>919</v>
      </c>
      <c r="C487" s="1312"/>
      <c r="D487" s="1274" t="str">
        <f>VLOOKUP($B487,DG!A:D,DG!$B$2,)</f>
        <v>04.7001</v>
      </c>
      <c r="E487" s="1275" t="str">
        <f>VLOOKUP($B487,DG!A:D,DG!$C$2,)</f>
        <v>Đóng cọc tiếp địa trong TBA</v>
      </c>
      <c r="F487" s="1274" t="str">
        <f>VLOOKUP($B487,DG!A:D,DG!$D$2,)</f>
        <v>cọc</v>
      </c>
      <c r="G487" s="1312">
        <f>G481</f>
        <v>0</v>
      </c>
      <c r="H487" s="1353">
        <f t="shared" si="21"/>
        <v>0</v>
      </c>
      <c r="I487" s="1310"/>
      <c r="J487" s="1310"/>
      <c r="K487" s="1278"/>
      <c r="L487" s="1125">
        <v>100</v>
      </c>
    </row>
    <row r="488" spans="1:12" s="1279" customFormat="1" ht="20.100000000000001" customHeight="1">
      <c r="A488" s="1377">
        <f t="shared" si="20"/>
        <v>0</v>
      </c>
      <c r="B488" s="1587" t="str">
        <f>"dtd"&amp;chitiet!F5</f>
        <v>dtd3</v>
      </c>
      <c r="C488" s="1312"/>
      <c r="D488" s="1274" t="str">
        <f>VLOOKUP($B488,DG!A:D,DG!$B$2,)</f>
        <v>03.3123</v>
      </c>
      <c r="E488" s="1275" t="str">
        <f>VLOOKUP($B488,DG!A:D,DG!$C$2,)</f>
        <v>Đào rãnh tiếp địa đất cấp 3</v>
      </c>
      <c r="F488" s="1274" t="str">
        <f>VLOOKUP($B488,DG!A:D,DG!$D$2,)</f>
        <v>m3</v>
      </c>
      <c r="G488" s="1346">
        <f>G478*27*0.2*0.5</f>
        <v>0</v>
      </c>
      <c r="H488" s="1353">
        <f t="shared" si="21"/>
        <v>0</v>
      </c>
      <c r="I488" s="1310"/>
      <c r="J488" s="1310"/>
      <c r="K488" s="1278"/>
      <c r="L488" s="1125">
        <v>100</v>
      </c>
    </row>
    <row r="489" spans="1:12" s="1279" customFormat="1" ht="20.100000000000001" customHeight="1">
      <c r="A489" s="1377">
        <f t="shared" si="20"/>
        <v>0</v>
      </c>
      <c r="B489" s="1378" t="str">
        <f>"datd"&amp;chitiet!F5</f>
        <v>datd3</v>
      </c>
      <c r="C489" s="1312"/>
      <c r="D489" s="1274" t="str">
        <f>VLOOKUP($B489,DG!A:D,DG!$B$2,)</f>
        <v>03.4123</v>
      </c>
      <c r="E489" s="1275" t="str">
        <f>VLOOKUP($B489,DG!A:D,DG!$C$2,)</f>
        <v>Đắp đất rãnh tiếp độ chặt k=0,95</v>
      </c>
      <c r="F489" s="1274" t="str">
        <f>VLOOKUP($B489,DG!A:D,DG!$D$2,)</f>
        <v>m3</v>
      </c>
      <c r="G489" s="1346">
        <f>G488</f>
        <v>0</v>
      </c>
      <c r="H489" s="1353">
        <f t="shared" si="21"/>
        <v>0</v>
      </c>
      <c r="I489" s="1310"/>
      <c r="J489" s="1310"/>
      <c r="K489" s="1278"/>
      <c r="L489" s="1125">
        <v>100</v>
      </c>
    </row>
    <row r="490" spans="1:12" s="1279" customFormat="1" ht="20.100000000000001" customHeight="1">
      <c r="A490" s="1377">
        <f t="shared" si="20"/>
        <v>0</v>
      </c>
      <c r="B490" s="1587"/>
      <c r="C490" s="1390">
        <f>IF(G490&gt;0,C478+1,C478)</f>
        <v>0</v>
      </c>
      <c r="D490" s="1411"/>
      <c r="E490" s="1412" t="s">
        <v>3782</v>
      </c>
      <c r="F490" s="1390" t="s">
        <v>2449</v>
      </c>
      <c r="G490" s="1390">
        <f>G473</f>
        <v>0</v>
      </c>
      <c r="H490" s="1353">
        <f t="shared" si="21"/>
        <v>0</v>
      </c>
      <c r="I490" s="1310"/>
      <c r="J490" s="1310"/>
      <c r="K490" s="1278"/>
      <c r="L490" s="1125">
        <v>100</v>
      </c>
    </row>
    <row r="491" spans="1:12" s="1279" customFormat="1" ht="20.100000000000001" customHeight="1">
      <c r="A491" s="1377">
        <f>IF(A490&gt;0,1,0)</f>
        <v>0</v>
      </c>
      <c r="B491" s="1587"/>
      <c r="C491" s="1390"/>
      <c r="D491" s="1411"/>
      <c r="E491" s="1635" t="s">
        <v>2342</v>
      </c>
      <c r="F491" s="1312"/>
      <c r="G491" s="1312"/>
      <c r="H491" s="1353">
        <f t="shared" si="21"/>
        <v>0</v>
      </c>
      <c r="I491" s="1310"/>
      <c r="J491" s="1310"/>
      <c r="K491" s="1278"/>
      <c r="L491" s="1125">
        <v>100</v>
      </c>
    </row>
    <row r="492" spans="1:12" s="1279" customFormat="1" ht="20.100000000000001" customHeight="1">
      <c r="A492" s="1377">
        <f t="shared" si="20"/>
        <v>0</v>
      </c>
      <c r="B492" s="1589" t="s">
        <v>621</v>
      </c>
      <c r="C492" s="1312"/>
      <c r="D492" s="1274" t="str">
        <f>VLOOKUP($B492,DG!A:D,DG!$B$2,)</f>
        <v>05.1001</v>
      </c>
      <c r="E492" s="1275" t="str">
        <f>VLOOKUP($B492,DG!A:D,DG!$C$2,)</f>
        <v>Tủ CB trạm 1 pha + khóa + boulon</v>
      </c>
      <c r="F492" s="1274" t="str">
        <f>VLOOKUP($B492,DG!A:D,DG!$D$2,)</f>
        <v>cái</v>
      </c>
      <c r="G492" s="1312">
        <f>G490</f>
        <v>0</v>
      </c>
      <c r="H492" s="1353">
        <f t="shared" si="21"/>
        <v>0</v>
      </c>
      <c r="I492" s="1310"/>
      <c r="J492" s="1310"/>
      <c r="K492" s="1278"/>
      <c r="L492" s="1125">
        <v>100</v>
      </c>
    </row>
    <row r="493" spans="1:12" s="1279" customFormat="1" ht="20.100000000000001" customHeight="1">
      <c r="A493" s="1377">
        <f t="shared" si="20"/>
        <v>0</v>
      </c>
      <c r="B493" s="1587" t="s">
        <v>896</v>
      </c>
      <c r="C493" s="1312"/>
      <c r="D493" s="1274" t="str">
        <f>VLOOKUP($B493,DG!A:D,DG!$B$2,)</f>
        <v>06.3231</v>
      </c>
      <c r="E493" s="1275" t="str">
        <f>VLOOKUP($B493,DG!A:D,DG!$C$2,)</f>
        <v>Cổ dê bắt tủ</v>
      </c>
      <c r="F493" s="1274" t="str">
        <f>VLOOKUP($B493,DG!A:D,DG!$D$2,)</f>
        <v>bộ</v>
      </c>
      <c r="G493" s="1312">
        <f>2*G490</f>
        <v>0</v>
      </c>
      <c r="H493" s="1353">
        <f t="shared" si="21"/>
        <v>0</v>
      </c>
      <c r="I493" s="1310"/>
      <c r="J493" s="1310"/>
      <c r="K493" s="1278"/>
      <c r="L493" s="1125">
        <v>100</v>
      </c>
    </row>
    <row r="494" spans="1:12" s="1279" customFormat="1" ht="20.100000000000001" customHeight="1">
      <c r="A494" s="1377">
        <f t="shared" si="20"/>
        <v>0</v>
      </c>
      <c r="B494" s="1587" t="s">
        <v>897</v>
      </c>
      <c r="C494" s="1312"/>
      <c r="D494" s="1274">
        <f>VLOOKUP($B494,DG!A:D,DG!$B$2,)</f>
        <v>0</v>
      </c>
      <c r="E494" s="1275" t="str">
        <f>VLOOKUP($B494,DG!A:D,DG!$C$2,)</f>
        <v xml:space="preserve">Bakelit 550x450 dầy 10mm </v>
      </c>
      <c r="F494" s="1274" t="str">
        <f>VLOOKUP($B494,DG!A:D,DG!$D$2,)</f>
        <v>cái</v>
      </c>
      <c r="G494" s="1312">
        <f>G493</f>
        <v>0</v>
      </c>
      <c r="H494" s="1353">
        <f t="shared" si="21"/>
        <v>0</v>
      </c>
      <c r="I494" s="1310"/>
      <c r="J494" s="1310"/>
      <c r="K494" s="1278"/>
      <c r="L494" s="1125">
        <v>100</v>
      </c>
    </row>
    <row r="495" spans="1:12" s="1279" customFormat="1" ht="20.100000000000001" customHeight="1">
      <c r="A495" s="1377">
        <f t="shared" si="20"/>
        <v>0</v>
      </c>
      <c r="B495" s="1587"/>
      <c r="C495" s="1390">
        <f>IF(G495&gt;0,C490+1,C490)</f>
        <v>0</v>
      </c>
      <c r="D495" s="1411"/>
      <c r="E495" s="1425" t="s">
        <v>3777</v>
      </c>
      <c r="F495" s="1390" t="s">
        <v>2449</v>
      </c>
      <c r="G495" s="1390">
        <f>G490</f>
        <v>0</v>
      </c>
      <c r="H495" s="1353">
        <f t="shared" si="21"/>
        <v>0</v>
      </c>
      <c r="I495" s="1310"/>
      <c r="J495" s="1310"/>
      <c r="K495" s="1278"/>
      <c r="L495" s="1125">
        <v>100</v>
      </c>
    </row>
    <row r="496" spans="1:12" s="1279" customFormat="1" ht="20.100000000000001" customHeight="1">
      <c r="A496" s="1377">
        <f>IF(A495&gt;0,1,0)</f>
        <v>0</v>
      </c>
      <c r="B496" s="1587"/>
      <c r="C496" s="1390"/>
      <c r="D496" s="1411"/>
      <c r="E496" s="1635" t="s">
        <v>2342</v>
      </c>
      <c r="F496" s="1312"/>
      <c r="G496" s="1312"/>
      <c r="H496" s="1353">
        <f t="shared" si="21"/>
        <v>0</v>
      </c>
      <c r="I496" s="1310"/>
      <c r="J496" s="1310"/>
      <c r="K496" s="1278"/>
      <c r="L496" s="1125">
        <v>100</v>
      </c>
    </row>
    <row r="497" spans="1:12" s="1279" customFormat="1" ht="20.100000000000001" customHeight="1">
      <c r="A497" s="1377">
        <f t="shared" si="20"/>
        <v>0</v>
      </c>
      <c r="B497" s="1378" t="s">
        <v>704</v>
      </c>
      <c r="C497" s="1312"/>
      <c r="D497" s="1274">
        <f>VLOOKUP($B497,DG!A:D,DG!$B$2,)</f>
        <v>0</v>
      </c>
      <c r="E497" s="1275" t="str">
        <f>VLOOKUP($B497,DG!A:D,DG!$C$2,)</f>
        <v>Cáp 24KV C/XLPE/PVC 25mm2</v>
      </c>
      <c r="F497" s="1274" t="str">
        <f>VLOOKUP($B497,DG!A:D,DG!$D$2,)</f>
        <v>mét</v>
      </c>
      <c r="G497" s="1312">
        <f>3*G495</f>
        <v>0</v>
      </c>
      <c r="H497" s="1353">
        <f t="shared" si="21"/>
        <v>0</v>
      </c>
      <c r="I497" s="1310"/>
      <c r="J497" s="1310"/>
      <c r="K497" s="1278"/>
      <c r="L497" s="1125">
        <v>100</v>
      </c>
    </row>
    <row r="498" spans="1:12" s="1279" customFormat="1" ht="20.100000000000001" customHeight="1">
      <c r="A498" s="1377">
        <f t="shared" si="20"/>
        <v>0</v>
      </c>
      <c r="B498" s="1378" t="s">
        <v>1531</v>
      </c>
      <c r="C498" s="1312"/>
      <c r="D498" s="1274" t="str">
        <f>VLOOKUP($B498,DG!A:D,DG!$B$2,)</f>
        <v>04.3007</v>
      </c>
      <c r="E498" s="1275" t="str">
        <f>VLOOKUP($B498,DG!A:D,DG!$C$2,)</f>
        <v>Kẹp quai 2/0</v>
      </c>
      <c r="F498" s="1274" t="str">
        <f>VLOOKUP($B498,DG!A:D,DG!$D$2,)</f>
        <v>cái</v>
      </c>
      <c r="G498" s="1312">
        <f>G495</f>
        <v>0</v>
      </c>
      <c r="H498" s="1353">
        <f t="shared" si="21"/>
        <v>0</v>
      </c>
      <c r="I498" s="1310"/>
      <c r="J498" s="1310"/>
      <c r="K498" s="1278"/>
      <c r="L498" s="1125">
        <v>100</v>
      </c>
    </row>
    <row r="499" spans="1:12" s="1279" customFormat="1" ht="20.100000000000001" customHeight="1">
      <c r="A499" s="1377">
        <f t="shared" si="20"/>
        <v>0</v>
      </c>
      <c r="B499" s="1378" t="s">
        <v>1529</v>
      </c>
      <c r="C499" s="1312"/>
      <c r="D499" s="1274" t="str">
        <f>VLOOKUP($B499,DG!A:D,DG!$B$2,)</f>
        <v>04.3007</v>
      </c>
      <c r="E499" s="1275" t="str">
        <f>VLOOKUP($B499,DG!A:D,DG!$C$2,)</f>
        <v>Kẹp hotline 2/0</v>
      </c>
      <c r="F499" s="1274" t="str">
        <f>VLOOKUP($B499,DG!A:D,DG!$D$2,)</f>
        <v>cái</v>
      </c>
      <c r="G499" s="1312">
        <f>G495</f>
        <v>0</v>
      </c>
      <c r="H499" s="1353">
        <f t="shared" si="21"/>
        <v>0</v>
      </c>
      <c r="I499" s="1310"/>
      <c r="J499" s="1310"/>
      <c r="K499" s="1278"/>
      <c r="L499" s="1125">
        <v>100</v>
      </c>
    </row>
    <row r="500" spans="1:12" s="1279" customFormat="1" ht="20.100000000000001" customHeight="1">
      <c r="A500" s="1377">
        <f t="shared" si="20"/>
        <v>0</v>
      </c>
      <c r="B500" s="1378" t="s">
        <v>1577</v>
      </c>
      <c r="C500" s="1312"/>
      <c r="D500" s="1274" t="str">
        <f>VLOOKUP($B500,DG!A:D,DG!$B$2,)</f>
        <v>04.4201</v>
      </c>
      <c r="E500" s="1275" t="str">
        <f>VLOOKUP($B500,DG!A:D,DG!$C$2,)</f>
        <v>Lắp cáp đồng xuống thiết bị D ≤ 95mm2</v>
      </c>
      <c r="F500" s="1274" t="str">
        <f>VLOOKUP($B500,DG!A:D,DG!$D$2,)</f>
        <v>m</v>
      </c>
      <c r="G500" s="1312">
        <f>G497</f>
        <v>0</v>
      </c>
      <c r="H500" s="1353">
        <f t="shared" si="21"/>
        <v>0</v>
      </c>
      <c r="I500" s="1310"/>
      <c r="J500" s="1310"/>
      <c r="K500" s="1278"/>
      <c r="L500" s="1125">
        <v>100</v>
      </c>
    </row>
    <row r="501" spans="1:12" s="1279" customFormat="1" ht="20.100000000000001" customHeight="1">
      <c r="A501" s="1377">
        <f t="shared" si="20"/>
        <v>0</v>
      </c>
      <c r="B501" s="1582"/>
      <c r="C501" s="1390">
        <f>IF(G501&gt;0,C495+1,C495)</f>
        <v>0</v>
      </c>
      <c r="D501" s="1411"/>
      <c r="E501" s="1412" t="s">
        <v>3790</v>
      </c>
      <c r="F501" s="1390" t="s">
        <v>2449</v>
      </c>
      <c r="G501" s="1390">
        <f>G450</f>
        <v>0</v>
      </c>
      <c r="H501" s="1353">
        <f t="shared" si="21"/>
        <v>0</v>
      </c>
      <c r="I501" s="1310"/>
      <c r="J501" s="1310"/>
      <c r="K501" s="1278"/>
      <c r="L501" s="1125">
        <v>100</v>
      </c>
    </row>
    <row r="502" spans="1:12" s="1279" customFormat="1" ht="20.100000000000001" customHeight="1">
      <c r="A502" s="1377">
        <f>IF(A501&gt;0,1,0)</f>
        <v>0</v>
      </c>
      <c r="B502" s="1582"/>
      <c r="C502" s="1390"/>
      <c r="D502" s="1411"/>
      <c r="E502" s="1634" t="s">
        <v>2342</v>
      </c>
      <c r="F502" s="1390"/>
      <c r="G502" s="1390"/>
      <c r="H502" s="1353">
        <f t="shared" si="21"/>
        <v>0</v>
      </c>
      <c r="I502" s="1310"/>
      <c r="J502" s="1310"/>
      <c r="K502" s="1278"/>
      <c r="L502" s="1125">
        <v>100</v>
      </c>
    </row>
    <row r="503" spans="1:12" s="1279" customFormat="1" ht="20.100000000000001" customHeight="1">
      <c r="A503" s="1377">
        <f t="shared" si="20"/>
        <v>0</v>
      </c>
      <c r="B503" s="1582" t="s">
        <v>388</v>
      </c>
      <c r="C503" s="1390"/>
      <c r="D503" s="1274">
        <f>VLOOKUP($B503,DG!A:D,DG!$B$2,)</f>
        <v>0</v>
      </c>
      <c r="E503" s="1275" t="str">
        <f>VLOOKUP($B503,DG!A:D,DG!$C$2,)</f>
        <v>Cáp đồng bọc CV200</v>
      </c>
      <c r="F503" s="1274" t="str">
        <f>VLOOKUP($B503,DG!A:D,DG!$D$2,)</f>
        <v>mét</v>
      </c>
      <c r="G503" s="1312">
        <f>G501*9*2</f>
        <v>0</v>
      </c>
      <c r="H503" s="1353">
        <f t="shared" si="21"/>
        <v>0</v>
      </c>
      <c r="I503" s="1310"/>
      <c r="J503" s="1310"/>
      <c r="K503" s="1278"/>
      <c r="L503" s="1125">
        <v>100</v>
      </c>
    </row>
    <row r="504" spans="1:12" s="1279" customFormat="1" ht="20.100000000000001" customHeight="1">
      <c r="A504" s="1377">
        <f t="shared" si="20"/>
        <v>0</v>
      </c>
      <c r="B504" s="1582" t="s">
        <v>49</v>
      </c>
      <c r="C504" s="1390"/>
      <c r="D504" s="1274">
        <f>VLOOKUP($B504,DG!A:D,DG!$B$2,)</f>
        <v>0</v>
      </c>
      <c r="E504" s="1275" t="str">
        <f>VLOOKUP($B504,DG!A:D,DG!$C$2,)</f>
        <v>Cáp đồng bọc CV120</v>
      </c>
      <c r="F504" s="1274" t="str">
        <f>VLOOKUP($B504,DG!A:D,DG!$D$2,)</f>
        <v>mét</v>
      </c>
      <c r="G504" s="1312"/>
      <c r="H504" s="1353">
        <f t="shared" si="21"/>
        <v>0</v>
      </c>
      <c r="I504" s="1310"/>
      <c r="J504" s="1310"/>
      <c r="K504" s="1278"/>
      <c r="L504" s="1125">
        <v>100</v>
      </c>
    </row>
    <row r="505" spans="1:12" s="1279" customFormat="1" ht="20.100000000000001" customHeight="1">
      <c r="A505" s="1377">
        <f t="shared" si="20"/>
        <v>0</v>
      </c>
      <c r="B505" s="1582" t="s">
        <v>1099</v>
      </c>
      <c r="C505" s="1312"/>
      <c r="D505" s="1274" t="str">
        <f>VLOOKUP($B505,DG!A:D,DG!$B$2,)</f>
        <v>03.1401</v>
      </c>
      <c r="E505" s="1275" t="str">
        <f>VLOOKUP($B505,DG!A:D,DG!$C$2,)</f>
        <v xml:space="preserve">Cáp CVV 4x2,5mm2  </v>
      </c>
      <c r="F505" s="1274" t="str">
        <f>VLOOKUP($B505,DG!A:D,DG!$D$2,)</f>
        <v>mét</v>
      </c>
      <c r="G505" s="1312"/>
      <c r="H505" s="1353">
        <f t="shared" si="21"/>
        <v>0</v>
      </c>
      <c r="I505" s="1310"/>
      <c r="J505" s="1310"/>
      <c r="K505" s="1278"/>
      <c r="L505" s="1125">
        <v>100</v>
      </c>
    </row>
    <row r="506" spans="1:12" s="1279" customFormat="1" ht="20.100000000000001" customHeight="1">
      <c r="A506" s="1377">
        <f t="shared" si="20"/>
        <v>0</v>
      </c>
      <c r="B506" s="1587" t="s">
        <v>389</v>
      </c>
      <c r="C506" s="1312"/>
      <c r="D506" s="1274" t="str">
        <f>VLOOKUP($B506,DG!A:D,DG!$B$2,)</f>
        <v>03.4008</v>
      </c>
      <c r="E506" s="1275" t="str">
        <f>VLOOKUP($B506,DG!A:D,DG!$C$2,)</f>
        <v>Đầu cosse ép Cu 200mm2</v>
      </c>
      <c r="F506" s="1274" t="str">
        <f>VLOOKUP($B506,DG!A:D,DG!$D$2,)</f>
        <v>cái</v>
      </c>
      <c r="G506" s="1312"/>
      <c r="H506" s="1353">
        <f t="shared" si="21"/>
        <v>0</v>
      </c>
      <c r="I506" s="1310"/>
      <c r="J506" s="1310"/>
      <c r="K506" s="1278"/>
      <c r="L506" s="1125">
        <v>100</v>
      </c>
    </row>
    <row r="507" spans="1:12" s="1279" customFormat="1" ht="20.100000000000001" customHeight="1">
      <c r="A507" s="1377">
        <f t="shared" si="20"/>
        <v>0</v>
      </c>
      <c r="B507" s="1587" t="str">
        <f>IF(G455=1,"Cos"&amp;RIGHT(B$346,2),"Cos"&amp;RIGHT(B$346,2))</f>
        <v>Cos70</v>
      </c>
      <c r="C507" s="1312"/>
      <c r="D507" s="1274" t="str">
        <f>VLOOKUP($B507,DG!A:D,DG!$B$2,)</f>
        <v>03.4003</v>
      </c>
      <c r="E507" s="1275" t="str">
        <f>VLOOKUP($B507,DG!A:D,DG!$C$2,)</f>
        <v>Đầu cosse ép Cu 70mm2</v>
      </c>
      <c r="F507" s="1274" t="str">
        <f>VLOOKUP($B507,DG!A:D,DG!$D$2,)</f>
        <v>cái</v>
      </c>
      <c r="G507" s="1312"/>
      <c r="H507" s="1353">
        <f t="shared" si="21"/>
        <v>0</v>
      </c>
      <c r="I507" s="1310"/>
      <c r="J507" s="1310"/>
      <c r="K507" s="1278"/>
      <c r="L507" s="1125">
        <v>100</v>
      </c>
    </row>
    <row r="508" spans="1:12" s="1279" customFormat="1" ht="20.100000000000001" customHeight="1">
      <c r="A508" s="1377">
        <f t="shared" si="20"/>
        <v>0</v>
      </c>
      <c r="B508" s="1587" t="s">
        <v>615</v>
      </c>
      <c r="C508" s="1312"/>
      <c r="D508" s="1274">
        <f>VLOOKUP($B508,DG!A:D,DG!$B$2,)</f>
        <v>0</v>
      </c>
      <c r="E508" s="1275" t="str">
        <f>VLOOKUP($B508,DG!A:D,DG!$C$2,)</f>
        <v>Chụp đầu cosse  200mm2</v>
      </c>
      <c r="F508" s="1274" t="str">
        <f>VLOOKUP($B508,DG!A:D,DG!$D$2,)</f>
        <v>cái</v>
      </c>
      <c r="G508" s="1312"/>
      <c r="H508" s="1353">
        <f t="shared" si="21"/>
        <v>0</v>
      </c>
      <c r="I508" s="1310"/>
      <c r="J508" s="1310"/>
      <c r="K508" s="1278"/>
      <c r="L508" s="1125">
        <v>100</v>
      </c>
    </row>
    <row r="509" spans="1:12" s="1279" customFormat="1" ht="20.100000000000001" customHeight="1">
      <c r="A509" s="1377">
        <f t="shared" si="20"/>
        <v>0</v>
      </c>
      <c r="B509" s="1587" t="s">
        <v>2140</v>
      </c>
      <c r="C509" s="1312"/>
      <c r="D509" s="1274">
        <f>VLOOKUP($B509,DG!A:D,DG!$B$2,)</f>
        <v>0</v>
      </c>
      <c r="E509" s="1275" t="str">
        <f>VLOOKUP($B509,DG!A:D,DG!$C$2,)</f>
        <v>Chụp đầu cosse  70mm2</v>
      </c>
      <c r="F509" s="1274" t="str">
        <f>VLOOKUP($B509,DG!A:D,DG!$D$2,)</f>
        <v>cái</v>
      </c>
      <c r="G509" s="1312"/>
      <c r="H509" s="1353">
        <f t="shared" si="21"/>
        <v>0</v>
      </c>
      <c r="I509" s="1310"/>
      <c r="J509" s="1310"/>
      <c r="K509" s="1278"/>
      <c r="L509" s="1125">
        <v>100</v>
      </c>
    </row>
    <row r="510" spans="1:12" s="1279" customFormat="1" ht="20.100000000000001" customHeight="1">
      <c r="A510" s="1377">
        <f t="shared" si="20"/>
        <v>0</v>
      </c>
      <c r="B510" s="1587" t="s">
        <v>1072</v>
      </c>
      <c r="C510" s="1312"/>
      <c r="D510" s="1274">
        <f>VLOOKUP($B510,DG!A:D,DG!$B$2,)</f>
        <v>0</v>
      </c>
      <c r="E510" s="1275" t="str">
        <f>VLOOKUP($B510,DG!A:D,DG!$C$2,)</f>
        <v xml:space="preserve">Ống PVC D114x4,9mm </v>
      </c>
      <c r="F510" s="1274" t="str">
        <f>VLOOKUP($B510,DG!A:D,DG!$D$2,)</f>
        <v>m</v>
      </c>
      <c r="G510" s="1312">
        <f>8*G501</f>
        <v>0</v>
      </c>
      <c r="H510" s="1353">
        <f t="shared" si="21"/>
        <v>0</v>
      </c>
      <c r="I510" s="1310"/>
      <c r="J510" s="1310"/>
      <c r="K510" s="1278"/>
      <c r="L510" s="1125">
        <v>100</v>
      </c>
    </row>
    <row r="511" spans="1:12" s="1279" customFormat="1" ht="20.100000000000001" customHeight="1">
      <c r="A511" s="1377">
        <f t="shared" si="20"/>
        <v>0</v>
      </c>
      <c r="B511" s="1378" t="s">
        <v>1915</v>
      </c>
      <c r="C511" s="1312"/>
      <c r="D511" s="1274" t="str">
        <f>VLOOKUP($B511,DG!A:D,DG!$B$2,)</f>
        <v>06.3231</v>
      </c>
      <c r="E511" s="1275" t="str">
        <f>VLOOKUP($B511,DG!A:D,DG!$C$2,)</f>
        <v>Cổ dê kẹp ống PVC Ø 114</v>
      </c>
      <c r="F511" s="1274" t="str">
        <f>VLOOKUP($B511,DG!A:D,DG!$D$2,)</f>
        <v>bộ</v>
      </c>
      <c r="G511" s="1312">
        <f>3*G501</f>
        <v>0</v>
      </c>
      <c r="H511" s="1353">
        <f t="shared" si="21"/>
        <v>0</v>
      </c>
      <c r="I511" s="1310"/>
      <c r="J511" s="1310"/>
      <c r="K511" s="1278"/>
      <c r="L511" s="1125">
        <v>100</v>
      </c>
    </row>
    <row r="512" spans="1:12" s="1279" customFormat="1" ht="20.100000000000001" customHeight="1">
      <c r="A512" s="1377">
        <f t="shared" si="20"/>
        <v>0</v>
      </c>
      <c r="B512" s="1587" t="s">
        <v>1917</v>
      </c>
      <c r="C512" s="1312"/>
      <c r="D512" s="1274">
        <f>VLOOKUP($B512,DG!A:D,DG!$B$2,)</f>
        <v>0</v>
      </c>
      <c r="E512" s="1275" t="str">
        <f>VLOOKUP($B512,DG!A:D,DG!$C$2,)</f>
        <v>Co  90 độ PVC 114</v>
      </c>
      <c r="F512" s="1274" t="str">
        <f>VLOOKUP($B512,DG!A:D,DG!$D$2,)</f>
        <v>cái</v>
      </c>
      <c r="G512" s="1312">
        <f>2*G501</f>
        <v>0</v>
      </c>
      <c r="H512" s="1353">
        <f t="shared" si="21"/>
        <v>0</v>
      </c>
      <c r="I512" s="1310"/>
      <c r="J512" s="1310"/>
      <c r="K512" s="1278"/>
      <c r="L512" s="1125">
        <v>100</v>
      </c>
    </row>
    <row r="513" spans="1:12" s="1279" customFormat="1" ht="20.100000000000001" customHeight="1">
      <c r="A513" s="1377">
        <f t="shared" si="20"/>
        <v>0</v>
      </c>
      <c r="B513" s="1587" t="s">
        <v>695</v>
      </c>
      <c r="C513" s="1312"/>
      <c r="D513" s="1274">
        <f>VLOOKUP($B513,DG!A:D,DG!$B$2,)</f>
        <v>0</v>
      </c>
      <c r="E513" s="1275" t="str">
        <f>VLOOKUP($B513,DG!A:D,DG!$C$2,)</f>
        <v>Nối ống PVC 114</v>
      </c>
      <c r="F513" s="1274" t="str">
        <f>VLOOKUP($B513,DG!A:D,DG!$D$2,)</f>
        <v>cái</v>
      </c>
      <c r="G513" s="1312">
        <f>G501</f>
        <v>0</v>
      </c>
      <c r="H513" s="1353">
        <f t="shared" si="21"/>
        <v>0</v>
      </c>
      <c r="I513" s="1310"/>
      <c r="J513" s="1310"/>
      <c r="K513" s="1278"/>
      <c r="L513" s="1125">
        <v>100</v>
      </c>
    </row>
    <row r="514" spans="1:12" s="1279" customFormat="1" ht="20.100000000000001" customHeight="1">
      <c r="A514" s="1377">
        <f t="shared" si="20"/>
        <v>0</v>
      </c>
      <c r="B514" s="1587" t="s">
        <v>2136</v>
      </c>
      <c r="C514" s="1312"/>
      <c r="D514" s="1274">
        <f>VLOOKUP($B514,DG!A:D,DG!$B$2,)</f>
        <v>0</v>
      </c>
      <c r="E514" s="1275" t="str">
        <f>VLOOKUP($B514,DG!A:D,DG!$C$2,)</f>
        <v>Keo dán ống PVC (100gr)</v>
      </c>
      <c r="F514" s="1274" t="str">
        <f>VLOOKUP($B514,DG!A:D,DG!$D$2,)</f>
        <v>tuýp</v>
      </c>
      <c r="G514" s="1312">
        <f>G501</f>
        <v>0</v>
      </c>
      <c r="H514" s="1353">
        <f t="shared" si="21"/>
        <v>0</v>
      </c>
      <c r="I514" s="1310"/>
      <c r="J514" s="1310"/>
      <c r="K514" s="1278"/>
      <c r="L514" s="1125">
        <v>100</v>
      </c>
    </row>
    <row r="515" spans="1:12" s="1279" customFormat="1" ht="20.100000000000001" customHeight="1">
      <c r="A515" s="1377">
        <f t="shared" si="20"/>
        <v>0</v>
      </c>
      <c r="B515" s="1587" t="s">
        <v>492</v>
      </c>
      <c r="C515" s="1312"/>
      <c r="D515" s="1274">
        <f>VLOOKUP($B515,DG!A:D,DG!$B$2,)</f>
        <v>0</v>
      </c>
      <c r="E515" s="1275" t="str">
        <f>VLOOKUP($B515,DG!A:D,DG!$C$2,)</f>
        <v>Keo silicon bít miệng ống</v>
      </c>
      <c r="F515" s="1274" t="str">
        <f>VLOOKUP($B515,DG!A:D,DG!$D$2,)</f>
        <v>ống</v>
      </c>
      <c r="G515" s="1312">
        <f>G501</f>
        <v>0</v>
      </c>
      <c r="H515" s="1353">
        <f t="shared" si="21"/>
        <v>0</v>
      </c>
      <c r="I515" s="1310"/>
      <c r="J515" s="1310"/>
      <c r="K515" s="1278"/>
      <c r="L515" s="1125">
        <v>100</v>
      </c>
    </row>
    <row r="516" spans="1:12" s="1279" customFormat="1" ht="20.100000000000001" customHeight="1">
      <c r="A516" s="1377">
        <f t="shared" si="20"/>
        <v>0</v>
      </c>
      <c r="B516" s="1378" t="s">
        <v>677</v>
      </c>
      <c r="C516" s="1312"/>
      <c r="D516" s="1414"/>
      <c r="E516" s="1275" t="str">
        <f>VLOOKUP($B516,DG!A:D,DG!$C$2,)</f>
        <v>Băng keo cách điện</v>
      </c>
      <c r="F516" s="1274" t="str">
        <f>VLOOKUP($B516,DG!A:D,DG!$D$2,)</f>
        <v>cuộn</v>
      </c>
      <c r="G516" s="1312">
        <f>G501</f>
        <v>0</v>
      </c>
      <c r="H516" s="1353">
        <f t="shared" si="21"/>
        <v>0</v>
      </c>
      <c r="I516" s="1310"/>
      <c r="J516" s="1310"/>
      <c r="K516" s="1278"/>
      <c r="L516" s="1125">
        <v>100</v>
      </c>
    </row>
    <row r="517" spans="1:12" s="1279" customFormat="1" ht="20.100000000000001" customHeight="1">
      <c r="A517" s="1377">
        <f t="shared" si="20"/>
        <v>0</v>
      </c>
      <c r="B517" s="1587" t="s">
        <v>2244</v>
      </c>
      <c r="C517" s="1312"/>
      <c r="D517" s="1274" t="str">
        <f>VLOOKUP($B517,DG!A:D,DG!$B$2,)</f>
        <v>07.2415</v>
      </c>
      <c r="E517" s="1275" t="str">
        <f>VLOOKUP($B517,DG!A:D,DG!$C$2,)</f>
        <v>Lắp ống nhựa PVC D90</v>
      </c>
      <c r="F517" s="1274" t="str">
        <f>VLOOKUP($B517,DG!A:D,DG!$D$2,)</f>
        <v>mét</v>
      </c>
      <c r="G517" s="1312">
        <f>G510</f>
        <v>0</v>
      </c>
      <c r="H517" s="1353">
        <f t="shared" si="21"/>
        <v>0</v>
      </c>
      <c r="I517" s="1310"/>
      <c r="J517" s="1310"/>
      <c r="K517" s="1278"/>
      <c r="L517" s="1125">
        <v>100</v>
      </c>
    </row>
    <row r="518" spans="1:12" s="1279" customFormat="1" ht="20.100000000000001" customHeight="1">
      <c r="A518" s="1377">
        <f t="shared" si="20"/>
        <v>0</v>
      </c>
      <c r="B518" s="1378" t="s">
        <v>1577</v>
      </c>
      <c r="C518" s="1312"/>
      <c r="D518" s="1274" t="str">
        <f>VLOOKUP($B518,DG!A:D,DG!$B$2,)</f>
        <v>04.4201</v>
      </c>
      <c r="E518" s="1275" t="str">
        <f>VLOOKUP($B518,DG!A:D,DG!$C$2,)</f>
        <v>Lắp cáp đồng xuống thiết bị D ≤ 95mm2</v>
      </c>
      <c r="F518" s="1274" t="str">
        <f>VLOOKUP($B518,DG!A:D,DG!$D$2,)</f>
        <v>m</v>
      </c>
      <c r="G518" s="1312">
        <f>G503+G504</f>
        <v>0</v>
      </c>
      <c r="H518" s="1353">
        <f t="shared" si="21"/>
        <v>0</v>
      </c>
      <c r="I518" s="1310"/>
      <c r="J518" s="1310"/>
      <c r="K518" s="1278"/>
      <c r="L518" s="1125">
        <v>100</v>
      </c>
    </row>
    <row r="519" spans="1:12" s="1279" customFormat="1" ht="20.100000000000001" customHeight="1">
      <c r="A519" s="1377">
        <f t="shared" si="20"/>
        <v>0</v>
      </c>
      <c r="B519" s="1587" t="s">
        <v>290</v>
      </c>
      <c r="C519" s="1394">
        <f>IF(G519&gt;0,C501+1,C501)</f>
        <v>0</v>
      </c>
      <c r="D519" s="1416"/>
      <c r="E519" s="1275" t="str">
        <f>VLOOKUP($B519,DG!A:D,DG!$C$2,)</f>
        <v>Bảng tên trạm, bảng báo nguy hiểm + đinh vít</v>
      </c>
      <c r="F519" s="1274" t="str">
        <f>VLOOKUP($B519,DG!A:D,DG!$D$2,)</f>
        <v>bộ</v>
      </c>
      <c r="G519" s="1394">
        <f>G473</f>
        <v>0</v>
      </c>
      <c r="H519" s="1353">
        <f t="shared" si="21"/>
        <v>0</v>
      </c>
      <c r="I519" s="1310"/>
      <c r="J519" s="1310"/>
      <c r="K519" s="1298"/>
      <c r="L519" s="1125">
        <v>100</v>
      </c>
    </row>
    <row r="520" spans="1:12" s="1279" customFormat="1" ht="20.100000000000001" customHeight="1">
      <c r="A520" s="1377">
        <f t="shared" si="20"/>
        <v>0</v>
      </c>
      <c r="B520" s="1582"/>
      <c r="C520" s="1417"/>
      <c r="D520" s="1418"/>
      <c r="E520" s="1264"/>
      <c r="F520" s="1419"/>
      <c r="G520" s="1419"/>
      <c r="H520" s="1353">
        <f t="shared" si="21"/>
        <v>0</v>
      </c>
      <c r="I520" s="1420"/>
      <c r="J520" s="1421"/>
      <c r="K520" s="1354"/>
      <c r="L520" s="1125"/>
    </row>
    <row r="521" spans="1:12" s="1279" customFormat="1" ht="20.100000000000001" customHeight="1">
      <c r="A521" s="1377">
        <f t="shared" si="20"/>
        <v>0</v>
      </c>
      <c r="B521" s="1582"/>
      <c r="C521" s="1385"/>
      <c r="D521" s="1428"/>
      <c r="E521" s="1429"/>
      <c r="H521" s="1353">
        <f t="shared" si="21"/>
        <v>0</v>
      </c>
      <c r="L521" s="1125"/>
    </row>
    <row r="522" spans="1:12" s="1279" customFormat="1" ht="20.100000000000001" customHeight="1">
      <c r="A522" s="1377">
        <f t="shared" si="20"/>
        <v>0</v>
      </c>
      <c r="B522" s="1582"/>
      <c r="C522" s="1352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22"/>
      <c r="E522" s="1300"/>
      <c r="F522" s="1300"/>
      <c r="G522" s="1300"/>
      <c r="H522" s="1353">
        <f t="shared" si="21"/>
        <v>0</v>
      </c>
      <c r="I522" s="1300"/>
      <c r="J522" s="1300"/>
      <c r="L522" s="1125"/>
    </row>
    <row r="523" spans="1:12" s="1279" customFormat="1" ht="20.100000000000001" customHeight="1">
      <c r="A523" s="1377">
        <f t="shared" si="20"/>
        <v>0</v>
      </c>
      <c r="B523" s="1582"/>
      <c r="C523" s="1380"/>
      <c r="D523" s="1381"/>
      <c r="E523" s="1264" t="s">
        <v>3771</v>
      </c>
      <c r="F523" s="1383"/>
      <c r="G523" s="1383"/>
      <c r="H523" s="1353">
        <f t="shared" si="21"/>
        <v>0</v>
      </c>
      <c r="I523" s="1383"/>
      <c r="J523" s="1383"/>
      <c r="K523" s="1381"/>
      <c r="L523" s="1125" t="s">
        <v>1292</v>
      </c>
    </row>
    <row r="524" spans="1:12" s="1279" customFormat="1" ht="20.100000000000001" customHeight="1">
      <c r="A524" s="1377">
        <f t="shared" si="20"/>
        <v>0</v>
      </c>
      <c r="B524" s="1583" t="s">
        <v>830</v>
      </c>
      <c r="C524" s="1286">
        <f>IF(G524&gt;0,1,0)</f>
        <v>0</v>
      </c>
      <c r="D524" s="1274" t="str">
        <f>VLOOKUP($B524,DG!A:D,DG!$B$2,)</f>
        <v>01.1161</v>
      </c>
      <c r="E524" s="1275" t="str">
        <f>VLOOKUP($B524,DG!A:D,DG!$C$2,)</f>
        <v>Máy biến áp 12,7/0,22-0,44kV  15kVA</v>
      </c>
      <c r="F524" s="1274" t="str">
        <f>VLOOKUP($B524,DG!A:D,DG!$D$2,)</f>
        <v>máy</v>
      </c>
      <c r="G524" s="1423">
        <f>K6*3</f>
        <v>0</v>
      </c>
      <c r="H524" s="1353">
        <f t="shared" si="21"/>
        <v>0</v>
      </c>
      <c r="I524" s="1310"/>
      <c r="J524" s="1310"/>
      <c r="K524" s="1278"/>
      <c r="L524" s="1125" t="s">
        <v>1292</v>
      </c>
    </row>
    <row r="525" spans="1:12" s="1279" customFormat="1" ht="20.100000000000001" customHeight="1">
      <c r="A525" s="1377">
        <f t="shared" si="20"/>
        <v>0</v>
      </c>
      <c r="B525" s="1583" t="s">
        <v>1704</v>
      </c>
      <c r="C525" s="1312">
        <f>IF(G525&gt;0,C524+1,C524)</f>
        <v>0</v>
      </c>
      <c r="D525" s="1274" t="str">
        <f>VLOOKUP($B525,DG!A:D,DG!$B$2,)</f>
        <v>02.3155</v>
      </c>
      <c r="E525" s="1275" t="str">
        <f>VLOOKUP($B525,DG!A:D,DG!$C$2,)</f>
        <v>FCO 24kV - 100A</v>
      </c>
      <c r="F525" s="1274" t="str">
        <f>VLOOKUP($B525,DG!A:D,DG!$D$2,)</f>
        <v>cái</v>
      </c>
      <c r="G525" s="1312">
        <f>+G524</f>
        <v>0</v>
      </c>
      <c r="H525" s="1353">
        <f t="shared" si="21"/>
        <v>0</v>
      </c>
      <c r="I525" s="1310"/>
      <c r="J525" s="1310"/>
      <c r="K525" s="1278"/>
      <c r="L525" s="1125" t="s">
        <v>1292</v>
      </c>
    </row>
    <row r="526" spans="1:12" s="1279" customFormat="1" ht="20.100000000000001" customHeight="1">
      <c r="A526" s="1377">
        <f t="shared" si="20"/>
        <v>0</v>
      </c>
      <c r="B526" s="1583" t="s">
        <v>905</v>
      </c>
      <c r="C526" s="1312">
        <f>IF(G526&gt;0,C525+1,C525)</f>
        <v>0</v>
      </c>
      <c r="D526" s="1274">
        <f>VLOOKUP($B526,DG!A:D,DG!$B$2,)</f>
        <v>0</v>
      </c>
      <c r="E526" s="1275" t="str">
        <f>VLOOKUP($B526,DG!A:D,DG!$C$2,)</f>
        <v>Dây chảy 3K</v>
      </c>
      <c r="F526" s="1274" t="str">
        <f>VLOOKUP($B526,DG!A:D,DG!$D$2,)</f>
        <v>Sợi</v>
      </c>
      <c r="G526" s="1312">
        <f>G525</f>
        <v>0</v>
      </c>
      <c r="H526" s="1353">
        <f t="shared" si="21"/>
        <v>0</v>
      </c>
      <c r="I526" s="1310"/>
      <c r="J526" s="1310"/>
      <c r="K526" s="1278"/>
      <c r="L526" s="1125" t="s">
        <v>1292</v>
      </c>
    </row>
    <row r="527" spans="1:12" s="1279" customFormat="1" ht="20.100000000000001" customHeight="1">
      <c r="A527" s="1377">
        <f t="shared" si="20"/>
        <v>0</v>
      </c>
      <c r="B527" s="1582" t="s">
        <v>1406</v>
      </c>
      <c r="C527" s="1312">
        <f>IF(G527&gt;0,C526+1,C526)</f>
        <v>0</v>
      </c>
      <c r="D527" s="1274" t="str">
        <f>VLOOKUP($B527,DG!A:D,DG!$B$2,)</f>
        <v>02.5114</v>
      </c>
      <c r="E527" s="1275" t="str">
        <f>VLOOKUP($B527,DG!A:D,DG!$C$2,)</f>
        <v>LA 18kV 10kA</v>
      </c>
      <c r="F527" s="1274" t="str">
        <f>VLOOKUP($B527,DG!A:D,DG!$D$2,)</f>
        <v>cái</v>
      </c>
      <c r="G527" s="1312">
        <f>G525</f>
        <v>0</v>
      </c>
      <c r="H527" s="1353">
        <f t="shared" si="21"/>
        <v>0</v>
      </c>
      <c r="I527" s="1310"/>
      <c r="J527" s="1310"/>
      <c r="K527" s="1278"/>
      <c r="L527" s="1125" t="s">
        <v>1292</v>
      </c>
    </row>
    <row r="528" spans="1:12" s="1279" customFormat="1" ht="20.100000000000001" customHeight="1">
      <c r="A528" s="1377">
        <f t="shared" si="20"/>
        <v>0</v>
      </c>
      <c r="B528" s="1584" t="s">
        <v>81</v>
      </c>
      <c r="C528" s="1312">
        <f>IF(G528&gt;0,C527+1,C527)</f>
        <v>0</v>
      </c>
      <c r="D528" s="1274" t="str">
        <f>VLOOKUP($B528,DG!A:D,DG!$B$2,)</f>
        <v>02.8401</v>
      </c>
      <c r="E528" s="1275" t="str">
        <f>VLOOKUP($B528,DG!A:D,DG!$C$2,)</f>
        <v>MCCB 3 cực 400V-75A - 10KA</v>
      </c>
      <c r="F528" s="1274" t="str">
        <f>VLOOKUP($B528,DG!A:D,DG!$D$2,)</f>
        <v>cái</v>
      </c>
      <c r="G528" s="1312">
        <f>G524/3</f>
        <v>0</v>
      </c>
      <c r="H528" s="1353">
        <f t="shared" si="21"/>
        <v>0</v>
      </c>
      <c r="I528" s="1310"/>
      <c r="J528" s="1310"/>
      <c r="K528" s="1278"/>
      <c r="L528" s="1125" t="s">
        <v>1292</v>
      </c>
    </row>
    <row r="529" spans="1:13" s="1279" customFormat="1" ht="20.100000000000001" customHeight="1">
      <c r="A529" s="1377">
        <f t="shared" si="20"/>
        <v>0</v>
      </c>
      <c r="B529" s="1615" t="s">
        <v>1424</v>
      </c>
      <c r="C529" s="1312">
        <f>IF(G529&gt;0,C528+1,C528)</f>
        <v>0</v>
      </c>
      <c r="D529" s="1274">
        <f>VLOOKUP($B529,DG!A:D,DG!$B$2,)</f>
        <v>0</v>
      </c>
      <c r="E529" s="1275" t="str">
        <f>VLOOKUP($B529,DG!A:D,DG!$C$2,)</f>
        <v>Điện kế 3 pha 4 dây 220/380V-50(100)A</v>
      </c>
      <c r="F529" s="1274" t="str">
        <f>VLOOKUP($B529,DG!A:D,DG!$D$2,)</f>
        <v>cái</v>
      </c>
      <c r="G529" s="1312">
        <f>G526/3</f>
        <v>0</v>
      </c>
      <c r="H529" s="1353">
        <f t="shared" si="21"/>
        <v>0</v>
      </c>
      <c r="I529" s="1310"/>
      <c r="J529" s="1310"/>
      <c r="K529" s="1298" t="s">
        <v>2666</v>
      </c>
      <c r="L529" s="1125" t="s">
        <v>1292</v>
      </c>
    </row>
    <row r="530" spans="1:13" s="1279" customFormat="1" ht="20.100000000000001" customHeight="1">
      <c r="A530" s="1377">
        <f t="shared" si="20"/>
        <v>0</v>
      </c>
      <c r="B530" s="1582"/>
      <c r="C530" s="1309"/>
      <c r="D530" s="1430"/>
      <c r="E530" s="1384"/>
      <c r="F530" s="1309"/>
      <c r="G530" s="1309"/>
      <c r="H530" s="1353">
        <f t="shared" si="21"/>
        <v>0</v>
      </c>
      <c r="I530" s="1384"/>
      <c r="J530" s="1309"/>
      <c r="K530" s="1431"/>
      <c r="L530" s="1125" t="s">
        <v>1292</v>
      </c>
    </row>
    <row r="531" spans="1:13" s="1279" customFormat="1" ht="20.100000000000001" customHeight="1">
      <c r="A531" s="1377">
        <f t="shared" si="20"/>
        <v>0</v>
      </c>
      <c r="B531" s="1582"/>
      <c r="C531" s="1407"/>
      <c r="D531" s="1432"/>
      <c r="E531" s="1264" t="s">
        <v>3772</v>
      </c>
      <c r="F531" s="1264"/>
      <c r="G531" s="1264"/>
      <c r="H531" s="1353">
        <f t="shared" si="21"/>
        <v>0</v>
      </c>
      <c r="I531" s="1264"/>
      <c r="J531" s="1264"/>
      <c r="K531" s="1354"/>
      <c r="L531" s="1125" t="s">
        <v>1292</v>
      </c>
    </row>
    <row r="532" spans="1:13" s="1279" customFormat="1" ht="20.100000000000001" customHeight="1">
      <c r="A532" s="1377">
        <f t="shared" si="20"/>
        <v>0</v>
      </c>
      <c r="B532" s="1582"/>
      <c r="C532" s="1433">
        <f>IF(G532&gt;0,1,0)</f>
        <v>0</v>
      </c>
      <c r="D532" s="1434"/>
      <c r="E532" s="1435" t="s">
        <v>3791</v>
      </c>
      <c r="F532" s="1433" t="s">
        <v>2449</v>
      </c>
      <c r="G532" s="1433">
        <f>G524/3</f>
        <v>0</v>
      </c>
      <c r="H532" s="1353">
        <f t="shared" si="21"/>
        <v>0</v>
      </c>
      <c r="I532" s="1436"/>
      <c r="J532" s="1436"/>
      <c r="K532" s="1424"/>
      <c r="L532" s="1125" t="s">
        <v>1292</v>
      </c>
    </row>
    <row r="533" spans="1:13" s="1279" customFormat="1" ht="20.100000000000001" customHeight="1">
      <c r="A533" s="1377">
        <f>IF(A532&gt;0,1,0)</f>
        <v>0</v>
      </c>
      <c r="B533" s="1582"/>
      <c r="C533" s="1390"/>
      <c r="D533" s="1437"/>
      <c r="E533" s="1635" t="s">
        <v>2342</v>
      </c>
      <c r="F533" s="1312"/>
      <c r="G533" s="1312"/>
      <c r="H533" s="1353">
        <f t="shared" si="21"/>
        <v>0</v>
      </c>
      <c r="I533" s="1438"/>
      <c r="J533" s="1438"/>
      <c r="K533" s="1278"/>
      <c r="L533" s="1125" t="s">
        <v>1292</v>
      </c>
    </row>
    <row r="534" spans="1:13" s="1279" customFormat="1" ht="20.100000000000001" customHeight="1">
      <c r="A534" s="1377">
        <f t="shared" si="20"/>
        <v>0</v>
      </c>
      <c r="B534" s="1378" t="s">
        <v>1638</v>
      </c>
      <c r="C534" s="1390"/>
      <c r="D534" s="1274" t="str">
        <f>VLOOKUP($B534,DG!A:D,DG!$B$2,)</f>
        <v>05.6100</v>
      </c>
      <c r="E534" s="1275" t="str">
        <f>VLOOKUP($B534,DG!A:D,DG!$C$2,)</f>
        <v>Giá chùm treo máy biến áp 3x15</v>
      </c>
      <c r="F534" s="1274" t="str">
        <f>VLOOKUP($B534,DG!A:D,DG!$D$2,)</f>
        <v>bô</v>
      </c>
      <c r="G534" s="1346">
        <f>G532*24.13*0+1*G532</f>
        <v>0</v>
      </c>
      <c r="H534" s="1353">
        <f t="shared" si="21"/>
        <v>0</v>
      </c>
      <c r="I534" s="1310"/>
      <c r="J534" s="1310"/>
      <c r="K534" s="1278"/>
      <c r="L534" s="1125" t="s">
        <v>1292</v>
      </c>
    </row>
    <row r="535" spans="1:13" s="1279" customFormat="1" ht="20.100000000000001" customHeight="1">
      <c r="A535" s="1377">
        <f t="shared" si="20"/>
        <v>0</v>
      </c>
      <c r="B535" s="1582" t="s">
        <v>1839</v>
      </c>
      <c r="C535" s="1390"/>
      <c r="D535" s="1274">
        <f>VLOOKUP($B535,DG!A:D,DG!$B$2,)</f>
        <v>0</v>
      </c>
      <c r="E535" s="1275" t="str">
        <f>VLOOKUP($B535,DG!A:D,DG!$C$2,)</f>
        <v>Boulon 16x50+ 2 long đền vuông D18-50x50x3/Zn</v>
      </c>
      <c r="F535" s="1274" t="str">
        <f>VLOOKUP($B535,DG!A:D,DG!$D$2,)</f>
        <v>bộ</v>
      </c>
      <c r="G535" s="1312">
        <f>6*G532</f>
        <v>0</v>
      </c>
      <c r="H535" s="1353">
        <f t="shared" si="21"/>
        <v>0</v>
      </c>
      <c r="I535" s="1310"/>
      <c r="J535" s="1310"/>
      <c r="K535" s="1278"/>
      <c r="L535" s="1125" t="s">
        <v>1292</v>
      </c>
    </row>
    <row r="536" spans="1:13" s="1279" customFormat="1" ht="20.100000000000001" customHeight="1">
      <c r="A536" s="1377">
        <f t="shared" ref="A536:A599" si="22">IF(H536&gt;0,1,0)</f>
        <v>0</v>
      </c>
      <c r="B536" s="1582" t="s">
        <v>1662</v>
      </c>
      <c r="C536" s="1390"/>
      <c r="D536" s="1274">
        <f>VLOOKUP($B536,DG!A:D,DG!$B$2,)</f>
        <v>0</v>
      </c>
      <c r="E536" s="1275" t="str">
        <f>VLOOKUP($B536,DG!A:D,DG!$C$2,)</f>
        <v>Boulon 16x300+ 2 long đền vuông D18-50x50x3/Zn</v>
      </c>
      <c r="F536" s="1274" t="str">
        <f>VLOOKUP($B536,DG!A:D,DG!$D$2,)</f>
        <v>bộ</v>
      </c>
      <c r="G536" s="1312">
        <f>2*G532</f>
        <v>0</v>
      </c>
      <c r="H536" s="1353">
        <f t="shared" si="21"/>
        <v>0</v>
      </c>
      <c r="I536" s="1310"/>
      <c r="J536" s="1310"/>
      <c r="K536" s="1278"/>
      <c r="L536" s="1125" t="s">
        <v>1292</v>
      </c>
    </row>
    <row r="537" spans="1:13" s="1279" customFormat="1" ht="20.100000000000001" customHeight="1">
      <c r="A537" s="1377">
        <f t="shared" si="22"/>
        <v>0</v>
      </c>
      <c r="B537" s="1582"/>
      <c r="C537" s="1273">
        <f>IF(G537&gt;0,C532+1,C532)</f>
        <v>0</v>
      </c>
      <c r="D537" s="1411"/>
      <c r="E537" s="1412" t="s">
        <v>3773</v>
      </c>
      <c r="F537" s="1390" t="s">
        <v>2449</v>
      </c>
      <c r="G537" s="1390"/>
      <c r="H537" s="1353">
        <f t="shared" si="21"/>
        <v>0</v>
      </c>
      <c r="I537" s="1342"/>
      <c r="J537" s="1342"/>
      <c r="K537" s="1312"/>
      <c r="L537" s="1125" t="s">
        <v>1292</v>
      </c>
    </row>
    <row r="538" spans="1:13" s="1279" customFormat="1" ht="20.100000000000001" customHeight="1">
      <c r="A538" s="1377">
        <f>IF(A537&gt;0,1,0)</f>
        <v>0</v>
      </c>
      <c r="B538" s="1582"/>
      <c r="C538" s="1390"/>
      <c r="D538" s="1411"/>
      <c r="E538" s="1634" t="s">
        <v>2342</v>
      </c>
      <c r="F538" s="1312"/>
      <c r="G538" s="1312"/>
      <c r="H538" s="1353">
        <f t="shared" si="21"/>
        <v>0</v>
      </c>
      <c r="I538" s="1342"/>
      <c r="J538" s="1342"/>
      <c r="K538" s="1312"/>
      <c r="L538" s="1125" t="s">
        <v>1292</v>
      </c>
      <c r="M538" s="1413"/>
    </row>
    <row r="539" spans="1:13" s="1279" customFormat="1" ht="20.100000000000001" customHeight="1">
      <c r="A539" s="1377">
        <f t="shared" si="22"/>
        <v>0</v>
      </c>
      <c r="B539" s="1378" t="s">
        <v>116</v>
      </c>
      <c r="C539" s="1312"/>
      <c r="D539" s="1274">
        <f>VLOOKUP($B539,DG!A:D,DG!$B$2,)</f>
        <v>0</v>
      </c>
      <c r="E539" s="1275" t="str">
        <f>VLOOKUP($B539,DG!A:D,DG!$C$2,)</f>
        <v>Trụ BTLT 12m F350 dự ứng lực</v>
      </c>
      <c r="F539" s="1274" t="str">
        <f>VLOOKUP($B539,DG!A:D,DG!$D$2,)</f>
        <v>trụ</v>
      </c>
      <c r="G539" s="1312">
        <f>1*G537</f>
        <v>0</v>
      </c>
      <c r="H539" s="1353">
        <f t="shared" si="21"/>
        <v>0</v>
      </c>
      <c r="I539" s="1310"/>
      <c r="J539" s="1310"/>
      <c r="K539" s="1312"/>
      <c r="L539" s="1125" t="s">
        <v>1292</v>
      </c>
      <c r="M539" s="1413"/>
    </row>
    <row r="540" spans="1:13" s="1279" customFormat="1" ht="20.100000000000001" customHeight="1">
      <c r="A540" s="1377">
        <f t="shared" si="22"/>
        <v>0</v>
      </c>
      <c r="B540" s="1378" t="s">
        <v>1867</v>
      </c>
      <c r="C540" s="1312"/>
      <c r="D540" s="1414"/>
      <c r="E540" s="1275" t="str">
        <f>VLOOKUP($B540,DG!A:D,DG!$C$2,)</f>
        <v>Vật liệu dựng trụ</v>
      </c>
      <c r="F540" s="1274" t="str">
        <f>VLOOKUP($B540,DG!A:D,DG!$D$2,)</f>
        <v>trụ</v>
      </c>
      <c r="G540" s="1312">
        <f>G539</f>
        <v>0</v>
      </c>
      <c r="H540" s="1353">
        <f t="shared" si="21"/>
        <v>0</v>
      </c>
      <c r="I540" s="1310"/>
      <c r="J540" s="1310"/>
      <c r="K540" s="1312"/>
      <c r="L540" s="1125" t="s">
        <v>1292</v>
      </c>
      <c r="M540" s="1413"/>
    </row>
    <row r="541" spans="1:13" s="1279" customFormat="1" ht="20.100000000000001" customHeight="1">
      <c r="A541" s="1377">
        <f t="shared" si="22"/>
        <v>0</v>
      </c>
      <c r="B541" s="1378" t="s">
        <v>2188</v>
      </c>
      <c r="C541" s="1312"/>
      <c r="D541" s="1414"/>
      <c r="E541" s="1275" t="str">
        <f>VLOOKUP($B541,DG!A:D,DG!$C$2,)</f>
        <v>Dựng trụ BTLT 12m trong TBA bằng thủ công + cơ giới</v>
      </c>
      <c r="F541" s="1274" t="str">
        <f>VLOOKUP($B541,DG!A:D,DG!$D$2,)</f>
        <v>trụ</v>
      </c>
      <c r="G541" s="1312">
        <f>G539</f>
        <v>0</v>
      </c>
      <c r="H541" s="1353">
        <f t="shared" si="21"/>
        <v>0</v>
      </c>
      <c r="I541" s="1310"/>
      <c r="J541" s="1310"/>
      <c r="K541" s="1312"/>
      <c r="L541" s="1125" t="s">
        <v>1292</v>
      </c>
      <c r="M541" s="1413"/>
    </row>
    <row r="542" spans="1:13" s="1279" customFormat="1" ht="20.100000000000001" customHeight="1">
      <c r="A542" s="1377">
        <f t="shared" si="22"/>
        <v>0</v>
      </c>
      <c r="B542" s="1582"/>
      <c r="C542" s="1273">
        <f>IF(G542&gt;0,C537+1,C537)</f>
        <v>0</v>
      </c>
      <c r="D542" s="1411"/>
      <c r="E542" s="1412" t="s">
        <v>2416</v>
      </c>
      <c r="F542" s="1390" t="s">
        <v>2449</v>
      </c>
      <c r="G542" s="1390"/>
      <c r="H542" s="1353">
        <f t="shared" si="21"/>
        <v>0</v>
      </c>
      <c r="I542" s="1342"/>
      <c r="J542" s="1342"/>
      <c r="K542" s="1312"/>
      <c r="L542" s="1125" t="s">
        <v>1292</v>
      </c>
    </row>
    <row r="543" spans="1:13" s="1279" customFormat="1" ht="20.100000000000001" customHeight="1">
      <c r="A543" s="1377">
        <f>IF(A542&gt;0,1,0)</f>
        <v>0</v>
      </c>
      <c r="B543" s="1582"/>
      <c r="C543" s="1390"/>
      <c r="D543" s="1411"/>
      <c r="E543" s="1634" t="s">
        <v>2342</v>
      </c>
      <c r="F543" s="1312"/>
      <c r="G543" s="1312"/>
      <c r="H543" s="1353">
        <f t="shared" si="21"/>
        <v>0</v>
      </c>
      <c r="I543" s="1342"/>
      <c r="J543" s="1342"/>
      <c r="K543" s="1312"/>
      <c r="L543" s="1125" t="s">
        <v>1292</v>
      </c>
      <c r="M543" s="1413"/>
    </row>
    <row r="544" spans="1:13" s="1279" customFormat="1" ht="20.100000000000001" customHeight="1">
      <c r="A544" s="1377">
        <f t="shared" si="22"/>
        <v>0</v>
      </c>
      <c r="B544" s="1589" t="s">
        <v>231</v>
      </c>
      <c r="C544" s="1312"/>
      <c r="D544" s="1274" t="str">
        <f>VLOOKUP($B544,DG!A:D,DG!$B$2,)</f>
        <v>04.4001</v>
      </c>
      <c r="E544" s="1275" t="str">
        <f>VLOOKUP($B544,DG!A:D,DG!$C$2,)</f>
        <v>Đà cản BTCT 1,2m</v>
      </c>
      <c r="F544" s="1274" t="str">
        <f>VLOOKUP($B544,DG!A:D,DG!$D$2,)</f>
        <v>cái</v>
      </c>
      <c r="G544" s="1312">
        <f>1*G542</f>
        <v>0</v>
      </c>
      <c r="H544" s="1353">
        <f t="shared" si="21"/>
        <v>0</v>
      </c>
      <c r="I544" s="1310"/>
      <c r="J544" s="1310"/>
      <c r="K544" s="1312"/>
      <c r="L544" s="1125" t="s">
        <v>1292</v>
      </c>
      <c r="M544" s="1413"/>
    </row>
    <row r="545" spans="1:13" s="1279" customFormat="1" ht="20.100000000000001" customHeight="1">
      <c r="A545" s="1377">
        <f t="shared" si="22"/>
        <v>0</v>
      </c>
      <c r="B545" s="1589" t="s">
        <v>401</v>
      </c>
      <c r="C545" s="1312"/>
      <c r="D545" s="1274">
        <f>VLOOKUP($B545,DG!A:D,DG!$B$2,)</f>
        <v>0</v>
      </c>
      <c r="E545" s="1275" t="str">
        <f>VLOOKUP($B545,DG!A:D,DG!$C$2,)</f>
        <v>Boulon 22x650+ 2 long đền vuông D24-50x50x3/Zn</v>
      </c>
      <c r="F545" s="1274" t="str">
        <f>VLOOKUP($B545,DG!A:D,DG!$D$2,)</f>
        <v>bộ</v>
      </c>
      <c r="G545" s="1312">
        <f>G542</f>
        <v>0</v>
      </c>
      <c r="H545" s="1353">
        <f t="shared" si="21"/>
        <v>0</v>
      </c>
      <c r="I545" s="1310"/>
      <c r="J545" s="1310"/>
      <c r="K545" s="1312"/>
      <c r="L545" s="1125" t="s">
        <v>1292</v>
      </c>
      <c r="M545" s="1413"/>
    </row>
    <row r="546" spans="1:13" s="1279" customFormat="1" ht="20.100000000000001" customHeight="1">
      <c r="A546" s="1377">
        <f t="shared" si="22"/>
        <v>0</v>
      </c>
      <c r="B546" s="1589" t="str">
        <f>IF(chitiet!F5=1,"MDD1",IF(chitiet!F5=2,"MDD2",IF(chitiet!F5=3,"MDD3",IF(chitiet!F5=4,"MDD4"))))</f>
        <v>MDD3</v>
      </c>
      <c r="C546" s="1312"/>
      <c r="D546" s="1274" t="str">
        <f>VLOOKUP($B546,DG!A:D,DG!$B$2,)</f>
        <v>03.1013</v>
      </c>
      <c r="E546" s="1275" t="str">
        <f>VLOOKUP($B546,DG!A:D,DG!$C$2,)</f>
        <v>Đào hố móng đất cấp 3 sâu &gt;1m DT&lt;5m2</v>
      </c>
      <c r="F546" s="1274" t="str">
        <f>VLOOKUP($B546,DG!A:D,DG!$D$2,)</f>
        <v>m3</v>
      </c>
      <c r="G546" s="1346">
        <f>G542*1.45</f>
        <v>0</v>
      </c>
      <c r="H546" s="1353">
        <f t="shared" si="21"/>
        <v>0</v>
      </c>
      <c r="I546" s="1310"/>
      <c r="J546" s="1310"/>
      <c r="K546" s="1312"/>
      <c r="L546" s="1125" t="s">
        <v>1292</v>
      </c>
      <c r="M546" s="1413"/>
    </row>
    <row r="547" spans="1:13" s="1279" customFormat="1" ht="20.100000000000001" customHeight="1">
      <c r="A547" s="1377">
        <f t="shared" si="22"/>
        <v>0</v>
      </c>
      <c r="B547" s="1589" t="str">
        <f>IF(chitiet!F5=1,"MDAP1",IF(chitiet!F5=2,"MDAP2",IF(chitiet!F5=3,"MDAP3",IF(chitiet!F5=4,"MDAP4"))))</f>
        <v>MDAP3</v>
      </c>
      <c r="C547" s="1312"/>
      <c r="D547" s="1274" t="str">
        <f>VLOOKUP($B547,DG!A:D,DG!$B$2,)</f>
        <v>03.4113</v>
      </c>
      <c r="E547" s="1275" t="str">
        <f>VLOOKUP($B547,DG!A:D,DG!$C$2,)</f>
        <v>Đắp đất hố móng, độ chặt k=0,95</v>
      </c>
      <c r="F547" s="1274" t="str">
        <f>VLOOKUP($B547,DG!A:D,DG!$D$2,)</f>
        <v>m3</v>
      </c>
      <c r="G547" s="1346">
        <f>G542*1.37</f>
        <v>0</v>
      </c>
      <c r="H547" s="1353">
        <f t="shared" si="21"/>
        <v>0</v>
      </c>
      <c r="I547" s="1310"/>
      <c r="J547" s="1310"/>
      <c r="K547" s="1312"/>
      <c r="L547" s="1125" t="s">
        <v>1292</v>
      </c>
      <c r="M547" s="1413"/>
    </row>
    <row r="548" spans="1:13" s="1279" customFormat="1" ht="20.100000000000001" customHeight="1">
      <c r="A548" s="1377">
        <f t="shared" si="22"/>
        <v>0</v>
      </c>
      <c r="B548" s="1582"/>
      <c r="C548" s="1390">
        <f>IF(G548&gt;0,C542+1,C542)</f>
        <v>0</v>
      </c>
      <c r="D548" s="1437"/>
      <c r="E548" s="1425" t="s">
        <v>3792</v>
      </c>
      <c r="F548" s="1390" t="s">
        <v>2449</v>
      </c>
      <c r="G548" s="1390">
        <f>G532</f>
        <v>0</v>
      </c>
      <c r="H548" s="1353">
        <f t="shared" ref="H548:H611" si="23">IF(L548=$L$23,G548+I548-J548,0)</f>
        <v>0</v>
      </c>
      <c r="I548" s="1404"/>
      <c r="J548" s="1404"/>
      <c r="K548" s="1278"/>
      <c r="L548" s="1125" t="s">
        <v>1292</v>
      </c>
    </row>
    <row r="549" spans="1:13" s="1279" customFormat="1" ht="20.100000000000001" customHeight="1">
      <c r="A549" s="1377">
        <f>IF(A548&gt;0,1,0)</f>
        <v>0</v>
      </c>
      <c r="B549" s="1582"/>
      <c r="C549" s="1390"/>
      <c r="D549" s="1437"/>
      <c r="E549" s="1635" t="s">
        <v>2342</v>
      </c>
      <c r="F549" s="1312"/>
      <c r="G549" s="1312"/>
      <c r="H549" s="1353">
        <f t="shared" si="23"/>
        <v>0</v>
      </c>
      <c r="I549" s="1404"/>
      <c r="J549" s="1404"/>
      <c r="K549" s="1278"/>
      <c r="L549" s="1125" t="s">
        <v>1292</v>
      </c>
    </row>
    <row r="550" spans="1:13" s="1279" customFormat="1" ht="20.100000000000001" customHeight="1">
      <c r="A550" s="1377">
        <f t="shared" si="22"/>
        <v>0</v>
      </c>
      <c r="B550" s="1589" t="s">
        <v>110</v>
      </c>
      <c r="C550" s="1390"/>
      <c r="D550" s="1274">
        <f>VLOOKUP($B550,DG!A:D,DG!$B$2,)</f>
        <v>0</v>
      </c>
      <c r="E550" s="1275" t="str">
        <f>VLOOKUP($B550,DG!A:D,DG!$C$2,)</f>
        <v>Sắt góc L75 x75 x8</v>
      </c>
      <c r="F550" s="1274" t="str">
        <f>VLOOKUP($B550,DG!A:D,DG!$D$2,)</f>
        <v>kg</v>
      </c>
      <c r="G550" s="1346">
        <f>G548*9.02*(2.2+4*0.07)</f>
        <v>0</v>
      </c>
      <c r="H550" s="1353">
        <f t="shared" si="23"/>
        <v>0</v>
      </c>
      <c r="I550" s="1310"/>
      <c r="J550" s="1310"/>
      <c r="K550" s="1278"/>
      <c r="L550" s="1125" t="s">
        <v>1292</v>
      </c>
    </row>
    <row r="551" spans="1:13" s="1279" customFormat="1" ht="20.100000000000001" customHeight="1">
      <c r="A551" s="1377">
        <f t="shared" si="22"/>
        <v>0</v>
      </c>
      <c r="B551" s="1582" t="s">
        <v>460</v>
      </c>
      <c r="C551" s="1390"/>
      <c r="D551" s="1274">
        <f>VLOOKUP($B551,DG!A:D,DG!$B$2,)</f>
        <v>0</v>
      </c>
      <c r="E551" s="1275" t="str">
        <f>VLOOKUP($B551,DG!A:D,DG!$C$2,)</f>
        <v>Sắt góc L50 x50 x5</v>
      </c>
      <c r="F551" s="1274" t="str">
        <f>VLOOKUP($B551,DG!A:D,DG!$D$2,)</f>
        <v>kg</v>
      </c>
      <c r="G551" s="1346">
        <f>G548*2*3.77*0.81</f>
        <v>0</v>
      </c>
      <c r="H551" s="1353">
        <f t="shared" si="23"/>
        <v>0</v>
      </c>
      <c r="I551" s="1310"/>
      <c r="J551" s="1310"/>
      <c r="K551" s="1278"/>
      <c r="L551" s="1125" t="s">
        <v>1292</v>
      </c>
    </row>
    <row r="552" spans="1:13" s="1279" customFormat="1" ht="20.100000000000001" customHeight="1">
      <c r="A552" s="1377">
        <f t="shared" si="22"/>
        <v>0</v>
      </c>
      <c r="B552" s="1582" t="s">
        <v>1839</v>
      </c>
      <c r="C552" s="1390"/>
      <c r="D552" s="1274">
        <f>VLOOKUP($B552,DG!A:D,DG!$B$2,)</f>
        <v>0</v>
      </c>
      <c r="E552" s="1275" t="str">
        <f>VLOOKUP($B552,DG!A:D,DG!$C$2,)</f>
        <v>Boulon 16x50+ 2 long đền vuông D18-50x50x3/Zn</v>
      </c>
      <c r="F552" s="1274" t="str">
        <f>VLOOKUP($B552,DG!A:D,DG!$D$2,)</f>
        <v>bộ</v>
      </c>
      <c r="G552" s="1312">
        <f>4*G548</f>
        <v>0</v>
      </c>
      <c r="H552" s="1353">
        <f t="shared" si="23"/>
        <v>0</v>
      </c>
      <c r="I552" s="1310"/>
      <c r="J552" s="1310"/>
      <c r="K552" s="1278"/>
      <c r="L552" s="1125" t="s">
        <v>1292</v>
      </c>
    </row>
    <row r="553" spans="1:13" s="1279" customFormat="1" ht="20.100000000000001" customHeight="1">
      <c r="A553" s="1377">
        <f t="shared" si="22"/>
        <v>0</v>
      </c>
      <c r="B553" s="1582" t="s">
        <v>1661</v>
      </c>
      <c r="C553" s="1390"/>
      <c r="D553" s="1274">
        <f>VLOOKUP($B553,DG!A:D,DG!$B$2,)</f>
        <v>0</v>
      </c>
      <c r="E553" s="1275" t="str">
        <f>VLOOKUP($B553,DG!A:D,DG!$C$2,)</f>
        <v>Boulon 16x250+ 2 long đền vuông D18-50x50x3/Zn</v>
      </c>
      <c r="F553" s="1274" t="str">
        <f>VLOOKUP($B553,DG!A:D,DG!$D$2,)</f>
        <v>bộ</v>
      </c>
      <c r="G553" s="1312">
        <f>2*G548</f>
        <v>0</v>
      </c>
      <c r="H553" s="1353">
        <f t="shared" si="23"/>
        <v>0</v>
      </c>
      <c r="I553" s="1310"/>
      <c r="J553" s="1310"/>
      <c r="K553" s="1278"/>
      <c r="L553" s="1125" t="s">
        <v>1292</v>
      </c>
    </row>
    <row r="554" spans="1:13" s="1279" customFormat="1" ht="20.100000000000001" customHeight="1">
      <c r="A554" s="1377">
        <f t="shared" si="22"/>
        <v>0</v>
      </c>
      <c r="B554" s="1582" t="s">
        <v>2333</v>
      </c>
      <c r="C554" s="1390"/>
      <c r="D554" s="1274">
        <f>VLOOKUP($B554,DG!A:D,DG!$B$2,)</f>
        <v>0</v>
      </c>
      <c r="E554" s="1275" t="str">
        <f>VLOOKUP($B554,DG!A:D,DG!$C$2,)</f>
        <v>Bass LL bắt FCO và LA</v>
      </c>
      <c r="F554" s="1274" t="str">
        <f>VLOOKUP($B554,DG!A:D,DG!$D$2,)</f>
        <v>bộ</v>
      </c>
      <c r="G554" s="1312">
        <f>G548*3</f>
        <v>0</v>
      </c>
      <c r="H554" s="1353">
        <f t="shared" si="23"/>
        <v>0</v>
      </c>
      <c r="I554" s="1310"/>
      <c r="J554" s="1310"/>
      <c r="K554" s="1278"/>
      <c r="L554" s="1125" t="s">
        <v>1292</v>
      </c>
    </row>
    <row r="555" spans="1:13" s="1279" customFormat="1" ht="20.100000000000001" customHeight="1">
      <c r="A555" s="1377">
        <f t="shared" si="22"/>
        <v>0</v>
      </c>
      <c r="B555" s="1582" t="s">
        <v>519</v>
      </c>
      <c r="C555" s="1390"/>
      <c r="D555" s="1274" t="str">
        <f>VLOOKUP($B555,DG!A:D,DG!$B$2,)</f>
        <v>05.6102</v>
      </c>
      <c r="E555" s="1275" t="str">
        <f>VLOOKUP($B555,DG!A:D,DG!$C$2,)</f>
        <v>Lắp xà đỡ ≤ 50kg</v>
      </c>
      <c r="F555" s="1274" t="str">
        <f>VLOOKUP($B555,DG!A:D,DG!$D$2,)</f>
        <v>bộ</v>
      </c>
      <c r="G555" s="1312">
        <f>G548</f>
        <v>0</v>
      </c>
      <c r="H555" s="1353">
        <f t="shared" si="23"/>
        <v>0</v>
      </c>
      <c r="I555" s="1310"/>
      <c r="J555" s="1310"/>
      <c r="K555" s="1278"/>
      <c r="L555" s="1125" t="s">
        <v>1292</v>
      </c>
    </row>
    <row r="556" spans="1:13" s="1279" customFormat="1" ht="20.100000000000001" customHeight="1">
      <c r="A556" s="1377">
        <f t="shared" si="22"/>
        <v>0</v>
      </c>
      <c r="B556" s="1582"/>
      <c r="C556" s="1390">
        <f>IF(G556&gt;0,C548+1,C548)</f>
        <v>0</v>
      </c>
      <c r="D556" s="1437"/>
      <c r="E556" s="1425" t="s">
        <v>3793</v>
      </c>
      <c r="F556" s="1390" t="s">
        <v>2449</v>
      </c>
      <c r="G556" s="1390">
        <f>G532</f>
        <v>0</v>
      </c>
      <c r="H556" s="1353">
        <f t="shared" si="23"/>
        <v>0</v>
      </c>
      <c r="I556" s="1404"/>
      <c r="J556" s="1404"/>
      <c r="K556" s="1278"/>
      <c r="L556" s="1125" t="s">
        <v>1292</v>
      </c>
    </row>
    <row r="557" spans="1:13" s="1279" customFormat="1" ht="20.100000000000001" customHeight="1">
      <c r="A557" s="1377">
        <f t="shared" si="22"/>
        <v>0</v>
      </c>
      <c r="B557" s="1582"/>
      <c r="C557" s="1390"/>
      <c r="D557" s="1437"/>
      <c r="E557" s="1278" t="s">
        <v>3794</v>
      </c>
      <c r="F557" s="1312"/>
      <c r="G557" s="1312"/>
      <c r="H557" s="1353">
        <f t="shared" si="23"/>
        <v>0</v>
      </c>
      <c r="I557" s="1404"/>
      <c r="J557" s="1404"/>
      <c r="K557" s="1278"/>
      <c r="L557" s="1125" t="s">
        <v>1292</v>
      </c>
    </row>
    <row r="558" spans="1:13" s="1279" customFormat="1" ht="20.100000000000001" customHeight="1">
      <c r="A558" s="1377">
        <f t="shared" si="22"/>
        <v>0</v>
      </c>
      <c r="B558" s="1582" t="s">
        <v>103</v>
      </c>
      <c r="C558" s="1312"/>
      <c r="D558" s="1274">
        <f>VLOOKUP($B558,DG!A:D,DG!$B$2,)</f>
        <v>0</v>
      </c>
      <c r="E558" s="1275" t="str">
        <f>VLOOKUP($B558,DG!A:D,DG!$C$2,)</f>
        <v>Cáp đồng trần M25mm2</v>
      </c>
      <c r="F558" s="1274" t="str">
        <f>VLOOKUP($B558,DG!A:D,DG!$D$2,)</f>
        <v>kg</v>
      </c>
      <c r="G558" s="1396">
        <f>H2*G556*0.224</f>
        <v>0</v>
      </c>
      <c r="H558" s="1353">
        <f t="shared" si="23"/>
        <v>0</v>
      </c>
      <c r="I558" s="1310"/>
      <c r="J558" s="1310"/>
      <c r="K558" s="1278"/>
      <c r="L558" s="1125" t="s">
        <v>1292</v>
      </c>
    </row>
    <row r="559" spans="1:13" s="1279" customFormat="1" ht="20.100000000000001" customHeight="1">
      <c r="A559" s="1377">
        <f t="shared" si="22"/>
        <v>0</v>
      </c>
      <c r="B559" s="1378" t="s">
        <v>1560</v>
      </c>
      <c r="C559" s="1312"/>
      <c r="D559" s="1274">
        <f>VLOOKUP($B559,DG!A:D,DG!$B$2,)</f>
        <v>0</v>
      </c>
      <c r="E559" s="1275" t="str">
        <f>VLOOKUP($B559,DG!A:D,DG!$C$2,)</f>
        <v>Cọc tiếp đất Ø 16- 2,4m + kẹp cọc</v>
      </c>
      <c r="F559" s="1274" t="str">
        <f>VLOOKUP($B559,DG!A:D,DG!$D$2,)</f>
        <v>bộ</v>
      </c>
      <c r="G559" s="1312">
        <f>(H3)*G556</f>
        <v>0</v>
      </c>
      <c r="H559" s="1353">
        <f t="shared" si="23"/>
        <v>0</v>
      </c>
      <c r="I559" s="1310"/>
      <c r="J559" s="1310"/>
      <c r="K559" s="1278"/>
      <c r="L559" s="1125" t="s">
        <v>1292</v>
      </c>
    </row>
    <row r="560" spans="1:13" s="1279" customFormat="1" ht="20.100000000000001" customHeight="1">
      <c r="A560" s="1377">
        <f t="shared" si="22"/>
        <v>0</v>
      </c>
      <c r="B560" s="1378" t="s">
        <v>3532</v>
      </c>
      <c r="C560" s="1312"/>
      <c r="D560" s="1274">
        <f>VLOOKUP($B560,DG!A:D,DG!$B$2,)</f>
        <v>0</v>
      </c>
      <c r="E560" s="1275" t="str">
        <f>VLOOKUP($B560,DG!A:D,DG!$C$2,)</f>
        <v>Giếng tiếp địa khoan đá</v>
      </c>
      <c r="F560" s="1274" t="str">
        <f>VLOOKUP($B560,DG!A:D,DG!$D$2,)</f>
        <v>Cái</v>
      </c>
      <c r="G560" s="1312">
        <f>H3*G556</f>
        <v>0</v>
      </c>
      <c r="H560" s="1353">
        <f t="shared" si="23"/>
        <v>0</v>
      </c>
      <c r="I560" s="1310"/>
      <c r="J560" s="1310"/>
      <c r="K560" s="1278"/>
      <c r="L560" s="1125" t="s">
        <v>1292</v>
      </c>
    </row>
    <row r="561" spans="1:12" s="1279" customFormat="1" ht="20.100000000000001" customHeight="1">
      <c r="A561" s="1377">
        <f t="shared" si="22"/>
        <v>0</v>
      </c>
      <c r="B561" s="1378" t="s">
        <v>580</v>
      </c>
      <c r="C561" s="1312"/>
      <c r="D561" s="1274" t="str">
        <f>VLOOKUP($B561,DG!A:D,DG!$B$2,)</f>
        <v>07.2403</v>
      </c>
      <c r="E561" s="1275" t="str">
        <f>VLOOKUP($B561,DG!A:D,DG!$C$2,)</f>
        <v xml:space="preserve">Ống PVC D21x1,6mm </v>
      </c>
      <c r="F561" s="1274" t="str">
        <f>VLOOKUP($B561,DG!A:D,DG!$D$2,)</f>
        <v>m</v>
      </c>
      <c r="G561" s="1312">
        <f>6*G556</f>
        <v>0</v>
      </c>
      <c r="H561" s="1353">
        <f t="shared" si="23"/>
        <v>0</v>
      </c>
      <c r="I561" s="1310"/>
      <c r="J561" s="1310"/>
      <c r="K561" s="1278"/>
      <c r="L561" s="1125" t="s">
        <v>1292</v>
      </c>
    </row>
    <row r="562" spans="1:12" s="1279" customFormat="1" ht="20.100000000000001" customHeight="1">
      <c r="A562" s="1377">
        <f t="shared" si="22"/>
        <v>0</v>
      </c>
      <c r="B562" s="1587" t="s">
        <v>1631</v>
      </c>
      <c r="C562" s="1312"/>
      <c r="D562" s="1274">
        <f>VLOOKUP($B562,DG!A:D,DG!$B$2,)</f>
        <v>0</v>
      </c>
      <c r="E562" s="1275" t="str">
        <f>VLOOKUP($B562,DG!A:D,DG!$C$2,)</f>
        <v>Kẹp ép WR cỡ dây 50mm2</v>
      </c>
      <c r="F562" s="1274" t="str">
        <f>VLOOKUP($B562,DG!A:D,DG!$D$2,)</f>
        <v>cái</v>
      </c>
      <c r="G562" s="1312">
        <f>2*G556</f>
        <v>0</v>
      </c>
      <c r="H562" s="1353">
        <f t="shared" si="23"/>
        <v>0</v>
      </c>
      <c r="I562" s="1310"/>
      <c r="J562" s="1310"/>
      <c r="K562" s="1278"/>
      <c r="L562" s="1125" t="s">
        <v>1292</v>
      </c>
    </row>
    <row r="563" spans="1:12" s="1279" customFormat="1" ht="20.100000000000001" customHeight="1">
      <c r="A563" s="1377">
        <f t="shared" si="22"/>
        <v>0</v>
      </c>
      <c r="B563" s="1587" t="s">
        <v>104</v>
      </c>
      <c r="C563" s="1312"/>
      <c r="D563" s="1274" t="str">
        <f>VLOOKUP($B563,DG!A:D,DG!$B$2,)</f>
        <v>03.4001</v>
      </c>
      <c r="E563" s="1275" t="str">
        <f>VLOOKUP($B563,DG!A:D,DG!$C$2,)</f>
        <v>Đầu cosse ép Cu 25mm2</v>
      </c>
      <c r="F563" s="1274" t="str">
        <f>VLOOKUP($B563,DG!A:D,DG!$D$2,)</f>
        <v>cái</v>
      </c>
      <c r="G563" s="1312">
        <f>G556*2</f>
        <v>0</v>
      </c>
      <c r="H563" s="1353">
        <f t="shared" si="23"/>
        <v>0</v>
      </c>
      <c r="I563" s="1310"/>
      <c r="J563" s="1310"/>
      <c r="K563" s="1278"/>
      <c r="L563" s="1125" t="s">
        <v>1292</v>
      </c>
    </row>
    <row r="564" spans="1:12" s="1279" customFormat="1" ht="20.100000000000001" customHeight="1">
      <c r="A564" s="1377">
        <f t="shared" si="22"/>
        <v>0</v>
      </c>
      <c r="B564" s="1587" t="s">
        <v>139</v>
      </c>
      <c r="C564" s="1312"/>
      <c r="D564" s="1274">
        <f>VLOOKUP($B564,DG!A:D,DG!$B$2,)</f>
        <v>0</v>
      </c>
      <c r="E564" s="1275" t="str">
        <f>VLOOKUP($B564,DG!A:D,DG!$C$2,)</f>
        <v>Boulon 12x40+ 2 long đền vuông D14-50x50x3/Zn</v>
      </c>
      <c r="F564" s="1274" t="str">
        <f>VLOOKUP($B564,DG!A:D,DG!$D$2,)</f>
        <v>bộ</v>
      </c>
      <c r="G564" s="1312">
        <f>G556*1</f>
        <v>0</v>
      </c>
      <c r="H564" s="1353">
        <f t="shared" si="23"/>
        <v>0</v>
      </c>
      <c r="I564" s="1310"/>
      <c r="J564" s="1310"/>
      <c r="K564" s="1278"/>
      <c r="L564" s="1125" t="s">
        <v>1292</v>
      </c>
    </row>
    <row r="565" spans="1:12" s="1279" customFormat="1" ht="20.100000000000001" customHeight="1">
      <c r="A565" s="1377">
        <f t="shared" si="22"/>
        <v>0</v>
      </c>
      <c r="B565" s="1587" t="s">
        <v>824</v>
      </c>
      <c r="C565" s="1312"/>
      <c r="D565" s="1274" t="str">
        <f>VLOOKUP($B565,DG!A:D,DG!$B$2,)</f>
        <v>04.3107</v>
      </c>
      <c r="E565" s="1275" t="str">
        <f>VLOOKUP($B565,DG!A:D,DG!$C$2,)</f>
        <v>Ốc xiết cáp cỡ 25mm2</v>
      </c>
      <c r="F565" s="1274" t="str">
        <f>VLOOKUP($B565,DG!A:D,DG!$D$2,)</f>
        <v>cái</v>
      </c>
      <c r="G565" s="1312">
        <f>11*G556</f>
        <v>0</v>
      </c>
      <c r="H565" s="1353">
        <f t="shared" si="23"/>
        <v>0</v>
      </c>
      <c r="I565" s="1310"/>
      <c r="J565" s="1310"/>
      <c r="K565" s="1278"/>
      <c r="L565" s="1125" t="s">
        <v>1292</v>
      </c>
    </row>
    <row r="566" spans="1:12" s="1279" customFormat="1" ht="20.100000000000001" customHeight="1">
      <c r="A566" s="1377">
        <f t="shared" si="22"/>
        <v>0</v>
      </c>
      <c r="B566" s="1378" t="s">
        <v>1644</v>
      </c>
      <c r="C566" s="1312"/>
      <c r="D566" s="1274" t="str">
        <f>VLOOKUP($B566,DG!A:D,DG!$B$2,)</f>
        <v>06.3231</v>
      </c>
      <c r="E566" s="1275" t="str">
        <f>VLOOKUP($B566,DG!A:D,DG!$C$2,)</f>
        <v>Cổ dê kẹp ống PVC  21</v>
      </c>
      <c r="F566" s="1274" t="str">
        <f>VLOOKUP($B566,DG!A:D,DG!$D$2,)</f>
        <v>bộ</v>
      </c>
      <c r="G566" s="1346">
        <f>G556*3</f>
        <v>0</v>
      </c>
      <c r="H566" s="1353">
        <f t="shared" si="23"/>
        <v>0</v>
      </c>
      <c r="I566" s="1310"/>
      <c r="J566" s="1310"/>
      <c r="K566" s="1278"/>
      <c r="L566" s="1125" t="s">
        <v>1292</v>
      </c>
    </row>
    <row r="567" spans="1:12" s="1279" customFormat="1" ht="20.100000000000001" customHeight="1">
      <c r="A567" s="1377">
        <f t="shared" si="22"/>
        <v>0</v>
      </c>
      <c r="B567" s="1378" t="s">
        <v>1644</v>
      </c>
      <c r="C567" s="1312"/>
      <c r="D567" s="1274" t="str">
        <f>VLOOKUP($B567,DG!A:D,DG!$B$2,)</f>
        <v>06.3231</v>
      </c>
      <c r="E567" s="1275" t="str">
        <f>VLOOKUP($B567,DG!A:D,DG!$C$2,)&amp;": CD-280 1 cái"</f>
        <v>Cổ dê kẹp ống PVC  21: CD-280 1 cái</v>
      </c>
      <c r="F567" s="1274" t="str">
        <f>VLOOKUP($B567,DG!A:D,DG!$D$2,)</f>
        <v>bộ</v>
      </c>
      <c r="G567" s="1346">
        <f>G556*0.452*0</f>
        <v>0</v>
      </c>
      <c r="H567" s="1353">
        <f t="shared" si="23"/>
        <v>0</v>
      </c>
      <c r="I567" s="1310"/>
      <c r="J567" s="1310"/>
      <c r="K567" s="1278"/>
      <c r="L567" s="1125" t="s">
        <v>1292</v>
      </c>
    </row>
    <row r="568" spans="1:12" s="1279" customFormat="1" ht="20.100000000000001" customHeight="1">
      <c r="A568" s="1377">
        <f t="shared" si="22"/>
        <v>0</v>
      </c>
      <c r="B568" s="1378" t="s">
        <v>1644</v>
      </c>
      <c r="C568" s="1312"/>
      <c r="D568" s="1274" t="str">
        <f>VLOOKUP($B568,DG!A:D,DG!$B$2,)</f>
        <v>06.3231</v>
      </c>
      <c r="E568" s="1275" t="str">
        <f>VLOOKUP($B568,DG!A:D,DG!$C$2,)&amp;": CD-320 1 cái"</f>
        <v>Cổ dê kẹp ống PVC  21: CD-320 1 cái</v>
      </c>
      <c r="F568" s="1274" t="str">
        <f>VLOOKUP($B568,DG!A:D,DG!$D$2,)</f>
        <v>bộ</v>
      </c>
      <c r="G568" s="1346">
        <f>G556*0.5013*0</f>
        <v>0</v>
      </c>
      <c r="H568" s="1353">
        <f t="shared" si="23"/>
        <v>0</v>
      </c>
      <c r="I568" s="1310"/>
      <c r="J568" s="1310"/>
      <c r="K568" s="1278"/>
      <c r="L568" s="1125" t="s">
        <v>1292</v>
      </c>
    </row>
    <row r="569" spans="1:12" s="1279" customFormat="1" ht="20.100000000000001" customHeight="1">
      <c r="A569" s="1377">
        <f t="shared" si="22"/>
        <v>0</v>
      </c>
      <c r="B569" s="1378" t="s">
        <v>1161</v>
      </c>
      <c r="C569" s="1312"/>
      <c r="D569" s="1274" t="str">
        <f>VLOOKUP($B569,DG!A:D,DG!$B$2,)</f>
        <v>06.2110</v>
      </c>
      <c r="E569" s="1275" t="str">
        <f>VLOOKUP($B569,DG!A:D,DG!$C$2,)</f>
        <v>Lắp cổ dề</v>
      </c>
      <c r="F569" s="1274" t="str">
        <f>VLOOKUP($B569,DG!A:D,DG!$D$2,)</f>
        <v>bộ</v>
      </c>
      <c r="G569" s="1346">
        <f>G566</f>
        <v>0</v>
      </c>
      <c r="H569" s="1353">
        <f t="shared" si="23"/>
        <v>0</v>
      </c>
      <c r="I569" s="1310"/>
      <c r="J569" s="1310"/>
      <c r="K569" s="1278"/>
      <c r="L569" s="1125" t="s">
        <v>1292</v>
      </c>
    </row>
    <row r="570" spans="1:12" s="1279" customFormat="1" ht="20.100000000000001" customHeight="1">
      <c r="A570" s="1377">
        <f t="shared" si="22"/>
        <v>0</v>
      </c>
      <c r="B570" s="1587" t="s">
        <v>392</v>
      </c>
      <c r="C570" s="1312"/>
      <c r="D570" s="1274" t="str">
        <f>VLOOKUP($B570,DG!A:D,DG!$B$2,)</f>
        <v>04.7002</v>
      </c>
      <c r="E570" s="1275" t="str">
        <f>VLOOKUP($B570,DG!A:D,DG!$C$2,)</f>
        <v>Kéo dây tiếp địa trong TBA</v>
      </c>
      <c r="F570" s="1274" t="str">
        <f>VLOOKUP($B570,DG!A:D,DG!$D$2,)</f>
        <v>mét</v>
      </c>
      <c r="G570" s="1312">
        <f>G556*H3</f>
        <v>0</v>
      </c>
      <c r="H570" s="1353">
        <f t="shared" si="23"/>
        <v>0</v>
      </c>
      <c r="I570" s="1310"/>
      <c r="J570" s="1310"/>
      <c r="K570" s="1278"/>
      <c r="L570" s="1125" t="s">
        <v>1292</v>
      </c>
    </row>
    <row r="571" spans="1:12" s="1279" customFormat="1" ht="20.100000000000001" customHeight="1">
      <c r="A571" s="1377">
        <f t="shared" si="22"/>
        <v>0</v>
      </c>
      <c r="B571" s="1378" t="s">
        <v>1471</v>
      </c>
      <c r="C571" s="1312"/>
      <c r="D571" s="1274" t="str">
        <f>VLOOKUP($B571,DG!A:D,DG!$B$2,)</f>
        <v>04.7001</v>
      </c>
      <c r="E571" s="1275" t="str">
        <f>VLOOKUP($B571,DG!A:D,DG!$C$2,)</f>
        <v>Đóng cọc tiếp địa trong TBA</v>
      </c>
      <c r="F571" s="1274" t="str">
        <f>VLOOKUP($B571,DG!A:D,DG!$D$2,)</f>
        <v>cọc</v>
      </c>
      <c r="G571" s="1312">
        <f>G559</f>
        <v>0</v>
      </c>
      <c r="H571" s="1353">
        <f t="shared" si="23"/>
        <v>0</v>
      </c>
      <c r="I571" s="1310"/>
      <c r="J571" s="1310"/>
      <c r="K571" s="1278"/>
      <c r="L571" s="1125" t="s">
        <v>1292</v>
      </c>
    </row>
    <row r="572" spans="1:12" s="1279" customFormat="1" ht="20.100000000000001" customHeight="1">
      <c r="A572" s="1377">
        <f t="shared" si="22"/>
        <v>0</v>
      </c>
      <c r="B572" s="1587" t="s">
        <v>802</v>
      </c>
      <c r="C572" s="1312"/>
      <c r="D572" s="1274" t="str">
        <f>VLOOKUP($B572,DG!A:D,DG!$B$2,)</f>
        <v>03.3123</v>
      </c>
      <c r="E572" s="1275" t="str">
        <f>VLOOKUP($B572,DG!A:D,DG!$C$2,)</f>
        <v>Đào rãnh tiếp địa đất cấp 3</v>
      </c>
      <c r="F572" s="1274" t="str">
        <f>VLOOKUP($B572,DG!A:D,DG!$D$2,)</f>
        <v>m3</v>
      </c>
      <c r="G572" s="1346">
        <f>G556*H3</f>
        <v>0</v>
      </c>
      <c r="H572" s="1353">
        <f t="shared" si="23"/>
        <v>0</v>
      </c>
      <c r="I572" s="1310"/>
      <c r="J572" s="1310"/>
      <c r="K572" s="1278"/>
      <c r="L572" s="1125" t="s">
        <v>1292</v>
      </c>
    </row>
    <row r="573" spans="1:12" s="1279" customFormat="1" ht="20.100000000000001" customHeight="1">
      <c r="A573" s="1377">
        <f t="shared" si="22"/>
        <v>0</v>
      </c>
      <c r="B573" s="1587" t="s">
        <v>806</v>
      </c>
      <c r="C573" s="1312"/>
      <c r="D573" s="1274" t="str">
        <f>VLOOKUP($B573,DG!A:D,DG!$B$2,)</f>
        <v>03.4123</v>
      </c>
      <c r="E573" s="1275" t="str">
        <f>VLOOKUP($B573,DG!A:D,DG!$C$2,)</f>
        <v>Đắp đất rãnh tiếp độ chặt k=0,95</v>
      </c>
      <c r="F573" s="1274" t="str">
        <f>VLOOKUP($B573,DG!A:D,DG!$D$2,)</f>
        <v>m3</v>
      </c>
      <c r="G573" s="1346">
        <f>G572</f>
        <v>0</v>
      </c>
      <c r="H573" s="1353">
        <f t="shared" si="23"/>
        <v>0</v>
      </c>
      <c r="I573" s="1310"/>
      <c r="J573" s="1310"/>
      <c r="K573" s="1278"/>
      <c r="L573" s="1125" t="s">
        <v>1292</v>
      </c>
    </row>
    <row r="574" spans="1:12" s="1279" customFormat="1" ht="20.100000000000001" customHeight="1">
      <c r="A574" s="1377">
        <f t="shared" si="22"/>
        <v>0</v>
      </c>
      <c r="B574" s="1582"/>
      <c r="C574" s="1390">
        <f>IF(G574&gt;0,C556+1,C556)</f>
        <v>0</v>
      </c>
      <c r="D574" s="1437"/>
      <c r="E574" s="1412" t="s">
        <v>3795</v>
      </c>
      <c r="F574" s="1390" t="s">
        <v>2449</v>
      </c>
      <c r="G574" s="1390">
        <f>G532</f>
        <v>0</v>
      </c>
      <c r="H574" s="1353">
        <f t="shared" si="23"/>
        <v>0</v>
      </c>
      <c r="I574" s="1404"/>
      <c r="J574" s="1404"/>
      <c r="K574" s="1278"/>
      <c r="L574" s="1125" t="s">
        <v>1292</v>
      </c>
    </row>
    <row r="575" spans="1:12" s="1279" customFormat="1" ht="20.100000000000001" customHeight="1">
      <c r="A575" s="1377">
        <f>IF(A574&gt;0,1,0)</f>
        <v>0</v>
      </c>
      <c r="B575" s="1582"/>
      <c r="C575" s="1390"/>
      <c r="D575" s="1437"/>
      <c r="E575" s="1635" t="s">
        <v>2342</v>
      </c>
      <c r="F575" s="1312"/>
      <c r="G575" s="1312"/>
      <c r="H575" s="1353">
        <f t="shared" si="23"/>
        <v>0</v>
      </c>
      <c r="I575" s="1404"/>
      <c r="J575" s="1404"/>
      <c r="K575" s="1278"/>
      <c r="L575" s="1125" t="s">
        <v>1292</v>
      </c>
    </row>
    <row r="576" spans="1:12" s="1279" customFormat="1" ht="20.100000000000001" customHeight="1">
      <c r="A576" s="1377">
        <f t="shared" si="22"/>
        <v>0</v>
      </c>
      <c r="B576" s="1589" t="s">
        <v>1056</v>
      </c>
      <c r="C576" s="1312"/>
      <c r="D576" s="1274" t="str">
        <f>VLOOKUP($B576,DG!A:D,DG!$B$2,)</f>
        <v>05.1102</v>
      </c>
      <c r="E576" s="1275" t="str">
        <f>VLOOKUP($B576,DG!A:D,DG!$C$2,)</f>
        <v>Vỏ tủ + khóa tủ</v>
      </c>
      <c r="F576" s="1274" t="str">
        <f>VLOOKUP($B576,DG!A:D,DG!$D$2,)</f>
        <v>cái</v>
      </c>
      <c r="G576" s="1312">
        <f>G574</f>
        <v>0</v>
      </c>
      <c r="H576" s="1353">
        <f t="shared" si="23"/>
        <v>0</v>
      </c>
      <c r="I576" s="1310"/>
      <c r="J576" s="1310"/>
      <c r="K576" s="1278"/>
      <c r="L576" s="1125" t="s">
        <v>1292</v>
      </c>
    </row>
    <row r="577" spans="1:12" s="1279" customFormat="1" ht="20.100000000000001" customHeight="1">
      <c r="A577" s="1377">
        <f t="shared" si="22"/>
        <v>0</v>
      </c>
      <c r="B577" s="1582" t="s">
        <v>896</v>
      </c>
      <c r="C577" s="1312"/>
      <c r="D577" s="1274" t="str">
        <f>VLOOKUP($B577,DG!A:D,DG!$B$2,)</f>
        <v>06.3231</v>
      </c>
      <c r="E577" s="1275" t="str">
        <f>VLOOKUP($B577,DG!A:D,DG!$C$2,)</f>
        <v>Cổ dê bắt tủ</v>
      </c>
      <c r="F577" s="1274" t="str">
        <f>VLOOKUP($B577,DG!A:D,DG!$D$2,)</f>
        <v>bộ</v>
      </c>
      <c r="G577" s="1415">
        <f>G574*2</f>
        <v>0</v>
      </c>
      <c r="H577" s="1353">
        <f t="shared" si="23"/>
        <v>0</v>
      </c>
      <c r="I577" s="1310"/>
      <c r="J577" s="1310"/>
      <c r="K577" s="1278"/>
      <c r="L577" s="1125" t="s">
        <v>1292</v>
      </c>
    </row>
    <row r="578" spans="1:12" s="1279" customFormat="1" ht="20.100000000000001" customHeight="1">
      <c r="A578" s="1377">
        <f t="shared" si="22"/>
        <v>0</v>
      </c>
      <c r="B578" s="1582" t="s">
        <v>1160</v>
      </c>
      <c r="C578" s="1312"/>
      <c r="D578" s="1274" t="str">
        <f>VLOOKUP($B578,DG!A:D,DG!$B$2,)</f>
        <v>06.2110</v>
      </c>
      <c r="E578" s="1275" t="str">
        <f>VLOOKUP($B578,DG!A:D,DG!$C$2,)</f>
        <v>Lắp cổ dề</v>
      </c>
      <c r="F578" s="1274" t="str">
        <f>VLOOKUP($B578,DG!A:D,DG!$D$2,)</f>
        <v>bộ</v>
      </c>
      <c r="G578" s="1415">
        <f>G574*2</f>
        <v>0</v>
      </c>
      <c r="H578" s="1353">
        <f t="shared" si="23"/>
        <v>0</v>
      </c>
      <c r="I578" s="1310"/>
      <c r="J578" s="1310"/>
      <c r="K578" s="1278"/>
      <c r="L578" s="1125" t="s">
        <v>1292</v>
      </c>
    </row>
    <row r="579" spans="1:12" s="1279" customFormat="1" ht="20.100000000000001" customHeight="1">
      <c r="A579" s="1377">
        <f t="shared" si="22"/>
        <v>0</v>
      </c>
      <c r="B579" s="1582" t="s">
        <v>139</v>
      </c>
      <c r="C579" s="1312"/>
      <c r="D579" s="1274">
        <f>VLOOKUP($B579,DG!A:D,DG!$B$2,)</f>
        <v>0</v>
      </c>
      <c r="E579" s="1275" t="str">
        <f>VLOOKUP($B579,DG!A:D,DG!$C$2,)</f>
        <v>Boulon 12x40+ 2 long đền vuông D14-50x50x3/Zn</v>
      </c>
      <c r="F579" s="1274" t="str">
        <f>VLOOKUP($B579,DG!A:D,DG!$D$2,)</f>
        <v>bộ</v>
      </c>
      <c r="G579" s="1312">
        <f>G574*4*0</f>
        <v>0</v>
      </c>
      <c r="H579" s="1353">
        <f t="shared" si="23"/>
        <v>0</v>
      </c>
      <c r="I579" s="1310"/>
      <c r="J579" s="1310"/>
      <c r="K579" s="1278"/>
      <c r="L579" s="1125" t="s">
        <v>1292</v>
      </c>
    </row>
    <row r="580" spans="1:12" s="1279" customFormat="1" ht="20.100000000000001" customHeight="1">
      <c r="A580" s="1377">
        <f t="shared" si="22"/>
        <v>0</v>
      </c>
      <c r="B580" s="1582" t="s">
        <v>897</v>
      </c>
      <c r="C580" s="1312"/>
      <c r="D580" s="1274">
        <f>VLOOKUP($B580,DG!A:D,DG!$B$2,)</f>
        <v>0</v>
      </c>
      <c r="E580" s="1275" t="str">
        <f>VLOOKUP($B580,DG!A:D,DG!$C$2,)</f>
        <v xml:space="preserve">Bakelit 550x450 dầy 10mm </v>
      </c>
      <c r="F580" s="1274" t="str">
        <f>VLOOKUP($B580,DG!A:D,DG!$D$2,)</f>
        <v>cái</v>
      </c>
      <c r="G580" s="1312">
        <f>G574*2</f>
        <v>0</v>
      </c>
      <c r="H580" s="1353">
        <f t="shared" si="23"/>
        <v>0</v>
      </c>
      <c r="I580" s="1310"/>
      <c r="J580" s="1310"/>
      <c r="K580" s="1278"/>
      <c r="L580" s="1125" t="s">
        <v>1292</v>
      </c>
    </row>
    <row r="581" spans="1:12" s="1279" customFormat="1" ht="20.100000000000001" customHeight="1">
      <c r="A581" s="1377">
        <f t="shared" si="22"/>
        <v>0</v>
      </c>
      <c r="B581" s="1582"/>
      <c r="C581" s="1390">
        <f>IF(G581&gt;0,C574+1,C574)</f>
        <v>0</v>
      </c>
      <c r="D581" s="1437"/>
      <c r="E581" s="1425" t="s">
        <v>3796</v>
      </c>
      <c r="F581" s="1390" t="s">
        <v>2449</v>
      </c>
      <c r="G581" s="1390">
        <f>G532</f>
        <v>0</v>
      </c>
      <c r="H581" s="1353">
        <f t="shared" si="23"/>
        <v>0</v>
      </c>
      <c r="I581" s="1404"/>
      <c r="J581" s="1404"/>
      <c r="K581" s="1278"/>
      <c r="L581" s="1125" t="s">
        <v>1292</v>
      </c>
    </row>
    <row r="582" spans="1:12" s="1279" customFormat="1" ht="20.100000000000001" customHeight="1">
      <c r="A582" s="1377">
        <f>IF(A581&gt;0,1,0)</f>
        <v>0</v>
      </c>
      <c r="B582" s="1582"/>
      <c r="C582" s="1390"/>
      <c r="D582" s="1437"/>
      <c r="E582" s="1635" t="s">
        <v>2342</v>
      </c>
      <c r="F582" s="1312"/>
      <c r="G582" s="1312"/>
      <c r="H582" s="1353">
        <f t="shared" si="23"/>
        <v>0</v>
      </c>
      <c r="I582" s="1404"/>
      <c r="J582" s="1404"/>
      <c r="K582" s="1278"/>
      <c r="L582" s="1125" t="s">
        <v>1292</v>
      </c>
    </row>
    <row r="583" spans="1:12" s="1279" customFormat="1" ht="20.100000000000001" customHeight="1">
      <c r="A583" s="1377">
        <f t="shared" si="22"/>
        <v>0</v>
      </c>
      <c r="B583" s="1378" t="s">
        <v>704</v>
      </c>
      <c r="C583" s="1312"/>
      <c r="D583" s="1274">
        <f>VLOOKUP($B583,DG!A:D,DG!$B$2,)</f>
        <v>0</v>
      </c>
      <c r="E583" s="1275" t="str">
        <f>VLOOKUP($B583,DG!A:D,DG!$C$2,)&amp;": 3m/pha"</f>
        <v>Cáp 24KV C/XLPE/PVC 25mm2: 3m/pha</v>
      </c>
      <c r="F583" s="1274" t="str">
        <f>VLOOKUP($B583,DG!A:D,DG!$D$2,)</f>
        <v>mét</v>
      </c>
      <c r="G583" s="1312">
        <f>G581*3*3</f>
        <v>0</v>
      </c>
      <c r="H583" s="1353">
        <f t="shared" si="23"/>
        <v>0</v>
      </c>
      <c r="I583" s="1310"/>
      <c r="J583" s="1310"/>
      <c r="K583" s="1278"/>
      <c r="L583" s="1125" t="s">
        <v>1292</v>
      </c>
    </row>
    <row r="584" spans="1:12" s="1279" customFormat="1" ht="20.100000000000001" customHeight="1">
      <c r="A584" s="1377">
        <f t="shared" si="22"/>
        <v>0</v>
      </c>
      <c r="B584" s="1378" t="s">
        <v>1531</v>
      </c>
      <c r="C584" s="1312"/>
      <c r="D584" s="1274" t="str">
        <f>VLOOKUP($B584,DG!A:D,DG!$B$2,)</f>
        <v>04.3007</v>
      </c>
      <c r="E584" s="1275" t="str">
        <f>VLOOKUP($B584,DG!A:D,DG!$C$2,)</f>
        <v>Kẹp quai 2/0</v>
      </c>
      <c r="F584" s="1274" t="str">
        <f>VLOOKUP($B584,DG!A:D,DG!$D$2,)</f>
        <v>cái</v>
      </c>
      <c r="G584" s="1312">
        <f>3*G581</f>
        <v>0</v>
      </c>
      <c r="H584" s="1353">
        <f t="shared" si="23"/>
        <v>0</v>
      </c>
      <c r="I584" s="1310"/>
      <c r="J584" s="1310"/>
      <c r="K584" s="1278"/>
      <c r="L584" s="1125" t="s">
        <v>1292</v>
      </c>
    </row>
    <row r="585" spans="1:12" s="1279" customFormat="1" ht="20.100000000000001" customHeight="1">
      <c r="A585" s="1377">
        <f t="shared" si="22"/>
        <v>0</v>
      </c>
      <c r="B585" s="1378" t="s">
        <v>1529</v>
      </c>
      <c r="C585" s="1312"/>
      <c r="D585" s="1274" t="str">
        <f>VLOOKUP($B585,DG!A:D,DG!$B$2,)</f>
        <v>04.3007</v>
      </c>
      <c r="E585" s="1275" t="str">
        <f>VLOOKUP($B585,DG!A:D,DG!$C$2,)</f>
        <v>Kẹp hotline 2/0</v>
      </c>
      <c r="F585" s="1274" t="str">
        <f>VLOOKUP($B585,DG!A:D,DG!$D$2,)</f>
        <v>cái</v>
      </c>
      <c r="G585" s="1312">
        <f>3*G581</f>
        <v>0</v>
      </c>
      <c r="H585" s="1353">
        <f t="shared" si="23"/>
        <v>0</v>
      </c>
      <c r="I585" s="1310"/>
      <c r="J585" s="1310"/>
      <c r="K585" s="1278"/>
      <c r="L585" s="1125" t="s">
        <v>1292</v>
      </c>
    </row>
    <row r="586" spans="1:12" s="1279" customFormat="1" ht="20.100000000000001" customHeight="1">
      <c r="A586" s="1377">
        <f t="shared" si="22"/>
        <v>0</v>
      </c>
      <c r="B586" s="1582"/>
      <c r="C586" s="1390">
        <f>IF(G586&gt;0,C581+1,C581)</f>
        <v>0</v>
      </c>
      <c r="D586" s="1437"/>
      <c r="E586" s="1412" t="s">
        <v>3797</v>
      </c>
      <c r="F586" s="1390" t="s">
        <v>2449</v>
      </c>
      <c r="G586" s="1390">
        <f>G524/3</f>
        <v>0</v>
      </c>
      <c r="H586" s="1353">
        <f t="shared" si="23"/>
        <v>0</v>
      </c>
      <c r="I586" s="1404"/>
      <c r="J586" s="1404"/>
      <c r="K586" s="1278"/>
      <c r="L586" s="1125" t="s">
        <v>1292</v>
      </c>
    </row>
    <row r="587" spans="1:12" s="1279" customFormat="1" ht="20.100000000000001" customHeight="1">
      <c r="A587" s="1377">
        <f>IF(A586&gt;0,1,0)</f>
        <v>0</v>
      </c>
      <c r="B587" s="1582"/>
      <c r="C587" s="1390"/>
      <c r="D587" s="1437"/>
      <c r="E587" s="1635" t="s">
        <v>2342</v>
      </c>
      <c r="F587" s="1312"/>
      <c r="G587" s="1312"/>
      <c r="H587" s="1353">
        <f t="shared" si="23"/>
        <v>0</v>
      </c>
      <c r="I587" s="1404"/>
      <c r="J587" s="1404"/>
      <c r="K587" s="1278"/>
      <c r="L587" s="1125" t="s">
        <v>1292</v>
      </c>
    </row>
    <row r="588" spans="1:12" s="1279" customFormat="1" ht="20.100000000000001" customHeight="1">
      <c r="A588" s="1377">
        <f t="shared" si="22"/>
        <v>0</v>
      </c>
      <c r="B588" s="1582" t="s">
        <v>82</v>
      </c>
      <c r="C588" s="1312"/>
      <c r="D588" s="1274">
        <f>VLOOKUP($B588,DG!A:D,DG!$B$2,)</f>
        <v>0</v>
      </c>
      <c r="E588" s="1275" t="str">
        <f>VLOOKUP($B588,DG!A:D,DG!$C$2,)&amp;": 9m/pha"</f>
        <v>Cáp đồng bọc CV50: 9m/pha</v>
      </c>
      <c r="F588" s="1274" t="str">
        <f>VLOOKUP($B588,DG!A:D,DG!$D$2,)</f>
        <v>mét</v>
      </c>
      <c r="G588" s="1312">
        <f>3*9*G586</f>
        <v>0</v>
      </c>
      <c r="H588" s="1353">
        <f t="shared" si="23"/>
        <v>0</v>
      </c>
      <c r="I588" s="1310"/>
      <c r="J588" s="1310"/>
      <c r="K588" s="1278"/>
      <c r="L588" s="1125" t="s">
        <v>1292</v>
      </c>
    </row>
    <row r="589" spans="1:12" s="1279" customFormat="1" ht="20.100000000000001" customHeight="1">
      <c r="A589" s="1377">
        <f t="shared" si="22"/>
        <v>0</v>
      </c>
      <c r="B589" s="1582" t="s">
        <v>82</v>
      </c>
      <c r="C589" s="1312"/>
      <c r="D589" s="1274">
        <f>VLOOKUP($B589,DG!A:D,DG!$B$2,)</f>
        <v>0</v>
      </c>
      <c r="E589" s="1275" t="str">
        <f>VLOOKUP($B589,DG!A:D,DG!$C$2,)&amp;": 9m/trung tinh"</f>
        <v>Cáp đồng bọc CV50: 9m/trung tinh</v>
      </c>
      <c r="F589" s="1274" t="str">
        <f>VLOOKUP($B589,DG!A:D,DG!$D$2,)</f>
        <v>mét</v>
      </c>
      <c r="G589" s="1312">
        <f>9*G586</f>
        <v>0</v>
      </c>
      <c r="H589" s="1353">
        <f t="shared" si="23"/>
        <v>0</v>
      </c>
      <c r="I589" s="1310"/>
      <c r="J589" s="1310"/>
      <c r="K589" s="1278"/>
      <c r="L589" s="1125" t="s">
        <v>1292</v>
      </c>
    </row>
    <row r="590" spans="1:12" s="1279" customFormat="1" ht="20.100000000000001" customHeight="1">
      <c r="A590" s="1377">
        <f t="shared" si="22"/>
        <v>0</v>
      </c>
      <c r="B590" s="1582" t="s">
        <v>1099</v>
      </c>
      <c r="C590" s="1312"/>
      <c r="D590" s="1274" t="str">
        <f>VLOOKUP($B590,DG!A:D,DG!$B$2,)</f>
        <v>03.1401</v>
      </c>
      <c r="E590" s="1275" t="str">
        <f>VLOOKUP($B590,DG!A:D,DG!$C$2,)&amp;": ñaáu noái ño ñeám"</f>
        <v>Cáp CVV 4x2,5mm2  : ñaáu noái ño ñeám</v>
      </c>
      <c r="F590" s="1274" t="str">
        <f>VLOOKUP($B590,DG!A:D,DG!$D$2,)</f>
        <v>mét</v>
      </c>
      <c r="G590" s="1312">
        <f>4*G586</f>
        <v>0</v>
      </c>
      <c r="H590" s="1353">
        <f t="shared" si="23"/>
        <v>0</v>
      </c>
      <c r="I590" s="1310"/>
      <c r="J590" s="1310"/>
      <c r="K590" s="1278"/>
      <c r="L590" s="1125" t="s">
        <v>1292</v>
      </c>
    </row>
    <row r="591" spans="1:12" s="1279" customFormat="1" ht="20.100000000000001" customHeight="1">
      <c r="A591" s="1377">
        <f t="shared" si="22"/>
        <v>0</v>
      </c>
      <c r="B591" s="1587" t="s">
        <v>1335</v>
      </c>
      <c r="C591" s="1312"/>
      <c r="D591" s="1274" t="str">
        <f>VLOOKUP($B591,DG!A:D,DG!$B$2,)</f>
        <v>03.4002</v>
      </c>
      <c r="E591" s="1275" t="str">
        <f>VLOOKUP($B591,DG!A:D,DG!$C$2,)</f>
        <v>Đầu cosse ép Cu 50mm2</v>
      </c>
      <c r="F591" s="1274" t="str">
        <f>VLOOKUP($B591,DG!A:D,DG!$D$2,)</f>
        <v>cái</v>
      </c>
      <c r="G591" s="1312">
        <f>3*G586</f>
        <v>0</v>
      </c>
      <c r="H591" s="1353">
        <f t="shared" si="23"/>
        <v>0</v>
      </c>
      <c r="I591" s="1310"/>
      <c r="J591" s="1310"/>
      <c r="K591" s="1278"/>
      <c r="L591" s="1125" t="s">
        <v>1292</v>
      </c>
    </row>
    <row r="592" spans="1:12" s="1279" customFormat="1" ht="20.100000000000001" customHeight="1">
      <c r="A592" s="1377">
        <f t="shared" si="22"/>
        <v>0</v>
      </c>
      <c r="B592" s="1587" t="s">
        <v>104</v>
      </c>
      <c r="C592" s="1312"/>
      <c r="D592" s="1274" t="str">
        <f>VLOOKUP($B592,DG!A:D,DG!$B$2,)</f>
        <v>03.4001</v>
      </c>
      <c r="E592" s="1275" t="str">
        <f>VLOOKUP($B592,DG!A:D,DG!$C$2,)</f>
        <v>Đầu cosse ép Cu 25mm2</v>
      </c>
      <c r="F592" s="1274" t="str">
        <f>VLOOKUP($B592,DG!A:D,DG!$D$2,)</f>
        <v>cái</v>
      </c>
      <c r="G592" s="1312">
        <f>4*G586*0</f>
        <v>0</v>
      </c>
      <c r="H592" s="1353">
        <f t="shared" si="23"/>
        <v>0</v>
      </c>
      <c r="I592" s="1310"/>
      <c r="J592" s="1310"/>
      <c r="K592" s="1278"/>
      <c r="L592" s="1125" t="s">
        <v>1292</v>
      </c>
    </row>
    <row r="593" spans="1:12" s="1279" customFormat="1" ht="20.100000000000001" customHeight="1">
      <c r="A593" s="1377">
        <f t="shared" si="22"/>
        <v>0</v>
      </c>
      <c r="B593" s="1587" t="s">
        <v>2213</v>
      </c>
      <c r="C593" s="1312"/>
      <c r="D593" s="1274">
        <f>VLOOKUP($B593,DG!A:D,DG!$B$2,)</f>
        <v>0</v>
      </c>
      <c r="E593" s="1275" t="str">
        <f>VLOOKUP($B593,DG!A:D,DG!$C$2,)</f>
        <v>Chụp đầu cosse  50mm2</v>
      </c>
      <c r="F593" s="1274" t="str">
        <f>VLOOKUP($B593,DG!A:D,DG!$D$2,)</f>
        <v>cái</v>
      </c>
      <c r="G593" s="1312">
        <f>G591</f>
        <v>0</v>
      </c>
      <c r="H593" s="1353">
        <f t="shared" si="23"/>
        <v>0</v>
      </c>
      <c r="I593" s="1310"/>
      <c r="J593" s="1310"/>
      <c r="K593" s="1278"/>
      <c r="L593" s="1125" t="s">
        <v>1292</v>
      </c>
    </row>
    <row r="594" spans="1:12" s="1279" customFormat="1" ht="20.100000000000001" customHeight="1">
      <c r="A594" s="1377">
        <f t="shared" si="22"/>
        <v>0</v>
      </c>
      <c r="B594" s="1587" t="s">
        <v>1969</v>
      </c>
      <c r="C594" s="1312"/>
      <c r="D594" s="1274">
        <f>VLOOKUP($B594,DG!A:D,DG!$B$2,)</f>
        <v>0</v>
      </c>
      <c r="E594" s="1275" t="str">
        <f>VLOOKUP($B594,DG!A:D,DG!$C$2,)</f>
        <v>Chụp đầu cosse  25mm2</v>
      </c>
      <c r="F594" s="1274" t="str">
        <f>VLOOKUP($B594,DG!A:D,DG!$D$2,)</f>
        <v>cái</v>
      </c>
      <c r="G594" s="1312">
        <f>G592</f>
        <v>0</v>
      </c>
      <c r="H594" s="1353">
        <f t="shared" si="23"/>
        <v>0</v>
      </c>
      <c r="I594" s="1310"/>
      <c r="J594" s="1310"/>
      <c r="K594" s="1278"/>
      <c r="L594" s="1125" t="s">
        <v>1292</v>
      </c>
    </row>
    <row r="595" spans="1:12" s="1279" customFormat="1" ht="20.100000000000001" customHeight="1">
      <c r="A595" s="1377">
        <f t="shared" si="22"/>
        <v>0</v>
      </c>
      <c r="B595" s="1582" t="s">
        <v>283</v>
      </c>
      <c r="C595" s="1312"/>
      <c r="D595" s="1274" t="str">
        <f>VLOOKUP($B595,DG!A:D,DG!$B$2,)</f>
        <v>04.8003</v>
      </c>
      <c r="E595" s="1275" t="str">
        <f>VLOOKUP($B595,DG!A:D,DG!$C$2,)</f>
        <v xml:space="preserve">Ống PVC D90x3,8mm </v>
      </c>
      <c r="F595" s="1274" t="str">
        <f>VLOOKUP($B595,DG!A:D,DG!$D$2,)</f>
        <v>m</v>
      </c>
      <c r="G595" s="1312">
        <f>8*G586</f>
        <v>0</v>
      </c>
      <c r="H595" s="1353">
        <f t="shared" si="23"/>
        <v>0</v>
      </c>
      <c r="I595" s="1310"/>
      <c r="J595" s="1310"/>
      <c r="K595" s="1278"/>
      <c r="L595" s="1125" t="s">
        <v>1292</v>
      </c>
    </row>
    <row r="596" spans="1:12" s="1279" customFormat="1" ht="20.100000000000001" customHeight="1">
      <c r="A596" s="1377">
        <f t="shared" si="22"/>
        <v>0</v>
      </c>
      <c r="B596" s="1378" t="s">
        <v>2043</v>
      </c>
      <c r="C596" s="1312"/>
      <c r="D596" s="1274" t="str">
        <f>VLOOKUP($B596,DG!A:D,DG!$B$2,)</f>
        <v>06.3231</v>
      </c>
      <c r="E596" s="1275" t="str">
        <f>VLOOKUP($B596,DG!A:D,DG!$C$2,)</f>
        <v>Cổ dê kẹp ống PVC Ø 90</v>
      </c>
      <c r="F596" s="1274" t="str">
        <f>VLOOKUP($B596,DG!A:D,DG!$D$2,)</f>
        <v>bộ</v>
      </c>
      <c r="G596" s="1415">
        <f>3*G586</f>
        <v>0</v>
      </c>
      <c r="H596" s="1353">
        <f t="shared" si="23"/>
        <v>0</v>
      </c>
      <c r="I596" s="1310"/>
      <c r="J596" s="1310"/>
      <c r="K596" s="1278"/>
      <c r="L596" s="1125" t="s">
        <v>1292</v>
      </c>
    </row>
    <row r="597" spans="1:12" s="1279" customFormat="1" ht="20.100000000000001" customHeight="1">
      <c r="A597" s="1377">
        <f t="shared" si="22"/>
        <v>0</v>
      </c>
      <c r="B597" s="1378" t="s">
        <v>2043</v>
      </c>
      <c r="C597" s="1312"/>
      <c r="D597" s="1274" t="str">
        <f>VLOOKUP($B597,DG!A:D,DG!$B$2,)</f>
        <v>06.3231</v>
      </c>
      <c r="E597" s="1275" t="str">
        <f>VLOOKUP($B597,DG!A:D,DG!$C$2,)&amp;": CD-280-1 cái"</f>
        <v>Cổ dê kẹp ống PVC Ø 90: CD-280-1 cái</v>
      </c>
      <c r="F597" s="1274" t="str">
        <f>VLOOKUP($B597,DG!A:D,DG!$D$2,)</f>
        <v>bộ</v>
      </c>
      <c r="G597" s="1415">
        <f>G586*1.031*0</f>
        <v>0</v>
      </c>
      <c r="H597" s="1353">
        <f t="shared" si="23"/>
        <v>0</v>
      </c>
      <c r="I597" s="1310"/>
      <c r="J597" s="1310"/>
      <c r="K597" s="1278"/>
      <c r="L597" s="1125" t="s">
        <v>1292</v>
      </c>
    </row>
    <row r="598" spans="1:12" s="1279" customFormat="1" ht="20.100000000000001" customHeight="1">
      <c r="A598" s="1377">
        <f t="shared" si="22"/>
        <v>0</v>
      </c>
      <c r="B598" s="1378" t="s">
        <v>2043</v>
      </c>
      <c r="C598" s="1312"/>
      <c r="D598" s="1274" t="str">
        <f>VLOOKUP($B598,DG!A:D,DG!$B$2,)</f>
        <v>06.3231</v>
      </c>
      <c r="E598" s="1275" t="str">
        <f>VLOOKUP($B598,DG!A:D,DG!$C$2,)&amp;": CD-320 1 cái"</f>
        <v>Cổ dê kẹp ống PVC Ø 90: CD-320 1 cái</v>
      </c>
      <c r="F598" s="1274" t="str">
        <f>VLOOKUP($B598,DG!A:D,DG!$D$2,)</f>
        <v>bộ</v>
      </c>
      <c r="G598" s="1415">
        <f>G586*1.12*0</f>
        <v>0</v>
      </c>
      <c r="H598" s="1353">
        <f t="shared" si="23"/>
        <v>0</v>
      </c>
      <c r="I598" s="1310"/>
      <c r="J598" s="1310"/>
      <c r="K598" s="1278"/>
      <c r="L598" s="1125" t="s">
        <v>1292</v>
      </c>
    </row>
    <row r="599" spans="1:12" s="1279" customFormat="1" ht="20.100000000000001" customHeight="1">
      <c r="A599" s="1377">
        <f t="shared" si="22"/>
        <v>0</v>
      </c>
      <c r="B599" s="1378" t="s">
        <v>1161</v>
      </c>
      <c r="C599" s="1312"/>
      <c r="D599" s="1274" t="str">
        <f>VLOOKUP($B599,DG!A:D,DG!$B$2,)</f>
        <v>06.2110</v>
      </c>
      <c r="E599" s="1275" t="str">
        <f>VLOOKUP($B599,DG!A:D,DG!$C$2,)</f>
        <v>Lắp cổ dề</v>
      </c>
      <c r="F599" s="1274" t="str">
        <f>VLOOKUP($B599,DG!A:D,DG!$D$2,)</f>
        <v>bộ</v>
      </c>
      <c r="G599" s="1415">
        <f>G596</f>
        <v>0</v>
      </c>
      <c r="H599" s="1353">
        <f t="shared" si="23"/>
        <v>0</v>
      </c>
      <c r="I599" s="1310"/>
      <c r="J599" s="1310"/>
      <c r="K599" s="1278"/>
      <c r="L599" s="1125" t="s">
        <v>1292</v>
      </c>
    </row>
    <row r="600" spans="1:12" s="1279" customFormat="1" ht="20.100000000000001" customHeight="1">
      <c r="A600" s="1377">
        <f t="shared" ref="A600:A661" si="24">IF(H600&gt;0,1,0)</f>
        <v>0</v>
      </c>
      <c r="B600" s="1378" t="s">
        <v>139</v>
      </c>
      <c r="C600" s="1312"/>
      <c r="D600" s="1274">
        <f>VLOOKUP($B600,DG!A:D,DG!$B$2,)</f>
        <v>0</v>
      </c>
      <c r="E600" s="1275" t="str">
        <f>VLOOKUP($B600,DG!A:D,DG!$C$2,)&amp;": CD-250"</f>
        <v>Boulon 12x40+ 2 long đền vuông D14-50x50x3/Zn: CD-250</v>
      </c>
      <c r="F600" s="1274" t="str">
        <f>VLOOKUP($B600,DG!A:D,DG!$D$2,)</f>
        <v>bộ</v>
      </c>
      <c r="G600" s="1312">
        <f>G586*7*0</f>
        <v>0</v>
      </c>
      <c r="H600" s="1353">
        <f t="shared" si="23"/>
        <v>0</v>
      </c>
      <c r="I600" s="1310"/>
      <c r="J600" s="1310"/>
      <c r="K600" s="1278"/>
      <c r="L600" s="1125" t="s">
        <v>1292</v>
      </c>
    </row>
    <row r="601" spans="1:12" s="1279" customFormat="1" ht="20.100000000000001" customHeight="1">
      <c r="A601" s="1377">
        <f t="shared" si="24"/>
        <v>0</v>
      </c>
      <c r="B601" s="1582" t="s">
        <v>70</v>
      </c>
      <c r="C601" s="1312"/>
      <c r="D601" s="1274">
        <f>VLOOKUP($B601,DG!A:D,DG!$B$2,)</f>
        <v>0</v>
      </c>
      <c r="E601" s="1275" t="str">
        <f>VLOOKUP($B601,DG!A:D,DG!$C$2,)</f>
        <v>Co  90 độ PVC 90</v>
      </c>
      <c r="F601" s="1274" t="str">
        <f>VLOOKUP($B601,DG!A:D,DG!$D$2,)</f>
        <v>cái</v>
      </c>
      <c r="G601" s="1312">
        <f>2*G586</f>
        <v>0</v>
      </c>
      <c r="H601" s="1353">
        <f t="shared" si="23"/>
        <v>0</v>
      </c>
      <c r="I601" s="1310"/>
      <c r="J601" s="1310"/>
      <c r="K601" s="1278"/>
      <c r="L601" s="1125" t="s">
        <v>1292</v>
      </c>
    </row>
    <row r="602" spans="1:12" s="1279" customFormat="1" ht="20.100000000000001" customHeight="1">
      <c r="A602" s="1377">
        <f t="shared" si="24"/>
        <v>0</v>
      </c>
      <c r="B602" s="1582" t="s">
        <v>2215</v>
      </c>
      <c r="C602" s="1312"/>
      <c r="D602" s="1274">
        <f>VLOOKUP($B602,DG!A:D,DG!$B$2,)</f>
        <v>0</v>
      </c>
      <c r="E602" s="1275" t="str">
        <f>VLOOKUP($B602,DG!A:D,DG!$C$2,)</f>
        <v>Khâu ven răng trong D90</v>
      </c>
      <c r="F602" s="1274" t="str">
        <f>VLOOKUP($B602,DG!A:D,DG!$D$2,)</f>
        <v>cái</v>
      </c>
      <c r="G602" s="1312">
        <f>G586</f>
        <v>0</v>
      </c>
      <c r="H602" s="1353">
        <f t="shared" si="23"/>
        <v>0</v>
      </c>
      <c r="I602" s="1310"/>
      <c r="J602" s="1310"/>
      <c r="K602" s="1278"/>
      <c r="L602" s="1125" t="s">
        <v>1292</v>
      </c>
    </row>
    <row r="603" spans="1:12" s="1279" customFormat="1" ht="20.100000000000001" customHeight="1">
      <c r="A603" s="1377">
        <f t="shared" si="24"/>
        <v>0</v>
      </c>
      <c r="B603" s="1582" t="s">
        <v>2216</v>
      </c>
      <c r="C603" s="1312"/>
      <c r="D603" s="1274">
        <f>VLOOKUP($B603,DG!A:D,DG!$B$2,)</f>
        <v>0</v>
      </c>
      <c r="E603" s="1275" t="str">
        <f>VLOOKUP($B603,DG!A:D,DG!$C$2,)</f>
        <v>Khâu ven răng ngoài D90</v>
      </c>
      <c r="F603" s="1274" t="str">
        <f>VLOOKUP($B603,DG!A:D,DG!$D$2,)</f>
        <v>cái</v>
      </c>
      <c r="G603" s="1312">
        <f>G602</f>
        <v>0</v>
      </c>
      <c r="H603" s="1353">
        <f t="shared" si="23"/>
        <v>0</v>
      </c>
      <c r="I603" s="1310"/>
      <c r="J603" s="1310"/>
      <c r="K603" s="1278"/>
      <c r="L603" s="1125" t="s">
        <v>1292</v>
      </c>
    </row>
    <row r="604" spans="1:12" s="1279" customFormat="1" ht="20.100000000000001" customHeight="1">
      <c r="A604" s="1377">
        <f t="shared" si="24"/>
        <v>0</v>
      </c>
      <c r="B604" s="1582" t="s">
        <v>422</v>
      </c>
      <c r="C604" s="1312"/>
      <c r="D604" s="1274">
        <f>VLOOKUP($B604,DG!A:D,DG!$B$2,)</f>
        <v>0</v>
      </c>
      <c r="E604" s="1275" t="str">
        <f>VLOOKUP($B604,DG!A:D,DG!$C$2,)</f>
        <v>Keo dán ống PVC (100gr)</v>
      </c>
      <c r="F604" s="1274" t="str">
        <f>VLOOKUP($B604,DG!A:D,DG!$D$2,)</f>
        <v>tuýp</v>
      </c>
      <c r="G604" s="1312">
        <f>G586</f>
        <v>0</v>
      </c>
      <c r="H604" s="1353">
        <f t="shared" si="23"/>
        <v>0</v>
      </c>
      <c r="I604" s="1310"/>
      <c r="J604" s="1310"/>
      <c r="K604" s="1278"/>
      <c r="L604" s="1125" t="s">
        <v>1292</v>
      </c>
    </row>
    <row r="605" spans="1:12" s="1279" customFormat="1" ht="20.100000000000001" customHeight="1">
      <c r="A605" s="1377">
        <f t="shared" si="24"/>
        <v>0</v>
      </c>
      <c r="B605" s="1582" t="s">
        <v>1209</v>
      </c>
      <c r="C605" s="1312"/>
      <c r="D605" s="1274">
        <f>VLOOKUP($B605,DG!A:D,DG!$B$2,)</f>
        <v>0</v>
      </c>
      <c r="E605" s="1275" t="str">
        <f>VLOOKUP($B605,DG!A:D,DG!$C$2,)</f>
        <v>Keo silicon bít miệng ống</v>
      </c>
      <c r="F605" s="1274" t="str">
        <f>VLOOKUP($B605,DG!A:D,DG!$D$2,)</f>
        <v>ống</v>
      </c>
      <c r="G605" s="1312">
        <f>G586</f>
        <v>0</v>
      </c>
      <c r="H605" s="1353">
        <f t="shared" si="23"/>
        <v>0</v>
      </c>
      <c r="I605" s="1310"/>
      <c r="J605" s="1310"/>
      <c r="K605" s="1278"/>
      <c r="L605" s="1125" t="s">
        <v>1292</v>
      </c>
    </row>
    <row r="606" spans="1:12" s="1279" customFormat="1" ht="20.100000000000001" customHeight="1">
      <c r="A606" s="1377">
        <f t="shared" si="24"/>
        <v>0</v>
      </c>
      <c r="B606" s="1378" t="s">
        <v>677</v>
      </c>
      <c r="C606" s="1312"/>
      <c r="D606" s="1274">
        <f>VLOOKUP($B606,DG!A:D,DG!$B$2,)</f>
        <v>0</v>
      </c>
      <c r="E606" s="1275" t="str">
        <f>VLOOKUP($B606,DG!A:D,DG!$C$2,)</f>
        <v>Băng keo cách điện</v>
      </c>
      <c r="F606" s="1274" t="str">
        <f>VLOOKUP($B606,DG!A:D,DG!$D$2,)</f>
        <v>cuộn</v>
      </c>
      <c r="G606" s="1312">
        <f>G586</f>
        <v>0</v>
      </c>
      <c r="H606" s="1353">
        <f t="shared" si="23"/>
        <v>0</v>
      </c>
      <c r="I606" s="1310"/>
      <c r="J606" s="1310"/>
      <c r="K606" s="1278"/>
      <c r="L606" s="1125" t="s">
        <v>1292</v>
      </c>
    </row>
    <row r="607" spans="1:12" s="1279" customFormat="1" ht="20.100000000000001" customHeight="1">
      <c r="A607" s="1377">
        <f t="shared" si="24"/>
        <v>0</v>
      </c>
      <c r="B607" s="1587" t="s">
        <v>556</v>
      </c>
      <c r="C607" s="1312"/>
      <c r="D607" s="1274" t="str">
        <f>VLOOKUP($B607,DG!A:D,DG!$B$2,)</f>
        <v>07.2415</v>
      </c>
      <c r="E607" s="1275" t="str">
        <f>VLOOKUP($B607,DG!A:D,DG!$C$2,)</f>
        <v>Lắp ống nhựa PVC D90</v>
      </c>
      <c r="F607" s="1274" t="str">
        <f>VLOOKUP($B607,DG!A:D,DG!$D$2,)</f>
        <v>mét</v>
      </c>
      <c r="G607" s="1312">
        <f>G595</f>
        <v>0</v>
      </c>
      <c r="H607" s="1353">
        <f t="shared" si="23"/>
        <v>0</v>
      </c>
      <c r="I607" s="1310"/>
      <c r="J607" s="1310"/>
      <c r="K607" s="1278"/>
      <c r="L607" s="1125" t="s">
        <v>1292</v>
      </c>
    </row>
    <row r="608" spans="1:12" s="1279" customFormat="1" ht="20.100000000000001" customHeight="1">
      <c r="A608" s="1377">
        <f t="shared" si="24"/>
        <v>0</v>
      </c>
      <c r="B608" s="1378" t="s">
        <v>1577</v>
      </c>
      <c r="C608" s="1312"/>
      <c r="D608" s="1274" t="str">
        <f>VLOOKUP($B608,DG!A:D,DG!$B$2,)</f>
        <v>04.4201</v>
      </c>
      <c r="E608" s="1275" t="str">
        <f>VLOOKUP($B608,DG!A:D,DG!$C$2,)</f>
        <v>Lắp cáp đồng xuống thiết bị D ≤ 95mm2</v>
      </c>
      <c r="F608" s="1274" t="str">
        <f>VLOOKUP($B608,DG!A:D,DG!$D$2,)</f>
        <v>m</v>
      </c>
      <c r="G608" s="1312">
        <f>G588+G589</f>
        <v>0</v>
      </c>
      <c r="H608" s="1353">
        <f t="shared" si="23"/>
        <v>0</v>
      </c>
      <c r="I608" s="1310"/>
      <c r="J608" s="1310"/>
      <c r="K608" s="1278"/>
      <c r="L608" s="1125" t="s">
        <v>1292</v>
      </c>
    </row>
    <row r="609" spans="1:12" s="1279" customFormat="1" ht="20.100000000000001" customHeight="1">
      <c r="A609" s="1377">
        <f t="shared" si="24"/>
        <v>0</v>
      </c>
      <c r="B609" s="1582" t="s">
        <v>290</v>
      </c>
      <c r="C609" s="1394">
        <f>IF(G609&gt;0,C586+1,C586)</f>
        <v>0</v>
      </c>
      <c r="D609" s="1416"/>
      <c r="E609" s="1275" t="str">
        <f>VLOOKUP($B609,DG!A:D,DG!$C$2,)</f>
        <v>Bảng tên trạm, bảng báo nguy hiểm + đinh vít</v>
      </c>
      <c r="F609" s="1274" t="str">
        <f>VLOOKUP($B609,DG!A:D,DG!$D$2,)</f>
        <v>bộ</v>
      </c>
      <c r="G609" s="1394">
        <f>G548</f>
        <v>0</v>
      </c>
      <c r="H609" s="1353">
        <f t="shared" si="23"/>
        <v>0</v>
      </c>
      <c r="I609" s="1310"/>
      <c r="J609" s="1310"/>
      <c r="K609" s="1298"/>
      <c r="L609" s="1125" t="s">
        <v>1292</v>
      </c>
    </row>
    <row r="610" spans="1:12" s="1279" customFormat="1" ht="20.100000000000001" customHeight="1">
      <c r="A610" s="1377">
        <f t="shared" si="24"/>
        <v>0</v>
      </c>
      <c r="B610" s="1582"/>
      <c r="C610" s="1417"/>
      <c r="D610" s="1418"/>
      <c r="E610" s="1264"/>
      <c r="F610" s="1419"/>
      <c r="G610" s="1419"/>
      <c r="H610" s="1353">
        <f t="shared" si="23"/>
        <v>0</v>
      </c>
      <c r="I610" s="1420"/>
      <c r="J610" s="1421"/>
      <c r="K610" s="1354"/>
      <c r="L610" s="1125"/>
    </row>
    <row r="611" spans="1:12" s="1279" customFormat="1" ht="20.100000000000001" customHeight="1">
      <c r="A611" s="1377">
        <f t="shared" si="24"/>
        <v>0</v>
      </c>
      <c r="B611" s="1576"/>
      <c r="C611" s="1385"/>
      <c r="D611" s="1428"/>
      <c r="H611" s="1353">
        <f t="shared" si="23"/>
        <v>0</v>
      </c>
      <c r="L611" s="1125"/>
    </row>
    <row r="612" spans="1:12" s="1279" customFormat="1" ht="20.100000000000001" customHeight="1">
      <c r="A612" s="1377">
        <f t="shared" si="24"/>
        <v>0</v>
      </c>
      <c r="B612" s="1576"/>
      <c r="C612" s="1300" t="str">
        <f>"BAÛNG TOÅNG HÔÏP VAÄT LIEÄU, NHAÂN COÂNG, MAÙY THI COÂNG : "&amp;K7&amp;" TRAÏM 3P 3x25KVA"</f>
        <v>BAÛNG TOÅNG HÔÏP VAÄT LIEÄU, NHAÂN COÂNG, MAÙY THI COÂNG : 0 TRAÏM 3P 3x25KVA</v>
      </c>
      <c r="D612" s="1300"/>
      <c r="E612" s="1300"/>
      <c r="F612" s="1300"/>
      <c r="G612" s="1300"/>
      <c r="H612" s="1353">
        <f t="shared" ref="H612:H675" si="25">IF(L612=$L$23,G612+I612-J612,0)</f>
        <v>0</v>
      </c>
      <c r="I612" s="1300"/>
      <c r="J612" s="1300"/>
      <c r="K612" s="1125"/>
      <c r="L612" s="1125"/>
    </row>
    <row r="613" spans="1:12" s="1279" customFormat="1" ht="20.100000000000001" customHeight="1">
      <c r="A613" s="1377">
        <f t="shared" si="24"/>
        <v>0</v>
      </c>
      <c r="B613" s="1582"/>
      <c r="C613" s="1380"/>
      <c r="D613" s="1381"/>
      <c r="E613" s="1264" t="s">
        <v>3771</v>
      </c>
      <c r="F613" s="1383"/>
      <c r="G613" s="1383"/>
      <c r="H613" s="1353">
        <f t="shared" si="25"/>
        <v>0</v>
      </c>
      <c r="I613" s="1383"/>
      <c r="J613" s="1383"/>
      <c r="K613" s="1354"/>
      <c r="L613" s="1125" t="s">
        <v>1293</v>
      </c>
    </row>
    <row r="614" spans="1:12" s="1279" customFormat="1" ht="20.100000000000001" customHeight="1">
      <c r="A614" s="1377">
        <f t="shared" si="24"/>
        <v>0</v>
      </c>
      <c r="B614" s="1583" t="s">
        <v>1240</v>
      </c>
      <c r="C614" s="1286">
        <f>IF(G614&gt;0,1,0)</f>
        <v>0</v>
      </c>
      <c r="D614" s="1274" t="str">
        <f>VLOOKUP($B614,DG!A:D,DG!$B$2,)</f>
        <v>01.1161</v>
      </c>
      <c r="E614" s="1275" t="str">
        <f>VLOOKUP($B614,DG!A:D,DG!$C$2,)</f>
        <v>Máy biến áp 12,7/0,22-0,44kV  25kVA</v>
      </c>
      <c r="F614" s="1274" t="str">
        <f>VLOOKUP($B614,DG!A:D,DG!$D$2,)</f>
        <v>máy</v>
      </c>
      <c r="G614" s="1423">
        <f>K7*3</f>
        <v>0</v>
      </c>
      <c r="H614" s="1353">
        <f t="shared" si="25"/>
        <v>0</v>
      </c>
      <c r="I614" s="1310"/>
      <c r="J614" s="1310"/>
      <c r="K614" s="1424"/>
      <c r="L614" s="1125" t="s">
        <v>1293</v>
      </c>
    </row>
    <row r="615" spans="1:12" s="1279" customFormat="1" ht="20.100000000000001" customHeight="1">
      <c r="A615" s="1377">
        <f t="shared" si="24"/>
        <v>0</v>
      </c>
      <c r="B615" s="1583" t="s">
        <v>1704</v>
      </c>
      <c r="C615" s="1286">
        <f t="shared" ref="C615:C620" si="26">IF(G615&gt;0,C614+1,C614)</f>
        <v>0</v>
      </c>
      <c r="D615" s="1274" t="str">
        <f>VLOOKUP($B615,DG!A:D,DG!$B$2,)</f>
        <v>02.3155</v>
      </c>
      <c r="E615" s="1275" t="str">
        <f>VLOOKUP($B615,DG!A:D,DG!$C$2,)</f>
        <v>FCO 24kV - 100A</v>
      </c>
      <c r="F615" s="1274" t="str">
        <f>VLOOKUP($B615,DG!A:D,DG!$D$2,)</f>
        <v>cái</v>
      </c>
      <c r="G615" s="1312">
        <f>+G614</f>
        <v>0</v>
      </c>
      <c r="H615" s="1353">
        <f t="shared" si="25"/>
        <v>0</v>
      </c>
      <c r="I615" s="1310"/>
      <c r="J615" s="1310"/>
      <c r="K615" s="1278"/>
      <c r="L615" s="1125" t="s">
        <v>1293</v>
      </c>
    </row>
    <row r="616" spans="1:12" s="1279" customFormat="1" ht="20.100000000000001" customHeight="1">
      <c r="A616" s="1377">
        <f t="shared" si="24"/>
        <v>0</v>
      </c>
      <c r="B616" s="1583" t="s">
        <v>905</v>
      </c>
      <c r="C616" s="1286">
        <f t="shared" si="26"/>
        <v>0</v>
      </c>
      <c r="D616" s="1274">
        <f>VLOOKUP($B616,DG!A:D,DG!$B$2,)</f>
        <v>0</v>
      </c>
      <c r="E616" s="1275" t="str">
        <f>VLOOKUP($B616,DG!A:D,DG!$C$2,)</f>
        <v>Dây chảy 3K</v>
      </c>
      <c r="F616" s="1274" t="str">
        <f>VLOOKUP($B616,DG!A:D,DG!$D$2,)</f>
        <v>Sợi</v>
      </c>
      <c r="G616" s="1312">
        <f>G615</f>
        <v>0</v>
      </c>
      <c r="H616" s="1353">
        <f t="shared" si="25"/>
        <v>0</v>
      </c>
      <c r="I616" s="1310"/>
      <c r="J616" s="1310"/>
      <c r="K616" s="1278"/>
      <c r="L616" s="1125" t="s">
        <v>1293</v>
      </c>
    </row>
    <row r="617" spans="1:12" s="1279" customFormat="1" ht="20.100000000000001" customHeight="1">
      <c r="A617" s="1377">
        <f t="shared" si="24"/>
        <v>0</v>
      </c>
      <c r="B617" s="1576" t="s">
        <v>1406</v>
      </c>
      <c r="C617" s="1286">
        <f t="shared" si="26"/>
        <v>0</v>
      </c>
      <c r="D617" s="1274" t="str">
        <f>VLOOKUP($B617,DG!A:D,DG!$B$2,)</f>
        <v>02.5114</v>
      </c>
      <c r="E617" s="1275" t="str">
        <f>VLOOKUP($B617,DG!A:D,DG!$C$2,)</f>
        <v>LA 18kV 10kA</v>
      </c>
      <c r="F617" s="1274" t="str">
        <f>VLOOKUP($B617,DG!A:D,DG!$D$2,)</f>
        <v>cái</v>
      </c>
      <c r="G617" s="1312">
        <f>G614</f>
        <v>0</v>
      </c>
      <c r="H617" s="1353">
        <f t="shared" si="25"/>
        <v>0</v>
      </c>
      <c r="I617" s="1310"/>
      <c r="J617" s="1310"/>
      <c r="K617" s="1278"/>
      <c r="L617" s="1125" t="s">
        <v>1293</v>
      </c>
    </row>
    <row r="618" spans="1:12" s="1279" customFormat="1" ht="20.100000000000001" customHeight="1">
      <c r="A618" s="1377">
        <f t="shared" si="24"/>
        <v>0</v>
      </c>
      <c r="B618" s="1584" t="s">
        <v>1452</v>
      </c>
      <c r="C618" s="1286">
        <f t="shared" si="26"/>
        <v>0</v>
      </c>
      <c r="D618" s="1274" t="str">
        <f>VLOOKUP($B618,DG!A:D,DG!$B$2,)</f>
        <v>02.8401</v>
      </c>
      <c r="E618" s="1275" t="str">
        <f>VLOOKUP($B618,DG!A:D,DG!$C$2,)</f>
        <v>MCCB 3 cực 400V -125A - 30KA</v>
      </c>
      <c r="F618" s="1274" t="str">
        <f>VLOOKUP($B618,DG!A:D,DG!$D$2,)</f>
        <v>cái</v>
      </c>
      <c r="G618" s="1312">
        <f>+G614/3</f>
        <v>0</v>
      </c>
      <c r="H618" s="1353">
        <f t="shared" si="25"/>
        <v>0</v>
      </c>
      <c r="I618" s="1310"/>
      <c r="J618" s="1310"/>
      <c r="K618" s="1278"/>
      <c r="L618" s="1125" t="s">
        <v>1293</v>
      </c>
    </row>
    <row r="619" spans="1:12" s="1279" customFormat="1" ht="20.100000000000001" customHeight="1">
      <c r="A619" s="1377">
        <f t="shared" si="24"/>
        <v>0</v>
      </c>
      <c r="B619" s="1378" t="s">
        <v>2097</v>
      </c>
      <c r="C619" s="1286">
        <f t="shared" si="26"/>
        <v>0</v>
      </c>
      <c r="D619" s="1274">
        <f>VLOOKUP($B619,DG!A:D,DG!$B$2,)</f>
        <v>0</v>
      </c>
      <c r="E619" s="1275" t="str">
        <f>VLOOKUP($B619,DG!A:D,DG!$C$2,)</f>
        <v>Biến dòng 600V - 100/5A</v>
      </c>
      <c r="F619" s="1274" t="str">
        <f>VLOOKUP($B619,DG!A:D,DG!$D$2,)</f>
        <v>cái</v>
      </c>
      <c r="G619" s="1397">
        <f>G614</f>
        <v>0</v>
      </c>
      <c r="H619" s="1353">
        <f t="shared" si="25"/>
        <v>0</v>
      </c>
      <c r="I619" s="1310"/>
      <c r="J619" s="1310"/>
      <c r="K619" s="1312" t="s">
        <v>2666</v>
      </c>
      <c r="L619" s="1125" t="s">
        <v>1293</v>
      </c>
    </row>
    <row r="620" spans="1:12" s="1279" customFormat="1" ht="20.100000000000001" customHeight="1">
      <c r="A620" s="1377">
        <f t="shared" si="24"/>
        <v>0</v>
      </c>
      <c r="B620" s="1616" t="s">
        <v>289</v>
      </c>
      <c r="C620" s="1286">
        <f t="shared" si="26"/>
        <v>0</v>
      </c>
      <c r="D620" s="1274" t="str">
        <f>VLOOKUP($B620,DG!A:D,DG!$B$2,)</f>
        <v>05.5104</v>
      </c>
      <c r="E620" s="1275" t="str">
        <f>VLOOKUP($B620,DG!A:D,DG!$C$2,)</f>
        <v>Điện kế 3 pha 4 dây 220/380V-5A</v>
      </c>
      <c r="F620" s="1274" t="str">
        <f>VLOOKUP($B620,DG!A:D,DG!$D$2,)</f>
        <v>cái</v>
      </c>
      <c r="G620" s="1312">
        <f>G619/3</f>
        <v>0</v>
      </c>
      <c r="H620" s="1353">
        <f t="shared" si="25"/>
        <v>0</v>
      </c>
      <c r="I620" s="1310"/>
      <c r="J620" s="1310"/>
      <c r="K620" s="1312" t="s">
        <v>2666</v>
      </c>
      <c r="L620" s="1125" t="s">
        <v>1293</v>
      </c>
    </row>
    <row r="621" spans="1:12" s="1279" customFormat="1" ht="20.100000000000001" customHeight="1">
      <c r="A621" s="1377">
        <f t="shared" si="24"/>
        <v>0</v>
      </c>
      <c r="B621" s="1582"/>
      <c r="C621" s="1309"/>
      <c r="D621" s="1430"/>
      <c r="E621" s="1384"/>
      <c r="F621" s="1309"/>
      <c r="G621" s="1309"/>
      <c r="H621" s="1353">
        <f t="shared" si="25"/>
        <v>0</v>
      </c>
      <c r="I621" s="1384"/>
      <c r="J621" s="1309"/>
      <c r="K621" s="1354"/>
      <c r="L621" s="1125" t="s">
        <v>1293</v>
      </c>
    </row>
    <row r="622" spans="1:12" s="1279" customFormat="1" ht="20.100000000000001" customHeight="1">
      <c r="A622" s="1377">
        <f t="shared" si="24"/>
        <v>0</v>
      </c>
      <c r="B622" s="1582"/>
      <c r="C622" s="1407"/>
      <c r="D622" s="1432"/>
      <c r="E622" s="1264" t="s">
        <v>3772</v>
      </c>
      <c r="F622" s="1264"/>
      <c r="G622" s="1264"/>
      <c r="H622" s="1353">
        <f t="shared" si="25"/>
        <v>0</v>
      </c>
      <c r="I622" s="1264"/>
      <c r="J622" s="1264"/>
      <c r="K622" s="1354"/>
      <c r="L622" s="1125" t="s">
        <v>1293</v>
      </c>
    </row>
    <row r="623" spans="1:12" s="1279" customFormat="1" ht="20.100000000000001" customHeight="1">
      <c r="A623" s="1377">
        <f t="shared" si="24"/>
        <v>0</v>
      </c>
      <c r="B623" s="1582"/>
      <c r="C623" s="1433">
        <f>IF(G623&gt;0,1,0)</f>
        <v>0</v>
      </c>
      <c r="D623" s="1434"/>
      <c r="E623" s="1435" t="s">
        <v>3791</v>
      </c>
      <c r="F623" s="1433" t="s">
        <v>2449</v>
      </c>
      <c r="G623" s="1433">
        <f>G614/3</f>
        <v>0</v>
      </c>
      <c r="H623" s="1353">
        <f t="shared" si="25"/>
        <v>0</v>
      </c>
      <c r="I623" s="1436"/>
      <c r="J623" s="1436"/>
      <c r="K623" s="1424"/>
      <c r="L623" s="1125" t="s">
        <v>1293</v>
      </c>
    </row>
    <row r="624" spans="1:12" s="1279" customFormat="1" ht="20.100000000000001" customHeight="1">
      <c r="A624" s="1377">
        <f>IF(A623&gt;0,1,0)</f>
        <v>0</v>
      </c>
      <c r="B624" s="1582"/>
      <c r="C624" s="1390"/>
      <c r="D624" s="1437"/>
      <c r="E624" s="1635" t="s">
        <v>2342</v>
      </c>
      <c r="F624" s="1312"/>
      <c r="G624" s="1312"/>
      <c r="H624" s="1353">
        <f t="shared" si="25"/>
        <v>0</v>
      </c>
      <c r="I624" s="1438"/>
      <c r="J624" s="1438"/>
      <c r="K624" s="1278"/>
      <c r="L624" s="1125" t="s">
        <v>1293</v>
      </c>
    </row>
    <row r="625" spans="1:13" s="1279" customFormat="1" ht="20.100000000000001" customHeight="1">
      <c r="A625" s="1377">
        <f t="shared" si="24"/>
        <v>0</v>
      </c>
      <c r="B625" s="1378" t="s">
        <v>1030</v>
      </c>
      <c r="C625" s="1390"/>
      <c r="D625" s="1274" t="str">
        <f>VLOOKUP($B625,DG!A:D,DG!$B$2,)</f>
        <v>05.6100</v>
      </c>
      <c r="E625" s="1275" t="str">
        <f>VLOOKUP($B625,DG!A:D,DG!$C$2,)</f>
        <v>Giá chùm treo máy biến áp 3x25</v>
      </c>
      <c r="F625" s="1274" t="str">
        <f>VLOOKUP($B625,DG!A:D,DG!$D$2,)</f>
        <v>cái</v>
      </c>
      <c r="G625" s="1312">
        <f>G623</f>
        <v>0</v>
      </c>
      <c r="H625" s="1353">
        <f t="shared" si="25"/>
        <v>0</v>
      </c>
      <c r="I625" s="1310"/>
      <c r="J625" s="1310"/>
      <c r="K625" s="1278"/>
      <c r="L625" s="1125" t="s">
        <v>1293</v>
      </c>
    </row>
    <row r="626" spans="1:13" s="1279" customFormat="1" ht="20.100000000000001" customHeight="1">
      <c r="A626" s="1377">
        <f t="shared" si="24"/>
        <v>0</v>
      </c>
      <c r="B626" s="1582" t="s">
        <v>1839</v>
      </c>
      <c r="C626" s="1390"/>
      <c r="D626" s="1437"/>
      <c r="E626" s="1275" t="str">
        <f>VLOOKUP($B626,DG!A:D,DG!$C$2,)</f>
        <v>Boulon 16x50+ 2 long đền vuông D18-50x50x3/Zn</v>
      </c>
      <c r="F626" s="1274" t="str">
        <f>VLOOKUP($B626,DG!A:D,DG!$D$2,)</f>
        <v>bộ</v>
      </c>
      <c r="G626" s="1312">
        <f>6*G623</f>
        <v>0</v>
      </c>
      <c r="H626" s="1353">
        <f t="shared" si="25"/>
        <v>0</v>
      </c>
      <c r="I626" s="1310"/>
      <c r="J626" s="1310"/>
      <c r="K626" s="1278"/>
      <c r="L626" s="1125" t="s">
        <v>1293</v>
      </c>
    </row>
    <row r="627" spans="1:13" s="1279" customFormat="1" ht="20.100000000000001" customHeight="1">
      <c r="A627" s="1377">
        <f t="shared" si="24"/>
        <v>0</v>
      </c>
      <c r="B627" s="1582" t="s">
        <v>1662</v>
      </c>
      <c r="C627" s="1390"/>
      <c r="D627" s="1437"/>
      <c r="E627" s="1275" t="str">
        <f>VLOOKUP($B627,DG!A:D,DG!$C$2,)</f>
        <v>Boulon 16x300+ 2 long đền vuông D18-50x50x3/Zn</v>
      </c>
      <c r="F627" s="1274" t="str">
        <f>VLOOKUP($B627,DG!A:D,DG!$D$2,)</f>
        <v>bộ</v>
      </c>
      <c r="G627" s="1312">
        <f>2*G623</f>
        <v>0</v>
      </c>
      <c r="H627" s="1353">
        <f t="shared" si="25"/>
        <v>0</v>
      </c>
      <c r="I627" s="1310"/>
      <c r="J627" s="1310"/>
      <c r="K627" s="1278"/>
      <c r="L627" s="1125" t="s">
        <v>1293</v>
      </c>
    </row>
    <row r="628" spans="1:13" s="1279" customFormat="1" ht="20.100000000000001" customHeight="1">
      <c r="A628" s="1377">
        <f t="shared" si="24"/>
        <v>0</v>
      </c>
      <c r="B628" s="1582"/>
      <c r="C628" s="1273">
        <f>IF(G628&gt;0,C623+1,C623)</f>
        <v>0</v>
      </c>
      <c r="D628" s="1411"/>
      <c r="E628" s="1412" t="s">
        <v>3773</v>
      </c>
      <c r="F628" s="1390" t="s">
        <v>2449</v>
      </c>
      <c r="G628" s="1390">
        <f>G623*0</f>
        <v>0</v>
      </c>
      <c r="H628" s="1353">
        <f t="shared" si="25"/>
        <v>0</v>
      </c>
      <c r="I628" s="1342"/>
      <c r="J628" s="1342"/>
      <c r="K628" s="1312"/>
      <c r="L628" s="1125" t="s">
        <v>1293</v>
      </c>
    </row>
    <row r="629" spans="1:13" s="1279" customFormat="1" ht="20.100000000000001" customHeight="1">
      <c r="A629" s="1377">
        <f>IF(A628&gt;0,1,0)</f>
        <v>0</v>
      </c>
      <c r="B629" s="1582"/>
      <c r="C629" s="1390"/>
      <c r="D629" s="1411"/>
      <c r="E629" s="1634" t="s">
        <v>2342</v>
      </c>
      <c r="F629" s="1312"/>
      <c r="G629" s="1312"/>
      <c r="H629" s="1353">
        <f t="shared" si="25"/>
        <v>0</v>
      </c>
      <c r="I629" s="1342"/>
      <c r="J629" s="1342"/>
      <c r="K629" s="1312"/>
      <c r="L629" s="1125" t="s">
        <v>1293</v>
      </c>
      <c r="M629" s="1413"/>
    </row>
    <row r="630" spans="1:13" s="1279" customFormat="1" ht="20.100000000000001" customHeight="1">
      <c r="A630" s="1377">
        <f t="shared" si="24"/>
        <v>0</v>
      </c>
      <c r="B630" s="1378" t="s">
        <v>116</v>
      </c>
      <c r="C630" s="1312"/>
      <c r="D630" s="1274">
        <f>VLOOKUP($B630,DG!A:D,DG!$B$2,)</f>
        <v>0</v>
      </c>
      <c r="E630" s="1275" t="str">
        <f>VLOOKUP($B630,DG!A:D,DG!$C$2,)</f>
        <v>Trụ BTLT 12m F350 dự ứng lực</v>
      </c>
      <c r="F630" s="1274" t="str">
        <f>VLOOKUP($B630,DG!A:D,DG!$D$2,)</f>
        <v>trụ</v>
      </c>
      <c r="G630" s="1312">
        <f>1*G628</f>
        <v>0</v>
      </c>
      <c r="H630" s="1353">
        <f t="shared" si="25"/>
        <v>0</v>
      </c>
      <c r="I630" s="1310"/>
      <c r="J630" s="1310"/>
      <c r="K630" s="1312"/>
      <c r="L630" s="1125" t="s">
        <v>1293</v>
      </c>
      <c r="M630" s="1413"/>
    </row>
    <row r="631" spans="1:13" s="1279" customFormat="1" ht="20.100000000000001" customHeight="1">
      <c r="A631" s="1377">
        <f t="shared" si="24"/>
        <v>0</v>
      </c>
      <c r="B631" s="1378" t="s">
        <v>1867</v>
      </c>
      <c r="C631" s="1312"/>
      <c r="D631" s="1414"/>
      <c r="E631" s="1275" t="str">
        <f>VLOOKUP($B631,DG!A:D,DG!$C$2,)</f>
        <v>Vật liệu dựng trụ</v>
      </c>
      <c r="F631" s="1274" t="str">
        <f>VLOOKUP($B631,DG!A:D,DG!$D$2,)</f>
        <v>trụ</v>
      </c>
      <c r="G631" s="1312">
        <f>G630</f>
        <v>0</v>
      </c>
      <c r="H631" s="1353">
        <f t="shared" si="25"/>
        <v>0</v>
      </c>
      <c r="I631" s="1310"/>
      <c r="J631" s="1310"/>
      <c r="K631" s="1312"/>
      <c r="L631" s="1125" t="s">
        <v>1293</v>
      </c>
      <c r="M631" s="1413"/>
    </row>
    <row r="632" spans="1:13" s="1279" customFormat="1" ht="20.100000000000001" customHeight="1">
      <c r="A632" s="1377">
        <f t="shared" si="24"/>
        <v>0</v>
      </c>
      <c r="B632" s="1378" t="s">
        <v>2188</v>
      </c>
      <c r="C632" s="1312"/>
      <c r="D632" s="1414"/>
      <c r="E632" s="1275" t="str">
        <f>VLOOKUP($B632,DG!A:D,DG!$C$2,)</f>
        <v>Dựng trụ BTLT 12m trong TBA bằng thủ công + cơ giới</v>
      </c>
      <c r="F632" s="1274" t="str">
        <f>VLOOKUP($B632,DG!A:D,DG!$D$2,)</f>
        <v>trụ</v>
      </c>
      <c r="G632" s="1312">
        <f>G630</f>
        <v>0</v>
      </c>
      <c r="H632" s="1353">
        <f t="shared" si="25"/>
        <v>0</v>
      </c>
      <c r="I632" s="1310"/>
      <c r="J632" s="1310"/>
      <c r="K632" s="1312"/>
      <c r="L632" s="1125" t="s">
        <v>1293</v>
      </c>
      <c r="M632" s="1413"/>
    </row>
    <row r="633" spans="1:13" s="1279" customFormat="1" ht="20.100000000000001" customHeight="1">
      <c r="A633" s="1377">
        <f t="shared" si="24"/>
        <v>0</v>
      </c>
      <c r="B633" s="1582"/>
      <c r="C633" s="1273">
        <f>IF(G633&gt;0,C628+1,C628)</f>
        <v>0</v>
      </c>
      <c r="D633" s="1411"/>
      <c r="E633" s="1412" t="s">
        <v>2416</v>
      </c>
      <c r="F633" s="1390" t="s">
        <v>2449</v>
      </c>
      <c r="G633" s="1390">
        <f>G628</f>
        <v>0</v>
      </c>
      <c r="H633" s="1353">
        <f t="shared" si="25"/>
        <v>0</v>
      </c>
      <c r="I633" s="1342"/>
      <c r="J633" s="1342"/>
      <c r="K633" s="1312"/>
      <c r="L633" s="1125" t="s">
        <v>1293</v>
      </c>
    </row>
    <row r="634" spans="1:13" s="1279" customFormat="1" ht="20.100000000000001" customHeight="1">
      <c r="A634" s="1377">
        <f>IF(A633&gt;0,1,0)</f>
        <v>0</v>
      </c>
      <c r="B634" s="1582"/>
      <c r="C634" s="1390"/>
      <c r="D634" s="1411"/>
      <c r="E634" s="1634" t="s">
        <v>2342</v>
      </c>
      <c r="F634" s="1312"/>
      <c r="G634" s="1312"/>
      <c r="H634" s="1353">
        <f t="shared" si="25"/>
        <v>0</v>
      </c>
      <c r="I634" s="1342"/>
      <c r="J634" s="1342"/>
      <c r="K634" s="1312"/>
      <c r="L634" s="1125" t="s">
        <v>1293</v>
      </c>
      <c r="M634" s="1413"/>
    </row>
    <row r="635" spans="1:13" s="1279" customFormat="1" ht="20.100000000000001" customHeight="1">
      <c r="A635" s="1377">
        <f t="shared" si="24"/>
        <v>0</v>
      </c>
      <c r="B635" s="1589" t="s">
        <v>641</v>
      </c>
      <c r="C635" s="1312"/>
      <c r="D635" s="1274" t="str">
        <f>VLOOKUP($B635,DG!A:D,DG!$B$2,)</f>
        <v>04.4001</v>
      </c>
      <c r="E635" s="1275" t="str">
        <f>VLOOKUP($B635,DG!A:D,DG!$C$2,)</f>
        <v>Đà cản BTCT 1,2m</v>
      </c>
      <c r="F635" s="1274" t="str">
        <f>VLOOKUP($B635,DG!A:D,DG!$D$2,)</f>
        <v>cái</v>
      </c>
      <c r="G635" s="1312">
        <f>1*G633</f>
        <v>0</v>
      </c>
      <c r="H635" s="1353">
        <f t="shared" si="25"/>
        <v>0</v>
      </c>
      <c r="I635" s="1310"/>
      <c r="J635" s="1310"/>
      <c r="K635" s="1312"/>
      <c r="L635" s="1125" t="s">
        <v>1293</v>
      </c>
      <c r="M635" s="1413"/>
    </row>
    <row r="636" spans="1:13" s="1279" customFormat="1" ht="20.100000000000001" customHeight="1">
      <c r="A636" s="1377">
        <f t="shared" si="24"/>
        <v>0</v>
      </c>
      <c r="B636" s="1589" t="s">
        <v>570</v>
      </c>
      <c r="C636" s="1312"/>
      <c r="D636" s="1274">
        <f>VLOOKUP($B636,DG!A:D,DG!$B$2,)</f>
        <v>0</v>
      </c>
      <c r="E636" s="1275" t="str">
        <f>VLOOKUP($B636,DG!A:D,DG!$C$2,)</f>
        <v>Boulon 22x650+ 2 long đền vuông D24-50x50x3/Zn</v>
      </c>
      <c r="F636" s="1274" t="str">
        <f>VLOOKUP($B636,DG!A:D,DG!$D$2,)</f>
        <v>bộ</v>
      </c>
      <c r="G636" s="1312">
        <f>G633</f>
        <v>0</v>
      </c>
      <c r="H636" s="1353">
        <f t="shared" si="25"/>
        <v>0</v>
      </c>
      <c r="I636" s="1310"/>
      <c r="J636" s="1310"/>
      <c r="K636" s="1312"/>
      <c r="L636" s="1125" t="s">
        <v>1293</v>
      </c>
      <c r="M636" s="1413"/>
    </row>
    <row r="637" spans="1:13" s="1279" customFormat="1" ht="20.100000000000001" customHeight="1">
      <c r="A637" s="1377">
        <f t="shared" si="24"/>
        <v>0</v>
      </c>
      <c r="B637" s="1589" t="str">
        <f>IF(chitiet!F5=1,"MDD1",IF(chitiet!F5=2,"MDD2",IF(chitiet!F5=3,"MDD3",IF(chitiet!F5=4,"MDD4"))))</f>
        <v>MDD3</v>
      </c>
      <c r="C637" s="1312"/>
      <c r="D637" s="1274" t="str">
        <f>VLOOKUP($B637,DG!A:D,DG!$B$2,)</f>
        <v>03.1013</v>
      </c>
      <c r="E637" s="1275" t="str">
        <f>VLOOKUP($B637,DG!A:D,DG!$C$2,)</f>
        <v>Đào hố móng đất cấp 3 sâu &gt;1m DT&lt;5m2</v>
      </c>
      <c r="F637" s="1274" t="str">
        <f>VLOOKUP($B637,DG!A:D,DG!$D$2,)</f>
        <v>m3</v>
      </c>
      <c r="G637" s="1346">
        <f>G633*1.45</f>
        <v>0</v>
      </c>
      <c r="H637" s="1353">
        <f t="shared" si="25"/>
        <v>0</v>
      </c>
      <c r="I637" s="1310"/>
      <c r="J637" s="1310"/>
      <c r="K637" s="1312"/>
      <c r="L637" s="1125" t="s">
        <v>1293</v>
      </c>
      <c r="M637" s="1413"/>
    </row>
    <row r="638" spans="1:13" s="1279" customFormat="1" ht="20.100000000000001" customHeight="1">
      <c r="A638" s="1377">
        <f t="shared" si="24"/>
        <v>0</v>
      </c>
      <c r="B638" s="1589" t="str">
        <f>IF(chitiet!F5=1,"MDAP1",IF(chitiet!F5=2,"MDAP2",IF(chitiet!F5=3,"MDAP3",IF(chitiet!F5=4,"MDAP4"))))</f>
        <v>MDAP3</v>
      </c>
      <c r="C638" s="1312"/>
      <c r="D638" s="1274" t="str">
        <f>VLOOKUP($B638,DG!A:D,DG!$B$2,)</f>
        <v>03.4113</v>
      </c>
      <c r="E638" s="1275" t="str">
        <f>VLOOKUP($B638,DG!A:D,DG!$C$2,)</f>
        <v>Đắp đất hố móng, độ chặt k=0,95</v>
      </c>
      <c r="F638" s="1274" t="str">
        <f>VLOOKUP($B638,DG!A:D,DG!$D$2,)</f>
        <v>m3</v>
      </c>
      <c r="G638" s="1346">
        <f>G633*1.37</f>
        <v>0</v>
      </c>
      <c r="H638" s="1353">
        <f t="shared" si="25"/>
        <v>0</v>
      </c>
      <c r="I638" s="1310"/>
      <c r="J638" s="1310"/>
      <c r="K638" s="1312"/>
      <c r="L638" s="1125" t="s">
        <v>1293</v>
      </c>
      <c r="M638" s="1413"/>
    </row>
    <row r="639" spans="1:13" s="1279" customFormat="1" ht="20.100000000000001" customHeight="1">
      <c r="A639" s="1377">
        <f t="shared" si="24"/>
        <v>0</v>
      </c>
      <c r="B639" s="1582"/>
      <c r="C639" s="1390">
        <f>IF(G639&gt;0,C633+1,C633)</f>
        <v>0</v>
      </c>
      <c r="D639" s="1437"/>
      <c r="E639" s="1425" t="s">
        <v>3798</v>
      </c>
      <c r="F639" s="1390" t="s">
        <v>2449</v>
      </c>
      <c r="G639" s="1390">
        <f>G623</f>
        <v>0</v>
      </c>
      <c r="H639" s="1353">
        <f t="shared" si="25"/>
        <v>0</v>
      </c>
      <c r="I639" s="1342"/>
      <c r="J639" s="1342"/>
      <c r="K639" s="1278"/>
      <c r="L639" s="1125" t="s">
        <v>1293</v>
      </c>
    </row>
    <row r="640" spans="1:13" s="1279" customFormat="1" ht="20.100000000000001" customHeight="1">
      <c r="A640" s="1377">
        <f>IF(A639&gt;0,1,0)</f>
        <v>0</v>
      </c>
      <c r="B640" s="1582"/>
      <c r="C640" s="1390"/>
      <c r="D640" s="1437"/>
      <c r="E640" s="1635" t="s">
        <v>2342</v>
      </c>
      <c r="F640" s="1312"/>
      <c r="G640" s="1312"/>
      <c r="H640" s="1353">
        <f t="shared" si="25"/>
        <v>0</v>
      </c>
      <c r="I640" s="1342"/>
      <c r="J640" s="1342"/>
      <c r="K640" s="1278"/>
      <c r="L640" s="1125" t="s">
        <v>1293</v>
      </c>
    </row>
    <row r="641" spans="1:12" s="1279" customFormat="1" ht="20.100000000000001" customHeight="1">
      <c r="A641" s="1377">
        <f t="shared" si="24"/>
        <v>0</v>
      </c>
      <c r="B641" s="1589" t="s">
        <v>365</v>
      </c>
      <c r="C641" s="1390"/>
      <c r="D641" s="1274">
        <f>VLOOKUP($B641,DG!A:D,DG!$B$2,)</f>
        <v>0</v>
      </c>
      <c r="E641" s="1275" t="str">
        <f>VLOOKUP($B641,DG!A:D,DG!$C$2,)</f>
        <v>Xà composite 110x800x5</v>
      </c>
      <c r="F641" s="1274" t="str">
        <f>VLOOKUP($B641,DG!A:D,DG!$D$2,)</f>
        <v>m</v>
      </c>
      <c r="G641" s="1396">
        <f>G639*2.4</f>
        <v>0</v>
      </c>
      <c r="H641" s="1353">
        <f t="shared" si="25"/>
        <v>0</v>
      </c>
      <c r="I641" s="1310"/>
      <c r="J641" s="1310"/>
      <c r="K641" s="1278"/>
      <c r="L641" s="1125" t="s">
        <v>1293</v>
      </c>
    </row>
    <row r="642" spans="1:12" s="1279" customFormat="1" ht="20.100000000000001" customHeight="1">
      <c r="A642" s="1377">
        <f t="shared" si="24"/>
        <v>0</v>
      </c>
      <c r="B642" s="1582" t="s">
        <v>366</v>
      </c>
      <c r="C642" s="1390"/>
      <c r="D642" s="1274">
        <f>VLOOKUP($B642,DG!A:D,DG!$B$2,)</f>
        <v>0</v>
      </c>
      <c r="E642" s="1275" t="str">
        <f>VLOOKUP($B642,DG!A:D,DG!$C$2,)</f>
        <v>Chống composite 40x10x920</v>
      </c>
      <c r="F642" s="1274" t="str">
        <f>VLOOKUP($B642,DG!A:D,DG!$D$2,)</f>
        <v>cái</v>
      </c>
      <c r="G642" s="1312">
        <f>2*G639</f>
        <v>0</v>
      </c>
      <c r="H642" s="1353">
        <f t="shared" si="25"/>
        <v>0</v>
      </c>
      <c r="I642" s="1310"/>
      <c r="J642" s="1310"/>
      <c r="K642" s="1278"/>
      <c r="L642" s="1125" t="s">
        <v>1293</v>
      </c>
    </row>
    <row r="643" spans="1:12" s="1279" customFormat="1" ht="20.100000000000001" customHeight="1">
      <c r="A643" s="1377">
        <f t="shared" si="24"/>
        <v>0</v>
      </c>
      <c r="B643" s="1582" t="s">
        <v>491</v>
      </c>
      <c r="C643" s="1390"/>
      <c r="D643" s="1274">
        <f>VLOOKUP($B643,DG!A:D,DG!$B$2,)</f>
        <v>0</v>
      </c>
      <c r="E643" s="1275" t="str">
        <f>VLOOKUP($B643,DG!A:D,DG!$C$2,)</f>
        <v>Bass LL bắt FCO và LA</v>
      </c>
      <c r="F643" s="1274" t="str">
        <f>VLOOKUP($B643,DG!A:D,DG!$D$2,)</f>
        <v>bộ</v>
      </c>
      <c r="G643" s="1312">
        <f>G639*3</f>
        <v>0</v>
      </c>
      <c r="H643" s="1353">
        <f t="shared" si="25"/>
        <v>0</v>
      </c>
      <c r="I643" s="1310"/>
      <c r="J643" s="1310"/>
      <c r="K643" s="1278"/>
      <c r="L643" s="1125" t="s">
        <v>1293</v>
      </c>
    </row>
    <row r="644" spans="1:12" s="1279" customFormat="1" ht="20.100000000000001" customHeight="1">
      <c r="A644" s="1377">
        <f t="shared" si="24"/>
        <v>0</v>
      </c>
      <c r="B644" s="1582" t="s">
        <v>810</v>
      </c>
      <c r="C644" s="1390"/>
      <c r="D644" s="1274">
        <f>VLOOKUP($B644,DG!A:D,DG!$B$2,)</f>
        <v>0</v>
      </c>
      <c r="E644" s="1275" t="str">
        <f>VLOOKUP($B644,DG!A:D,DG!$C$2,)</f>
        <v>Boulon 16x100+ 2 long đền vuông D18-50x50x3/Zn</v>
      </c>
      <c r="F644" s="1274" t="str">
        <f>VLOOKUP($B644,DG!A:D,DG!$D$2,)</f>
        <v>bộ</v>
      </c>
      <c r="G644" s="1312">
        <f>2*G639</f>
        <v>0</v>
      </c>
      <c r="H644" s="1353">
        <f t="shared" si="25"/>
        <v>0</v>
      </c>
      <c r="I644" s="1310"/>
      <c r="J644" s="1310"/>
      <c r="K644" s="1278"/>
      <c r="L644" s="1125" t="s">
        <v>1293</v>
      </c>
    </row>
    <row r="645" spans="1:12" s="1279" customFormat="1" ht="20.100000000000001" customHeight="1">
      <c r="A645" s="1377">
        <f t="shared" si="24"/>
        <v>0</v>
      </c>
      <c r="B645" s="1582" t="s">
        <v>1113</v>
      </c>
      <c r="C645" s="1390"/>
      <c r="D645" s="1274">
        <f>VLOOKUP($B645,DG!A:D,DG!$B$2,)</f>
        <v>0</v>
      </c>
      <c r="E645" s="1275" t="str">
        <f>VLOOKUP($B645,DG!A:D,DG!$C$2,)</f>
        <v>Boulon 16x400+ 2 long đền vuông D18-50x50x3/Zn</v>
      </c>
      <c r="F645" s="1274" t="str">
        <f>VLOOKUP($B645,DG!A:D,DG!$D$2,)</f>
        <v>bộ</v>
      </c>
      <c r="G645" s="1312">
        <f>2*G639</f>
        <v>0</v>
      </c>
      <c r="H645" s="1353">
        <f t="shared" si="25"/>
        <v>0</v>
      </c>
      <c r="I645" s="1310"/>
      <c r="J645" s="1310"/>
      <c r="K645" s="1278"/>
      <c r="L645" s="1125" t="s">
        <v>1293</v>
      </c>
    </row>
    <row r="646" spans="1:12" s="1279" customFormat="1" ht="20.100000000000001" customHeight="1">
      <c r="A646" s="1377">
        <f t="shared" si="24"/>
        <v>0</v>
      </c>
      <c r="B646" s="1582" t="s">
        <v>423</v>
      </c>
      <c r="C646" s="1390"/>
      <c r="D646" s="1274" t="str">
        <f>VLOOKUP($B646,DG!A:D,DG!$B$2,)</f>
        <v>05.6102</v>
      </c>
      <c r="E646" s="1275" t="str">
        <f>VLOOKUP($B646,DG!A:D,DG!$C$2,)</f>
        <v>Lắp xà đỡ ≤ 50kg</v>
      </c>
      <c r="F646" s="1274" t="str">
        <f>VLOOKUP($B646,DG!A:D,DG!$D$2,)</f>
        <v>bộ</v>
      </c>
      <c r="G646" s="1312">
        <f>G639</f>
        <v>0</v>
      </c>
      <c r="H646" s="1353">
        <f t="shared" si="25"/>
        <v>0</v>
      </c>
      <c r="I646" s="1310"/>
      <c r="J646" s="1310"/>
      <c r="K646" s="1278"/>
      <c r="L646" s="1125" t="s">
        <v>1293</v>
      </c>
    </row>
    <row r="647" spans="1:12" s="1279" customFormat="1" ht="20.100000000000001" customHeight="1">
      <c r="A647" s="1377">
        <f t="shared" si="24"/>
        <v>0</v>
      </c>
      <c r="B647" s="1582"/>
      <c r="C647" s="1390">
        <f>IF(G647&gt;0,C639+1,C639)</f>
        <v>0</v>
      </c>
      <c r="D647" s="1437"/>
      <c r="E647" s="1425" t="s">
        <v>3793</v>
      </c>
      <c r="F647" s="1390" t="s">
        <v>2449</v>
      </c>
      <c r="G647" s="1390">
        <f>G623</f>
        <v>0</v>
      </c>
      <c r="H647" s="1353">
        <f t="shared" si="25"/>
        <v>0</v>
      </c>
      <c r="I647" s="1342"/>
      <c r="J647" s="1342"/>
      <c r="K647" s="1278"/>
      <c r="L647" s="1125" t="s">
        <v>1293</v>
      </c>
    </row>
    <row r="648" spans="1:12" s="1279" customFormat="1" ht="20.100000000000001" customHeight="1">
      <c r="A648" s="1377">
        <f>IF(A647&gt;0,1,0)</f>
        <v>0</v>
      </c>
      <c r="B648" s="1582"/>
      <c r="C648" s="1390"/>
      <c r="D648" s="1437"/>
      <c r="E648" s="1635" t="s">
        <v>2342</v>
      </c>
      <c r="F648" s="1312"/>
      <c r="G648" s="1312"/>
      <c r="H648" s="1353">
        <f t="shared" si="25"/>
        <v>0</v>
      </c>
      <c r="I648" s="1342"/>
      <c r="J648" s="1342"/>
      <c r="K648" s="1278"/>
      <c r="L648" s="1125" t="s">
        <v>1293</v>
      </c>
    </row>
    <row r="649" spans="1:12" s="1279" customFormat="1" ht="20.100000000000001" customHeight="1">
      <c r="A649" s="1377">
        <f t="shared" si="24"/>
        <v>0</v>
      </c>
      <c r="B649" s="1582" t="s">
        <v>103</v>
      </c>
      <c r="C649" s="1312"/>
      <c r="D649" s="1274">
        <f>VLOOKUP($B649,DG!A:D,DG!$B$2,)</f>
        <v>0</v>
      </c>
      <c r="E649" s="1275" t="str">
        <f>VLOOKUP($B649,DG!A:D,DG!$C$2,)</f>
        <v>Cáp đồng trần M25mm2</v>
      </c>
      <c r="F649" s="1274" t="str">
        <f>VLOOKUP($B649,DG!A:D,DG!$D$2,)</f>
        <v>kg</v>
      </c>
      <c r="G649" s="1396">
        <f>G647*8*0.224</f>
        <v>0</v>
      </c>
      <c r="H649" s="1353">
        <f t="shared" si="25"/>
        <v>0</v>
      </c>
      <c r="I649" s="1310"/>
      <c r="J649" s="1310"/>
      <c r="K649" s="1278"/>
      <c r="L649" s="1125" t="s">
        <v>1293</v>
      </c>
    </row>
    <row r="650" spans="1:12" s="1279" customFormat="1" ht="20.100000000000001" customHeight="1">
      <c r="A650" s="1377">
        <f t="shared" si="24"/>
        <v>0</v>
      </c>
      <c r="B650" s="1378" t="s">
        <v>1560</v>
      </c>
      <c r="C650" s="1312"/>
      <c r="D650" s="1274">
        <f>VLOOKUP($B650,DG!A:D,DG!$B$2,)</f>
        <v>0</v>
      </c>
      <c r="E650" s="1275" t="str">
        <f>VLOOKUP($B650,DG!A:D,DG!$C$2,)</f>
        <v>Cọc tiếp đất Ø 16- 2,4m + kẹp cọc</v>
      </c>
      <c r="F650" s="1274" t="str">
        <f>VLOOKUP($B650,DG!A:D,DG!$D$2,)</f>
        <v>bộ</v>
      </c>
      <c r="G650" s="1312">
        <f>G647*9</f>
        <v>0</v>
      </c>
      <c r="H650" s="1353">
        <f t="shared" si="25"/>
        <v>0</v>
      </c>
      <c r="I650" s="1310"/>
      <c r="J650" s="1310"/>
      <c r="K650" s="1278"/>
      <c r="L650" s="1125" t="s">
        <v>1293</v>
      </c>
    </row>
    <row r="651" spans="1:12" s="1279" customFormat="1" ht="20.100000000000001" customHeight="1">
      <c r="A651" s="1377">
        <f t="shared" si="24"/>
        <v>0</v>
      </c>
      <c r="B651" s="1378" t="s">
        <v>1025</v>
      </c>
      <c r="C651" s="1312"/>
      <c r="D651" s="1274">
        <f>VLOOKUP($B651,DG!A:D,DG!$B$2,)</f>
        <v>0</v>
      </c>
      <c r="E651" s="1275" t="str">
        <f>VLOOKUP($B651,DG!A:D,DG!$C$2,)</f>
        <v>Sắt   Ø10</v>
      </c>
      <c r="F651" s="1274" t="str">
        <f>VLOOKUP($B651,DG!A:D,DG!$D$2,)</f>
        <v>kg</v>
      </c>
      <c r="G651" s="1312">
        <f>0.395*31*G647</f>
        <v>0</v>
      </c>
      <c r="H651" s="1353">
        <f t="shared" si="25"/>
        <v>0</v>
      </c>
      <c r="I651" s="1310"/>
      <c r="J651" s="1310"/>
      <c r="K651" s="1278"/>
      <c r="L651" s="1125" t="s">
        <v>1293</v>
      </c>
    </row>
    <row r="652" spans="1:12" s="1279" customFormat="1" ht="20.100000000000001" customHeight="1">
      <c r="A652" s="1377">
        <f t="shared" si="24"/>
        <v>0</v>
      </c>
      <c r="B652" s="1378" t="s">
        <v>377</v>
      </c>
      <c r="C652" s="1312"/>
      <c r="D652" s="1274">
        <f>VLOOKUP($B652,DG!A:D,DG!$B$2,)</f>
        <v>0</v>
      </c>
      <c r="E652" s="1275" t="str">
        <f>VLOOKUP($B652,DG!A:D,DG!$C$2,)</f>
        <v>Bake D16 - 200x200</v>
      </c>
      <c r="F652" s="1274" t="str">
        <f>VLOOKUP($B652,DG!A:D,DG!$D$2,)</f>
        <v>cái</v>
      </c>
      <c r="G652" s="1312">
        <f>G647*14</f>
        <v>0</v>
      </c>
      <c r="H652" s="1353">
        <f t="shared" si="25"/>
        <v>0</v>
      </c>
      <c r="I652" s="1310"/>
      <c r="J652" s="1310"/>
      <c r="K652" s="1278"/>
      <c r="L652" s="1125" t="s">
        <v>1293</v>
      </c>
    </row>
    <row r="653" spans="1:12" s="1279" customFormat="1" ht="20.100000000000001" customHeight="1">
      <c r="A653" s="1377">
        <f t="shared" si="24"/>
        <v>0</v>
      </c>
      <c r="B653" s="1587" t="s">
        <v>1631</v>
      </c>
      <c r="C653" s="1312"/>
      <c r="D653" s="1274">
        <f>VLOOKUP($B653,DG!A:D,DG!$B$2,)</f>
        <v>0</v>
      </c>
      <c r="E653" s="1275" t="str">
        <f>VLOOKUP($B653,DG!A:D,DG!$C$2,)</f>
        <v>Kẹp ép WR cỡ dây 50mm2</v>
      </c>
      <c r="F653" s="1274" t="str">
        <f>VLOOKUP($B653,DG!A:D,DG!$D$2,)</f>
        <v>cái</v>
      </c>
      <c r="G653" s="1312">
        <f>2*G647</f>
        <v>0</v>
      </c>
      <c r="H653" s="1353">
        <f t="shared" si="25"/>
        <v>0</v>
      </c>
      <c r="I653" s="1310"/>
      <c r="J653" s="1310"/>
      <c r="K653" s="1278"/>
      <c r="L653" s="1125" t="s">
        <v>1293</v>
      </c>
    </row>
    <row r="654" spans="1:12" s="1279" customFormat="1" ht="20.100000000000001" customHeight="1">
      <c r="A654" s="1377">
        <f t="shared" si="24"/>
        <v>0</v>
      </c>
      <c r="B654" s="1587" t="s">
        <v>1144</v>
      </c>
      <c r="C654" s="1312"/>
      <c r="D654" s="1274">
        <f>VLOOKUP($B654,DG!A:D,DG!$B$2,)</f>
        <v>0</v>
      </c>
      <c r="E654" s="1275" t="str">
        <f>VLOOKUP($B654,DG!A:D,DG!$C$2,)</f>
        <v>Kẹp ép cỡ dây 25mm2</v>
      </c>
      <c r="F654" s="1274" t="str">
        <f>VLOOKUP($B654,DG!A:D,DG!$D$2,)</f>
        <v>cái</v>
      </c>
      <c r="G654" s="1312">
        <f>G647*4</f>
        <v>0</v>
      </c>
      <c r="H654" s="1353">
        <f t="shared" si="25"/>
        <v>0</v>
      </c>
      <c r="I654" s="1310"/>
      <c r="J654" s="1310"/>
      <c r="K654" s="1278"/>
      <c r="L654" s="1125" t="s">
        <v>1293</v>
      </c>
    </row>
    <row r="655" spans="1:12" s="1279" customFormat="1" ht="20.100000000000001" customHeight="1">
      <c r="A655" s="1377">
        <f t="shared" si="24"/>
        <v>0</v>
      </c>
      <c r="B655" s="1587" t="s">
        <v>378</v>
      </c>
      <c r="C655" s="1312"/>
      <c r="D655" s="1274" t="str">
        <f>VLOOKUP($B655,DG!A:D,DG!$B$2,)</f>
        <v>03.4002</v>
      </c>
      <c r="E655" s="1275" t="str">
        <f>VLOOKUP($B655,DG!A:D,DG!$C$2,)</f>
        <v>Đầu cosse ép Cu 35mm2</v>
      </c>
      <c r="F655" s="1274" t="str">
        <f>VLOOKUP($B655,DG!A:D,DG!$D$2,)</f>
        <v>cái</v>
      </c>
      <c r="G655" s="1312">
        <f>G647*3</f>
        <v>0</v>
      </c>
      <c r="H655" s="1353">
        <f t="shared" si="25"/>
        <v>0</v>
      </c>
      <c r="I655" s="1310"/>
      <c r="J655" s="1310"/>
      <c r="K655" s="1278"/>
      <c r="L655" s="1125" t="s">
        <v>1293</v>
      </c>
    </row>
    <row r="656" spans="1:12" s="1279" customFormat="1" ht="20.100000000000001" customHeight="1">
      <c r="A656" s="1377">
        <f t="shared" si="24"/>
        <v>0</v>
      </c>
      <c r="B656" s="1587" t="s">
        <v>372</v>
      </c>
      <c r="C656" s="1312"/>
      <c r="D656" s="1274" t="str">
        <f>VLOOKUP($B656,DG!A:D,DG!$B$2,)</f>
        <v>03.4003</v>
      </c>
      <c r="E656" s="1275" t="str">
        <f>VLOOKUP($B656,DG!A:D,DG!$C$2,)</f>
        <v>Đầu cosse ép Cu 70mm2</v>
      </c>
      <c r="F656" s="1274" t="str">
        <f>VLOOKUP($B656,DG!A:D,DG!$D$2,)</f>
        <v>cái</v>
      </c>
      <c r="G656" s="1312">
        <f>G647*2</f>
        <v>0</v>
      </c>
      <c r="H656" s="1353">
        <f t="shared" si="25"/>
        <v>0</v>
      </c>
      <c r="I656" s="1310"/>
      <c r="J656" s="1310"/>
      <c r="K656" s="1278"/>
      <c r="L656" s="1125" t="s">
        <v>1293</v>
      </c>
    </row>
    <row r="657" spans="1:12" s="1279" customFormat="1" ht="20.100000000000001" customHeight="1">
      <c r="A657" s="1377">
        <f t="shared" si="24"/>
        <v>0</v>
      </c>
      <c r="B657" s="1378" t="s">
        <v>376</v>
      </c>
      <c r="C657" s="1312"/>
      <c r="D657" s="1274" t="str">
        <f>VLOOKUP($B657,DG!A:D,DG!$B$2,)</f>
        <v>06.3231</v>
      </c>
      <c r="E657" s="1275" t="str">
        <f>VLOOKUP($B657,DG!A:D,DG!$C$2,)</f>
        <v>Cổ dê kẹp sắt Ø 10</v>
      </c>
      <c r="F657" s="1274" t="str">
        <f>VLOOKUP($B657,DG!A:D,DG!$D$2,)</f>
        <v>bộ</v>
      </c>
      <c r="G657" s="1312">
        <f>4*G647</f>
        <v>0</v>
      </c>
      <c r="H657" s="1353">
        <f t="shared" si="25"/>
        <v>0</v>
      </c>
      <c r="I657" s="1310"/>
      <c r="J657" s="1310"/>
      <c r="K657" s="1278"/>
      <c r="L657" s="1125" t="s">
        <v>1293</v>
      </c>
    </row>
    <row r="658" spans="1:12" s="1279" customFormat="1" ht="20.100000000000001" customHeight="1">
      <c r="A658" s="1377">
        <f t="shared" si="24"/>
        <v>0</v>
      </c>
      <c r="B658" s="1378" t="s">
        <v>1383</v>
      </c>
      <c r="C658" s="1312"/>
      <c r="D658" s="1274">
        <f>VLOOKUP($B658,DG!A:D,DG!$B$2,)</f>
        <v>0</v>
      </c>
      <c r="E658" s="1275" t="s">
        <v>829</v>
      </c>
      <c r="F658" s="1274" t="str">
        <f>VLOOKUP($B658,DG!A:D,DG!$D$2,)</f>
        <v>bộ</v>
      </c>
      <c r="G658" s="1312">
        <f>2*G647</f>
        <v>0</v>
      </c>
      <c r="H658" s="1353">
        <f t="shared" si="25"/>
        <v>0</v>
      </c>
      <c r="I658" s="1310"/>
      <c r="J658" s="1310"/>
      <c r="K658" s="1278"/>
      <c r="L658" s="1125" t="s">
        <v>1293</v>
      </c>
    </row>
    <row r="659" spans="1:12" s="1279" customFormat="1" ht="20.100000000000001" customHeight="1">
      <c r="A659" s="1377">
        <f t="shared" si="24"/>
        <v>0</v>
      </c>
      <c r="B659" s="1587" t="s">
        <v>2245</v>
      </c>
      <c r="C659" s="1312"/>
      <c r="D659" s="1274" t="str">
        <f>VLOOKUP($B659,DG!A:D,DG!$B$2,)</f>
        <v>04.7002</v>
      </c>
      <c r="E659" s="1275" t="str">
        <f>VLOOKUP($B659,DG!A:D,DG!$C$2,)</f>
        <v>Kéo dây tiếp địa trong TBA</v>
      </c>
      <c r="F659" s="1274" t="str">
        <f>VLOOKUP($B659,DG!A:D,DG!$D$2,)</f>
        <v>mét</v>
      </c>
      <c r="G659" s="1312">
        <f>G647*31</f>
        <v>0</v>
      </c>
      <c r="H659" s="1353">
        <f t="shared" si="25"/>
        <v>0</v>
      </c>
      <c r="I659" s="1310"/>
      <c r="J659" s="1310"/>
      <c r="K659" s="1278"/>
      <c r="L659" s="1125" t="s">
        <v>1293</v>
      </c>
    </row>
    <row r="660" spans="1:12" s="1279" customFormat="1" ht="20.100000000000001" customHeight="1">
      <c r="A660" s="1377">
        <f t="shared" si="24"/>
        <v>0</v>
      </c>
      <c r="B660" s="1378" t="s">
        <v>919</v>
      </c>
      <c r="C660" s="1312"/>
      <c r="D660" s="1274" t="str">
        <f>VLOOKUP($B660,DG!A:D,DG!$B$2,)</f>
        <v>04.7001</v>
      </c>
      <c r="E660" s="1275" t="str">
        <f>VLOOKUP($B660,DG!A:D,DG!$C$2,)</f>
        <v>Đóng cọc tiếp địa trong TBA</v>
      </c>
      <c r="F660" s="1274" t="str">
        <f>VLOOKUP($B660,DG!A:D,DG!$D$2,)</f>
        <v>cọc</v>
      </c>
      <c r="G660" s="1312">
        <f>G650</f>
        <v>0</v>
      </c>
      <c r="H660" s="1353">
        <f t="shared" si="25"/>
        <v>0</v>
      </c>
      <c r="I660" s="1310"/>
      <c r="J660" s="1310"/>
      <c r="K660" s="1278"/>
      <c r="L660" s="1125" t="s">
        <v>1293</v>
      </c>
    </row>
    <row r="661" spans="1:12" s="1279" customFormat="1" ht="20.100000000000001" customHeight="1">
      <c r="A661" s="1377">
        <f t="shared" si="24"/>
        <v>0</v>
      </c>
      <c r="B661" s="1587" t="str">
        <f>"dtd"&amp;chitiet!F5</f>
        <v>dtd3</v>
      </c>
      <c r="C661" s="1312"/>
      <c r="D661" s="1274" t="str">
        <f>VLOOKUP($B661,DG!A:D,DG!$B$2,)</f>
        <v>03.3123</v>
      </c>
      <c r="E661" s="1275" t="str">
        <f>VLOOKUP($B661,DG!A:D,DG!$C$2,)</f>
        <v>Đào rãnh tiếp địa đất cấp 3</v>
      </c>
      <c r="F661" s="1274" t="str">
        <f>VLOOKUP($B661,DG!A:D,DG!$D$2,)</f>
        <v>m3</v>
      </c>
      <c r="G661" s="1346">
        <f>G647*11*0.3*0.5</f>
        <v>0</v>
      </c>
      <c r="H661" s="1353">
        <f t="shared" si="25"/>
        <v>0</v>
      </c>
      <c r="I661" s="1310"/>
      <c r="J661" s="1310"/>
      <c r="K661" s="1278"/>
      <c r="L661" s="1125" t="s">
        <v>1293</v>
      </c>
    </row>
    <row r="662" spans="1:12" s="1279" customFormat="1" ht="20.100000000000001" customHeight="1">
      <c r="A662" s="1377">
        <f t="shared" ref="A662:A723" si="27">IF(H662&gt;0,1,0)</f>
        <v>0</v>
      </c>
      <c r="B662" s="1378" t="str">
        <f>"datd"&amp;chitiet!F5</f>
        <v>datd3</v>
      </c>
      <c r="C662" s="1312"/>
      <c r="D662" s="1274" t="str">
        <f>VLOOKUP($B662,DG!A:D,DG!$B$2,)</f>
        <v>03.4123</v>
      </c>
      <c r="E662" s="1275" t="str">
        <f>VLOOKUP($B662,DG!A:D,DG!$C$2,)</f>
        <v>Đắp đất rãnh tiếp độ chặt k=0,95</v>
      </c>
      <c r="F662" s="1274" t="str">
        <f>VLOOKUP($B662,DG!A:D,DG!$D$2,)</f>
        <v>m3</v>
      </c>
      <c r="G662" s="1346">
        <f>G661</f>
        <v>0</v>
      </c>
      <c r="H662" s="1353">
        <f t="shared" si="25"/>
        <v>0</v>
      </c>
      <c r="I662" s="1310"/>
      <c r="J662" s="1310"/>
      <c r="K662" s="1278"/>
      <c r="L662" s="1125" t="s">
        <v>1293</v>
      </c>
    </row>
    <row r="663" spans="1:12" s="1279" customFormat="1" ht="20.100000000000001" customHeight="1">
      <c r="A663" s="1377">
        <f t="shared" si="27"/>
        <v>0</v>
      </c>
      <c r="B663" s="1582"/>
      <c r="C663" s="1390">
        <f>IF(G663&gt;0,C647+1,C647)</f>
        <v>0</v>
      </c>
      <c r="D663" s="1437"/>
      <c r="E663" s="1412" t="s">
        <v>3799</v>
      </c>
      <c r="F663" s="1390" t="s">
        <v>2449</v>
      </c>
      <c r="G663" s="1390">
        <f>G647</f>
        <v>0</v>
      </c>
      <c r="H663" s="1353">
        <f t="shared" si="25"/>
        <v>0</v>
      </c>
      <c r="I663" s="1342"/>
      <c r="J663" s="1342"/>
      <c r="K663" s="1278"/>
      <c r="L663" s="1125" t="s">
        <v>1293</v>
      </c>
    </row>
    <row r="664" spans="1:12" s="1279" customFormat="1" ht="20.100000000000001" customHeight="1">
      <c r="A664" s="1377">
        <f>IF(A663&gt;0,1,0)</f>
        <v>0</v>
      </c>
      <c r="B664" s="1582"/>
      <c r="C664" s="1390"/>
      <c r="D664" s="1437"/>
      <c r="E664" s="1635" t="s">
        <v>2342</v>
      </c>
      <c r="F664" s="1312"/>
      <c r="G664" s="1312"/>
      <c r="H664" s="1353">
        <f t="shared" si="25"/>
        <v>0</v>
      </c>
      <c r="I664" s="1342"/>
      <c r="J664" s="1342"/>
      <c r="K664" s="1278"/>
      <c r="L664" s="1125" t="s">
        <v>1293</v>
      </c>
    </row>
    <row r="665" spans="1:12" s="1279" customFormat="1" ht="20.100000000000001" customHeight="1">
      <c r="A665" s="1377">
        <f t="shared" si="27"/>
        <v>0</v>
      </c>
      <c r="B665" s="1589" t="s">
        <v>622</v>
      </c>
      <c r="C665" s="1312"/>
      <c r="D665" s="1274" t="str">
        <f>VLOOKUP($B665,DG!A:D,DG!$B$2,)</f>
        <v>05.1102</v>
      </c>
      <c r="E665" s="1275" t="str">
        <f>VLOOKUP($B665,DG!A:D,DG!$C$2,)</f>
        <v>Vỏ tủ + khóa tủ</v>
      </c>
      <c r="F665" s="1274" t="str">
        <f>VLOOKUP($B665,DG!A:D,DG!$D$2,)</f>
        <v>cái</v>
      </c>
      <c r="G665" s="1312">
        <f>G663</f>
        <v>0</v>
      </c>
      <c r="H665" s="1353">
        <f t="shared" si="25"/>
        <v>0</v>
      </c>
      <c r="I665" s="1310"/>
      <c r="J665" s="1310"/>
      <c r="K665" s="1278"/>
      <c r="L665" s="1125" t="s">
        <v>1293</v>
      </c>
    </row>
    <row r="666" spans="1:12" s="1279" customFormat="1" ht="20.100000000000001" customHeight="1">
      <c r="A666" s="1377">
        <f t="shared" si="27"/>
        <v>0</v>
      </c>
      <c r="B666" s="1582" t="s">
        <v>896</v>
      </c>
      <c r="C666" s="1312"/>
      <c r="D666" s="1439"/>
      <c r="E666" s="1275" t="str">
        <f>VLOOKUP($B666,DG!A:D,DG!$C$2,)</f>
        <v>Cổ dê bắt tủ</v>
      </c>
      <c r="F666" s="1274" t="str">
        <f>VLOOKUP($B666,DG!A:D,DG!$D$2,)</f>
        <v>bộ</v>
      </c>
      <c r="G666" s="1415">
        <f>7.018*G663</f>
        <v>0</v>
      </c>
      <c r="H666" s="1353">
        <f t="shared" si="25"/>
        <v>0</v>
      </c>
      <c r="I666" s="1310"/>
      <c r="J666" s="1310"/>
      <c r="K666" s="1278"/>
      <c r="L666" s="1125" t="s">
        <v>1293</v>
      </c>
    </row>
    <row r="667" spans="1:12" s="1279" customFormat="1" ht="20.100000000000001" customHeight="1">
      <c r="A667" s="1377">
        <f t="shared" si="27"/>
        <v>0</v>
      </c>
      <c r="B667" s="1582" t="s">
        <v>897</v>
      </c>
      <c r="C667" s="1312"/>
      <c r="D667" s="1439"/>
      <c r="E667" s="1275" t="str">
        <f>VLOOKUP($B667,DG!A:D,DG!$C$2,)</f>
        <v xml:space="preserve">Bakelit 550x450 dầy 10mm </v>
      </c>
      <c r="F667" s="1274" t="str">
        <f>VLOOKUP($B667,DG!A:D,DG!$D$2,)</f>
        <v>cái</v>
      </c>
      <c r="G667" s="1312">
        <f>G663</f>
        <v>0</v>
      </c>
      <c r="H667" s="1353">
        <f t="shared" si="25"/>
        <v>0</v>
      </c>
      <c r="I667" s="1310"/>
      <c r="J667" s="1310"/>
      <c r="K667" s="1278"/>
      <c r="L667" s="1125" t="s">
        <v>1293</v>
      </c>
    </row>
    <row r="668" spans="1:12" s="1279" customFormat="1" ht="20.100000000000001" customHeight="1">
      <c r="A668" s="1377">
        <f t="shared" si="27"/>
        <v>0</v>
      </c>
      <c r="B668" s="1582"/>
      <c r="C668" s="1390">
        <f>IF(G668&gt;0,C663+1,C663)</f>
        <v>0</v>
      </c>
      <c r="D668" s="1437"/>
      <c r="E668" s="1425" t="s">
        <v>3800</v>
      </c>
      <c r="F668" s="1390" t="s">
        <v>2449</v>
      </c>
      <c r="G668" s="1390">
        <f>G623</f>
        <v>0</v>
      </c>
      <c r="H668" s="1353">
        <f t="shared" si="25"/>
        <v>0</v>
      </c>
      <c r="I668" s="1342"/>
      <c r="J668" s="1342"/>
      <c r="K668" s="1278"/>
      <c r="L668" s="1125" t="s">
        <v>1293</v>
      </c>
    </row>
    <row r="669" spans="1:12" s="1279" customFormat="1" ht="20.100000000000001" customHeight="1">
      <c r="A669" s="1377">
        <f>IF(A668&gt;0,1,0)</f>
        <v>0</v>
      </c>
      <c r="B669" s="1582"/>
      <c r="C669" s="1390"/>
      <c r="D669" s="1437"/>
      <c r="E669" s="1635" t="s">
        <v>2342</v>
      </c>
      <c r="F669" s="1312"/>
      <c r="G669" s="1312"/>
      <c r="H669" s="1353">
        <f t="shared" si="25"/>
        <v>0</v>
      </c>
      <c r="I669" s="1342"/>
      <c r="J669" s="1342"/>
      <c r="K669" s="1278"/>
      <c r="L669" s="1125" t="s">
        <v>1293</v>
      </c>
    </row>
    <row r="670" spans="1:12" s="1279" customFormat="1" ht="20.100000000000001" customHeight="1">
      <c r="A670" s="1377">
        <f t="shared" si="27"/>
        <v>0</v>
      </c>
      <c r="B670" s="1585" t="s">
        <v>4700</v>
      </c>
      <c r="C670" s="1312"/>
      <c r="D670" s="1274">
        <f>VLOOKUP($B670,DG!A:D,DG!$B$2,)</f>
        <v>0</v>
      </c>
      <c r="E670" s="1275" t="str">
        <f>VLOOKUP($B670,DG!A:D,DG!$C$2,)</f>
        <v>Cáp 24KV C/XLPE/PVC 25mm2</v>
      </c>
      <c r="F670" s="1274" t="str">
        <f>VLOOKUP($B670,DG!A:D,DG!$D$2,)</f>
        <v>mét</v>
      </c>
      <c r="G670" s="1312">
        <f>9*G668</f>
        <v>0</v>
      </c>
      <c r="H670" s="1353">
        <f t="shared" si="25"/>
        <v>0</v>
      </c>
      <c r="I670" s="1310"/>
      <c r="J670" s="1310"/>
      <c r="K670" s="1278"/>
      <c r="L670" s="1125" t="s">
        <v>1293</v>
      </c>
    </row>
    <row r="671" spans="1:12" s="1279" customFormat="1" ht="20.100000000000001" customHeight="1">
      <c r="A671" s="1377">
        <f t="shared" si="27"/>
        <v>0</v>
      </c>
      <c r="B671" s="1378" t="s">
        <v>1531</v>
      </c>
      <c r="C671" s="1312"/>
      <c r="D671" s="1274" t="str">
        <f>VLOOKUP($B671,DG!A:D,DG!$B$2,)</f>
        <v>04.3007</v>
      </c>
      <c r="E671" s="1275" t="str">
        <f>VLOOKUP($B671,DG!A:D,DG!$C$2,)</f>
        <v>Kẹp quai 2/0</v>
      </c>
      <c r="F671" s="1274" t="str">
        <f>VLOOKUP($B671,DG!A:D,DG!$D$2,)</f>
        <v>cái</v>
      </c>
      <c r="G671" s="1312">
        <f>3*G668</f>
        <v>0</v>
      </c>
      <c r="H671" s="1353">
        <f t="shared" si="25"/>
        <v>0</v>
      </c>
      <c r="I671" s="1310"/>
      <c r="J671" s="1310"/>
      <c r="K671" s="1278"/>
      <c r="L671" s="1125" t="s">
        <v>1293</v>
      </c>
    </row>
    <row r="672" spans="1:12" s="1279" customFormat="1" ht="20.100000000000001" customHeight="1">
      <c r="A672" s="1377">
        <f t="shared" si="27"/>
        <v>0</v>
      </c>
      <c r="B672" s="1378" t="s">
        <v>1529</v>
      </c>
      <c r="C672" s="1312"/>
      <c r="D672" s="1274" t="str">
        <f>VLOOKUP($B672,DG!A:D,DG!$B$2,)</f>
        <v>04.3007</v>
      </c>
      <c r="E672" s="1275" t="str">
        <f>VLOOKUP($B672,DG!A:D,DG!$C$2,)</f>
        <v>Kẹp hotline 2/0</v>
      </c>
      <c r="F672" s="1274" t="str">
        <f>VLOOKUP($B672,DG!A:D,DG!$D$2,)</f>
        <v>cái</v>
      </c>
      <c r="G672" s="1312">
        <f>3*G668</f>
        <v>0</v>
      </c>
      <c r="H672" s="1353">
        <f t="shared" si="25"/>
        <v>0</v>
      </c>
      <c r="I672" s="1310"/>
      <c r="J672" s="1310"/>
      <c r="K672" s="1278"/>
      <c r="L672" s="1125" t="s">
        <v>1293</v>
      </c>
    </row>
    <row r="673" spans="1:12" s="1279" customFormat="1" ht="20.100000000000001" customHeight="1">
      <c r="A673" s="1377">
        <f t="shared" si="27"/>
        <v>0</v>
      </c>
      <c r="B673" s="1378" t="s">
        <v>383</v>
      </c>
      <c r="C673" s="1312"/>
      <c r="D673" s="1274">
        <f>VLOOKUP($B673,DG!A:D,DG!$B$2,)</f>
        <v>0</v>
      </c>
      <c r="E673" s="1275" t="str">
        <f>VLOOKUP($B673,DG!A:D,DG!$C$2,)</f>
        <v>Chụp đầu cực FCO (bộ 2 cái)</v>
      </c>
      <c r="F673" s="1274" t="str">
        <f>VLOOKUP($B673,DG!A:D,DG!$D$2,)</f>
        <v>bộ</v>
      </c>
      <c r="G673" s="1312">
        <f>G615</f>
        <v>0</v>
      </c>
      <c r="H673" s="1353">
        <f t="shared" si="25"/>
        <v>0</v>
      </c>
      <c r="I673" s="1310"/>
      <c r="J673" s="1310"/>
      <c r="K673" s="1278"/>
      <c r="L673" s="1125" t="s">
        <v>1293</v>
      </c>
    </row>
    <row r="674" spans="1:12" s="1279" customFormat="1" ht="20.100000000000001" customHeight="1">
      <c r="A674" s="1377">
        <f t="shared" si="27"/>
        <v>0</v>
      </c>
      <c r="B674" s="1378" t="s">
        <v>384</v>
      </c>
      <c r="C674" s="1312"/>
      <c r="D674" s="1274">
        <f>VLOOKUP($B674,DG!A:D,DG!$B$2,)</f>
        <v>0</v>
      </c>
      <c r="E674" s="1275" t="str">
        <f>VLOOKUP($B674,DG!A:D,DG!$C$2,)</f>
        <v>Chụp đầu cực LA</v>
      </c>
      <c r="F674" s="1274" t="str">
        <f>VLOOKUP($B674,DG!A:D,DG!$D$2,)</f>
        <v>cái</v>
      </c>
      <c r="G674" s="1312">
        <f>G617</f>
        <v>0</v>
      </c>
      <c r="H674" s="1353">
        <f t="shared" si="25"/>
        <v>0</v>
      </c>
      <c r="I674" s="1310"/>
      <c r="J674" s="1310"/>
      <c r="K674" s="1278"/>
      <c r="L674" s="1125" t="s">
        <v>1293</v>
      </c>
    </row>
    <row r="675" spans="1:12" s="1279" customFormat="1" ht="20.100000000000001" customHeight="1">
      <c r="A675" s="1377">
        <f t="shared" si="27"/>
        <v>0</v>
      </c>
      <c r="B675" s="1378" t="s">
        <v>385</v>
      </c>
      <c r="C675" s="1312"/>
      <c r="D675" s="1274">
        <f>VLOOKUP($B675,DG!A:D,DG!$B$2,)</f>
        <v>0</v>
      </c>
      <c r="E675" s="1275" t="str">
        <f>VLOOKUP($B675,DG!A:D,DG!$C$2,)</f>
        <v>Chụp đầu MBA</v>
      </c>
      <c r="F675" s="1274" t="str">
        <f>VLOOKUP($B675,DG!A:D,DG!$D$2,)</f>
        <v>cái</v>
      </c>
      <c r="G675" s="1312">
        <f>G614</f>
        <v>0</v>
      </c>
      <c r="H675" s="1353">
        <f t="shared" si="25"/>
        <v>0</v>
      </c>
      <c r="I675" s="1310"/>
      <c r="J675" s="1310"/>
      <c r="K675" s="1278"/>
      <c r="L675" s="1125" t="s">
        <v>1293</v>
      </c>
    </row>
    <row r="676" spans="1:12" s="1279" customFormat="1" ht="20.100000000000001" customHeight="1">
      <c r="A676" s="1377">
        <f t="shared" si="27"/>
        <v>0</v>
      </c>
      <c r="B676" s="1378" t="s">
        <v>1577</v>
      </c>
      <c r="C676" s="1312"/>
      <c r="D676" s="1274" t="str">
        <f>VLOOKUP($B676,DG!A:D,DG!$B$2,)</f>
        <v>04.4201</v>
      </c>
      <c r="E676" s="1275" t="str">
        <f>VLOOKUP($B676,DG!A:D,DG!$C$2,)</f>
        <v>Lắp cáp đồng xuống thiết bị D ≤ 95mm2</v>
      </c>
      <c r="F676" s="1274" t="str">
        <f>VLOOKUP($B676,DG!A:D,DG!$D$2,)</f>
        <v>m</v>
      </c>
      <c r="G676" s="1312">
        <f>G670</f>
        <v>0</v>
      </c>
      <c r="H676" s="1353">
        <f t="shared" ref="H676:H739" si="28">IF(L676=$L$23,G676+I676-J676,0)</f>
        <v>0</v>
      </c>
      <c r="I676" s="1310"/>
      <c r="J676" s="1310"/>
      <c r="K676" s="1278"/>
      <c r="L676" s="1125" t="s">
        <v>1293</v>
      </c>
    </row>
    <row r="677" spans="1:12" s="1279" customFormat="1" ht="20.100000000000001" customHeight="1">
      <c r="A677" s="1377">
        <f t="shared" si="27"/>
        <v>0</v>
      </c>
      <c r="B677" s="1582"/>
      <c r="C677" s="1390">
        <f>IF(G677&gt;0,C668+1,C668)</f>
        <v>0</v>
      </c>
      <c r="D677" s="1437"/>
      <c r="E677" s="1425" t="s">
        <v>3801</v>
      </c>
      <c r="F677" s="1390" t="s">
        <v>2449</v>
      </c>
      <c r="G677" s="1390">
        <f>+G623</f>
        <v>0</v>
      </c>
      <c r="H677" s="1353">
        <f t="shared" si="28"/>
        <v>0</v>
      </c>
      <c r="I677" s="1342"/>
      <c r="J677" s="1342"/>
      <c r="K677" s="1278"/>
      <c r="L677" s="1125" t="s">
        <v>1293</v>
      </c>
    </row>
    <row r="678" spans="1:12" s="1279" customFormat="1" ht="20.100000000000001" customHeight="1">
      <c r="A678" s="1377">
        <f>IF(A677&gt;0,1,0)</f>
        <v>0</v>
      </c>
      <c r="B678" s="1582"/>
      <c r="C678" s="1390"/>
      <c r="D678" s="1437"/>
      <c r="E678" s="1635" t="s">
        <v>2342</v>
      </c>
      <c r="F678" s="1390"/>
      <c r="G678" s="1390"/>
      <c r="H678" s="1353">
        <f t="shared" si="28"/>
        <v>0</v>
      </c>
      <c r="I678" s="1342"/>
      <c r="J678" s="1342"/>
      <c r="K678" s="1278"/>
      <c r="L678" s="1125" t="s">
        <v>1293</v>
      </c>
    </row>
    <row r="679" spans="1:12" s="1279" customFormat="1" ht="20.100000000000001" customHeight="1">
      <c r="A679" s="1377">
        <f t="shared" si="27"/>
        <v>0</v>
      </c>
      <c r="B679" s="1582" t="s">
        <v>1675</v>
      </c>
      <c r="C679" s="1312"/>
      <c r="D679" s="1274">
        <f>VLOOKUP($B679,DG!A:D,DG!$B$2,)</f>
        <v>0</v>
      </c>
      <c r="E679" s="1275" t="str">
        <f>VLOOKUP($B679,DG!A:D,DG!$C$2,)&amp;": 9m/1pha"</f>
        <v>Cáp đồng bọc CV70: 9m/1pha</v>
      </c>
      <c r="F679" s="1274" t="str">
        <f>VLOOKUP($B679,DG!A:D,DG!$D$2,)</f>
        <v>mét</v>
      </c>
      <c r="G679" s="1312">
        <f>9*G677*3</f>
        <v>0</v>
      </c>
      <c r="H679" s="1353">
        <f t="shared" si="28"/>
        <v>0</v>
      </c>
      <c r="I679" s="1310"/>
      <c r="J679" s="1310"/>
      <c r="K679" s="1278"/>
      <c r="L679" s="1125" t="s">
        <v>1293</v>
      </c>
    </row>
    <row r="680" spans="1:12" s="1279" customFormat="1" ht="20.100000000000001" customHeight="1">
      <c r="A680" s="1377">
        <f t="shared" si="27"/>
        <v>0</v>
      </c>
      <c r="B680" s="1582" t="str">
        <f>Solieu!$L$47</f>
        <v>KT3-3066ADI9/1</v>
      </c>
      <c r="C680" s="1312"/>
      <c r="D680" s="1274" t="e">
        <f>VLOOKUP($B680,DG!A:D,DG!$B$2,)</f>
        <v>#N/A</v>
      </c>
      <c r="E680" s="1275" t="e">
        <f>VLOOKUP($B680,DG!A:D,DG!$C$2,)&amp;": 10m/trung hòa"</f>
        <v>#N/A</v>
      </c>
      <c r="F680" s="1274" t="e">
        <f>VLOOKUP($B680,DG!A:D,DG!$D$2,)</f>
        <v>#N/A</v>
      </c>
      <c r="G680" s="1287">
        <f>10*G677</f>
        <v>0</v>
      </c>
      <c r="H680" s="1353">
        <f t="shared" si="28"/>
        <v>0</v>
      </c>
      <c r="I680" s="1310"/>
      <c r="J680" s="1310"/>
      <c r="K680" s="1278"/>
      <c r="L680" s="1125" t="s">
        <v>1293</v>
      </c>
    </row>
    <row r="681" spans="1:12" s="1279" customFormat="1" ht="20.100000000000001" customHeight="1">
      <c r="A681" s="1377">
        <f t="shared" si="27"/>
        <v>0</v>
      </c>
      <c r="B681" s="1582" t="s">
        <v>1875</v>
      </c>
      <c r="C681" s="1312"/>
      <c r="D681" s="1274" t="str">
        <f>VLOOKUP($B681,DG!A:D,DG!$B$2,)</f>
        <v>03.1401</v>
      </c>
      <c r="E681" s="1275" t="str">
        <f>VLOOKUP($B681,DG!A:D,DG!$C$2,)</f>
        <v xml:space="preserve">Cáp CVV 4x2,5mm2  </v>
      </c>
      <c r="F681" s="1274" t="str">
        <f>VLOOKUP($B681,DG!A:D,DG!$D$2,)</f>
        <v>mét</v>
      </c>
      <c r="G681" s="1312">
        <f>2*G677</f>
        <v>0</v>
      </c>
      <c r="H681" s="1353">
        <f t="shared" si="28"/>
        <v>0</v>
      </c>
      <c r="I681" s="1310"/>
      <c r="J681" s="1310"/>
      <c r="K681" s="1278"/>
      <c r="L681" s="1125" t="s">
        <v>1293</v>
      </c>
    </row>
    <row r="682" spans="1:12" s="1279" customFormat="1" ht="20.100000000000001" customHeight="1">
      <c r="A682" s="1377">
        <f t="shared" si="27"/>
        <v>0</v>
      </c>
      <c r="B682" s="1582" t="s">
        <v>1336</v>
      </c>
      <c r="C682" s="1312"/>
      <c r="D682" s="1274" t="str">
        <f>VLOOKUP($B682,DG!A:D,DG!$B$2,)</f>
        <v>03.4003</v>
      </c>
      <c r="E682" s="1275" t="str">
        <f>VLOOKUP($B682,DG!A:D,DG!$C$2,)</f>
        <v>Đầu cosse ép Cu 70mm2</v>
      </c>
      <c r="F682" s="1274" t="str">
        <f>VLOOKUP($B682,DG!A:D,DG!$D$2,)</f>
        <v>cái</v>
      </c>
      <c r="G682" s="1287">
        <f>6*G677</f>
        <v>0</v>
      </c>
      <c r="H682" s="1353">
        <f t="shared" si="28"/>
        <v>0</v>
      </c>
      <c r="I682" s="1310"/>
      <c r="J682" s="1310"/>
      <c r="K682" s="1278"/>
      <c r="L682" s="1125" t="s">
        <v>1293</v>
      </c>
    </row>
    <row r="683" spans="1:12" s="1279" customFormat="1" ht="20.100000000000001" customHeight="1">
      <c r="A683" s="1377">
        <f t="shared" si="27"/>
        <v>0</v>
      </c>
      <c r="B683" s="1582" t="s">
        <v>1335</v>
      </c>
      <c r="C683" s="1312"/>
      <c r="D683" s="1274" t="str">
        <f>VLOOKUP($B683,DG!A:D,DG!$B$2,)</f>
        <v>03.4002</v>
      </c>
      <c r="E683" s="1275" t="str">
        <f>VLOOKUP($B683,DG!A:D,DG!$C$2,)</f>
        <v>Đầu cosse ép Cu 50mm2</v>
      </c>
      <c r="F683" s="1274" t="str">
        <f>VLOOKUP($B683,DG!A:D,DG!$D$2,)</f>
        <v>cái</v>
      </c>
      <c r="G683" s="1312">
        <f>G677*2</f>
        <v>0</v>
      </c>
      <c r="H683" s="1353">
        <f t="shared" si="28"/>
        <v>0</v>
      </c>
      <c r="I683" s="1310"/>
      <c r="J683" s="1310"/>
      <c r="K683" s="1278"/>
      <c r="L683" s="1125" t="s">
        <v>1293</v>
      </c>
    </row>
    <row r="684" spans="1:12" s="1279" customFormat="1" ht="20.100000000000001" customHeight="1">
      <c r="A684" s="1377">
        <f t="shared" si="27"/>
        <v>0</v>
      </c>
      <c r="B684" s="1582" t="s">
        <v>2140</v>
      </c>
      <c r="C684" s="1312"/>
      <c r="D684" s="1274">
        <f>VLOOKUP($B684,DG!A:D,DG!$B$2,)</f>
        <v>0</v>
      </c>
      <c r="E684" s="1275" t="str">
        <f>VLOOKUP($B684,DG!A:D,DG!$C$2,)</f>
        <v>Chụp đầu cosse  70mm2</v>
      </c>
      <c r="F684" s="1274" t="str">
        <f>VLOOKUP($B684,DG!A:D,DG!$D$2,)</f>
        <v>cái</v>
      </c>
      <c r="G684" s="1312">
        <f>G682</f>
        <v>0</v>
      </c>
      <c r="H684" s="1353">
        <f t="shared" si="28"/>
        <v>0</v>
      </c>
      <c r="I684" s="1310"/>
      <c r="J684" s="1310"/>
      <c r="K684" s="1278"/>
      <c r="L684" s="1125" t="s">
        <v>1293</v>
      </c>
    </row>
    <row r="685" spans="1:12" s="1279" customFormat="1" ht="20.100000000000001" customHeight="1">
      <c r="A685" s="1377">
        <f t="shared" si="27"/>
        <v>0</v>
      </c>
      <c r="B685" s="1582" t="s">
        <v>1208</v>
      </c>
      <c r="C685" s="1312"/>
      <c r="D685" s="1274">
        <f>VLOOKUP($B685,DG!A:D,DG!$B$2,)</f>
        <v>0</v>
      </c>
      <c r="E685" s="1275" t="str">
        <f>VLOOKUP($B685,DG!A:D,DG!$C$2,)</f>
        <v>Chụp đầu cosse  50mm2</v>
      </c>
      <c r="F685" s="1274" t="str">
        <f>VLOOKUP($B685,DG!A:D,DG!$D$2,)</f>
        <v>cái</v>
      </c>
      <c r="G685" s="1312">
        <f>G683</f>
        <v>0</v>
      </c>
      <c r="H685" s="1353">
        <f t="shared" si="28"/>
        <v>0</v>
      </c>
      <c r="I685" s="1310"/>
      <c r="J685" s="1310"/>
      <c r="K685" s="1278"/>
      <c r="L685" s="1125" t="s">
        <v>1293</v>
      </c>
    </row>
    <row r="686" spans="1:12" s="1279" customFormat="1" ht="20.100000000000001" customHeight="1">
      <c r="A686" s="1377">
        <f t="shared" si="27"/>
        <v>0</v>
      </c>
      <c r="B686" s="1582" t="s">
        <v>283</v>
      </c>
      <c r="C686" s="1312"/>
      <c r="D686" s="1274" t="str">
        <f>VLOOKUP($B686,DG!A:D,DG!$B$2,)</f>
        <v>04.8003</v>
      </c>
      <c r="E686" s="1275" t="str">
        <f>VLOOKUP($B686,DG!A:D,DG!$C$2,)</f>
        <v xml:space="preserve">Ống PVC D90x3,8mm </v>
      </c>
      <c r="F686" s="1274" t="str">
        <f>VLOOKUP($B686,DG!A:D,DG!$D$2,)</f>
        <v>m</v>
      </c>
      <c r="G686" s="1312">
        <f>8*G677</f>
        <v>0</v>
      </c>
      <c r="H686" s="1353">
        <f t="shared" si="28"/>
        <v>0</v>
      </c>
      <c r="I686" s="1310"/>
      <c r="J686" s="1310"/>
      <c r="K686" s="1278"/>
      <c r="L686" s="1125" t="s">
        <v>1293</v>
      </c>
    </row>
    <row r="687" spans="1:12" s="1279" customFormat="1" ht="20.100000000000001" customHeight="1">
      <c r="A687" s="1377">
        <f t="shared" si="27"/>
        <v>0</v>
      </c>
      <c r="B687" s="1378" t="s">
        <v>2043</v>
      </c>
      <c r="C687" s="1312"/>
      <c r="D687" s="1274" t="str">
        <f>VLOOKUP($B687,DG!A:D,DG!$B$2,)</f>
        <v>06.3231</v>
      </c>
      <c r="E687" s="1275" t="str">
        <f>VLOOKUP($B687,DG!A:D,DG!$C$2,)</f>
        <v>Cổ dê kẹp ống PVC Ø 90</v>
      </c>
      <c r="F687" s="1274" t="str">
        <f>VLOOKUP($B687,DG!A:D,DG!$D$2,)</f>
        <v>bộ</v>
      </c>
      <c r="G687" s="1312">
        <f>3*G677</f>
        <v>0</v>
      </c>
      <c r="H687" s="1353">
        <f t="shared" si="28"/>
        <v>0</v>
      </c>
      <c r="I687" s="1310"/>
      <c r="J687" s="1310"/>
      <c r="K687" s="1278"/>
      <c r="L687" s="1125" t="s">
        <v>1293</v>
      </c>
    </row>
    <row r="688" spans="1:12" s="1279" customFormat="1" ht="20.100000000000001" customHeight="1">
      <c r="A688" s="1377">
        <f t="shared" si="27"/>
        <v>0</v>
      </c>
      <c r="B688" s="1378" t="s">
        <v>1161</v>
      </c>
      <c r="C688" s="1312"/>
      <c r="D688" s="1274" t="str">
        <f>VLOOKUP($B688,DG!A:D,DG!$B$2,)</f>
        <v>06.2110</v>
      </c>
      <c r="E688" s="1275" t="str">
        <f>VLOOKUP($B688,DG!A:D,DG!$C$2,)&amp;": CD-320"</f>
        <v>Lắp cổ dề: CD-320</v>
      </c>
      <c r="F688" s="1274" t="str">
        <f>VLOOKUP($B688,DG!A:D,DG!$D$2,)</f>
        <v>bộ</v>
      </c>
      <c r="G688" s="1415">
        <f>1.12*G678</f>
        <v>0</v>
      </c>
      <c r="H688" s="1353">
        <f t="shared" si="28"/>
        <v>0</v>
      </c>
      <c r="I688" s="1310"/>
      <c r="J688" s="1310"/>
      <c r="K688" s="1278"/>
      <c r="L688" s="1125" t="s">
        <v>1293</v>
      </c>
    </row>
    <row r="689" spans="1:12" s="1279" customFormat="1" ht="20.100000000000001" customHeight="1">
      <c r="A689" s="1377">
        <f t="shared" si="27"/>
        <v>0</v>
      </c>
      <c r="B689" s="1582" t="s">
        <v>69</v>
      </c>
      <c r="C689" s="1312"/>
      <c r="D689" s="1274">
        <f>VLOOKUP($B689,DG!A:D,DG!$B$2,)</f>
        <v>0</v>
      </c>
      <c r="E689" s="1275" t="str">
        <f>VLOOKUP($B689,DG!A:D,DG!$C$2,)</f>
        <v>Co  90 độ PVC 90</v>
      </c>
      <c r="F689" s="1274" t="str">
        <f>VLOOKUP($B689,DG!A:D,DG!$D$2,)</f>
        <v>cái</v>
      </c>
      <c r="G689" s="1312">
        <f>2*G677</f>
        <v>0</v>
      </c>
      <c r="H689" s="1353">
        <f t="shared" si="28"/>
        <v>0</v>
      </c>
      <c r="I689" s="1310"/>
      <c r="J689" s="1310"/>
      <c r="K689" s="1278"/>
      <c r="L689" s="1125" t="s">
        <v>1293</v>
      </c>
    </row>
    <row r="690" spans="1:12" s="1279" customFormat="1" ht="20.100000000000001" customHeight="1">
      <c r="A690" s="1377">
        <f t="shared" si="27"/>
        <v>0</v>
      </c>
      <c r="B690" s="1582" t="s">
        <v>733</v>
      </c>
      <c r="C690" s="1312"/>
      <c r="D690" s="1274">
        <f>VLOOKUP($B690,DG!A:D,DG!$B$2,)</f>
        <v>0</v>
      </c>
      <c r="E690" s="1275" t="str">
        <f>VLOOKUP($B690,DG!A:D,DG!$C$2,)</f>
        <v xml:space="preserve">Nối thẳng ống PVC 90 </v>
      </c>
      <c r="F690" s="1274" t="str">
        <f>VLOOKUP($B690,DG!A:D,DG!$D$2,)</f>
        <v>cái</v>
      </c>
      <c r="G690" s="1287">
        <f>1*G677*0</f>
        <v>0</v>
      </c>
      <c r="H690" s="1353">
        <f t="shared" si="28"/>
        <v>0</v>
      </c>
      <c r="I690" s="1310"/>
      <c r="J690" s="1310"/>
      <c r="K690" s="1278"/>
      <c r="L690" s="1125" t="s">
        <v>1293</v>
      </c>
    </row>
    <row r="691" spans="1:12" s="1279" customFormat="1" ht="20.100000000000001" customHeight="1">
      <c r="A691" s="1377">
        <f t="shared" si="27"/>
        <v>0</v>
      </c>
      <c r="B691" s="1582" t="s">
        <v>422</v>
      </c>
      <c r="C691" s="1312"/>
      <c r="D691" s="1274">
        <f>VLOOKUP($B691,DG!A:D,DG!$B$2,)</f>
        <v>0</v>
      </c>
      <c r="E691" s="1275" t="str">
        <f>VLOOKUP($B691,DG!A:D,DG!$C$2,)</f>
        <v>Keo dán ống PVC (100gr)</v>
      </c>
      <c r="F691" s="1274" t="str">
        <f>VLOOKUP($B691,DG!A:D,DG!$D$2,)</f>
        <v>tuýp</v>
      </c>
      <c r="G691" s="1312">
        <f>G677</f>
        <v>0</v>
      </c>
      <c r="H691" s="1353">
        <f t="shared" si="28"/>
        <v>0</v>
      </c>
      <c r="I691" s="1310"/>
      <c r="J691" s="1310"/>
      <c r="K691" s="1278"/>
      <c r="L691" s="1125" t="s">
        <v>1293</v>
      </c>
    </row>
    <row r="692" spans="1:12" s="1279" customFormat="1" ht="20.100000000000001" customHeight="1">
      <c r="A692" s="1377">
        <f t="shared" si="27"/>
        <v>0</v>
      </c>
      <c r="B692" s="1582" t="s">
        <v>1209</v>
      </c>
      <c r="C692" s="1312"/>
      <c r="D692" s="1274">
        <f>VLOOKUP($B692,DG!A:D,DG!$B$2,)</f>
        <v>0</v>
      </c>
      <c r="E692" s="1275" t="str">
        <f>VLOOKUP($B692,DG!A:D,DG!$C$2,)</f>
        <v>Keo silicon bít miệng ống</v>
      </c>
      <c r="F692" s="1274" t="str">
        <f>VLOOKUP($B692,DG!A:D,DG!$D$2,)</f>
        <v>ống</v>
      </c>
      <c r="G692" s="1312">
        <f>G677</f>
        <v>0</v>
      </c>
      <c r="H692" s="1353">
        <f t="shared" si="28"/>
        <v>0</v>
      </c>
      <c r="I692" s="1310"/>
      <c r="J692" s="1310"/>
      <c r="K692" s="1278"/>
      <c r="L692" s="1125" t="s">
        <v>1293</v>
      </c>
    </row>
    <row r="693" spans="1:12" s="1279" customFormat="1" ht="20.100000000000001" customHeight="1">
      <c r="A693" s="1377">
        <f t="shared" si="27"/>
        <v>0</v>
      </c>
      <c r="B693" s="1378" t="s">
        <v>677</v>
      </c>
      <c r="C693" s="1312"/>
      <c r="D693" s="1274">
        <f>VLOOKUP($B693,DG!A:D,DG!$B$2,)</f>
        <v>0</v>
      </c>
      <c r="E693" s="1275" t="str">
        <f>VLOOKUP($B693,DG!A:D,DG!$C$2,)</f>
        <v>Băng keo cách điện</v>
      </c>
      <c r="F693" s="1274" t="str">
        <f>VLOOKUP($B693,DG!A:D,DG!$D$2,)</f>
        <v>cuộn</v>
      </c>
      <c r="G693" s="1312">
        <f>G677*2</f>
        <v>0</v>
      </c>
      <c r="H693" s="1353">
        <f t="shared" si="28"/>
        <v>0</v>
      </c>
      <c r="I693" s="1310"/>
      <c r="J693" s="1310"/>
      <c r="K693" s="1278"/>
      <c r="L693" s="1125" t="s">
        <v>1293</v>
      </c>
    </row>
    <row r="694" spans="1:12" s="1279" customFormat="1" ht="20.100000000000001" customHeight="1">
      <c r="A694" s="1377">
        <f t="shared" si="27"/>
        <v>0</v>
      </c>
      <c r="B694" s="1587" t="s">
        <v>2244</v>
      </c>
      <c r="C694" s="1312"/>
      <c r="D694" s="1274" t="str">
        <f>VLOOKUP($B694,DG!A:D,DG!$B$2,)</f>
        <v>07.2415</v>
      </c>
      <c r="E694" s="1275" t="str">
        <f>VLOOKUP($B694,DG!A:D,DG!$C$2,)</f>
        <v>Lắp ống nhựa PVC D90</v>
      </c>
      <c r="F694" s="1274" t="str">
        <f>VLOOKUP($B694,DG!A:D,DG!$D$2,)</f>
        <v>mét</v>
      </c>
      <c r="G694" s="1312">
        <f>G686</f>
        <v>0</v>
      </c>
      <c r="H694" s="1353">
        <f t="shared" si="28"/>
        <v>0</v>
      </c>
      <c r="I694" s="1310"/>
      <c r="J694" s="1310"/>
      <c r="K694" s="1278"/>
      <c r="L694" s="1125" t="s">
        <v>1293</v>
      </c>
    </row>
    <row r="695" spans="1:12" s="1279" customFormat="1" ht="20.100000000000001" customHeight="1">
      <c r="A695" s="1377">
        <f t="shared" si="27"/>
        <v>0</v>
      </c>
      <c r="B695" s="1378" t="s">
        <v>1577</v>
      </c>
      <c r="C695" s="1312"/>
      <c r="D695" s="1274" t="str">
        <f>VLOOKUP($B695,DG!A:D,DG!$B$2,)</f>
        <v>04.4201</v>
      </c>
      <c r="E695" s="1275" t="str">
        <f>VLOOKUP($B695,DG!A:D,DG!$C$2,)</f>
        <v>Lắp cáp đồng xuống thiết bị D ≤ 95mm2</v>
      </c>
      <c r="F695" s="1274" t="str">
        <f>VLOOKUP($B695,DG!A:D,DG!$D$2,)</f>
        <v>m</v>
      </c>
      <c r="G695" s="1312">
        <f>G679+G680</f>
        <v>0</v>
      </c>
      <c r="H695" s="1353">
        <f t="shared" si="28"/>
        <v>0</v>
      </c>
      <c r="I695" s="1310"/>
      <c r="J695" s="1310"/>
      <c r="K695" s="1278"/>
      <c r="L695" s="1125" t="s">
        <v>1293</v>
      </c>
    </row>
    <row r="696" spans="1:12" s="1279" customFormat="1" ht="20.100000000000001" customHeight="1">
      <c r="A696" s="1377">
        <f t="shared" si="27"/>
        <v>0</v>
      </c>
      <c r="B696" s="1582" t="s">
        <v>290</v>
      </c>
      <c r="C696" s="1394">
        <f>IF(G696&gt;0,C677+1,C677)</f>
        <v>0</v>
      </c>
      <c r="D696" s="1416"/>
      <c r="E696" s="1440" t="s">
        <v>3802</v>
      </c>
      <c r="F696" s="1274" t="str">
        <f>VLOOKUP($B696,DG!A:D,DG!$D$2,)</f>
        <v>bộ</v>
      </c>
      <c r="G696" s="1394">
        <f>G639</f>
        <v>0</v>
      </c>
      <c r="H696" s="1353">
        <f t="shared" si="28"/>
        <v>0</v>
      </c>
      <c r="I696" s="1310"/>
      <c r="J696" s="1310"/>
      <c r="K696" s="1298"/>
      <c r="L696" s="1125" t="s">
        <v>1293</v>
      </c>
    </row>
    <row r="697" spans="1:12" s="1279" customFormat="1" ht="20.100000000000001" customHeight="1">
      <c r="A697" s="1377">
        <f t="shared" si="27"/>
        <v>0</v>
      </c>
      <c r="B697" s="1576"/>
      <c r="C697" s="1417"/>
      <c r="D697" s="1418"/>
      <c r="E697" s="1264"/>
      <c r="F697" s="1419"/>
      <c r="G697" s="1419"/>
      <c r="H697" s="1353">
        <f t="shared" si="28"/>
        <v>0</v>
      </c>
      <c r="I697" s="1420"/>
      <c r="J697" s="1421"/>
      <c r="K697" s="1354"/>
      <c r="L697" s="1125"/>
    </row>
    <row r="698" spans="1:12" s="1279" customFormat="1" ht="20.100000000000001" customHeight="1">
      <c r="A698" s="1377">
        <f t="shared" si="27"/>
        <v>0</v>
      </c>
      <c r="B698" s="1617"/>
      <c r="C698" s="1441" t="str">
        <f>"Địa Điểm: "&amp;Solieu!C6</f>
        <v>Địa Điểm: 002, 003</v>
      </c>
      <c r="D698" s="1441"/>
      <c r="E698" s="1441"/>
      <c r="F698" s="1441"/>
      <c r="G698" s="1441"/>
      <c r="H698" s="1353">
        <f t="shared" si="28"/>
        <v>0</v>
      </c>
      <c r="I698" s="1441"/>
      <c r="J698" s="1441"/>
      <c r="K698" s="1441"/>
      <c r="L698" s="1125"/>
    </row>
    <row r="699" spans="1:12" s="1279" customFormat="1" ht="20.100000000000001" customHeight="1">
      <c r="A699" s="1377">
        <f t="shared" si="27"/>
        <v>0</v>
      </c>
      <c r="B699" s="1617"/>
      <c r="C699" s="1300"/>
      <c r="D699" s="1422"/>
      <c r="E699" s="1442"/>
      <c r="F699" s="1442"/>
      <c r="G699" s="1442"/>
      <c r="H699" s="1353">
        <f t="shared" si="28"/>
        <v>0</v>
      </c>
      <c r="I699" s="1442"/>
      <c r="J699" s="1442"/>
      <c r="K699" s="1125"/>
      <c r="L699" s="1125"/>
    </row>
    <row r="700" spans="1:12" s="1279" customFormat="1" ht="20.100000000000001" customHeight="1">
      <c r="A700" s="1377">
        <f t="shared" si="27"/>
        <v>0</v>
      </c>
      <c r="B700" s="1582"/>
      <c r="C700" s="1440"/>
      <c r="D700" s="1440"/>
      <c r="E700" s="1443" t="s">
        <v>3803</v>
      </c>
      <c r="F700" s="1444"/>
      <c r="G700" s="1444"/>
      <c r="H700" s="1492">
        <f t="shared" si="28"/>
        <v>0</v>
      </c>
      <c r="I700" s="1444"/>
      <c r="J700" s="1444"/>
      <c r="K700" s="1424"/>
      <c r="L700" s="1125" t="s">
        <v>1294</v>
      </c>
    </row>
    <row r="701" spans="1:12" s="1279" customFormat="1" ht="20.100000000000001" customHeight="1">
      <c r="A701" s="1377">
        <f>IF(H701&gt;0,1,0)</f>
        <v>0</v>
      </c>
      <c r="B701" s="1583" t="s">
        <v>1241</v>
      </c>
      <c r="C701" s="1286">
        <f>IF(G701&gt;0,1,0)</f>
        <v>0</v>
      </c>
      <c r="D701" s="1274" t="str">
        <f>VLOOKUP($B701,DG!A:D,DG!$B$2,)</f>
        <v>01.1412</v>
      </c>
      <c r="E701" s="1275" t="str">
        <f>VLOOKUP($B701,DG!A:D,DG!$C$2,)</f>
        <v>Máy biến áp 12,7/0,22-0,44kV  37,5kVA</v>
      </c>
      <c r="F701" s="1274" t="str">
        <f>VLOOKUP($B701,DG!A:D,DG!$D$2,)</f>
        <v>máy</v>
      </c>
      <c r="G701" s="1591">
        <f>K8*3</f>
        <v>0</v>
      </c>
      <c r="H701" s="1492">
        <f t="shared" si="28"/>
        <v>0</v>
      </c>
      <c r="I701" s="1310"/>
      <c r="J701" s="1310"/>
      <c r="K701" s="1278"/>
      <c r="L701" s="1125" t="s">
        <v>1294</v>
      </c>
    </row>
    <row r="702" spans="1:12" s="1279" customFormat="1" ht="20.100000000000001" customHeight="1">
      <c r="A702" s="1377">
        <f t="shared" si="27"/>
        <v>0</v>
      </c>
      <c r="B702" s="1583" t="s">
        <v>1241</v>
      </c>
      <c r="C702" s="1286">
        <f>IF(G702&gt;0,C701+1,C701)</f>
        <v>0</v>
      </c>
      <c r="D702" s="1274" t="str">
        <f>VLOOKUP($B702,DG!A:D,DG!$B$2,)</f>
        <v>01.1412</v>
      </c>
      <c r="E702" s="1275" t="str">
        <f>VLOOKUP($B702,DG!A:D,DG!$C$2,)&amp;" : Thaùo + laép"</f>
        <v>Máy biến áp 12,7/0,22-0,44kV  37,5kVA : Thaùo + laép</v>
      </c>
      <c r="F702" s="1274" t="str">
        <f>VLOOKUP($B702,DG!A:D,DG!$D$2,)</f>
        <v>máy</v>
      </c>
      <c r="G702" s="1591"/>
      <c r="H702" s="1492">
        <f t="shared" si="28"/>
        <v>0</v>
      </c>
      <c r="I702" s="1310"/>
      <c r="J702" s="1310"/>
      <c r="K702" s="1278"/>
      <c r="L702" s="1125" t="s">
        <v>1294</v>
      </c>
    </row>
    <row r="703" spans="1:12" s="1279" customFormat="1" ht="20.100000000000001" customHeight="1">
      <c r="A703" s="1377">
        <f t="shared" si="27"/>
        <v>0</v>
      </c>
      <c r="B703" s="1583" t="s">
        <v>1704</v>
      </c>
      <c r="C703" s="1286">
        <f t="shared" ref="C703:C714" si="29">IF(G703&gt;0,C702+1,C702)</f>
        <v>0</v>
      </c>
      <c r="D703" s="1274" t="str">
        <f>VLOOKUP($B703,DG!A:D,DG!$B$2,)</f>
        <v>02.3155</v>
      </c>
      <c r="E703" s="1275" t="str">
        <f>VLOOKUP($B703,DG!A:D,DG!$C$2,)</f>
        <v>FCO 24kV - 100A</v>
      </c>
      <c r="F703" s="1274" t="str">
        <f>VLOOKUP($B703,DG!A:D,DG!$D$2,)</f>
        <v>cái</v>
      </c>
      <c r="G703" s="1592">
        <f>+G701</f>
        <v>0</v>
      </c>
      <c r="H703" s="1492">
        <f t="shared" si="28"/>
        <v>0</v>
      </c>
      <c r="I703" s="1310"/>
      <c r="J703" s="1310"/>
      <c r="K703" s="1278"/>
      <c r="L703" s="1125" t="s">
        <v>1294</v>
      </c>
    </row>
    <row r="704" spans="1:12" s="1279" customFormat="1" ht="20.100000000000001" customHeight="1">
      <c r="A704" s="1377">
        <f t="shared" si="27"/>
        <v>0</v>
      </c>
      <c r="B704" s="1582" t="s">
        <v>905</v>
      </c>
      <c r="C704" s="1286">
        <f t="shared" si="29"/>
        <v>0</v>
      </c>
      <c r="D704" s="1274">
        <f>VLOOKUP($B704,DG!A:D,DG!$B$2,)</f>
        <v>0</v>
      </c>
      <c r="E704" s="1275" t="str">
        <f>VLOOKUP($B704,DG!A:D,DG!$C$2,)</f>
        <v>Dây chảy 3K</v>
      </c>
      <c r="F704" s="1274" t="str">
        <f>VLOOKUP($B704,DG!A:D,DG!$D$2,)</f>
        <v>Sợi</v>
      </c>
      <c r="G704" s="1592"/>
      <c r="H704" s="1492">
        <f t="shared" si="28"/>
        <v>0</v>
      </c>
      <c r="I704" s="1310"/>
      <c r="J704" s="1310"/>
      <c r="K704" s="1278"/>
      <c r="L704" s="1125" t="s">
        <v>1294</v>
      </c>
    </row>
    <row r="705" spans="1:12" s="1279" customFormat="1" ht="20.100000000000001" customHeight="1">
      <c r="A705" s="1377">
        <f t="shared" si="27"/>
        <v>0</v>
      </c>
      <c r="B705" s="1576" t="s">
        <v>1406</v>
      </c>
      <c r="C705" s="1286">
        <f t="shared" si="29"/>
        <v>0</v>
      </c>
      <c r="D705" s="1274" t="str">
        <f>VLOOKUP($B705,DG!A:D,DG!$B$2,)</f>
        <v>02.5114</v>
      </c>
      <c r="E705" s="1275" t="str">
        <f>VLOOKUP($B705,DG!A:D,DG!$C$2,)</f>
        <v>LA 18kV 10kA</v>
      </c>
      <c r="F705" s="1274" t="str">
        <f>VLOOKUP($B705,DG!A:D,DG!$D$2,)</f>
        <v>cái</v>
      </c>
      <c r="G705" s="1592">
        <f>G703</f>
        <v>0</v>
      </c>
      <c r="H705" s="1492">
        <f t="shared" si="28"/>
        <v>0</v>
      </c>
      <c r="I705" s="1310"/>
      <c r="J705" s="1310"/>
      <c r="K705" s="1278"/>
      <c r="L705" s="1125" t="s">
        <v>1294</v>
      </c>
    </row>
    <row r="706" spans="1:12" s="1279" customFormat="1" ht="20.100000000000001" customHeight="1">
      <c r="A706" s="1377">
        <f t="shared" si="27"/>
        <v>0</v>
      </c>
      <c r="B706" s="1576" t="s">
        <v>4556</v>
      </c>
      <c r="C706" s="1286">
        <f t="shared" si="29"/>
        <v>0</v>
      </c>
      <c r="D706" s="1274" t="str">
        <f>VLOOKUP($B706,DG!A:D,DG!$B$2,)</f>
        <v>02.5114</v>
      </c>
      <c r="E706" s="1275" t="str">
        <f>VLOOKUP($B706,DG!A:D,DG!$C$2,)&amp;": Thaùo + laép"</f>
        <v>LA 12kV 10kA: Thaùo + laép</v>
      </c>
      <c r="F706" s="1274" t="str">
        <f>VLOOKUP($B706,DG!A:D,DG!$D$2,)</f>
        <v>cái</v>
      </c>
      <c r="G706" s="1592">
        <f>G703</f>
        <v>0</v>
      </c>
      <c r="H706" s="1492">
        <f t="shared" si="28"/>
        <v>0</v>
      </c>
      <c r="I706" s="1310"/>
      <c r="J706" s="1310"/>
      <c r="K706" s="1278"/>
      <c r="L706" s="1125" t="s">
        <v>1294</v>
      </c>
    </row>
    <row r="707" spans="1:12" s="1279" customFormat="1" ht="20.100000000000001" customHeight="1">
      <c r="A707" s="1377">
        <f t="shared" si="27"/>
        <v>0</v>
      </c>
      <c r="B707" s="1584" t="s">
        <v>1460</v>
      </c>
      <c r="C707" s="1286">
        <f t="shared" si="29"/>
        <v>0</v>
      </c>
      <c r="D707" s="1274" t="str">
        <f>VLOOKUP($B707,DG!A:D,DG!$B$2,)</f>
        <v>02.8401</v>
      </c>
      <c r="E707" s="1275" t="str">
        <f>VLOOKUP($B707,DG!A:D,DG!$C$2,)</f>
        <v>MCCB 3 cực 400V -200A - 35KA</v>
      </c>
      <c r="F707" s="1274" t="str">
        <f>VLOOKUP($B707,DG!A:D,DG!$D$2,)</f>
        <v>cái</v>
      </c>
      <c r="G707" s="1592"/>
      <c r="H707" s="1492">
        <f t="shared" si="28"/>
        <v>0</v>
      </c>
      <c r="I707" s="1310"/>
      <c r="J707" s="1310"/>
      <c r="K707" s="1278"/>
      <c r="L707" s="1125" t="s">
        <v>1294</v>
      </c>
    </row>
    <row r="708" spans="1:12" s="1279" customFormat="1" ht="20.100000000000001" customHeight="1">
      <c r="A708" s="1377">
        <f t="shared" si="27"/>
        <v>0</v>
      </c>
      <c r="B708" s="1584" t="s">
        <v>766</v>
      </c>
      <c r="C708" s="1286">
        <f t="shared" si="29"/>
        <v>0</v>
      </c>
      <c r="D708" s="1274" t="str">
        <f>VLOOKUP($B708,DG!A:D,DG!$B$2,)</f>
        <v>02.8534</v>
      </c>
      <c r="E708" s="1275" t="str">
        <f>VLOOKUP($B708,DG!A:D,DG!$C$2,)</f>
        <v>Tủ tụ bù hạ thế 40kVAr</v>
      </c>
      <c r="F708" s="1274" t="str">
        <f>VLOOKUP($B708,DG!A:D,DG!$D$2,)</f>
        <v>tủ</v>
      </c>
      <c r="G708" s="1593"/>
      <c r="H708" s="1492">
        <f t="shared" si="28"/>
        <v>0</v>
      </c>
      <c r="I708" s="1310"/>
      <c r="J708" s="1310"/>
      <c r="K708" s="1278"/>
      <c r="L708" s="1125" t="s">
        <v>1294</v>
      </c>
    </row>
    <row r="709" spans="1:12" s="1279" customFormat="1" ht="20.100000000000001" customHeight="1">
      <c r="A709" s="1377">
        <f t="shared" si="27"/>
        <v>0</v>
      </c>
      <c r="B709" s="1584" t="s">
        <v>766</v>
      </c>
      <c r="C709" s="1286">
        <f t="shared" si="29"/>
        <v>0</v>
      </c>
      <c r="D709" s="1274" t="str">
        <f>VLOOKUP($B709,DG!A:D,DG!$B$2,)</f>
        <v>02.8534</v>
      </c>
      <c r="E709" s="1275" t="s">
        <v>3804</v>
      </c>
      <c r="F709" s="1274" t="str">
        <f>VLOOKUP($B709,DG!A:D,DG!$D$2,)</f>
        <v>tủ</v>
      </c>
      <c r="G709" s="1593"/>
      <c r="H709" s="1492">
        <f t="shared" si="28"/>
        <v>0</v>
      </c>
      <c r="I709" s="1310"/>
      <c r="J709" s="1310"/>
      <c r="K709" s="1278"/>
      <c r="L709" s="1125" t="s">
        <v>1294</v>
      </c>
    </row>
    <row r="710" spans="1:12" s="1279" customFormat="1" ht="20.100000000000001" customHeight="1">
      <c r="A710" s="1377">
        <f t="shared" si="27"/>
        <v>0</v>
      </c>
      <c r="B710" s="1585" t="s">
        <v>2097</v>
      </c>
      <c r="C710" s="1286">
        <f t="shared" si="29"/>
        <v>0</v>
      </c>
      <c r="D710" s="1274">
        <f>VLOOKUP($B710,DG!A:D,DG!$B$2,)</f>
        <v>0</v>
      </c>
      <c r="E710" s="1386" t="str">
        <f>VLOOKUP($B710,DG!A:D,DG!$C$2,)</f>
        <v>Biến dòng 600V - 100/5A</v>
      </c>
      <c r="F710" s="1274" t="str">
        <f>VLOOKUP($B710,DG!A:D,DG!$D$2,)</f>
        <v>cái</v>
      </c>
      <c r="G710" s="1593"/>
      <c r="H710" s="1492">
        <f t="shared" si="28"/>
        <v>0</v>
      </c>
      <c r="I710" s="1310"/>
      <c r="J710" s="1310"/>
      <c r="K710" s="1312"/>
      <c r="L710" s="1125" t="s">
        <v>1294</v>
      </c>
    </row>
    <row r="711" spans="1:12" s="1279" customFormat="1" ht="20.100000000000001" customHeight="1">
      <c r="A711" s="1377">
        <f t="shared" si="27"/>
        <v>0</v>
      </c>
      <c r="B711" s="1589" t="s">
        <v>289</v>
      </c>
      <c r="C711" s="1286">
        <f t="shared" si="29"/>
        <v>0</v>
      </c>
      <c r="D711" s="1274" t="str">
        <f>VLOOKUP($B711,DG!A:D,DG!$B$2,)</f>
        <v>05.5104</v>
      </c>
      <c r="E711" s="1386" t="str">
        <f>VLOOKUP($B711,DG!A:D,DG!$C$2,)</f>
        <v>Điện kế 3 pha 4 dây 220/380V-5A</v>
      </c>
      <c r="F711" s="1274" t="str">
        <f>VLOOKUP($B711,DG!A:D,DG!$D$2,)</f>
        <v>cái</v>
      </c>
      <c r="G711" s="1594">
        <f>+G701</f>
        <v>0</v>
      </c>
      <c r="H711" s="1492">
        <f t="shared" si="28"/>
        <v>0</v>
      </c>
      <c r="I711" s="1310"/>
      <c r="J711" s="1310"/>
      <c r="K711" s="1312"/>
      <c r="L711" s="1125" t="s">
        <v>1294</v>
      </c>
    </row>
    <row r="712" spans="1:12" s="1279" customFormat="1" ht="20.100000000000001" customHeight="1">
      <c r="A712" s="1377">
        <f t="shared" si="27"/>
        <v>0</v>
      </c>
      <c r="B712" s="1582" t="s">
        <v>200</v>
      </c>
      <c r="C712" s="1286">
        <f t="shared" si="29"/>
        <v>0</v>
      </c>
      <c r="D712" s="1274">
        <f>VLOOKUP($B712,DG!A:D,DG!$B$2,)</f>
        <v>0</v>
      </c>
      <c r="E712" s="1275" t="str">
        <f>VLOOKUP($B712,DG!A:D,DG!$C$2,)</f>
        <v xml:space="preserve">Ampe kế 100/5A-600v +AS </v>
      </c>
      <c r="F712" s="1274" t="str">
        <f>VLOOKUP($B712,DG!A:D,DG!$D$2,)</f>
        <v>Bộ</v>
      </c>
      <c r="G712" s="1592"/>
      <c r="H712" s="1492">
        <f t="shared" si="28"/>
        <v>0</v>
      </c>
      <c r="I712" s="1310"/>
      <c r="J712" s="1310"/>
      <c r="K712" s="1278"/>
      <c r="L712" s="1125" t="s">
        <v>1294</v>
      </c>
    </row>
    <row r="713" spans="1:12" s="1279" customFormat="1" ht="20.100000000000001" customHeight="1">
      <c r="A713" s="1377">
        <f t="shared" si="27"/>
        <v>0</v>
      </c>
      <c r="B713" s="1582" t="s">
        <v>201</v>
      </c>
      <c r="C713" s="1286">
        <f t="shared" si="29"/>
        <v>0</v>
      </c>
      <c r="D713" s="1274">
        <f>VLOOKUP($B713,DG!A:D,DG!$B$2,)</f>
        <v>0</v>
      </c>
      <c r="E713" s="1275" t="str">
        <f>VLOOKUP($B713,DG!A:D,DG!$C$2,)</f>
        <v>Volt kế 500V + VS + 2xChì ống 1A-230V</v>
      </c>
      <c r="F713" s="1274" t="str">
        <f>VLOOKUP($B713,DG!A:D,DG!$D$2,)</f>
        <v>Bộ</v>
      </c>
      <c r="G713" s="1594">
        <f>+G705*0</f>
        <v>0</v>
      </c>
      <c r="H713" s="1492">
        <f t="shared" si="28"/>
        <v>0</v>
      </c>
      <c r="I713" s="1310"/>
      <c r="J713" s="1310"/>
      <c r="K713" s="1298"/>
      <c r="L713" s="1125" t="s">
        <v>1294</v>
      </c>
    </row>
    <row r="714" spans="1:12" s="1279" customFormat="1" ht="20.100000000000001" customHeight="1">
      <c r="A714" s="1377">
        <f t="shared" si="27"/>
        <v>0</v>
      </c>
      <c r="B714" s="1582"/>
      <c r="C714" s="1286">
        <f t="shared" si="29"/>
        <v>0</v>
      </c>
      <c r="D714" s="1274"/>
      <c r="E714" s="1445" t="s">
        <v>3805</v>
      </c>
      <c r="F714" s="1446"/>
      <c r="G714" s="1575">
        <f>G703/3*0</f>
        <v>0</v>
      </c>
      <c r="H714" s="1492">
        <f t="shared" si="28"/>
        <v>0</v>
      </c>
      <c r="I714" s="1310"/>
      <c r="J714" s="1310"/>
      <c r="K714" s="1447"/>
      <c r="L714" s="1125" t="s">
        <v>1294</v>
      </c>
    </row>
    <row r="715" spans="1:12" s="1279" customFormat="1" ht="20.100000000000001" customHeight="1">
      <c r="A715" s="1377">
        <f t="shared" si="27"/>
        <v>0</v>
      </c>
      <c r="B715" s="1582" t="s">
        <v>1701</v>
      </c>
      <c r="C715" s="1286">
        <f>IF(G715&gt;0,C714+1,C714)</f>
        <v>0</v>
      </c>
      <c r="D715" s="1274" t="str">
        <f>VLOOKUP($B715,DG!A:D,DG!$B$2,)</f>
        <v>01.1162</v>
      </c>
      <c r="E715" s="1275" t="str">
        <f>VLOOKUP($B715,DG!A:D,DG!$C$2,)&amp;": thaùo"</f>
        <v>Máy biến áp 8,6(12,7)/0,22-0,44kV- 37,5kVA: thaùo</v>
      </c>
      <c r="F715" s="1274" t="str">
        <f>VLOOKUP($B715,DG!A:D,DG!$D$2,)</f>
        <v>máy</v>
      </c>
      <c r="G715" s="1312"/>
      <c r="H715" s="1492">
        <f t="shared" si="28"/>
        <v>0</v>
      </c>
      <c r="I715" s="1310"/>
      <c r="J715" s="1310"/>
      <c r="K715" s="1397"/>
      <c r="L715" s="1125" t="s">
        <v>1294</v>
      </c>
    </row>
    <row r="716" spans="1:12" s="1279" customFormat="1" ht="20.100000000000001" customHeight="1">
      <c r="A716" s="1377">
        <f t="shared" si="27"/>
        <v>0</v>
      </c>
      <c r="B716" s="1582" t="s">
        <v>1701</v>
      </c>
      <c r="C716" s="1286">
        <f>IF(G716&gt;0,C715+1,C715)</f>
        <v>0</v>
      </c>
      <c r="D716" s="1274" t="str">
        <f>VLOOKUP($B716,DG!A:D,DG!$B$2,)</f>
        <v>01.1162</v>
      </c>
      <c r="E716" s="1275" t="str">
        <f>VLOOKUP($B716,DG!A:D,DG!$C$2,)&amp;": laép"</f>
        <v>Máy biến áp 8,6(12,7)/0,22-0,44kV- 37,5kVA: laép</v>
      </c>
      <c r="F716" s="1274" t="str">
        <f>VLOOKUP($B716,DG!A:D,DG!$D$2,)</f>
        <v>máy</v>
      </c>
      <c r="G716" s="1312"/>
      <c r="H716" s="1492">
        <f t="shared" si="28"/>
        <v>0</v>
      </c>
      <c r="I716" s="1310"/>
      <c r="J716" s="1310"/>
      <c r="K716" s="1397"/>
      <c r="L716" s="1125" t="s">
        <v>1294</v>
      </c>
    </row>
    <row r="717" spans="1:12" s="1279" customFormat="1" ht="20.100000000000001" customHeight="1">
      <c r="A717" s="1377">
        <f t="shared" si="27"/>
        <v>0</v>
      </c>
      <c r="B717" s="1583" t="s">
        <v>1704</v>
      </c>
      <c r="C717" s="1286">
        <f>IF(G717&gt;0,C715+1,C715)</f>
        <v>0</v>
      </c>
      <c r="D717" s="1274" t="str">
        <f>VLOOKUP($B717,DG!A:D,DG!$B$2,)</f>
        <v>02.3155</v>
      </c>
      <c r="E717" s="1275" t="str">
        <f>VLOOKUP($B717,DG!A:D,DG!$C$2,)&amp;": thaùo"</f>
        <v>FCO 24kV - 100A: thaùo</v>
      </c>
      <c r="F717" s="1274" t="str">
        <f>VLOOKUP($B717,DG!A:D,DG!$D$2,)</f>
        <v>cái</v>
      </c>
      <c r="G717" s="1312"/>
      <c r="H717" s="1492">
        <f t="shared" si="28"/>
        <v>0</v>
      </c>
      <c r="I717" s="1310"/>
      <c r="J717" s="1310"/>
      <c r="K717" s="1397"/>
      <c r="L717" s="1125" t="s">
        <v>1294</v>
      </c>
    </row>
    <row r="718" spans="1:12" s="1279" customFormat="1" ht="20.100000000000001" customHeight="1">
      <c r="A718" s="1377">
        <f t="shared" si="27"/>
        <v>0</v>
      </c>
      <c r="B718" s="1583" t="s">
        <v>1704</v>
      </c>
      <c r="C718" s="1286">
        <f>IF(G718&gt;0,C716+1,C716)</f>
        <v>0</v>
      </c>
      <c r="D718" s="1274" t="str">
        <f>VLOOKUP($B718,DG!A:D,DG!$B$2,)</f>
        <v>02.3155</v>
      </c>
      <c r="E718" s="1275" t="str">
        <f>VLOOKUP($B718,DG!A:D,DG!$C$2,)&amp;": laép"</f>
        <v>FCO 24kV - 100A: laép</v>
      </c>
      <c r="F718" s="1274" t="str">
        <f>VLOOKUP($B718,DG!A:D,DG!$D$2,)</f>
        <v>cái</v>
      </c>
      <c r="G718" s="1312"/>
      <c r="H718" s="1492">
        <f t="shared" si="28"/>
        <v>0</v>
      </c>
      <c r="I718" s="1310"/>
      <c r="J718" s="1310"/>
      <c r="K718" s="1397"/>
      <c r="L718" s="1125" t="s">
        <v>1294</v>
      </c>
    </row>
    <row r="719" spans="1:12" s="1279" customFormat="1" ht="20.100000000000001" customHeight="1">
      <c r="A719" s="1377">
        <f t="shared" si="27"/>
        <v>0</v>
      </c>
      <c r="B719" s="1582" t="s">
        <v>1406</v>
      </c>
      <c r="C719" s="1286">
        <f>IF(G719&gt;0,C717+1,C717)</f>
        <v>0</v>
      </c>
      <c r="D719" s="1274" t="str">
        <f>VLOOKUP($B719,DG!A:D,DG!$B$2,)</f>
        <v>02.5114</v>
      </c>
      <c r="E719" s="1275" t="str">
        <f>VLOOKUP($B719,DG!A:D,DG!$C$2,)&amp;": thaùo"</f>
        <v>LA 18kV 10kA: thaùo</v>
      </c>
      <c r="F719" s="1274" t="str">
        <f>VLOOKUP($B719,DG!A:D,DG!$D$2,)</f>
        <v>cái</v>
      </c>
      <c r="G719" s="1312"/>
      <c r="H719" s="1492">
        <f t="shared" si="28"/>
        <v>0</v>
      </c>
      <c r="I719" s="1310"/>
      <c r="J719" s="1310"/>
      <c r="K719" s="1397"/>
      <c r="L719" s="1125" t="s">
        <v>1294</v>
      </c>
    </row>
    <row r="720" spans="1:12" s="1279" customFormat="1" ht="20.100000000000001" customHeight="1">
      <c r="A720" s="1377">
        <f t="shared" si="27"/>
        <v>0</v>
      </c>
      <c r="B720" s="1582" t="s">
        <v>1406</v>
      </c>
      <c r="C720" s="1286">
        <f>IF(G720&gt;0,C718+1,C718)</f>
        <v>0</v>
      </c>
      <c r="D720" s="1274" t="str">
        <f>VLOOKUP($B720,DG!A:D,DG!$B$2,)</f>
        <v>02.5114</v>
      </c>
      <c r="E720" s="1275" t="str">
        <f>VLOOKUP($B720,DG!A:D,DG!$C$2,)&amp;": laép"</f>
        <v>LA 18kV 10kA: laép</v>
      </c>
      <c r="F720" s="1274" t="str">
        <f>VLOOKUP($B720,DG!A:D,DG!$D$2,)</f>
        <v>cái</v>
      </c>
      <c r="G720" s="1312"/>
      <c r="H720" s="1492">
        <f t="shared" si="28"/>
        <v>0</v>
      </c>
      <c r="I720" s="1310"/>
      <c r="J720" s="1310"/>
      <c r="K720" s="1397"/>
      <c r="L720" s="1125" t="s">
        <v>1294</v>
      </c>
    </row>
    <row r="721" spans="1:13" s="1279" customFormat="1" ht="20.100000000000001" customHeight="1">
      <c r="A721" s="1377">
        <f t="shared" si="27"/>
        <v>0</v>
      </c>
      <c r="B721" s="1582" t="s">
        <v>1019</v>
      </c>
      <c r="C721" s="1286">
        <f>IF(G721&gt;0,C719+1,C719)</f>
        <v>0</v>
      </c>
      <c r="D721" s="1274" t="str">
        <f>VLOOKUP($B721,DG!A:D,DG!$B$2,)</f>
        <v>05.6001</v>
      </c>
      <c r="E721" s="1275" t="str">
        <f>VLOOKUP($B721,DG!A:D,DG!$C$2,)</f>
        <v>Giá chữ "T" lắp FCO, LA (V50x50x5)</v>
      </c>
      <c r="F721" s="1274" t="str">
        <f>VLOOKUP($B721,DG!A:D,DG!$D$2,)</f>
        <v>Kg</v>
      </c>
      <c r="G721" s="1312"/>
      <c r="H721" s="1492">
        <f t="shared" si="28"/>
        <v>0</v>
      </c>
      <c r="I721" s="1310"/>
      <c r="J721" s="1310"/>
      <c r="K721" s="1397"/>
      <c r="L721" s="1125" t="s">
        <v>1294</v>
      </c>
    </row>
    <row r="722" spans="1:13" s="1279" customFormat="1" ht="20.100000000000001" customHeight="1">
      <c r="A722" s="1377">
        <f t="shared" si="27"/>
        <v>0</v>
      </c>
      <c r="B722" s="1582"/>
      <c r="C722" s="1448"/>
      <c r="D722" s="1449"/>
      <c r="E722" s="1450"/>
      <c r="F722" s="1449"/>
      <c r="G722" s="1451"/>
      <c r="H722" s="1492">
        <f t="shared" si="28"/>
        <v>0</v>
      </c>
      <c r="I722" s="1310"/>
      <c r="J722" s="1310"/>
      <c r="K722" s="1298"/>
      <c r="L722" s="1125" t="s">
        <v>1294</v>
      </c>
    </row>
    <row r="723" spans="1:13" s="1279" customFormat="1" ht="20.100000000000001" customHeight="1">
      <c r="A723" s="1377">
        <f t="shared" si="27"/>
        <v>0</v>
      </c>
      <c r="B723" s="1582"/>
      <c r="C723" s="1384"/>
      <c r="D723" s="1430"/>
      <c r="E723" s="1452"/>
      <c r="F723" s="1453"/>
      <c r="G723" s="1453"/>
      <c r="H723" s="1492">
        <f t="shared" si="28"/>
        <v>0</v>
      </c>
      <c r="I723" s="1310"/>
      <c r="J723" s="1310"/>
      <c r="K723" s="1354"/>
      <c r="L723" s="1125" t="s">
        <v>1294</v>
      </c>
    </row>
    <row r="724" spans="1:13" s="1279" customFormat="1" ht="20.100000000000001" customHeight="1">
      <c r="A724" s="1377">
        <f t="shared" ref="A724:A787" si="30">IF(H724&gt;0,1,0)</f>
        <v>0</v>
      </c>
      <c r="B724" s="1582"/>
      <c r="C724" s="1454"/>
      <c r="D724" s="1455"/>
      <c r="E724" s="1456" t="s">
        <v>3772</v>
      </c>
      <c r="F724" s="1456"/>
      <c r="G724" s="1456"/>
      <c r="H724" s="1492">
        <f t="shared" si="28"/>
        <v>0</v>
      </c>
      <c r="I724" s="1395"/>
      <c r="J724" s="1395"/>
      <c r="K724" s="1431"/>
      <c r="L724" s="1125" t="s">
        <v>1294</v>
      </c>
    </row>
    <row r="725" spans="1:13" s="1279" customFormat="1" ht="20.100000000000001" customHeight="1">
      <c r="A725" s="1377">
        <f t="shared" si="30"/>
        <v>0</v>
      </c>
      <c r="B725" s="1582"/>
      <c r="C725" s="1387">
        <f>IF(G725&gt;0,1,0)</f>
        <v>0</v>
      </c>
      <c r="D725" s="1388"/>
      <c r="E725" s="1389" t="s">
        <v>3791</v>
      </c>
      <c r="F725" s="1268" t="s">
        <v>2449</v>
      </c>
      <c r="G725" s="1268"/>
      <c r="H725" s="1493">
        <f t="shared" si="28"/>
        <v>0</v>
      </c>
      <c r="I725" s="1268"/>
      <c r="J725" s="1268"/>
      <c r="K725" s="1268"/>
      <c r="L725" s="1125" t="s">
        <v>1294</v>
      </c>
    </row>
    <row r="726" spans="1:13" s="1279" customFormat="1" ht="20.100000000000001" customHeight="1">
      <c r="A726" s="1377">
        <f>IF(A725&gt;0,1,0)</f>
        <v>0</v>
      </c>
      <c r="B726" s="1582"/>
      <c r="C726" s="1457"/>
      <c r="D726" s="1458"/>
      <c r="E726" s="1636" t="s">
        <v>2342</v>
      </c>
      <c r="F726" s="1459"/>
      <c r="G726" s="1459"/>
      <c r="H726" s="1492">
        <f t="shared" si="28"/>
        <v>0</v>
      </c>
      <c r="I726" s="1460"/>
      <c r="J726" s="1460"/>
      <c r="K726" s="1424"/>
      <c r="L726" s="1125" t="s">
        <v>1294</v>
      </c>
    </row>
    <row r="727" spans="1:13" s="1279" customFormat="1" ht="20.100000000000001" customHeight="1">
      <c r="A727" s="1377">
        <f t="shared" si="30"/>
        <v>0</v>
      </c>
      <c r="B727" s="1378" t="s">
        <v>1639</v>
      </c>
      <c r="C727" s="1390"/>
      <c r="D727" s="1274" t="str">
        <f>VLOOKUP($B727,DG!A:D,DG!$B$2,)</f>
        <v>05.6100</v>
      </c>
      <c r="E727" s="1275" t="str">
        <f>VLOOKUP($B727,DG!A:D,DG!$C$2,)</f>
        <v>Giá chùm treo máy biến áp 3x37,5</v>
      </c>
      <c r="F727" s="1274" t="str">
        <f>VLOOKUP($B727,DG!A:D,DG!$D$2,)</f>
        <v>cái</v>
      </c>
      <c r="G727" s="1592">
        <f>G725*41</f>
        <v>0</v>
      </c>
      <c r="H727" s="1492">
        <f t="shared" si="28"/>
        <v>0</v>
      </c>
      <c r="I727" s="1310"/>
      <c r="J727" s="1310"/>
      <c r="K727" s="1278"/>
      <c r="L727" s="1125" t="s">
        <v>1294</v>
      </c>
    </row>
    <row r="728" spans="1:13" s="1279" customFormat="1" ht="20.100000000000001" customHeight="1">
      <c r="A728" s="1377">
        <f t="shared" si="30"/>
        <v>0</v>
      </c>
      <c r="B728" s="1582" t="s">
        <v>1839</v>
      </c>
      <c r="C728" s="1390"/>
      <c r="D728" s="1391"/>
      <c r="E728" s="1275" t="str">
        <f>VLOOKUP($B728,DG!A:D,DG!$C$2,)</f>
        <v>Boulon 16x50+ 2 long đền vuông D18-50x50x3/Zn</v>
      </c>
      <c r="F728" s="1274" t="str">
        <f>VLOOKUP($B728,DG!A:D,DG!$D$2,)</f>
        <v>bộ</v>
      </c>
      <c r="G728" s="1592">
        <f>6*G725</f>
        <v>0</v>
      </c>
      <c r="H728" s="1492">
        <f t="shared" si="28"/>
        <v>0</v>
      </c>
      <c r="I728" s="1310"/>
      <c r="J728" s="1310"/>
      <c r="K728" s="1278"/>
      <c r="L728" s="1125" t="s">
        <v>1294</v>
      </c>
    </row>
    <row r="729" spans="1:13" s="1279" customFormat="1" ht="20.100000000000001" customHeight="1">
      <c r="A729" s="1377">
        <f t="shared" si="30"/>
        <v>0</v>
      </c>
      <c r="B729" s="1582" t="s">
        <v>1662</v>
      </c>
      <c r="C729" s="1390"/>
      <c r="D729" s="1391"/>
      <c r="E729" s="1275" t="str">
        <f>VLOOKUP($B729,DG!A:D,DG!$C$2,)</f>
        <v>Boulon 16x300+ 2 long đền vuông D18-50x50x3/Zn</v>
      </c>
      <c r="F729" s="1274" t="str">
        <f>VLOOKUP($B729,DG!A:D,DG!$D$2,)</f>
        <v>bộ</v>
      </c>
      <c r="G729" s="1592">
        <f>2*G725</f>
        <v>0</v>
      </c>
      <c r="H729" s="1492">
        <f t="shared" si="28"/>
        <v>0</v>
      </c>
      <c r="I729" s="1310"/>
      <c r="J729" s="1310"/>
      <c r="K729" s="1278"/>
      <c r="L729" s="1125" t="s">
        <v>1294</v>
      </c>
    </row>
    <row r="730" spans="1:13" s="1279" customFormat="1" ht="20.100000000000001" customHeight="1">
      <c r="A730" s="1377">
        <f t="shared" si="30"/>
        <v>0</v>
      </c>
      <c r="B730" s="1582" t="s">
        <v>519</v>
      </c>
      <c r="C730" s="1390"/>
      <c r="D730" s="1391"/>
      <c r="E730" s="1386" t="str">
        <f>VLOOKUP($B730,DG!A:D,DG!$C$2,)</f>
        <v>Lắp xà đỡ ≤ 50kg</v>
      </c>
      <c r="F730" s="1274" t="str">
        <f>VLOOKUP($B730,DG!A:D,DG!$D$2,)</f>
        <v>bộ</v>
      </c>
      <c r="G730" s="1592">
        <f>G725</f>
        <v>0</v>
      </c>
      <c r="H730" s="1492">
        <f t="shared" si="28"/>
        <v>0</v>
      </c>
      <c r="I730" s="1310"/>
      <c r="J730" s="1310"/>
      <c r="K730" s="1278"/>
      <c r="L730" s="1125" t="s">
        <v>1294</v>
      </c>
    </row>
    <row r="731" spans="1:13" s="1279" customFormat="1" ht="20.100000000000001" customHeight="1">
      <c r="A731" s="1377">
        <f t="shared" si="30"/>
        <v>0</v>
      </c>
      <c r="B731" s="1582"/>
      <c r="C731" s="1280">
        <f>IF(G731&gt;0,C725+1,C725)</f>
        <v>0</v>
      </c>
      <c r="D731" s="1461"/>
      <c r="E731" s="1462" t="s">
        <v>3773</v>
      </c>
      <c r="F731" s="1463" t="s">
        <v>2449</v>
      </c>
      <c r="G731" s="1463"/>
      <c r="H731" s="1493">
        <f t="shared" si="28"/>
        <v>0</v>
      </c>
      <c r="I731" s="1283"/>
      <c r="J731" s="1283"/>
      <c r="K731" s="1283"/>
      <c r="L731" s="1125" t="s">
        <v>1294</v>
      </c>
    </row>
    <row r="732" spans="1:13" s="1279" customFormat="1" ht="20.100000000000001" customHeight="1">
      <c r="A732" s="1377">
        <f>IF(A731&gt;0,1,0)</f>
        <v>0</v>
      </c>
      <c r="B732" s="1582"/>
      <c r="C732" s="1390"/>
      <c r="D732" s="1411"/>
      <c r="E732" s="1634" t="s">
        <v>2342</v>
      </c>
      <c r="F732" s="1312"/>
      <c r="G732" s="1575"/>
      <c r="H732" s="1492">
        <f t="shared" si="28"/>
        <v>0</v>
      </c>
      <c r="I732" s="1310"/>
      <c r="J732" s="1310"/>
      <c r="K732" s="1312"/>
      <c r="L732" s="1125" t="s">
        <v>1294</v>
      </c>
      <c r="M732" s="1413"/>
    </row>
    <row r="733" spans="1:13" s="1279" customFormat="1" ht="20.100000000000001" customHeight="1">
      <c r="A733" s="1377">
        <f t="shared" si="30"/>
        <v>0</v>
      </c>
      <c r="B733" s="1378" t="s">
        <v>116</v>
      </c>
      <c r="C733" s="1312"/>
      <c r="D733" s="1274">
        <f>VLOOKUP($B733,DG!A:D,DG!$B$2,)</f>
        <v>0</v>
      </c>
      <c r="E733" s="1275" t="str">
        <f>VLOOKUP($B733,DG!A:D,DG!$C$2,)</f>
        <v>Trụ BTLT 12m F350 dự ứng lực</v>
      </c>
      <c r="F733" s="1274" t="str">
        <f>VLOOKUP($B733,DG!A:D,DG!$D$2,)</f>
        <v>trụ</v>
      </c>
      <c r="G733" s="1575">
        <f>1*G731</f>
        <v>0</v>
      </c>
      <c r="H733" s="1492">
        <f t="shared" si="28"/>
        <v>0</v>
      </c>
      <c r="I733" s="1310"/>
      <c r="J733" s="1310"/>
      <c r="K733" s="1312"/>
      <c r="L733" s="1125" t="s">
        <v>1294</v>
      </c>
      <c r="M733" s="1413"/>
    </row>
    <row r="734" spans="1:13" s="1279" customFormat="1" ht="20.100000000000001" customHeight="1">
      <c r="A734" s="1377">
        <f t="shared" si="30"/>
        <v>0</v>
      </c>
      <c r="B734" s="1378" t="s">
        <v>1867</v>
      </c>
      <c r="C734" s="1312"/>
      <c r="D734" s="1414"/>
      <c r="E734" s="1275" t="str">
        <f>VLOOKUP($B734,DG!A:D,DG!$C$2,)</f>
        <v>Vật liệu dựng trụ</v>
      </c>
      <c r="F734" s="1274" t="str">
        <f>VLOOKUP($B734,DG!A:D,DG!$D$2,)</f>
        <v>trụ</v>
      </c>
      <c r="G734" s="1575">
        <f>G733</f>
        <v>0</v>
      </c>
      <c r="H734" s="1492">
        <f t="shared" si="28"/>
        <v>0</v>
      </c>
      <c r="I734" s="1310"/>
      <c r="J734" s="1310"/>
      <c r="K734" s="1312"/>
      <c r="L734" s="1125" t="s">
        <v>1294</v>
      </c>
      <c r="M734" s="1413"/>
    </row>
    <row r="735" spans="1:13" s="1279" customFormat="1" ht="20.100000000000001" customHeight="1">
      <c r="A735" s="1377">
        <f t="shared" si="30"/>
        <v>0</v>
      </c>
      <c r="B735" s="1378" t="s">
        <v>2188</v>
      </c>
      <c r="C735" s="1312"/>
      <c r="D735" s="1414"/>
      <c r="E735" s="1275" t="str">
        <f>VLOOKUP($B735,DG!A:D,DG!$C$2,)</f>
        <v>Dựng trụ BTLT 12m trong TBA bằng thủ công + cơ giới</v>
      </c>
      <c r="F735" s="1274" t="str">
        <f>VLOOKUP($B735,DG!A:D,DG!$D$2,)</f>
        <v>trụ</v>
      </c>
      <c r="G735" s="1575">
        <f>G733</f>
        <v>0</v>
      </c>
      <c r="H735" s="1492">
        <f t="shared" si="28"/>
        <v>0</v>
      </c>
      <c r="I735" s="1310"/>
      <c r="J735" s="1310"/>
      <c r="K735" s="1312"/>
      <c r="L735" s="1125" t="s">
        <v>1294</v>
      </c>
      <c r="M735" s="1413"/>
    </row>
    <row r="736" spans="1:13" s="1279" customFormat="1" ht="20.100000000000001" customHeight="1">
      <c r="A736" s="1377">
        <f t="shared" si="30"/>
        <v>0</v>
      </c>
      <c r="B736" s="1582"/>
      <c r="C736" s="1280">
        <f>IF(G736&gt;0,C731+1,C731)</f>
        <v>0</v>
      </c>
      <c r="D736" s="1461"/>
      <c r="E736" s="1462" t="s">
        <v>2416</v>
      </c>
      <c r="F736" s="1463" t="s">
        <v>2449</v>
      </c>
      <c r="G736" s="1595">
        <f>G731</f>
        <v>0</v>
      </c>
      <c r="H736" s="1493">
        <f t="shared" si="28"/>
        <v>0</v>
      </c>
      <c r="I736" s="1283"/>
      <c r="J736" s="1283"/>
      <c r="K736" s="1283"/>
      <c r="L736" s="1125" t="s">
        <v>1294</v>
      </c>
    </row>
    <row r="737" spans="1:13" s="1279" customFormat="1" ht="20.100000000000001" customHeight="1">
      <c r="A737" s="1377">
        <f>IF(A736&gt;0,1,0)</f>
        <v>0</v>
      </c>
      <c r="B737" s="1582"/>
      <c r="C737" s="1390"/>
      <c r="D737" s="1411"/>
      <c r="E737" s="1634" t="s">
        <v>2342</v>
      </c>
      <c r="F737" s="1312"/>
      <c r="G737" s="1575"/>
      <c r="H737" s="1492">
        <f t="shared" si="28"/>
        <v>0</v>
      </c>
      <c r="I737" s="1310"/>
      <c r="J737" s="1310"/>
      <c r="K737" s="1312"/>
      <c r="L737" s="1125" t="s">
        <v>1294</v>
      </c>
      <c r="M737" s="1413"/>
    </row>
    <row r="738" spans="1:13" s="1279" customFormat="1" ht="20.100000000000001" customHeight="1">
      <c r="A738" s="1377">
        <f t="shared" si="30"/>
        <v>0</v>
      </c>
      <c r="B738" s="1589" t="s">
        <v>641</v>
      </c>
      <c r="C738" s="1312"/>
      <c r="D738" s="1274" t="str">
        <f>VLOOKUP($B738,DG!A:D,DG!$B$2,)</f>
        <v>04.4001</v>
      </c>
      <c r="E738" s="1275" t="str">
        <f>VLOOKUP($B738,DG!A:D,DG!$C$2,)</f>
        <v>Đà cản BTCT 1,2m</v>
      </c>
      <c r="F738" s="1274" t="str">
        <f>VLOOKUP($B738,DG!A:D,DG!$D$2,)</f>
        <v>cái</v>
      </c>
      <c r="G738" s="1575">
        <f>1*G736</f>
        <v>0</v>
      </c>
      <c r="H738" s="1492">
        <f t="shared" si="28"/>
        <v>0</v>
      </c>
      <c r="I738" s="1310"/>
      <c r="J738" s="1310"/>
      <c r="K738" s="1312"/>
      <c r="L738" s="1125" t="s">
        <v>1294</v>
      </c>
      <c r="M738" s="1413"/>
    </row>
    <row r="739" spans="1:13" s="1279" customFormat="1" ht="20.100000000000001" customHeight="1">
      <c r="A739" s="1377">
        <f t="shared" si="30"/>
        <v>0</v>
      </c>
      <c r="B739" s="1589" t="s">
        <v>570</v>
      </c>
      <c r="C739" s="1312"/>
      <c r="D739" s="1274">
        <f>VLOOKUP($B739,DG!A:D,DG!$B$2,)</f>
        <v>0</v>
      </c>
      <c r="E739" s="1275" t="str">
        <f>VLOOKUP($B739,DG!A:D,DG!$C$2,)</f>
        <v>Boulon 22x650+ 2 long đền vuông D24-50x50x3/Zn</v>
      </c>
      <c r="F739" s="1274" t="str">
        <f>VLOOKUP($B739,DG!A:D,DG!$D$2,)</f>
        <v>bộ</v>
      </c>
      <c r="G739" s="1575">
        <f>G736</f>
        <v>0</v>
      </c>
      <c r="H739" s="1492">
        <f t="shared" si="28"/>
        <v>0</v>
      </c>
      <c r="I739" s="1310"/>
      <c r="J739" s="1310"/>
      <c r="K739" s="1312"/>
      <c r="L739" s="1125" t="s">
        <v>1294</v>
      </c>
      <c r="M739" s="1413"/>
    </row>
    <row r="740" spans="1:13" s="1279" customFormat="1" ht="20.100000000000001" customHeight="1">
      <c r="A740" s="1377">
        <f t="shared" si="30"/>
        <v>0</v>
      </c>
      <c r="B740" s="1589" t="str">
        <f>IF(chitiet!F5=1,"MDD1",IF(chitiet!F5=2,"MDD2",IF(chitiet!F5=3,"MDD3",IF(chitiet!F5=4,"MDD4"))))</f>
        <v>MDD3</v>
      </c>
      <c r="C740" s="1312"/>
      <c r="D740" s="1274" t="str">
        <f>VLOOKUP($B740,DG!A:D,DG!$B$2,)</f>
        <v>03.1013</v>
      </c>
      <c r="E740" s="1275" t="str">
        <f>VLOOKUP($B740,DG!A:D,DG!$C$2,)</f>
        <v>Đào hố móng đất cấp 3 sâu &gt;1m DT&lt;5m2</v>
      </c>
      <c r="F740" s="1274" t="str">
        <f>VLOOKUP($B740,DG!A:D,DG!$D$2,)</f>
        <v>m3</v>
      </c>
      <c r="G740" s="1596">
        <f>G736*1.45</f>
        <v>0</v>
      </c>
      <c r="H740" s="1492">
        <f t="shared" ref="H740:H803" si="31">IF(L740=$L$23,G740+I740-J740,0)</f>
        <v>0</v>
      </c>
      <c r="I740" s="1310"/>
      <c r="J740" s="1310"/>
      <c r="K740" s="1312"/>
      <c r="L740" s="1125" t="s">
        <v>1294</v>
      </c>
      <c r="M740" s="1413"/>
    </row>
    <row r="741" spans="1:13" s="1279" customFormat="1" ht="20.100000000000001" customHeight="1">
      <c r="A741" s="1377">
        <f t="shared" si="30"/>
        <v>0</v>
      </c>
      <c r="B741" s="1589" t="str">
        <f>IF(chitiet!F5=1,"MDAP1",IF(chitiet!F5=2,"MDAP2",IF(chitiet!F5=3,"MDAP3",IF(chitiet!F5=4,"MDAP4"))))</f>
        <v>MDAP3</v>
      </c>
      <c r="C741" s="1397"/>
      <c r="D741" s="1295" t="str">
        <f>VLOOKUP($B741,DG!A:D,DG!$B$2,)</f>
        <v>03.4113</v>
      </c>
      <c r="E741" s="1296" t="str">
        <f>VLOOKUP($B741,DG!A:D,DG!$C$2,)</f>
        <v>Đắp đất hố móng, độ chặt k=0,95</v>
      </c>
      <c r="F741" s="1295" t="str">
        <f>VLOOKUP($B741,DG!A:D,DG!$D$2,)</f>
        <v>m3</v>
      </c>
      <c r="G741" s="1596">
        <f>G736*1.37</f>
        <v>0</v>
      </c>
      <c r="H741" s="1492">
        <f t="shared" si="31"/>
        <v>0</v>
      </c>
      <c r="I741" s="1395"/>
      <c r="J741" s="1395"/>
      <c r="K741" s="1397"/>
      <c r="L741" s="1125" t="s">
        <v>1294</v>
      </c>
      <c r="M741" s="1413"/>
    </row>
    <row r="742" spans="1:13" s="1279" customFormat="1" ht="20.100000000000001" customHeight="1">
      <c r="A742" s="1377">
        <f t="shared" si="30"/>
        <v>0</v>
      </c>
      <c r="B742" s="1582"/>
      <c r="C742" s="1387">
        <f>IF(G742&gt;0,C736+1,C736)</f>
        <v>0</v>
      </c>
      <c r="D742" s="1392"/>
      <c r="E742" s="1393" t="s">
        <v>4546</v>
      </c>
      <c r="F742" s="1268" t="s">
        <v>2449</v>
      </c>
      <c r="G742" s="1597">
        <f>G725</f>
        <v>0</v>
      </c>
      <c r="H742" s="1493">
        <f t="shared" si="31"/>
        <v>0</v>
      </c>
      <c r="I742" s="1268"/>
      <c r="J742" s="1268"/>
      <c r="K742" s="1268"/>
      <c r="L742" s="1125" t="s">
        <v>1294</v>
      </c>
    </row>
    <row r="743" spans="1:13" s="1279" customFormat="1" ht="20.100000000000001" customHeight="1">
      <c r="A743" s="1377">
        <f>IF(A742&gt;0,1,0)</f>
        <v>0</v>
      </c>
      <c r="B743" s="1582"/>
      <c r="C743" s="1457"/>
      <c r="D743" s="1458"/>
      <c r="E743" s="1636" t="s">
        <v>2342</v>
      </c>
      <c r="F743" s="1459"/>
      <c r="G743" s="1592"/>
      <c r="H743" s="1492">
        <f t="shared" si="31"/>
        <v>0</v>
      </c>
      <c r="I743" s="1460"/>
      <c r="J743" s="1460"/>
      <c r="K743" s="1424"/>
      <c r="L743" s="1125" t="s">
        <v>1294</v>
      </c>
    </row>
    <row r="744" spans="1:13" s="1279" customFormat="1" ht="20.100000000000001" customHeight="1">
      <c r="A744" s="1377">
        <f t="shared" si="30"/>
        <v>0</v>
      </c>
      <c r="B744" s="1378" t="s">
        <v>4534</v>
      </c>
      <c r="C744" s="1390"/>
      <c r="D744" s="1274">
        <f>VLOOKUP($B744,DG!A:D,DG!$B$2,)</f>
        <v>0</v>
      </c>
      <c r="E744" s="1275" t="str">
        <f>VLOOKUP($B744,DG!A:D,DG!$C$2,)</f>
        <v>Xà composite 110x800x5 dài 2,4m</v>
      </c>
      <c r="F744" s="1274" t="str">
        <f>VLOOKUP($B744,DG!A:D,DG!$D$2,)</f>
        <v>cái</v>
      </c>
      <c r="G744" s="1598">
        <f>G742*9.02*(2.2+4*0.07)</f>
        <v>0</v>
      </c>
      <c r="H744" s="1492">
        <f t="shared" si="31"/>
        <v>0</v>
      </c>
      <c r="I744" s="1310"/>
      <c r="J744" s="1310"/>
      <c r="K744" s="1278"/>
      <c r="L744" s="1125" t="s">
        <v>1294</v>
      </c>
    </row>
    <row r="745" spans="1:13" s="1279" customFormat="1" ht="20.100000000000001" customHeight="1">
      <c r="A745" s="1377">
        <f t="shared" si="30"/>
        <v>0</v>
      </c>
      <c r="B745" s="1378" t="s">
        <v>366</v>
      </c>
      <c r="C745" s="1390"/>
      <c r="D745" s="1274">
        <f>VLOOKUP($B745,DG!A:D,DG!$B$2,)</f>
        <v>0</v>
      </c>
      <c r="E745" s="1275" t="str">
        <f>VLOOKUP($B745,DG!A:D,DG!$C$2,)</f>
        <v>Chống composite 40x10x920</v>
      </c>
      <c r="F745" s="1274" t="str">
        <f>VLOOKUP($B745,DG!A:D,DG!$D$2,)</f>
        <v>cái</v>
      </c>
      <c r="G745" s="1598">
        <f>G742*2*3.77*0.81</f>
        <v>0</v>
      </c>
      <c r="H745" s="1492">
        <f t="shared" si="31"/>
        <v>0</v>
      </c>
      <c r="I745" s="1310"/>
      <c r="J745" s="1310"/>
      <c r="K745" s="1278"/>
      <c r="L745" s="1125" t="s">
        <v>1294</v>
      </c>
    </row>
    <row r="746" spans="1:13" s="1279" customFormat="1" ht="20.100000000000001" customHeight="1">
      <c r="A746" s="1377">
        <f t="shared" si="30"/>
        <v>0</v>
      </c>
      <c r="B746" s="1378" t="s">
        <v>1109</v>
      </c>
      <c r="C746" s="1390"/>
      <c r="D746" s="1274">
        <f>VLOOKUP($B746,DG!A:D,DG!$B$2,)</f>
        <v>0</v>
      </c>
      <c r="E746" s="1275" t="str">
        <f>VLOOKUP($B746,DG!A:D,DG!$C$2,)</f>
        <v>Boulon 16x350+ 2 long đền vuông D18-50x50x3/Zn</v>
      </c>
      <c r="F746" s="1274" t="str">
        <f>VLOOKUP($B746,DG!A:D,DG!$D$2,)</f>
        <v>bộ</v>
      </c>
      <c r="G746" s="1598">
        <f>G742*3</f>
        <v>0</v>
      </c>
      <c r="H746" s="1492">
        <f t="shared" si="31"/>
        <v>0</v>
      </c>
      <c r="I746" s="1310"/>
      <c r="J746" s="1310"/>
      <c r="K746" s="1278"/>
      <c r="L746" s="1125" t="s">
        <v>1294</v>
      </c>
    </row>
    <row r="747" spans="1:13" s="1279" customFormat="1" ht="20.100000000000001" customHeight="1">
      <c r="A747" s="1377">
        <f t="shared" si="30"/>
        <v>0</v>
      </c>
      <c r="B747" s="1378" t="s">
        <v>245</v>
      </c>
      <c r="C747" s="1390"/>
      <c r="D747" s="1274">
        <f>VLOOKUP($B747,DG!A:D,DG!$B$2,)</f>
        <v>0</v>
      </c>
      <c r="E747" s="1275" t="str">
        <f>VLOOKUP($B747,DG!A:D,DG!$C$2,)</f>
        <v>Boulon 16x150+ 2 long đền vuông D18-50x50x3/Zn</v>
      </c>
      <c r="F747" s="1274" t="str">
        <f>VLOOKUP($B747,DG!A:D,DG!$D$2,)</f>
        <v>bộ</v>
      </c>
      <c r="G747" s="1592">
        <f>4*G742</f>
        <v>0</v>
      </c>
      <c r="H747" s="1492">
        <f t="shared" si="31"/>
        <v>0</v>
      </c>
      <c r="I747" s="1310"/>
      <c r="J747" s="1310"/>
      <c r="K747" s="1278"/>
      <c r="L747" s="1125" t="s">
        <v>1294</v>
      </c>
    </row>
    <row r="748" spans="1:13" s="1279" customFormat="1" ht="20.100000000000001" customHeight="1">
      <c r="A748" s="1377">
        <f t="shared" si="30"/>
        <v>0</v>
      </c>
      <c r="B748" s="1586" t="s">
        <v>2333</v>
      </c>
      <c r="C748" s="1390"/>
      <c r="D748" s="1274">
        <f>VLOOKUP($B748,DG!A:D,DG!$B$2,)</f>
        <v>0</v>
      </c>
      <c r="E748" s="1275" t="str">
        <f>VLOOKUP($B748,DG!A:D,DG!$C$2,)</f>
        <v>Bass LL bắt FCO và LA</v>
      </c>
      <c r="F748" s="1274" t="str">
        <f>VLOOKUP($B748,DG!A:D,DG!$D$2,)</f>
        <v>bộ</v>
      </c>
      <c r="G748" s="1592">
        <f>2*G742</f>
        <v>0</v>
      </c>
      <c r="H748" s="1492">
        <f t="shared" si="31"/>
        <v>0</v>
      </c>
      <c r="I748" s="1310"/>
      <c r="J748" s="1310"/>
      <c r="K748" s="1278"/>
      <c r="L748" s="1125" t="s">
        <v>1294</v>
      </c>
    </row>
    <row r="749" spans="1:13" s="1279" customFormat="1" ht="20.100000000000001" customHeight="1">
      <c r="A749" s="1377">
        <f t="shared" si="30"/>
        <v>0</v>
      </c>
      <c r="B749" s="1582" t="s">
        <v>519</v>
      </c>
      <c r="C749" s="1394"/>
      <c r="D749" s="1295" t="str">
        <f>VLOOKUP($B749,DG!A:D,DG!$B$2,)</f>
        <v>05.6102</v>
      </c>
      <c r="E749" s="1386" t="str">
        <f>VLOOKUP($B749,DG!A:D,DG!$C$2,)</f>
        <v>Lắp xà đỡ ≤ 50kg</v>
      </c>
      <c r="F749" s="1295" t="str">
        <f>VLOOKUP($B749,DG!A:D,DG!$D$2,)</f>
        <v>bộ</v>
      </c>
      <c r="G749" s="1592">
        <f>G742</f>
        <v>0</v>
      </c>
      <c r="H749" s="1492">
        <f t="shared" si="31"/>
        <v>0</v>
      </c>
      <c r="I749" s="1395"/>
      <c r="J749" s="1395"/>
      <c r="K749" s="1298"/>
      <c r="L749" s="1125" t="s">
        <v>1294</v>
      </c>
    </row>
    <row r="750" spans="1:13" s="1279" customFormat="1" ht="20.100000000000001" customHeight="1">
      <c r="A750" s="1377">
        <f t="shared" si="30"/>
        <v>0</v>
      </c>
      <c r="B750" s="1582"/>
      <c r="C750" s="1387">
        <f>IF(G750&gt;0,C742+1,C742)</f>
        <v>0</v>
      </c>
      <c r="D750" s="1388"/>
      <c r="E750" s="1389" t="s">
        <v>4586</v>
      </c>
      <c r="F750" s="1268" t="s">
        <v>2449</v>
      </c>
      <c r="G750" s="1597"/>
      <c r="H750" s="1493">
        <f t="shared" si="31"/>
        <v>0</v>
      </c>
      <c r="I750" s="1268"/>
      <c r="J750" s="1268"/>
      <c r="K750" s="1268"/>
      <c r="L750" s="1125" t="s">
        <v>1294</v>
      </c>
    </row>
    <row r="751" spans="1:13" s="1279" customFormat="1" ht="20.100000000000001" customHeight="1">
      <c r="A751" s="1377">
        <f>IF(A750&gt;0,1,0)</f>
        <v>0</v>
      </c>
      <c r="B751" s="1582"/>
      <c r="C751" s="1457"/>
      <c r="D751" s="1464"/>
      <c r="E751" s="1636" t="s">
        <v>2342</v>
      </c>
      <c r="F751" s="1459"/>
      <c r="G751" s="1592"/>
      <c r="H751" s="1492">
        <f t="shared" si="31"/>
        <v>0</v>
      </c>
      <c r="I751" s="1460"/>
      <c r="J751" s="1460"/>
      <c r="K751" s="1424"/>
      <c r="L751" s="1125" t="s">
        <v>1294</v>
      </c>
    </row>
    <row r="752" spans="1:13" s="1279" customFormat="1" ht="20.100000000000001" customHeight="1">
      <c r="A752" s="1377">
        <f t="shared" si="30"/>
        <v>0</v>
      </c>
      <c r="B752" s="1582" t="s">
        <v>1063</v>
      </c>
      <c r="C752" s="1390"/>
      <c r="D752" s="1274"/>
      <c r="E752" s="1275" t="str">
        <f>VLOOKUP($B752,DG!A:D,DG!$C$2,)</f>
        <v>Cáp đồng trần M25mm2</v>
      </c>
      <c r="F752" s="1274" t="str">
        <f>VLOOKUP($B752,DG!A:D,DG!$D$2,)</f>
        <v>kg</v>
      </c>
      <c r="G752" s="1599">
        <f>G750*0.224*30</f>
        <v>0</v>
      </c>
      <c r="H752" s="1492">
        <f t="shared" si="31"/>
        <v>0</v>
      </c>
      <c r="I752" s="1310"/>
      <c r="J752" s="1310"/>
      <c r="K752" s="1278"/>
      <c r="L752" s="1125" t="s">
        <v>1294</v>
      </c>
    </row>
    <row r="753" spans="1:12" s="1279" customFormat="1" ht="20.100000000000001" customHeight="1">
      <c r="A753" s="1377">
        <f t="shared" si="30"/>
        <v>0</v>
      </c>
      <c r="B753" s="1378" t="s">
        <v>1560</v>
      </c>
      <c r="C753" s="1390"/>
      <c r="D753" s="1274">
        <f>VLOOKUP($B753,DG!A:D,DG!$B$2,)</f>
        <v>0</v>
      </c>
      <c r="E753" s="1275" t="str">
        <f>VLOOKUP($B753,DG!A:D,DG!$C$2,)</f>
        <v>Cọc tiếp đất Ø 16- 2,4m + kẹp cọc</v>
      </c>
      <c r="F753" s="1274" t="str">
        <f>VLOOKUP($B753,DG!A:D,DG!$D$2,)</f>
        <v>bộ</v>
      </c>
      <c r="G753" s="1575"/>
      <c r="H753" s="1492">
        <f t="shared" si="31"/>
        <v>0</v>
      </c>
      <c r="I753" s="1310"/>
      <c r="J753" s="1310"/>
      <c r="K753" s="1278"/>
      <c r="L753" s="1125" t="s">
        <v>1294</v>
      </c>
    </row>
    <row r="754" spans="1:12" s="1279" customFormat="1" ht="20.100000000000001" customHeight="1">
      <c r="A754" s="1377">
        <f t="shared" si="30"/>
        <v>0</v>
      </c>
      <c r="B754" s="1378" t="s">
        <v>1542</v>
      </c>
      <c r="C754" s="1312"/>
      <c r="D754" s="1274" t="str">
        <f>VLOOKUP($B754,DG!A:D,DG!$B$2,)</f>
        <v>07.2403</v>
      </c>
      <c r="E754" s="1275" t="str">
        <f>VLOOKUP($B754,DG!A:D,DG!$C$2,)</f>
        <v xml:space="preserve">Ống PVC D21x1,6mm </v>
      </c>
      <c r="F754" s="1274" t="str">
        <f>VLOOKUP($B754,DG!A:D,DG!$D$2,)</f>
        <v>m</v>
      </c>
      <c r="G754" s="1592">
        <f>6*G750</f>
        <v>0</v>
      </c>
      <c r="H754" s="1492">
        <f t="shared" si="31"/>
        <v>0</v>
      </c>
      <c r="I754" s="1310"/>
      <c r="J754" s="1310"/>
      <c r="K754" s="1278"/>
      <c r="L754" s="1125" t="s">
        <v>1294</v>
      </c>
    </row>
    <row r="755" spans="1:12" s="1279" customFormat="1" ht="20.100000000000001" customHeight="1">
      <c r="A755" s="1377">
        <f t="shared" si="30"/>
        <v>0</v>
      </c>
      <c r="B755" s="1587" t="s">
        <v>1631</v>
      </c>
      <c r="C755" s="1390"/>
      <c r="D755" s="1274">
        <f>VLOOKUP($B755,DG!A:D,DG!$B$2,)</f>
        <v>0</v>
      </c>
      <c r="E755" s="1275" t="str">
        <f>VLOOKUP($B755,DG!A:D,DG!$C$2,)</f>
        <v>Kẹp ép WR cỡ dây 50mm2</v>
      </c>
      <c r="F755" s="1274" t="str">
        <f>VLOOKUP($B755,DG!A:D,DG!$D$2,)</f>
        <v>cái</v>
      </c>
      <c r="G755" s="1592">
        <f>G750*2</f>
        <v>0</v>
      </c>
      <c r="H755" s="1492">
        <f t="shared" si="31"/>
        <v>0</v>
      </c>
      <c r="I755" s="1310"/>
      <c r="J755" s="1310"/>
      <c r="K755" s="1278"/>
      <c r="L755" s="1125" t="s">
        <v>1294</v>
      </c>
    </row>
    <row r="756" spans="1:12" s="1279" customFormat="1" ht="20.100000000000001" customHeight="1">
      <c r="A756" s="1377">
        <f t="shared" si="30"/>
        <v>0</v>
      </c>
      <c r="B756" s="1588" t="s">
        <v>1092</v>
      </c>
      <c r="C756" s="1390"/>
      <c r="D756" s="1274" t="str">
        <f>VLOOKUP($B756,DG!A:D,DG!$B$2,)</f>
        <v>04.3107</v>
      </c>
      <c r="E756" s="1275" t="str">
        <f>VLOOKUP($B756,DG!A:D,DG!$C$2,)</f>
        <v>Ốc xiết cáp cỡ 25mm2</v>
      </c>
      <c r="F756" s="1274" t="str">
        <f>VLOOKUP($B756,DG!A:D,DG!$D$2,)</f>
        <v>cái</v>
      </c>
      <c r="G756" s="1592">
        <f>2*G750</f>
        <v>0</v>
      </c>
      <c r="H756" s="1492">
        <f t="shared" si="31"/>
        <v>0</v>
      </c>
      <c r="I756" s="1310"/>
      <c r="J756" s="1310"/>
      <c r="K756" s="1278"/>
      <c r="L756" s="1125" t="s">
        <v>1294</v>
      </c>
    </row>
    <row r="757" spans="1:12" s="1279" customFormat="1" ht="20.100000000000001" customHeight="1">
      <c r="A757" s="1377">
        <f t="shared" si="30"/>
        <v>0</v>
      </c>
      <c r="B757" s="1378" t="s">
        <v>528</v>
      </c>
      <c r="C757" s="1390"/>
      <c r="D757" s="1274" t="str">
        <f>VLOOKUP($B757,DG!A:D,DG!$B$2,)</f>
        <v>06.3231</v>
      </c>
      <c r="E757" s="1275" t="str">
        <f>VLOOKUP($B757,DG!A:D,DG!$C$2,)</f>
        <v>Cổ dê kẹp ống PVC  21</v>
      </c>
      <c r="F757" s="1274" t="str">
        <f>VLOOKUP($B757,DG!A:D,DG!$D$2,)</f>
        <v>bộ</v>
      </c>
      <c r="G757" s="1592">
        <f>3*G750*0</f>
        <v>0</v>
      </c>
      <c r="H757" s="1492">
        <f t="shared" si="31"/>
        <v>0</v>
      </c>
      <c r="I757" s="1310"/>
      <c r="J757" s="1310"/>
      <c r="K757" s="1278"/>
      <c r="L757" s="1125" t="s">
        <v>1294</v>
      </c>
    </row>
    <row r="758" spans="1:12" s="1279" customFormat="1" ht="20.100000000000001" customHeight="1">
      <c r="A758" s="1377">
        <f t="shared" si="30"/>
        <v>0</v>
      </c>
      <c r="B758" s="1587" t="s">
        <v>2245</v>
      </c>
      <c r="C758" s="1312"/>
      <c r="D758" s="1274" t="str">
        <f>VLOOKUP($B758,DG!A:D,DG!$B$2,)</f>
        <v>04.7002</v>
      </c>
      <c r="E758" s="1386" t="str">
        <f>VLOOKUP($B758,DG!A:D,DG!$C$2,)</f>
        <v>Kéo dây tiếp địa trong TBA</v>
      </c>
      <c r="F758" s="1274" t="str">
        <f>VLOOKUP($B758,DG!A:D,DG!$D$2,)</f>
        <v>mét</v>
      </c>
      <c r="G758" s="1575">
        <f>G750*$H$3</f>
        <v>0</v>
      </c>
      <c r="H758" s="1492">
        <f t="shared" si="31"/>
        <v>0</v>
      </c>
      <c r="I758" s="1310"/>
      <c r="J758" s="1310"/>
      <c r="K758" s="1278"/>
      <c r="L758" s="1125" t="s">
        <v>1294</v>
      </c>
    </row>
    <row r="759" spans="1:12" s="1279" customFormat="1" ht="20.100000000000001" customHeight="1">
      <c r="A759" s="1377">
        <f t="shared" si="30"/>
        <v>0</v>
      </c>
      <c r="B759" s="1378" t="s">
        <v>919</v>
      </c>
      <c r="C759" s="1312"/>
      <c r="D759" s="1274" t="str">
        <f>VLOOKUP($B759,DG!A:D,DG!$B$2,)</f>
        <v>04.7001</v>
      </c>
      <c r="E759" s="1386" t="str">
        <f>VLOOKUP($B759,DG!A:D,DG!$C$2,)</f>
        <v>Đóng cọc tiếp địa trong TBA</v>
      </c>
      <c r="F759" s="1274" t="str">
        <f>VLOOKUP($B759,DG!A:D,DG!$D$2,)</f>
        <v>cọc</v>
      </c>
      <c r="G759" s="1575"/>
      <c r="H759" s="1492">
        <f t="shared" si="31"/>
        <v>0</v>
      </c>
      <c r="I759" s="1310"/>
      <c r="J759" s="1310"/>
      <c r="K759" s="1278"/>
      <c r="L759" s="1125" t="s">
        <v>1294</v>
      </c>
    </row>
    <row r="760" spans="1:12" s="1279" customFormat="1" ht="20.100000000000001" customHeight="1">
      <c r="A760" s="1377">
        <f t="shared" si="30"/>
        <v>0</v>
      </c>
      <c r="B760" s="1378" t="s">
        <v>1637</v>
      </c>
      <c r="C760" s="1312"/>
      <c r="D760" s="1274">
        <f>VLOOKUP($B760,DG!A:D,DG!$B$2,)</f>
        <v>0</v>
      </c>
      <c r="E760" s="1275" t="str">
        <f>VLOOKUP($B760,DG!A:D,DG!$C$2,)</f>
        <v>Giếng tiếp địa khoan đất</v>
      </c>
      <c r="F760" s="1274" t="str">
        <f>VLOOKUP($B760,DG!A:D,DG!$D$2,)</f>
        <v>Cái</v>
      </c>
      <c r="G760" s="1575"/>
      <c r="H760" s="1492">
        <f t="shared" si="31"/>
        <v>0</v>
      </c>
      <c r="I760" s="1310"/>
      <c r="J760" s="1310"/>
      <c r="K760" s="1278"/>
      <c r="L760" s="1125" t="s">
        <v>1294</v>
      </c>
    </row>
    <row r="761" spans="1:12" s="1279" customFormat="1" ht="20.100000000000001" customHeight="1">
      <c r="A761" s="1377">
        <f t="shared" si="30"/>
        <v>0</v>
      </c>
      <c r="B761" s="1587" t="s">
        <v>1085</v>
      </c>
      <c r="C761" s="1312"/>
      <c r="D761" s="1274" t="str">
        <f>VLOOKUP($B761,DG!A:D,DG!$B$2,)</f>
        <v>03.3123</v>
      </c>
      <c r="E761" s="1386" t="str">
        <f>VLOOKUP($B761,DG!A:D,DG!$C$2,)</f>
        <v>Đào rãnh tiếp địa đất cấp 3</v>
      </c>
      <c r="F761" s="1274" t="str">
        <f>VLOOKUP($B761,DG!A:D,DG!$D$2,)</f>
        <v>m3</v>
      </c>
      <c r="G761" s="1312"/>
      <c r="H761" s="1492">
        <f t="shared" si="31"/>
        <v>0</v>
      </c>
      <c r="I761" s="1310"/>
      <c r="J761" s="1310"/>
      <c r="K761" s="1278"/>
      <c r="L761" s="1125" t="s">
        <v>1294</v>
      </c>
    </row>
    <row r="762" spans="1:12" s="1279" customFormat="1" ht="20.100000000000001" customHeight="1">
      <c r="A762" s="1377">
        <f t="shared" si="30"/>
        <v>0</v>
      </c>
      <c r="B762" s="1378" t="s">
        <v>1086</v>
      </c>
      <c r="C762" s="1397"/>
      <c r="D762" s="1295" t="str">
        <f>VLOOKUP($B762,DG!A:D,DG!$B$2,)</f>
        <v>03.4123</v>
      </c>
      <c r="E762" s="1386" t="str">
        <f>VLOOKUP($B762,DG!A:D,DG!$C$2,)</f>
        <v>Đắp đất rãnh tiếp độ chặt k=0,95</v>
      </c>
      <c r="F762" s="1295" t="str">
        <f>VLOOKUP($B762,DG!A:D,DG!$D$2,)</f>
        <v>m3</v>
      </c>
      <c r="G762" s="1397"/>
      <c r="H762" s="1492">
        <f t="shared" si="31"/>
        <v>0</v>
      </c>
      <c r="I762" s="1395"/>
      <c r="J762" s="1395"/>
      <c r="K762" s="1298"/>
      <c r="L762" s="1125" t="s">
        <v>1294</v>
      </c>
    </row>
    <row r="763" spans="1:12" s="1279" customFormat="1" ht="20.100000000000001" customHeight="1">
      <c r="A763" s="1377">
        <f t="shared" si="30"/>
        <v>0</v>
      </c>
      <c r="B763" s="1582"/>
      <c r="C763" s="1265">
        <f>IF(G763&gt;0,C750+1,C750)</f>
        <v>0</v>
      </c>
      <c r="D763" s="1266"/>
      <c r="E763" s="1267" t="s">
        <v>3799</v>
      </c>
      <c r="F763" s="1265" t="s">
        <v>2449</v>
      </c>
      <c r="G763" s="1268"/>
      <c r="H763" s="1493">
        <f t="shared" si="31"/>
        <v>0</v>
      </c>
      <c r="I763" s="1268"/>
      <c r="J763" s="1268"/>
      <c r="K763" s="1268"/>
      <c r="L763" s="1125" t="s">
        <v>1294</v>
      </c>
    </row>
    <row r="764" spans="1:12" s="1279" customFormat="1" ht="20.100000000000001" customHeight="1">
      <c r="A764" s="1377">
        <f>IF(A763&gt;0,1,0)</f>
        <v>0</v>
      </c>
      <c r="B764" s="1582"/>
      <c r="C764" s="1457"/>
      <c r="D764" s="1464"/>
      <c r="E764" s="1636" t="s">
        <v>2342</v>
      </c>
      <c r="F764" s="1459"/>
      <c r="G764" s="1592"/>
      <c r="H764" s="1492">
        <f t="shared" si="31"/>
        <v>0</v>
      </c>
      <c r="I764" s="1460"/>
      <c r="J764" s="1460"/>
      <c r="K764" s="1424"/>
      <c r="L764" s="1125" t="s">
        <v>1294</v>
      </c>
    </row>
    <row r="765" spans="1:12" s="1279" customFormat="1" ht="20.100000000000001" customHeight="1">
      <c r="A765" s="1377">
        <f t="shared" si="30"/>
        <v>0</v>
      </c>
      <c r="B765" s="1589" t="s">
        <v>622</v>
      </c>
      <c r="C765" s="1390"/>
      <c r="D765" s="1274" t="str">
        <f>VLOOKUP($B765,DG!A:D,DG!$B$2,)</f>
        <v>05.1102</v>
      </c>
      <c r="E765" s="1275" t="str">
        <f>VLOOKUP($B765,DG!A:D,DG!$C$2,)</f>
        <v>Vỏ tủ + khóa tủ</v>
      </c>
      <c r="F765" s="1274" t="str">
        <f>VLOOKUP($B765,DG!A:D,DG!$D$2,)</f>
        <v>cái</v>
      </c>
      <c r="G765" s="1592">
        <f>G763*0</f>
        <v>0</v>
      </c>
      <c r="H765" s="1492">
        <f t="shared" si="31"/>
        <v>0</v>
      </c>
      <c r="I765" s="1310"/>
      <c r="J765" s="1310"/>
      <c r="K765" s="1278"/>
      <c r="L765" s="1125" t="s">
        <v>1294</v>
      </c>
    </row>
    <row r="766" spans="1:12" s="1279" customFormat="1" ht="20.100000000000001" customHeight="1">
      <c r="A766" s="1377">
        <f t="shared" si="30"/>
        <v>0</v>
      </c>
      <c r="B766" s="1582" t="s">
        <v>593</v>
      </c>
      <c r="C766" s="1390"/>
      <c r="D766" s="1391"/>
      <c r="E766" s="1275" t="str">
        <f>VLOOKUP($B766,DG!A:D,DG!$C$2,)</f>
        <v>Cổ dê bắt tủ</v>
      </c>
      <c r="F766" s="1274" t="str">
        <f>VLOOKUP($B766,DG!A:D,DG!$D$2,)</f>
        <v>bộ</v>
      </c>
      <c r="G766" s="1592">
        <f>2*G763*0</f>
        <v>0</v>
      </c>
      <c r="H766" s="1492">
        <f t="shared" si="31"/>
        <v>0</v>
      </c>
      <c r="I766" s="1310"/>
      <c r="J766" s="1310"/>
      <c r="K766" s="1278"/>
      <c r="L766" s="1125" t="s">
        <v>1294</v>
      </c>
    </row>
    <row r="767" spans="1:12" s="1279" customFormat="1" ht="20.100000000000001" customHeight="1">
      <c r="A767" s="1377">
        <f t="shared" si="30"/>
        <v>0</v>
      </c>
      <c r="B767" s="1582" t="s">
        <v>2072</v>
      </c>
      <c r="C767" s="1390"/>
      <c r="D767" s="1391"/>
      <c r="E767" s="1275" t="str">
        <f>VLOOKUP($B767,DG!A:D,DG!$C$2,)</f>
        <v>Boulon 12x40+ 2 long đền vuông D14-50x50x3/Zn</v>
      </c>
      <c r="F767" s="1274" t="str">
        <f>VLOOKUP($B767,DG!A:D,DG!$D$2,)</f>
        <v>bộ</v>
      </c>
      <c r="G767" s="1592">
        <f>G763*4</f>
        <v>0</v>
      </c>
      <c r="H767" s="1492">
        <f t="shared" si="31"/>
        <v>0</v>
      </c>
      <c r="I767" s="1310"/>
      <c r="J767" s="1310"/>
      <c r="K767" s="1278"/>
      <c r="L767" s="1125" t="s">
        <v>1294</v>
      </c>
    </row>
    <row r="768" spans="1:12" s="1279" customFormat="1" ht="20.100000000000001" customHeight="1">
      <c r="A768" s="1377">
        <f t="shared" si="30"/>
        <v>0</v>
      </c>
      <c r="B768" s="1582" t="s">
        <v>897</v>
      </c>
      <c r="C768" s="1390"/>
      <c r="D768" s="1391"/>
      <c r="E768" s="1275" t="str">
        <f>VLOOKUP($B768,DG!A:D,DG!$C$2,)</f>
        <v xml:space="preserve">Bakelit 550x450 dầy 10mm </v>
      </c>
      <c r="F768" s="1274" t="str">
        <f>VLOOKUP($B768,DG!A:D,DG!$D$2,)</f>
        <v>cái</v>
      </c>
      <c r="G768" s="1287"/>
      <c r="H768" s="1492">
        <f t="shared" si="31"/>
        <v>0</v>
      </c>
      <c r="I768" s="1310"/>
      <c r="J768" s="1310"/>
      <c r="K768" s="1278"/>
      <c r="L768" s="1125" t="s">
        <v>1294</v>
      </c>
    </row>
    <row r="769" spans="1:15" s="1279" customFormat="1" ht="20.100000000000001" customHeight="1">
      <c r="A769" s="1377">
        <f t="shared" si="30"/>
        <v>0</v>
      </c>
      <c r="B769" s="1582"/>
      <c r="C769" s="1280">
        <f>IF(G769&gt;0,C763+1,C763)</f>
        <v>0</v>
      </c>
      <c r="D769" s="1281"/>
      <c r="E769" s="1282" t="s">
        <v>3806</v>
      </c>
      <c r="F769" s="1280" t="s">
        <v>2449</v>
      </c>
      <c r="G769" s="1283"/>
      <c r="H769" s="1493">
        <f t="shared" si="31"/>
        <v>0</v>
      </c>
      <c r="I769" s="1465"/>
      <c r="J769" s="1465"/>
      <c r="K769" s="1465"/>
      <c r="L769" s="1125" t="s">
        <v>1294</v>
      </c>
    </row>
    <row r="770" spans="1:15" s="1279" customFormat="1" ht="20.100000000000001" customHeight="1">
      <c r="A770" s="1377">
        <f>IF(A769&gt;0,1,0)</f>
        <v>0</v>
      </c>
      <c r="B770" s="1582"/>
      <c r="C770" s="1273"/>
      <c r="D770" s="1284"/>
      <c r="E770" s="1637" t="s">
        <v>2342</v>
      </c>
      <c r="F770" s="1286"/>
      <c r="G770" s="1287"/>
      <c r="H770" s="1492">
        <f t="shared" si="31"/>
        <v>0</v>
      </c>
      <c r="I770" s="1310"/>
      <c r="J770" s="1310"/>
      <c r="K770" s="1278"/>
      <c r="L770" s="1125" t="s">
        <v>1294</v>
      </c>
    </row>
    <row r="771" spans="1:15" s="1279" customFormat="1" ht="20.100000000000001" customHeight="1">
      <c r="A771" s="1377">
        <f t="shared" si="30"/>
        <v>0</v>
      </c>
      <c r="B771" s="1582" t="s">
        <v>658</v>
      </c>
      <c r="C771" s="1286"/>
      <c r="D771" s="1288">
        <f>VLOOKUP($B771,DG!A:D,DG!$B$2,)</f>
        <v>0</v>
      </c>
      <c r="E771" s="1289" t="str">
        <f>VLOOKUP($B771,DG!A:D,DG!$C$2,)</f>
        <v xml:space="preserve">Ximăng </v>
      </c>
      <c r="F771" s="1288" t="str">
        <f>VLOOKUP($B771,DG!A:D,DG!$D$2,)</f>
        <v>kg</v>
      </c>
      <c r="G771" s="1276"/>
      <c r="H771" s="1492">
        <f t="shared" si="31"/>
        <v>0</v>
      </c>
      <c r="I771" s="1310"/>
      <c r="J771" s="1310"/>
      <c r="K771" s="1278"/>
      <c r="L771" s="1125" t="s">
        <v>1294</v>
      </c>
    </row>
    <row r="772" spans="1:15" s="1279" customFormat="1" ht="20.100000000000001" customHeight="1">
      <c r="A772" s="1377">
        <f t="shared" si="30"/>
        <v>0</v>
      </c>
      <c r="B772" s="1582" t="s">
        <v>760</v>
      </c>
      <c r="C772" s="1273"/>
      <c r="D772" s="1288" t="e">
        <f>VLOOKUP($B772,DG!A:D,DG!$B$2,)</f>
        <v>#N/A</v>
      </c>
      <c r="E772" s="1289" t="e">
        <f>VLOOKUP($B772,DG!A:D,DG!$C$2,)</f>
        <v>#N/A</v>
      </c>
      <c r="F772" s="1288" t="e">
        <f>VLOOKUP($B772,DG!A:D,DG!$D$2,)</f>
        <v>#N/A</v>
      </c>
      <c r="G772" s="1290"/>
      <c r="H772" s="1492">
        <f t="shared" si="31"/>
        <v>0</v>
      </c>
      <c r="I772" s="1310"/>
      <c r="J772" s="1310"/>
      <c r="K772" s="1278"/>
      <c r="L772" s="1125" t="s">
        <v>1294</v>
      </c>
    </row>
    <row r="773" spans="1:15" s="1279" customFormat="1" ht="20.100000000000001" customHeight="1">
      <c r="A773" s="1377">
        <f t="shared" si="30"/>
        <v>0</v>
      </c>
      <c r="B773" s="1582" t="s">
        <v>217</v>
      </c>
      <c r="C773" s="1273"/>
      <c r="D773" s="1288">
        <f>VLOOKUP($B773,DG!A:D,DG!$B$2,)</f>
        <v>0</v>
      </c>
      <c r="E773" s="1289" t="str">
        <f>VLOOKUP($B773,DG!A:D,DG!$C$2,)</f>
        <v>Đá 1x2</v>
      </c>
      <c r="F773" s="1288" t="str">
        <f>VLOOKUP($B773,DG!A:D,DG!$D$2,)</f>
        <v>m3</v>
      </c>
      <c r="G773" s="1290"/>
      <c r="H773" s="1492">
        <f t="shared" si="31"/>
        <v>0</v>
      </c>
      <c r="I773" s="1310"/>
      <c r="J773" s="1310"/>
      <c r="K773" s="1278"/>
      <c r="L773" s="1125" t="s">
        <v>1294</v>
      </c>
    </row>
    <row r="774" spans="1:15" s="1279" customFormat="1" ht="20.100000000000001" customHeight="1">
      <c r="A774" s="1377">
        <f t="shared" si="30"/>
        <v>0</v>
      </c>
      <c r="B774" s="1582" t="s">
        <v>659</v>
      </c>
      <c r="C774" s="1286"/>
      <c r="D774" s="1288" t="str">
        <f>VLOOKUP($B774,DG!A:D,DG!$B$2,)</f>
        <v>04.1203c</v>
      </c>
      <c r="E774" s="1289" t="str">
        <f>VLOOKUP($B774,DG!A:D,DG!$C$2,)</f>
        <v>Đổ bê tông móng trụ &lt;=250cm-M200 đá 1x2</v>
      </c>
      <c r="F774" s="1288" t="str">
        <f>VLOOKUP($B774,DG!A:D,DG!$D$2,)</f>
        <v>m3</v>
      </c>
      <c r="G774" s="1276"/>
      <c r="H774" s="1492">
        <f t="shared" si="31"/>
        <v>0</v>
      </c>
      <c r="I774" s="1310"/>
      <c r="J774" s="1310"/>
      <c r="K774" s="1278"/>
      <c r="L774" s="1125" t="s">
        <v>1294</v>
      </c>
      <c r="M774" s="1291">
        <f>1.025*0.45</f>
        <v>0.46124999999999999</v>
      </c>
      <c r="N774" s="1291">
        <f>1.025*0.866</f>
        <v>0.88764999999999994</v>
      </c>
      <c r="O774" s="1466"/>
    </row>
    <row r="775" spans="1:15" s="1279" customFormat="1" ht="20.100000000000001" customHeight="1">
      <c r="A775" s="1377">
        <f t="shared" si="30"/>
        <v>0</v>
      </c>
      <c r="B775" s="1582"/>
      <c r="C775" s="1280">
        <f>IF(G775&gt;0,C769+1,C769)</f>
        <v>0</v>
      </c>
      <c r="D775" s="1281"/>
      <c r="E775" s="1292" t="s">
        <v>3807</v>
      </c>
      <c r="F775" s="1280" t="s">
        <v>2449</v>
      </c>
      <c r="G775" s="1283"/>
      <c r="H775" s="1493">
        <f t="shared" si="31"/>
        <v>0</v>
      </c>
      <c r="I775" s="1465"/>
      <c r="J775" s="1465"/>
      <c r="K775" s="1465"/>
      <c r="L775" s="1125" t="s">
        <v>1294</v>
      </c>
    </row>
    <row r="776" spans="1:15" s="1279" customFormat="1" ht="20.100000000000001" customHeight="1">
      <c r="A776" s="1377">
        <f>IF(A775&gt;0,1,0)</f>
        <v>0</v>
      </c>
      <c r="B776" s="1582"/>
      <c r="C776" s="1273"/>
      <c r="D776" s="1284"/>
      <c r="E776" s="1638" t="s">
        <v>2342</v>
      </c>
      <c r="F776" s="1273"/>
      <c r="G776" s="1293"/>
      <c r="H776" s="1492">
        <f t="shared" si="31"/>
        <v>0</v>
      </c>
      <c r="I776" s="1310"/>
      <c r="J776" s="1310"/>
      <c r="K776" s="1278"/>
      <c r="L776" s="1125" t="s">
        <v>1294</v>
      </c>
    </row>
    <row r="777" spans="1:15" s="1279" customFormat="1" ht="20.100000000000001" customHeight="1">
      <c r="A777" s="1377">
        <f t="shared" si="30"/>
        <v>0</v>
      </c>
      <c r="B777" s="1582" t="s">
        <v>1541</v>
      </c>
      <c r="C777" s="1286"/>
      <c r="D777" s="1274" t="str">
        <f>VLOOKUP($B777,DG!A:D,DG!$B$2,)</f>
        <v>04.8003</v>
      </c>
      <c r="E777" s="1275" t="str">
        <f>VLOOKUP($B777,DG!A:D,DG!$C$2,)</f>
        <v xml:space="preserve">Ống PVC D90x3,8mm </v>
      </c>
      <c r="F777" s="1274" t="str">
        <f>VLOOKUP($B777,DG!A:D,DG!$D$2,)</f>
        <v>m</v>
      </c>
      <c r="G777" s="1287"/>
      <c r="H777" s="1492">
        <f t="shared" si="31"/>
        <v>0</v>
      </c>
      <c r="I777" s="1310"/>
      <c r="J777" s="1310"/>
      <c r="K777" s="1278"/>
      <c r="L777" s="1125" t="s">
        <v>1294</v>
      </c>
    </row>
    <row r="778" spans="1:15" s="1279" customFormat="1" ht="20.100000000000001" customHeight="1">
      <c r="A778" s="1377">
        <f t="shared" si="30"/>
        <v>0</v>
      </c>
      <c r="B778" s="1582" t="s">
        <v>86</v>
      </c>
      <c r="C778" s="1294"/>
      <c r="D778" s="1295">
        <f>VLOOKUP($B778,DG!A:D,DG!$B$2,)</f>
        <v>0</v>
      </c>
      <c r="E778" s="1296" t="str">
        <f>VLOOKUP($B778,DG!A:D,DG!$C$2,)</f>
        <v>Co  90 độ PVC 90</v>
      </c>
      <c r="F778" s="1295" t="str">
        <f>VLOOKUP($B778,DG!A:D,DG!$D$2,)</f>
        <v>cái</v>
      </c>
      <c r="G778" s="1297"/>
      <c r="H778" s="1492">
        <f t="shared" si="31"/>
        <v>0</v>
      </c>
      <c r="I778" s="1395"/>
      <c r="J778" s="1395"/>
      <c r="K778" s="1298"/>
      <c r="L778" s="1125" t="s">
        <v>1294</v>
      </c>
    </row>
    <row r="779" spans="1:15" s="1279" customFormat="1" ht="20.100000000000001" customHeight="1">
      <c r="A779" s="1377">
        <f t="shared" si="30"/>
        <v>0</v>
      </c>
      <c r="B779" s="1582"/>
      <c r="C779" s="1387">
        <f>IF(G779&gt;0,C775+1,C775)</f>
        <v>0</v>
      </c>
      <c r="D779" s="1388"/>
      <c r="E779" s="1389" t="s">
        <v>3800</v>
      </c>
      <c r="F779" s="1268" t="s">
        <v>2449</v>
      </c>
      <c r="G779" s="1268"/>
      <c r="H779" s="1493">
        <f t="shared" si="31"/>
        <v>0</v>
      </c>
      <c r="I779" s="1268"/>
      <c r="J779" s="1268"/>
      <c r="K779" s="1268"/>
      <c r="L779" s="1125" t="s">
        <v>1294</v>
      </c>
    </row>
    <row r="780" spans="1:15" s="1279" customFormat="1" ht="20.100000000000001" customHeight="1">
      <c r="A780" s="1377">
        <f>IF(A779&gt;0,1,0)</f>
        <v>0</v>
      </c>
      <c r="B780" s="1582"/>
      <c r="C780" s="1457"/>
      <c r="D780" s="1464"/>
      <c r="E780" s="1636" t="s">
        <v>2342</v>
      </c>
      <c r="F780" s="1459"/>
      <c r="G780" s="1459"/>
      <c r="H780" s="1492">
        <f t="shared" si="31"/>
        <v>0</v>
      </c>
      <c r="I780" s="1460"/>
      <c r="J780" s="1460"/>
      <c r="K780" s="1424"/>
      <c r="L780" s="1125" t="s">
        <v>1294</v>
      </c>
    </row>
    <row r="781" spans="1:15" s="1279" customFormat="1" ht="20.100000000000001" customHeight="1">
      <c r="A781" s="1377">
        <f t="shared" si="30"/>
        <v>0</v>
      </c>
      <c r="B781" s="1585" t="s">
        <v>704</v>
      </c>
      <c r="C781" s="1390"/>
      <c r="D781" s="1274">
        <f>VLOOKUP($B781,DG!A:D,DG!$B$2,)</f>
        <v>0</v>
      </c>
      <c r="E781" s="1275" t="str">
        <f>VLOOKUP($B781,DG!A:D,DG!$C$2,)</f>
        <v>Cáp 24KV C/XLPE/PVC 25mm2</v>
      </c>
      <c r="F781" s="1274" t="str">
        <f>VLOOKUP($B781,DG!A:D,DG!$D$2,)</f>
        <v>mét</v>
      </c>
      <c r="G781" s="1592">
        <f>9*G779</f>
        <v>0</v>
      </c>
      <c r="H781" s="1492">
        <f t="shared" si="31"/>
        <v>0</v>
      </c>
      <c r="I781" s="1310"/>
      <c r="J781" s="1310"/>
      <c r="K781" s="1278"/>
      <c r="L781" s="1125" t="s">
        <v>1294</v>
      </c>
    </row>
    <row r="782" spans="1:15" s="1279" customFormat="1" ht="20.100000000000001" customHeight="1">
      <c r="A782" s="1377">
        <f t="shared" si="30"/>
        <v>0</v>
      </c>
      <c r="B782" s="1378" t="s">
        <v>1531</v>
      </c>
      <c r="C782" s="1390"/>
      <c r="D782" s="1274" t="str">
        <f>VLOOKUP($B782,DG!A:D,DG!$B$2,)</f>
        <v>04.3007</v>
      </c>
      <c r="E782" s="1275" t="str">
        <f>VLOOKUP($B782,DG!A:D,DG!$C$2,)</f>
        <v>Kẹp quai 2/0</v>
      </c>
      <c r="F782" s="1274" t="str">
        <f>VLOOKUP($B782,DG!A:D,DG!$D$2,)</f>
        <v>cái</v>
      </c>
      <c r="G782" s="1592">
        <f>G779*2</f>
        <v>0</v>
      </c>
      <c r="H782" s="1492">
        <f t="shared" si="31"/>
        <v>0</v>
      </c>
      <c r="I782" s="1310"/>
      <c r="J782" s="1310"/>
      <c r="K782" s="1278"/>
      <c r="L782" s="1125" t="s">
        <v>1294</v>
      </c>
    </row>
    <row r="783" spans="1:15" s="1279" customFormat="1" ht="20.100000000000001" customHeight="1">
      <c r="A783" s="1377">
        <f t="shared" si="30"/>
        <v>0</v>
      </c>
      <c r="B783" s="1378" t="s">
        <v>1529</v>
      </c>
      <c r="C783" s="1390"/>
      <c r="D783" s="1274" t="str">
        <f>VLOOKUP($B783,DG!A:D,DG!$B$2,)</f>
        <v>04.3007</v>
      </c>
      <c r="E783" s="1275" t="str">
        <f>VLOOKUP($B783,DG!A:D,DG!$C$2,)</f>
        <v>Kẹp hotline 2/0</v>
      </c>
      <c r="F783" s="1274" t="str">
        <f>VLOOKUP($B783,DG!A:D,DG!$D$2,)</f>
        <v>cái</v>
      </c>
      <c r="G783" s="1592">
        <f>G782</f>
        <v>0</v>
      </c>
      <c r="H783" s="1492">
        <f t="shared" si="31"/>
        <v>0</v>
      </c>
      <c r="I783" s="1310"/>
      <c r="J783" s="1310"/>
      <c r="K783" s="1278"/>
      <c r="L783" s="1125" t="s">
        <v>1294</v>
      </c>
    </row>
    <row r="784" spans="1:15" s="1279" customFormat="1" ht="20.100000000000001" customHeight="1">
      <c r="A784" s="1377">
        <f t="shared" si="30"/>
        <v>0</v>
      </c>
      <c r="B784" s="1378" t="s">
        <v>1577</v>
      </c>
      <c r="C784" s="1394"/>
      <c r="D784" s="1295" t="str">
        <f>VLOOKUP($B784,DG!A:D,DG!$B$2,)</f>
        <v>04.4201</v>
      </c>
      <c r="E784" s="1386" t="str">
        <f>VLOOKUP($B784,DG!A:D,DG!$C$2,)</f>
        <v>Lắp cáp đồng xuống thiết bị D ≤ 95mm2</v>
      </c>
      <c r="F784" s="1295" t="str">
        <f>VLOOKUP($B784,DG!A:D,DG!$D$2,)</f>
        <v>m</v>
      </c>
      <c r="G784" s="1592">
        <f>G781</f>
        <v>0</v>
      </c>
      <c r="H784" s="1492">
        <f t="shared" si="31"/>
        <v>0</v>
      </c>
      <c r="I784" s="1395"/>
      <c r="J784" s="1395"/>
      <c r="K784" s="1298"/>
      <c r="L784" s="1125" t="s">
        <v>1294</v>
      </c>
    </row>
    <row r="785" spans="1:12" s="1279" customFormat="1" ht="20.100000000000001" customHeight="1">
      <c r="A785" s="1377">
        <f t="shared" si="30"/>
        <v>0</v>
      </c>
      <c r="B785" s="1582"/>
      <c r="C785" s="1387">
        <f>IF(G785&gt;0,C779+1,C779)</f>
        <v>0</v>
      </c>
      <c r="D785" s="1388"/>
      <c r="E785" s="1398" t="s">
        <v>3808</v>
      </c>
      <c r="F785" s="1268" t="s">
        <v>2449</v>
      </c>
      <c r="G785" s="1268">
        <f>G725</f>
        <v>0</v>
      </c>
      <c r="H785" s="1493">
        <f t="shared" si="31"/>
        <v>0</v>
      </c>
      <c r="I785" s="1268"/>
      <c r="J785" s="1268"/>
      <c r="K785" s="1268"/>
      <c r="L785" s="1125" t="s">
        <v>1294</v>
      </c>
    </row>
    <row r="786" spans="1:12" s="1279" customFormat="1" ht="20.100000000000001" customHeight="1">
      <c r="A786" s="1377">
        <f>IF(A785&gt;0,1,0)</f>
        <v>0</v>
      </c>
      <c r="B786" s="1582"/>
      <c r="C786" s="1457"/>
      <c r="D786" s="1464"/>
      <c r="E786" s="1639" t="s">
        <v>2342</v>
      </c>
      <c r="F786" s="1467"/>
      <c r="G786" s="1467"/>
      <c r="H786" s="1492">
        <f t="shared" si="31"/>
        <v>0</v>
      </c>
      <c r="I786" s="1460"/>
      <c r="J786" s="1460"/>
      <c r="K786" s="1424"/>
      <c r="L786" s="1125" t="s">
        <v>1294</v>
      </c>
    </row>
    <row r="787" spans="1:12" s="1279" customFormat="1" ht="20.100000000000001" customHeight="1">
      <c r="A787" s="1377">
        <f t="shared" si="30"/>
        <v>0</v>
      </c>
      <c r="B787" s="1582" t="s">
        <v>83</v>
      </c>
      <c r="C787" s="1312"/>
      <c r="D787" s="1274">
        <f>VLOOKUP($B787,DG!A:D,DG!$B$2,)</f>
        <v>0</v>
      </c>
      <c r="E787" s="1275" t="str">
        <f>VLOOKUP($B787,DG!A:D,DG!$C$2,)&amp;" 9m/pha"</f>
        <v>Cáp đồng bọc CV95 9m/pha</v>
      </c>
      <c r="F787" s="1274" t="str">
        <f>VLOOKUP($B787,DG!A:D,DG!$D$2,)</f>
        <v>mét</v>
      </c>
      <c r="G787" s="1592">
        <v>0</v>
      </c>
      <c r="H787" s="1492">
        <f t="shared" si="31"/>
        <v>0</v>
      </c>
      <c r="I787" s="1310"/>
      <c r="J787" s="1310"/>
      <c r="K787" s="1278"/>
      <c r="L787" s="1125" t="s">
        <v>1294</v>
      </c>
    </row>
    <row r="788" spans="1:12" s="1279" customFormat="1" ht="20.100000000000001" customHeight="1">
      <c r="A788" s="1377">
        <f t="shared" ref="A788:A849" si="32">IF(H788&gt;0,1,0)</f>
        <v>0</v>
      </c>
      <c r="B788" s="1582" t="s">
        <v>238</v>
      </c>
      <c r="C788" s="1312"/>
      <c r="D788" s="1274">
        <f>VLOOKUP($B788,DG!A:D,DG!$B$2,)</f>
        <v>0</v>
      </c>
      <c r="E788" s="1275" t="str">
        <f>VLOOKUP($B788,DG!A:D,DG!$C$2,)&amp;" 11m/trung hòa"</f>
        <v>Cáp đồng bọc CV70 11m/trung hòa</v>
      </c>
      <c r="F788" s="1274" t="str">
        <f>VLOOKUP($B788,DG!A:D,DG!$D$2,)</f>
        <v>mét</v>
      </c>
      <c r="G788" s="1592">
        <v>0</v>
      </c>
      <c r="H788" s="1492">
        <f t="shared" si="31"/>
        <v>0</v>
      </c>
      <c r="I788" s="1310"/>
      <c r="J788" s="1310"/>
      <c r="K788" s="1278"/>
      <c r="L788" s="1125" t="s">
        <v>1294</v>
      </c>
    </row>
    <row r="789" spans="1:12" s="1279" customFormat="1" ht="20.100000000000001" customHeight="1">
      <c r="A789" s="1377">
        <f t="shared" si="32"/>
        <v>0</v>
      </c>
      <c r="B789" s="1582" t="s">
        <v>2338</v>
      </c>
      <c r="C789" s="1312"/>
      <c r="D789" s="1274" t="str">
        <f>VLOOKUP($B789,DG!A:D,DG!$B$2,)</f>
        <v>03.1401</v>
      </c>
      <c r="E789" s="1275" t="str">
        <f>VLOOKUP($B789,DG!A:D,DG!$C$2,)</f>
        <v xml:space="preserve">Cáp CVV 4x4mm2  </v>
      </c>
      <c r="F789" s="1274" t="str">
        <f>VLOOKUP($B789,DG!A:D,DG!$D$2,)</f>
        <v>mét</v>
      </c>
      <c r="G789" s="1592">
        <v>0</v>
      </c>
      <c r="H789" s="1492">
        <f t="shared" si="31"/>
        <v>0</v>
      </c>
      <c r="I789" s="1310"/>
      <c r="J789" s="1310"/>
      <c r="K789" s="1278"/>
      <c r="L789" s="1125" t="s">
        <v>1294</v>
      </c>
    </row>
    <row r="790" spans="1:12" s="1279" customFormat="1" ht="20.100000000000001" customHeight="1">
      <c r="A790" s="1377">
        <f t="shared" si="32"/>
        <v>0</v>
      </c>
      <c r="B790" s="1582" t="s">
        <v>1337</v>
      </c>
      <c r="C790" s="1312"/>
      <c r="D790" s="1274" t="str">
        <f>VLOOKUP($B790,DG!A:D,DG!$B$2,)</f>
        <v>03.4004</v>
      </c>
      <c r="E790" s="1275" t="str">
        <f>VLOOKUP($B790,DG!A:D,DG!$C$2,)</f>
        <v>Đầu cosse ép Cu 95mm2</v>
      </c>
      <c r="F790" s="1274" t="str">
        <f>VLOOKUP($B790,DG!A:D,DG!$D$2,)</f>
        <v>cái</v>
      </c>
      <c r="G790" s="1592">
        <v>0</v>
      </c>
      <c r="H790" s="1492">
        <f t="shared" si="31"/>
        <v>0</v>
      </c>
      <c r="I790" s="1310"/>
      <c r="J790" s="1310"/>
      <c r="K790" s="1278"/>
      <c r="L790" s="1125" t="s">
        <v>1294</v>
      </c>
    </row>
    <row r="791" spans="1:12" s="1279" customFormat="1" ht="20.100000000000001" customHeight="1">
      <c r="A791" s="1377">
        <f t="shared" si="32"/>
        <v>0</v>
      </c>
      <c r="B791" s="1582" t="s">
        <v>1336</v>
      </c>
      <c r="C791" s="1312"/>
      <c r="D791" s="1274" t="str">
        <f>VLOOKUP($B791,DG!A:D,DG!$B$2,)</f>
        <v>03.4003</v>
      </c>
      <c r="E791" s="1275" t="str">
        <f>VLOOKUP($B791,DG!A:D,DG!$C$2,)</f>
        <v>Đầu cosse ép Cu 70mm2</v>
      </c>
      <c r="F791" s="1274" t="str">
        <f>VLOOKUP($B791,DG!A:D,DG!$D$2,)</f>
        <v>cái</v>
      </c>
      <c r="G791" s="1592">
        <v>0</v>
      </c>
      <c r="H791" s="1492">
        <f t="shared" si="31"/>
        <v>0</v>
      </c>
      <c r="I791" s="1310"/>
      <c r="J791" s="1310"/>
      <c r="K791" s="1278"/>
      <c r="L791" s="1125" t="s">
        <v>1294</v>
      </c>
    </row>
    <row r="792" spans="1:12" s="1279" customFormat="1" ht="20.100000000000001" customHeight="1">
      <c r="A792" s="1377">
        <f t="shared" si="32"/>
        <v>0</v>
      </c>
      <c r="B792" s="1582" t="s">
        <v>93</v>
      </c>
      <c r="C792" s="1312"/>
      <c r="D792" s="1274">
        <f>VLOOKUP($B792,DG!A:D,DG!$B$2,)</f>
        <v>0</v>
      </c>
      <c r="E792" s="1275" t="str">
        <f>VLOOKUP($B792,DG!A:D,DG!$C$2,)</f>
        <v>Chụp đầu cosse  120mm2</v>
      </c>
      <c r="F792" s="1274" t="str">
        <f>VLOOKUP($B792,DG!A:D,DG!$D$2,)</f>
        <v>cái</v>
      </c>
      <c r="G792" s="1592">
        <f>G790</f>
        <v>0</v>
      </c>
      <c r="H792" s="1492">
        <f t="shared" si="31"/>
        <v>0</v>
      </c>
      <c r="I792" s="1310"/>
      <c r="J792" s="1310"/>
      <c r="K792" s="1278"/>
      <c r="L792" s="1125" t="s">
        <v>1294</v>
      </c>
    </row>
    <row r="793" spans="1:12" s="1279" customFormat="1" ht="20.100000000000001" customHeight="1">
      <c r="A793" s="1377">
        <f t="shared" si="32"/>
        <v>0</v>
      </c>
      <c r="B793" s="1582" t="s">
        <v>94</v>
      </c>
      <c r="C793" s="1312"/>
      <c r="D793" s="1274">
        <f>VLOOKUP($B793,DG!A:D,DG!$B$2,)</f>
        <v>0</v>
      </c>
      <c r="E793" s="1275" t="str">
        <f>VLOOKUP($B793,DG!A:D,DG!$C$2,)</f>
        <v>Chụp đầu cosse  95mm2</v>
      </c>
      <c r="F793" s="1274" t="str">
        <f>VLOOKUP($B793,DG!A:D,DG!$D$2,)</f>
        <v>cái</v>
      </c>
      <c r="G793" s="1592">
        <f>G791</f>
        <v>0</v>
      </c>
      <c r="H793" s="1492">
        <f t="shared" si="31"/>
        <v>0</v>
      </c>
      <c r="I793" s="1310"/>
      <c r="J793" s="1310"/>
      <c r="K793" s="1278"/>
      <c r="L793" s="1125" t="s">
        <v>1294</v>
      </c>
    </row>
    <row r="794" spans="1:12" s="1279" customFormat="1" ht="20.100000000000001" customHeight="1">
      <c r="A794" s="1377">
        <f t="shared" si="32"/>
        <v>0</v>
      </c>
      <c r="B794" s="1582" t="s">
        <v>283</v>
      </c>
      <c r="C794" s="1312"/>
      <c r="D794" s="1274" t="str">
        <f>VLOOKUP($B794,DG!A:D,DG!$B$2,)</f>
        <v>04.8003</v>
      </c>
      <c r="E794" s="1275" t="str">
        <f>VLOOKUP($B794,DG!A:D,DG!$C$2,)</f>
        <v xml:space="preserve">Ống PVC D90x3,8mm </v>
      </c>
      <c r="F794" s="1274" t="str">
        <f>VLOOKUP($B794,DG!A:D,DG!$D$2,)</f>
        <v>m</v>
      </c>
      <c r="G794" s="1592">
        <v>0</v>
      </c>
      <c r="H794" s="1492">
        <f t="shared" si="31"/>
        <v>0</v>
      </c>
      <c r="I794" s="1310"/>
      <c r="J794" s="1310"/>
      <c r="K794" s="1278"/>
      <c r="L794" s="1125" t="s">
        <v>1294</v>
      </c>
    </row>
    <row r="795" spans="1:12" s="1279" customFormat="1" ht="20.100000000000001" customHeight="1">
      <c r="A795" s="1377">
        <f t="shared" si="32"/>
        <v>0</v>
      </c>
      <c r="B795" s="1378" t="s">
        <v>277</v>
      </c>
      <c r="C795" s="1312"/>
      <c r="D795" s="1274" t="str">
        <f>VLOOKUP($B795,DG!A:D,DG!$B$2,)</f>
        <v>06.3231</v>
      </c>
      <c r="E795" s="1275" t="str">
        <f>VLOOKUP($B795,DG!A:D,DG!$C$2,)</f>
        <v>Cổ dê kẹp ống PVC Ø 90</v>
      </c>
      <c r="F795" s="1274" t="str">
        <f>VLOOKUP($B795,DG!A:D,DG!$D$2,)</f>
        <v>bộ</v>
      </c>
      <c r="G795" s="1592">
        <f>G785*2*0</f>
        <v>0</v>
      </c>
      <c r="H795" s="1492">
        <f t="shared" si="31"/>
        <v>0</v>
      </c>
      <c r="I795" s="1310"/>
      <c r="J795" s="1310"/>
      <c r="K795" s="1278"/>
      <c r="L795" s="1125" t="s">
        <v>1294</v>
      </c>
    </row>
    <row r="796" spans="1:12" s="1279" customFormat="1" ht="20.100000000000001" customHeight="1">
      <c r="A796" s="1377">
        <f t="shared" si="32"/>
        <v>0</v>
      </c>
      <c r="B796" s="1582" t="s">
        <v>284</v>
      </c>
      <c r="C796" s="1312"/>
      <c r="D796" s="1274">
        <f>VLOOKUP($B796,DG!A:D,DG!$B$2,)</f>
        <v>0</v>
      </c>
      <c r="E796" s="1275" t="str">
        <f>VLOOKUP($B796,DG!A:D,DG!$C$2,)</f>
        <v>Co sừng 90 độ PVC 90</v>
      </c>
      <c r="F796" s="1274" t="str">
        <f>VLOOKUP($B796,DG!A:D,DG!$D$2,)</f>
        <v>cái</v>
      </c>
      <c r="G796" s="1592">
        <f>G785*2*0</f>
        <v>0</v>
      </c>
      <c r="H796" s="1492">
        <f t="shared" si="31"/>
        <v>0</v>
      </c>
      <c r="I796" s="1310"/>
      <c r="J796" s="1310"/>
      <c r="K796" s="1278"/>
      <c r="L796" s="1125" t="s">
        <v>1294</v>
      </c>
    </row>
    <row r="797" spans="1:12" s="1279" customFormat="1" ht="20.100000000000001" customHeight="1">
      <c r="A797" s="1377">
        <f t="shared" si="32"/>
        <v>0</v>
      </c>
      <c r="B797" s="1582" t="s">
        <v>4548</v>
      </c>
      <c r="C797" s="1312"/>
      <c r="D797" s="1274">
        <f>VLOOKUP($B797,DG!A:D,DG!$B$2,)</f>
        <v>0</v>
      </c>
      <c r="E797" s="1275" t="str">
        <f>VLOOKUP($B797,DG!A:D,DG!$C$2,)</f>
        <v>Nối ống PVC 114 - 90</v>
      </c>
      <c r="F797" s="1274" t="str">
        <f>VLOOKUP($B797,DG!A:D,DG!$D$2,)</f>
        <v>cái</v>
      </c>
      <c r="G797" s="1592">
        <f>G785*0</f>
        <v>0</v>
      </c>
      <c r="H797" s="1492">
        <f t="shared" si="31"/>
        <v>0</v>
      </c>
      <c r="I797" s="1310"/>
      <c r="J797" s="1310"/>
      <c r="K797" s="1278"/>
      <c r="L797" s="1125" t="s">
        <v>1294</v>
      </c>
    </row>
    <row r="798" spans="1:12" s="1279" customFormat="1" ht="20.100000000000001" customHeight="1">
      <c r="A798" s="1377">
        <f t="shared" si="32"/>
        <v>0</v>
      </c>
      <c r="B798" s="1582" t="s">
        <v>70</v>
      </c>
      <c r="C798" s="1312"/>
      <c r="D798" s="1274">
        <f>VLOOKUP($B798,DG!A:D,DG!$B$2,)</f>
        <v>0</v>
      </c>
      <c r="E798" s="1275" t="str">
        <f>VLOOKUP($B798,DG!A:D,DG!$C$2,)</f>
        <v>Co  90 độ PVC 90</v>
      </c>
      <c r="F798" s="1274" t="str">
        <f>VLOOKUP($B798,DG!A:D,DG!$D$2,)</f>
        <v>cái</v>
      </c>
      <c r="G798" s="1287"/>
      <c r="H798" s="1492">
        <f t="shared" si="31"/>
        <v>0</v>
      </c>
      <c r="I798" s="1310"/>
      <c r="J798" s="1310"/>
      <c r="K798" s="1278"/>
      <c r="L798" s="1125" t="s">
        <v>1294</v>
      </c>
    </row>
    <row r="799" spans="1:12" s="1279" customFormat="1" ht="20.100000000000001" customHeight="1">
      <c r="A799" s="1377">
        <f t="shared" si="32"/>
        <v>0</v>
      </c>
      <c r="B799" s="1582" t="s">
        <v>422</v>
      </c>
      <c r="C799" s="1312"/>
      <c r="D799" s="1274">
        <f>VLOOKUP($B799,DG!A:D,DG!$B$2,)</f>
        <v>0</v>
      </c>
      <c r="E799" s="1275" t="str">
        <f>VLOOKUP($B799,DG!A:D,DG!$C$2,)</f>
        <v>Keo dán ống PVC (100gr)</v>
      </c>
      <c r="F799" s="1274" t="str">
        <f>VLOOKUP($B799,DG!A:D,DG!$D$2,)</f>
        <v>tuýp</v>
      </c>
      <c r="G799" s="1592">
        <f>G785*0</f>
        <v>0</v>
      </c>
      <c r="H799" s="1492">
        <f t="shared" si="31"/>
        <v>0</v>
      </c>
      <c r="I799" s="1310"/>
      <c r="J799" s="1310"/>
      <c r="K799" s="1278"/>
      <c r="L799" s="1125" t="s">
        <v>1294</v>
      </c>
    </row>
    <row r="800" spans="1:12" s="1279" customFormat="1" ht="20.100000000000001" customHeight="1">
      <c r="A800" s="1377">
        <f t="shared" si="32"/>
        <v>0</v>
      </c>
      <c r="B800" s="1582" t="s">
        <v>1209</v>
      </c>
      <c r="C800" s="1312"/>
      <c r="D800" s="1274">
        <f>VLOOKUP($B800,DG!A:D,DG!$B$2,)</f>
        <v>0</v>
      </c>
      <c r="E800" s="1275" t="str">
        <f>VLOOKUP($B800,DG!A:D,DG!$C$2,)</f>
        <v>Keo silicon bít miệng ống</v>
      </c>
      <c r="F800" s="1274" t="str">
        <f>VLOOKUP($B800,DG!A:D,DG!$D$2,)</f>
        <v>ống</v>
      </c>
      <c r="G800" s="1287"/>
      <c r="H800" s="1492">
        <f t="shared" si="31"/>
        <v>0</v>
      </c>
      <c r="I800" s="1310"/>
      <c r="J800" s="1310"/>
      <c r="K800" s="1278"/>
      <c r="L800" s="1125" t="s">
        <v>1294</v>
      </c>
    </row>
    <row r="801" spans="1:12" s="1279" customFormat="1" ht="20.100000000000001" customHeight="1">
      <c r="A801" s="1377">
        <f t="shared" si="32"/>
        <v>0</v>
      </c>
      <c r="B801" s="1378" t="s">
        <v>677</v>
      </c>
      <c r="C801" s="1312"/>
      <c r="D801" s="1274">
        <f>VLOOKUP($B801,DG!A:D,DG!$B$2,)</f>
        <v>0</v>
      </c>
      <c r="E801" s="1275" t="str">
        <f>VLOOKUP($B801,DG!A:D,DG!$C$2,)</f>
        <v>Băng keo cách điện</v>
      </c>
      <c r="F801" s="1274" t="str">
        <f>VLOOKUP($B801,DG!A:D,DG!$D$2,)</f>
        <v>cuộn</v>
      </c>
      <c r="G801" s="1287"/>
      <c r="H801" s="1492">
        <f t="shared" si="31"/>
        <v>0</v>
      </c>
      <c r="I801" s="1310"/>
      <c r="J801" s="1310"/>
      <c r="K801" s="1278"/>
      <c r="L801" s="1125" t="s">
        <v>1294</v>
      </c>
    </row>
    <row r="802" spans="1:12" s="1279" customFormat="1" ht="20.100000000000001" customHeight="1">
      <c r="A802" s="1377">
        <f t="shared" si="32"/>
        <v>0</v>
      </c>
      <c r="B802" s="1587" t="s">
        <v>4550</v>
      </c>
      <c r="C802" s="1312"/>
      <c r="D802" s="1274">
        <f>VLOOKUP($B802,DG!A:D,DG!$B$2,)</f>
        <v>0</v>
      </c>
      <c r="E802" s="1275" t="str">
        <f>VLOOKUP($B802,DG!A:D,DG!$C$2,)</f>
        <v>Chụp cách điện đầu cực MBA</v>
      </c>
      <c r="F802" s="1274" t="str">
        <f>VLOOKUP($B802,DG!A:D,DG!$D$2,)</f>
        <v>cái</v>
      </c>
      <c r="G802" s="1312"/>
      <c r="H802" s="1492">
        <f t="shared" si="31"/>
        <v>0</v>
      </c>
      <c r="I802" s="1310"/>
      <c r="J802" s="1310"/>
      <c r="K802" s="1278"/>
      <c r="L802" s="1125" t="s">
        <v>1294</v>
      </c>
    </row>
    <row r="803" spans="1:12" s="1279" customFormat="1" ht="20.100000000000001" customHeight="1">
      <c r="A803" s="1377">
        <f t="shared" si="32"/>
        <v>0</v>
      </c>
      <c r="B803" s="1587" t="s">
        <v>4544</v>
      </c>
      <c r="C803" s="1312"/>
      <c r="D803" s="1274">
        <f>VLOOKUP($B803,DG!A:D,DG!$B$2,)</f>
        <v>0</v>
      </c>
      <c r="E803" s="1275" t="str">
        <f>VLOOKUP($B803,DG!A:D,DG!$C$2,)</f>
        <v>Chụp cách điện đầu cực FCO (trên + dưới)</v>
      </c>
      <c r="F803" s="1274" t="str">
        <f>VLOOKUP($B803,DG!A:D,DG!$D$2,)</f>
        <v>bộ</v>
      </c>
      <c r="G803" s="1312"/>
      <c r="H803" s="1492">
        <f t="shared" si="31"/>
        <v>0</v>
      </c>
      <c r="I803" s="1310"/>
      <c r="J803" s="1310"/>
      <c r="K803" s="1278"/>
      <c r="L803" s="1125" t="s">
        <v>1294</v>
      </c>
    </row>
    <row r="804" spans="1:12" s="1279" customFormat="1" ht="20.100000000000001" customHeight="1">
      <c r="A804" s="1377">
        <f t="shared" si="32"/>
        <v>0</v>
      </c>
      <c r="B804" s="1587" t="s">
        <v>4552</v>
      </c>
      <c r="C804" s="1312"/>
      <c r="D804" s="1274">
        <f>VLOOKUP($B804,DG!A:D,DG!$B$2,)</f>
        <v>0</v>
      </c>
      <c r="E804" s="1275" t="str">
        <f>VLOOKUP($B804,DG!A:D,DG!$C$2,)</f>
        <v>Chụp cách điện đầu cực LA</v>
      </c>
      <c r="F804" s="1274" t="str">
        <f>VLOOKUP($B804,DG!A:D,DG!$D$2,)</f>
        <v>cái</v>
      </c>
      <c r="G804" s="1312"/>
      <c r="H804" s="1492">
        <f t="shared" ref="H804:H867" si="33">IF(L804=$L$23,G804+I804-J804,0)</f>
        <v>0</v>
      </c>
      <c r="I804" s="1310"/>
      <c r="J804" s="1310"/>
      <c r="K804" s="1278"/>
      <c r="L804" s="1125" t="s">
        <v>1294</v>
      </c>
    </row>
    <row r="805" spans="1:12" s="1279" customFormat="1" ht="20.100000000000001" customHeight="1">
      <c r="A805" s="1377">
        <f t="shared" si="32"/>
        <v>0</v>
      </c>
      <c r="B805" s="1587" t="s">
        <v>2244</v>
      </c>
      <c r="C805" s="1312"/>
      <c r="D805" s="1274" t="str">
        <f>VLOOKUP($B805,DG!A:D,DG!$B$2,)</f>
        <v>07.2415</v>
      </c>
      <c r="E805" s="1386" t="str">
        <f>VLOOKUP($B805,DG!A:D,DG!$C$2,)</f>
        <v>Lắp ống nhựa PVC D90</v>
      </c>
      <c r="F805" s="1274" t="str">
        <f>VLOOKUP($B805,DG!A:D,DG!$D$2,)</f>
        <v>mét</v>
      </c>
      <c r="G805" s="1312"/>
      <c r="H805" s="1492">
        <f t="shared" si="33"/>
        <v>0</v>
      </c>
      <c r="I805" s="1310"/>
      <c r="J805" s="1310"/>
      <c r="K805" s="1278"/>
      <c r="L805" s="1125" t="s">
        <v>1294</v>
      </c>
    </row>
    <row r="806" spans="1:12" s="1279" customFormat="1" ht="20.100000000000001" customHeight="1">
      <c r="A806" s="1377">
        <f t="shared" si="32"/>
        <v>0</v>
      </c>
      <c r="B806" s="1378" t="s">
        <v>1577</v>
      </c>
      <c r="C806" s="1312"/>
      <c r="D806" s="1274" t="str">
        <f>VLOOKUP($B806,DG!A:D,DG!$B$2,)</f>
        <v>04.4201</v>
      </c>
      <c r="E806" s="1386" t="str">
        <f>VLOOKUP($B806,DG!A:D,DG!$C$2,)</f>
        <v>Lắp cáp đồng xuống thiết bị D ≤ 95mm2</v>
      </c>
      <c r="F806" s="1274" t="str">
        <f>VLOOKUP($B806,DG!A:D,DG!$D$2,)</f>
        <v>m</v>
      </c>
      <c r="G806" s="1312"/>
      <c r="H806" s="1492">
        <f t="shared" si="33"/>
        <v>0</v>
      </c>
      <c r="I806" s="1310"/>
      <c r="J806" s="1310"/>
      <c r="K806" s="1278"/>
      <c r="L806" s="1125" t="s">
        <v>1294</v>
      </c>
    </row>
    <row r="807" spans="1:12" s="1279" customFormat="1" ht="20.100000000000001" customHeight="1">
      <c r="A807" s="1377">
        <f t="shared" si="32"/>
        <v>0</v>
      </c>
      <c r="B807" s="1582" t="s">
        <v>290</v>
      </c>
      <c r="C807" s="1394">
        <f>IF(G807&gt;0,C785+1,C785)</f>
        <v>0</v>
      </c>
      <c r="D807" s="1399"/>
      <c r="E807" s="1275" t="str">
        <f>VLOOKUP($B807,DG!A:D,DG!$C$2,)</f>
        <v>Bảng tên trạm, bảng báo nguy hiểm + đinh vít</v>
      </c>
      <c r="F807" s="1274" t="str">
        <f>VLOOKUP($B807,DG!A:D,DG!$D$2,)</f>
        <v>bộ</v>
      </c>
      <c r="G807" s="1297"/>
      <c r="H807" s="1492">
        <f t="shared" si="33"/>
        <v>0</v>
      </c>
      <c r="I807" s="1310"/>
      <c r="J807" s="1310"/>
      <c r="K807" s="1278"/>
      <c r="L807" s="1125" t="s">
        <v>1294</v>
      </c>
    </row>
    <row r="808" spans="1:12" s="1279" customFormat="1" ht="20.100000000000001" customHeight="1">
      <c r="A808" s="1377">
        <f t="shared" si="32"/>
        <v>0</v>
      </c>
      <c r="B808" s="1582" t="s">
        <v>1678</v>
      </c>
      <c r="C808" s="1394">
        <f>IF(G808&gt;0,C786+1,C786)</f>
        <v>0</v>
      </c>
      <c r="D808" s="1399"/>
      <c r="E808" s="1296" t="str">
        <f>VLOOKUP($B808,DG!A:D,DG!$C$2,)</f>
        <v>Móng đặt tủ bù (0,2x0,2x0,4)x4 móng</v>
      </c>
      <c r="F808" s="1295" t="str">
        <f>VLOOKUP($B808,DG!A:D,DG!$D$2,)</f>
        <v>Trọn bộ</v>
      </c>
      <c r="G808" s="1395"/>
      <c r="H808" s="1492">
        <f t="shared" si="33"/>
        <v>0</v>
      </c>
      <c r="I808" s="1395"/>
      <c r="J808" s="1395"/>
      <c r="K808" s="1395"/>
      <c r="L808" s="1125" t="s">
        <v>1294</v>
      </c>
    </row>
    <row r="809" spans="1:12" s="1279" customFormat="1" ht="20.100000000000001" customHeight="1">
      <c r="A809" s="1377">
        <f t="shared" si="32"/>
        <v>0</v>
      </c>
      <c r="B809" s="1617"/>
      <c r="C809" s="1309"/>
      <c r="D809" s="1405"/>
      <c r="E809" s="1272"/>
      <c r="F809" s="1453"/>
      <c r="G809" s="1453"/>
      <c r="H809" s="1492">
        <f t="shared" si="33"/>
        <v>0</v>
      </c>
      <c r="I809" s="1468"/>
      <c r="J809" s="1469"/>
      <c r="K809" s="1354"/>
      <c r="L809" s="1125" t="s">
        <v>1294</v>
      </c>
    </row>
    <row r="810" spans="1:12" s="1361" customFormat="1" ht="20.100000000000001" customHeight="1">
      <c r="A810" s="1377">
        <f t="shared" si="32"/>
        <v>0</v>
      </c>
      <c r="B810" s="1618"/>
      <c r="C810" s="1413"/>
      <c r="D810" s="1470"/>
      <c r="E810" s="1471"/>
      <c r="F810" s="1472"/>
      <c r="G810" s="1472"/>
      <c r="H810" s="1353">
        <f t="shared" si="33"/>
        <v>0</v>
      </c>
      <c r="I810" s="1471"/>
      <c r="J810" s="1471"/>
      <c r="L810" s="1413"/>
    </row>
    <row r="811" spans="1:12" s="1279" customFormat="1" ht="20.100000000000001" customHeight="1">
      <c r="A811" s="1377">
        <f t="shared" si="32"/>
        <v>0</v>
      </c>
      <c r="B811" s="1619"/>
      <c r="C811" s="1131" t="e">
        <f>"BAÛNG TOÅNG HÔÏP VAÄT LIEÄU, NHAÂN COÂNG, MAÙY THI COÂNG : "&amp;#REF!&amp;" TRAÏM 3P_3x50KVA"</f>
        <v>#REF!</v>
      </c>
      <c r="D811" s="1131"/>
      <c r="E811" s="1131"/>
      <c r="F811" s="1131"/>
      <c r="G811" s="1131"/>
      <c r="H811" s="1353">
        <f t="shared" si="33"/>
        <v>0</v>
      </c>
      <c r="I811" s="1131"/>
      <c r="J811" s="1131"/>
      <c r="L811" s="1125"/>
    </row>
    <row r="812" spans="1:12" s="1279" customFormat="1" ht="20.100000000000001" customHeight="1">
      <c r="A812" s="1377">
        <f t="shared" si="32"/>
        <v>0</v>
      </c>
      <c r="B812" s="1582"/>
      <c r="C812" s="1304"/>
      <c r="D812" s="1305"/>
      <c r="E812" s="1306" t="s">
        <v>3771</v>
      </c>
      <c r="F812" s="1307"/>
      <c r="G812" s="1307"/>
      <c r="H812" s="1353">
        <f t="shared" si="33"/>
        <v>0</v>
      </c>
      <c r="I812" s="1307"/>
      <c r="J812" s="1307"/>
      <c r="K812" s="1379"/>
      <c r="L812" s="1125" t="s">
        <v>1295</v>
      </c>
    </row>
    <row r="813" spans="1:12" s="1279" customFormat="1" ht="20.100000000000001" customHeight="1">
      <c r="A813" s="1377">
        <f t="shared" si="32"/>
        <v>0</v>
      </c>
      <c r="B813" s="1583" t="s">
        <v>4626</v>
      </c>
      <c r="C813" s="1286">
        <f>IF(G813&gt;0,1,0)</f>
        <v>0</v>
      </c>
      <c r="D813" s="1274" t="str">
        <f>VLOOKUP($B813,DG!A:D,DG!$B$2,)</f>
        <v>01.1162</v>
      </c>
      <c r="E813" s="1275" t="str">
        <f>VLOOKUP($B813,DG!A:D,DG!$C$2,)</f>
        <v>Máy biến áp 12,7/0,22-0,44kV  50kVA</v>
      </c>
      <c r="F813" s="1274" t="str">
        <f>VLOOKUP($B813,DG!A:D,DG!$D$2,)</f>
        <v>máy</v>
      </c>
      <c r="G813" s="1473">
        <f>K9</f>
        <v>0</v>
      </c>
      <c r="H813" s="1353">
        <f t="shared" si="33"/>
        <v>0</v>
      </c>
      <c r="I813" s="1310"/>
      <c r="J813" s="1310"/>
      <c r="K813" s="1424"/>
      <c r="L813" s="1125" t="s">
        <v>1295</v>
      </c>
    </row>
    <row r="814" spans="1:12" s="1279" customFormat="1" ht="20.100000000000001" customHeight="1">
      <c r="A814" s="1377">
        <f t="shared" si="32"/>
        <v>0</v>
      </c>
      <c r="B814" s="1583" t="s">
        <v>1704</v>
      </c>
      <c r="C814" s="1286">
        <f t="shared" ref="C814:C820" si="34">IF(G814&gt;0,C813+1,C813)</f>
        <v>0</v>
      </c>
      <c r="D814" s="1274" t="str">
        <f>VLOOKUP($B814,DG!A:D,DG!$B$2,)</f>
        <v>02.3155</v>
      </c>
      <c r="E814" s="1275" t="str">
        <f>VLOOKUP($B814,DG!A:D,DG!$C$2,)</f>
        <v>FCO 24kV - 100A</v>
      </c>
      <c r="F814" s="1274" t="str">
        <f>VLOOKUP($B814,DG!A:D,DG!$D$2,)</f>
        <v>cái</v>
      </c>
      <c r="G814" s="1287">
        <f>+G813</f>
        <v>0</v>
      </c>
      <c r="H814" s="1353">
        <f t="shared" si="33"/>
        <v>0</v>
      </c>
      <c r="I814" s="1310"/>
      <c r="J814" s="1310"/>
      <c r="K814" s="1278"/>
      <c r="L814" s="1125" t="s">
        <v>1295</v>
      </c>
    </row>
    <row r="815" spans="1:12" s="1279" customFormat="1" ht="20.100000000000001" customHeight="1">
      <c r="A815" s="1377">
        <f t="shared" si="32"/>
        <v>0</v>
      </c>
      <c r="B815" s="1582" t="s">
        <v>368</v>
      </c>
      <c r="C815" s="1286">
        <f t="shared" si="34"/>
        <v>0</v>
      </c>
      <c r="D815" s="1274">
        <f>VLOOKUP($B815,DG!A:D,DG!$B$2,)</f>
        <v>0</v>
      </c>
      <c r="E815" s="1275" t="str">
        <f>VLOOKUP($B815,DG!A:D,DG!$C$2,)</f>
        <v>Dây chảy 6K</v>
      </c>
      <c r="F815" s="1274" t="str">
        <f>VLOOKUP($B815,DG!A:D,DG!$D$2,)</f>
        <v>Sợi</v>
      </c>
      <c r="G815" s="1287">
        <f>G814</f>
        <v>0</v>
      </c>
      <c r="H815" s="1353">
        <f t="shared" si="33"/>
        <v>0</v>
      </c>
      <c r="I815" s="1310"/>
      <c r="J815" s="1310"/>
      <c r="K815" s="1278"/>
      <c r="L815" s="1125" t="s">
        <v>1295</v>
      </c>
    </row>
    <row r="816" spans="1:12" s="1279" customFormat="1" ht="20.100000000000001" customHeight="1">
      <c r="A816" s="1377">
        <f t="shared" si="32"/>
        <v>0</v>
      </c>
      <c r="B816" s="1582" t="e">
        <f>IF(#REF!=12,"LA12","LA18")</f>
        <v>#REF!</v>
      </c>
      <c r="C816" s="1286">
        <f t="shared" si="34"/>
        <v>0</v>
      </c>
      <c r="D816" s="1274" t="e">
        <f>VLOOKUP($B816,DG!A:D,DG!$B$2,)</f>
        <v>#REF!</v>
      </c>
      <c r="E816" s="1275" t="e">
        <f>VLOOKUP($B816,DG!A:D,DG!$C$2,)</f>
        <v>#REF!</v>
      </c>
      <c r="F816" s="1274" t="e">
        <f>VLOOKUP($B816,DG!A:D,DG!$D$2,)</f>
        <v>#REF!</v>
      </c>
      <c r="G816" s="1287">
        <f>G814</f>
        <v>0</v>
      </c>
      <c r="H816" s="1353">
        <f t="shared" si="33"/>
        <v>0</v>
      </c>
      <c r="I816" s="1310"/>
      <c r="J816" s="1310"/>
      <c r="K816" s="1278"/>
      <c r="L816" s="1125" t="s">
        <v>1295</v>
      </c>
    </row>
    <row r="817" spans="1:13" s="1279" customFormat="1" ht="20.100000000000001" customHeight="1">
      <c r="A817" s="1377">
        <f t="shared" si="32"/>
        <v>0</v>
      </c>
      <c r="B817" s="1583" t="s">
        <v>718</v>
      </c>
      <c r="C817" s="1286">
        <f t="shared" si="34"/>
        <v>0</v>
      </c>
      <c r="D817" s="1274" t="str">
        <f>VLOOKUP($B817,DG!A:D,DG!$B$2,)</f>
        <v>02.8401</v>
      </c>
      <c r="E817" s="1275" t="str">
        <f>VLOOKUP($B817,DG!A:D,DG!$C$2,)</f>
        <v xml:space="preserve">MCCB 3 cực 600V -250A - 36KA </v>
      </c>
      <c r="F817" s="1274" t="str">
        <f>VLOOKUP($B817,DG!A:D,DG!$D$2,)</f>
        <v>cái</v>
      </c>
      <c r="G817" s="1370">
        <f>G813/3</f>
        <v>0</v>
      </c>
      <c r="H817" s="1353">
        <f t="shared" si="33"/>
        <v>0</v>
      </c>
      <c r="I817" s="1310"/>
      <c r="J817" s="1310"/>
      <c r="K817" s="1278"/>
      <c r="L817" s="1125" t="s">
        <v>1295</v>
      </c>
    </row>
    <row r="818" spans="1:13" s="1279" customFormat="1" ht="20.100000000000001" customHeight="1">
      <c r="A818" s="1377">
        <f t="shared" si="32"/>
        <v>0</v>
      </c>
      <c r="B818" s="1583" t="s">
        <v>2254</v>
      </c>
      <c r="C818" s="1286">
        <f t="shared" si="34"/>
        <v>0</v>
      </c>
      <c r="D818" s="1274" t="str">
        <f>VLOOKUP($B818,DG!A:D,DG!$B$2,)</f>
        <v>02.8534</v>
      </c>
      <c r="E818" s="1275" t="str">
        <f>VLOOKUP($B818,DG!A:D,DG!$C$2,)</f>
        <v>Tủ tụ bù hạ thế 60kVAr</v>
      </c>
      <c r="F818" s="1274" t="str">
        <f>VLOOKUP($B818,DG!A:D,DG!$D$2,)</f>
        <v>tủ</v>
      </c>
      <c r="G818" s="1370">
        <f>G813/3*0</f>
        <v>0</v>
      </c>
      <c r="H818" s="1353">
        <f t="shared" si="33"/>
        <v>0</v>
      </c>
      <c r="I818" s="1310"/>
      <c r="J818" s="1310"/>
      <c r="K818" s="1278"/>
      <c r="L818" s="1125" t="s">
        <v>1295</v>
      </c>
    </row>
    <row r="819" spans="1:13" s="1279" customFormat="1" ht="20.100000000000001" customHeight="1">
      <c r="A819" s="1377">
        <f t="shared" si="32"/>
        <v>0</v>
      </c>
      <c r="B819" s="1585" t="e">
        <f>Solieu!#REF!</f>
        <v>#REF!</v>
      </c>
      <c r="C819" s="1286">
        <f t="shared" si="34"/>
        <v>0</v>
      </c>
      <c r="D819" s="1274" t="e">
        <f>VLOOKUP($B819,DG!A:D,DG!$B$2,)</f>
        <v>#REF!</v>
      </c>
      <c r="E819" s="1275" t="e">
        <f>VLOOKUP($B819,DG!A:D,DG!$C$2,)</f>
        <v>#REF!</v>
      </c>
      <c r="F819" s="1274" t="e">
        <f>VLOOKUP($B819,DG!A:D,DG!$D$2,)</f>
        <v>#REF!</v>
      </c>
      <c r="G819" s="1287">
        <f>G813</f>
        <v>0</v>
      </c>
      <c r="H819" s="1353">
        <f t="shared" si="33"/>
        <v>0</v>
      </c>
      <c r="I819" s="1310"/>
      <c r="J819" s="1310"/>
      <c r="K819" s="1312" t="s">
        <v>2666</v>
      </c>
      <c r="L819" s="1125" t="s">
        <v>1295</v>
      </c>
    </row>
    <row r="820" spans="1:13" s="1279" customFormat="1" ht="20.100000000000001" customHeight="1">
      <c r="A820" s="1377">
        <f t="shared" si="32"/>
        <v>0</v>
      </c>
      <c r="B820" s="1589" t="s">
        <v>289</v>
      </c>
      <c r="C820" s="1286">
        <f t="shared" si="34"/>
        <v>0</v>
      </c>
      <c r="D820" s="1274" t="str">
        <f>VLOOKUP($B820,DG!A:D,DG!$B$2,)</f>
        <v>05.5104</v>
      </c>
      <c r="E820" s="1275" t="str">
        <f>VLOOKUP($B820,DG!A:D,DG!$C$2,)</f>
        <v>Điện kế 3 pha 4 dây 220/380V-5A</v>
      </c>
      <c r="F820" s="1274" t="str">
        <f>VLOOKUP($B820,DG!A:D,DG!$D$2,)</f>
        <v>cái</v>
      </c>
      <c r="G820" s="1287">
        <f>G815/3</f>
        <v>0</v>
      </c>
      <c r="H820" s="1353">
        <f t="shared" si="33"/>
        <v>0</v>
      </c>
      <c r="I820" s="1310"/>
      <c r="J820" s="1310"/>
      <c r="K820" s="1312" t="s">
        <v>2666</v>
      </c>
      <c r="L820" s="1125" t="s">
        <v>1295</v>
      </c>
    </row>
    <row r="821" spans="1:13" s="1279" customFormat="1" ht="20.100000000000001" customHeight="1">
      <c r="A821" s="1377">
        <f t="shared" si="32"/>
        <v>0</v>
      </c>
      <c r="B821" s="1582"/>
      <c r="C821" s="1316"/>
      <c r="D821" s="1317"/>
      <c r="E821" s="1271"/>
      <c r="F821" s="1316"/>
      <c r="G821" s="1453"/>
      <c r="H821" s="1353">
        <f t="shared" si="33"/>
        <v>0</v>
      </c>
      <c r="I821" s="1271"/>
      <c r="J821" s="1316"/>
      <c r="K821" s="1474"/>
      <c r="L821" s="1125" t="s">
        <v>1295</v>
      </c>
    </row>
    <row r="822" spans="1:13" s="1279" customFormat="1" ht="20.100000000000001" customHeight="1">
      <c r="A822" s="1377">
        <f t="shared" si="32"/>
        <v>0</v>
      </c>
      <c r="B822" s="1582"/>
      <c r="C822" s="1319"/>
      <c r="D822" s="1320"/>
      <c r="E822" s="1306" t="s">
        <v>3772</v>
      </c>
      <c r="F822" s="1306"/>
      <c r="G822" s="1443"/>
      <c r="H822" s="1353">
        <f t="shared" si="33"/>
        <v>0</v>
      </c>
      <c r="I822" s="1306"/>
      <c r="J822" s="1306"/>
      <c r="K822" s="1354"/>
      <c r="L822" s="1125" t="s">
        <v>1295</v>
      </c>
    </row>
    <row r="823" spans="1:13" s="1279" customFormat="1" ht="20.100000000000001" customHeight="1">
      <c r="A823" s="1377">
        <f t="shared" si="32"/>
        <v>0</v>
      </c>
      <c r="B823" s="1582"/>
      <c r="C823" s="1409">
        <f>IF(G823&gt;0,1,0)</f>
        <v>0</v>
      </c>
      <c r="D823" s="1475"/>
      <c r="E823" s="1476" t="s">
        <v>3791</v>
      </c>
      <c r="F823" s="1409" t="s">
        <v>2449</v>
      </c>
      <c r="G823" s="1477">
        <f>G813/3</f>
        <v>0</v>
      </c>
      <c r="H823" s="1353">
        <f t="shared" si="33"/>
        <v>0</v>
      </c>
      <c r="I823" s="1478"/>
      <c r="J823" s="1478"/>
      <c r="K823" s="1424"/>
      <c r="L823" s="1125" t="s">
        <v>1295</v>
      </c>
    </row>
    <row r="824" spans="1:13" s="1279" customFormat="1" ht="20.100000000000001" customHeight="1">
      <c r="A824" s="1377">
        <f>IF(A823&gt;0,1,0)</f>
        <v>0</v>
      </c>
      <c r="B824" s="1582"/>
      <c r="C824" s="1273"/>
      <c r="D824" s="1284"/>
      <c r="E824" s="1637" t="s">
        <v>2342</v>
      </c>
      <c r="F824" s="1286"/>
      <c r="G824" s="1287"/>
      <c r="H824" s="1353">
        <f t="shared" si="33"/>
        <v>0</v>
      </c>
      <c r="I824" s="1340"/>
      <c r="J824" s="1340"/>
      <c r="K824" s="1278"/>
      <c r="L824" s="1125" t="s">
        <v>1295</v>
      </c>
    </row>
    <row r="825" spans="1:13" s="1279" customFormat="1" ht="20.100000000000001" customHeight="1">
      <c r="A825" s="1377">
        <f t="shared" si="32"/>
        <v>0</v>
      </c>
      <c r="B825" s="1378" t="s">
        <v>1071</v>
      </c>
      <c r="C825" s="1273"/>
      <c r="D825" s="1274" t="str">
        <f>VLOOKUP($B825,DG!A:D,DG!$B$2,)</f>
        <v>05.6100</v>
      </c>
      <c r="E825" s="1275" t="str">
        <f>VLOOKUP($B825,DG!A:D,DG!$C$2,)</f>
        <v>Giá chùm treo máy biến áp 3x50</v>
      </c>
      <c r="F825" s="1274" t="str">
        <f>VLOOKUP($B825,DG!A:D,DG!$D$2,)</f>
        <v>cái</v>
      </c>
      <c r="G825" s="1287">
        <f>G823</f>
        <v>0</v>
      </c>
      <c r="H825" s="1353">
        <f t="shared" si="33"/>
        <v>0</v>
      </c>
      <c r="I825" s="1310"/>
      <c r="J825" s="1310"/>
      <c r="K825" s="1278"/>
      <c r="L825" s="1125" t="s">
        <v>1295</v>
      </c>
    </row>
    <row r="826" spans="1:13" s="1279" customFormat="1" ht="20.100000000000001" customHeight="1">
      <c r="A826" s="1377">
        <f t="shared" si="32"/>
        <v>0</v>
      </c>
      <c r="B826" s="1582" t="s">
        <v>1839</v>
      </c>
      <c r="C826" s="1273"/>
      <c r="D826" s="1274">
        <f>VLOOKUP($B826,DG!A:D,DG!$B$2,)</f>
        <v>0</v>
      </c>
      <c r="E826" s="1275" t="str">
        <f>VLOOKUP($B826,DG!A:D,DG!$C$2,)</f>
        <v>Boulon 16x50+ 2 long đền vuông D18-50x50x3/Zn</v>
      </c>
      <c r="F826" s="1274" t="str">
        <f>VLOOKUP($B826,DG!A:D,DG!$D$2,)</f>
        <v>bộ</v>
      </c>
      <c r="G826" s="1287">
        <f>6*G823</f>
        <v>0</v>
      </c>
      <c r="H826" s="1353">
        <f t="shared" si="33"/>
        <v>0</v>
      </c>
      <c r="I826" s="1310"/>
      <c r="J826" s="1310"/>
      <c r="K826" s="1278"/>
      <c r="L826" s="1125" t="s">
        <v>1295</v>
      </c>
    </row>
    <row r="827" spans="1:13" s="1279" customFormat="1" ht="20.100000000000001" customHeight="1">
      <c r="A827" s="1377">
        <f t="shared" si="32"/>
        <v>0</v>
      </c>
      <c r="B827" s="1582" t="s">
        <v>1662</v>
      </c>
      <c r="C827" s="1273"/>
      <c r="D827" s="1274">
        <f>VLOOKUP($B827,DG!A:D,DG!$B$2,)</f>
        <v>0</v>
      </c>
      <c r="E827" s="1275" t="str">
        <f>VLOOKUP($B827,DG!A:D,DG!$C$2,)</f>
        <v>Boulon 16x300+ 2 long đền vuông D18-50x50x3/Zn</v>
      </c>
      <c r="F827" s="1274" t="str">
        <f>VLOOKUP($B827,DG!A:D,DG!$D$2,)</f>
        <v>bộ</v>
      </c>
      <c r="G827" s="1287">
        <f>2*G823</f>
        <v>0</v>
      </c>
      <c r="H827" s="1353">
        <f t="shared" si="33"/>
        <v>0</v>
      </c>
      <c r="I827" s="1310"/>
      <c r="J827" s="1310"/>
      <c r="K827" s="1278"/>
      <c r="L827" s="1125" t="s">
        <v>1295</v>
      </c>
    </row>
    <row r="828" spans="1:13" s="1279" customFormat="1" ht="20.100000000000001" customHeight="1">
      <c r="A828" s="1377">
        <f t="shared" si="32"/>
        <v>0</v>
      </c>
      <c r="B828" s="1582"/>
      <c r="C828" s="1273">
        <f>IF(G828&gt;0,C823+1,C823)</f>
        <v>0</v>
      </c>
      <c r="D828" s="1411"/>
      <c r="E828" s="1412" t="s">
        <v>3773</v>
      </c>
      <c r="F828" s="1390" t="s">
        <v>2449</v>
      </c>
      <c r="G828" s="1390">
        <f>G823*0</f>
        <v>0</v>
      </c>
      <c r="H828" s="1353">
        <f t="shared" si="33"/>
        <v>0</v>
      </c>
      <c r="I828" s="1342"/>
      <c r="J828" s="1342"/>
      <c r="K828" s="1312"/>
      <c r="L828" s="1125" t="s">
        <v>1295</v>
      </c>
    </row>
    <row r="829" spans="1:13" s="1279" customFormat="1" ht="20.100000000000001" customHeight="1">
      <c r="A829" s="1377">
        <f>IF(A828&gt;0,1,0)</f>
        <v>0</v>
      </c>
      <c r="B829" s="1582"/>
      <c r="C829" s="1390"/>
      <c r="D829" s="1411"/>
      <c r="E829" s="1634" t="s">
        <v>2342</v>
      </c>
      <c r="F829" s="1312"/>
      <c r="G829" s="1312"/>
      <c r="H829" s="1353">
        <f t="shared" si="33"/>
        <v>0</v>
      </c>
      <c r="I829" s="1342"/>
      <c r="J829" s="1342"/>
      <c r="K829" s="1312"/>
      <c r="L829" s="1125" t="s">
        <v>1295</v>
      </c>
      <c r="M829" s="1413"/>
    </row>
    <row r="830" spans="1:13" s="1279" customFormat="1" ht="20.100000000000001" customHeight="1">
      <c r="A830" s="1377">
        <f t="shared" si="32"/>
        <v>0</v>
      </c>
      <c r="B830" s="1378" t="s">
        <v>116</v>
      </c>
      <c r="C830" s="1312"/>
      <c r="D830" s="1274">
        <f>VLOOKUP($B830,DG!A:D,DG!$B$2,)</f>
        <v>0</v>
      </c>
      <c r="E830" s="1275" t="str">
        <f>VLOOKUP($B830,DG!A:D,DG!$C$2,)</f>
        <v>Trụ BTLT 12m F350 dự ứng lực</v>
      </c>
      <c r="F830" s="1274" t="str">
        <f>VLOOKUP($B830,DG!A:D,DG!$D$2,)</f>
        <v>trụ</v>
      </c>
      <c r="G830" s="1312">
        <f>1*G828</f>
        <v>0</v>
      </c>
      <c r="H830" s="1353">
        <f t="shared" si="33"/>
        <v>0</v>
      </c>
      <c r="I830" s="1310"/>
      <c r="J830" s="1310"/>
      <c r="K830" s="1312"/>
      <c r="L830" s="1125" t="s">
        <v>1295</v>
      </c>
      <c r="M830" s="1413"/>
    </row>
    <row r="831" spans="1:13" s="1279" customFormat="1" ht="20.100000000000001" customHeight="1">
      <c r="A831" s="1377">
        <f t="shared" si="32"/>
        <v>0</v>
      </c>
      <c r="B831" s="1378" t="s">
        <v>1867</v>
      </c>
      <c r="C831" s="1312"/>
      <c r="D831" s="1414"/>
      <c r="E831" s="1275" t="str">
        <f>VLOOKUP($B831,DG!A:D,DG!$C$2,)</f>
        <v>Vật liệu dựng trụ</v>
      </c>
      <c r="F831" s="1274" t="str">
        <f>VLOOKUP($B831,DG!A:D,DG!$D$2,)</f>
        <v>trụ</v>
      </c>
      <c r="G831" s="1312">
        <f>G830</f>
        <v>0</v>
      </c>
      <c r="H831" s="1353">
        <f t="shared" si="33"/>
        <v>0</v>
      </c>
      <c r="I831" s="1310"/>
      <c r="J831" s="1310"/>
      <c r="K831" s="1312"/>
      <c r="L831" s="1125" t="s">
        <v>1295</v>
      </c>
      <c r="M831" s="1413"/>
    </row>
    <row r="832" spans="1:13" s="1279" customFormat="1" ht="20.100000000000001" customHeight="1">
      <c r="A832" s="1377">
        <f t="shared" si="32"/>
        <v>0</v>
      </c>
      <c r="B832" s="1378" t="s">
        <v>2188</v>
      </c>
      <c r="C832" s="1312"/>
      <c r="D832" s="1414"/>
      <c r="E832" s="1275" t="str">
        <f>VLOOKUP($B832,DG!A:D,DG!$C$2,)</f>
        <v>Dựng trụ BTLT 12m trong TBA bằng thủ công + cơ giới</v>
      </c>
      <c r="F832" s="1274" t="str">
        <f>VLOOKUP($B832,DG!A:D,DG!$D$2,)</f>
        <v>trụ</v>
      </c>
      <c r="G832" s="1312">
        <f>G830</f>
        <v>0</v>
      </c>
      <c r="H832" s="1353">
        <f t="shared" si="33"/>
        <v>0</v>
      </c>
      <c r="I832" s="1310"/>
      <c r="J832" s="1310"/>
      <c r="K832" s="1312"/>
      <c r="L832" s="1125" t="s">
        <v>1295</v>
      </c>
      <c r="M832" s="1413"/>
    </row>
    <row r="833" spans="1:13" s="1279" customFormat="1" ht="20.100000000000001" customHeight="1">
      <c r="A833" s="1377">
        <f t="shared" si="32"/>
        <v>0</v>
      </c>
      <c r="B833" s="1582"/>
      <c r="C833" s="1273">
        <f>IF(G833&gt;0,C828+1,C828)</f>
        <v>0</v>
      </c>
      <c r="D833" s="1411"/>
      <c r="E833" s="1412" t="s">
        <v>2416</v>
      </c>
      <c r="F833" s="1390" t="s">
        <v>2449</v>
      </c>
      <c r="G833" s="1390">
        <f>G828</f>
        <v>0</v>
      </c>
      <c r="H833" s="1353">
        <f t="shared" si="33"/>
        <v>0</v>
      </c>
      <c r="I833" s="1342"/>
      <c r="J833" s="1342"/>
      <c r="K833" s="1312"/>
      <c r="L833" s="1125" t="s">
        <v>1295</v>
      </c>
    </row>
    <row r="834" spans="1:13" s="1279" customFormat="1" ht="20.100000000000001" customHeight="1">
      <c r="A834" s="1377">
        <f>IF(A833&gt;0,1,0)</f>
        <v>0</v>
      </c>
      <c r="B834" s="1582"/>
      <c r="C834" s="1390"/>
      <c r="D834" s="1411"/>
      <c r="E834" s="1634" t="s">
        <v>2342</v>
      </c>
      <c r="F834" s="1312"/>
      <c r="G834" s="1312"/>
      <c r="H834" s="1353">
        <f t="shared" si="33"/>
        <v>0</v>
      </c>
      <c r="I834" s="1342"/>
      <c r="J834" s="1342"/>
      <c r="K834" s="1312"/>
      <c r="L834" s="1125" t="s">
        <v>1295</v>
      </c>
      <c r="M834" s="1413"/>
    </row>
    <row r="835" spans="1:13" s="1279" customFormat="1" ht="20.100000000000001" customHeight="1">
      <c r="A835" s="1377">
        <f t="shared" si="32"/>
        <v>0</v>
      </c>
      <c r="B835" s="1589" t="s">
        <v>641</v>
      </c>
      <c r="C835" s="1312"/>
      <c r="D835" s="1274" t="str">
        <f>VLOOKUP($B835,DG!A:D,DG!$B$2,)</f>
        <v>04.4001</v>
      </c>
      <c r="E835" s="1275" t="str">
        <f>VLOOKUP($B835,DG!A:D,DG!$C$2,)</f>
        <v>Đà cản BTCT 1,2m</v>
      </c>
      <c r="F835" s="1274" t="str">
        <f>VLOOKUP($B835,DG!A:D,DG!$D$2,)</f>
        <v>cái</v>
      </c>
      <c r="G835" s="1312">
        <f>1*G833</f>
        <v>0</v>
      </c>
      <c r="H835" s="1353">
        <f t="shared" si="33"/>
        <v>0</v>
      </c>
      <c r="I835" s="1310"/>
      <c r="J835" s="1310"/>
      <c r="K835" s="1312"/>
      <c r="L835" s="1125" t="s">
        <v>1295</v>
      </c>
      <c r="M835" s="1413"/>
    </row>
    <row r="836" spans="1:13" s="1279" customFormat="1" ht="20.100000000000001" customHeight="1">
      <c r="A836" s="1377">
        <f t="shared" si="32"/>
        <v>0</v>
      </c>
      <c r="B836" s="1589" t="s">
        <v>570</v>
      </c>
      <c r="C836" s="1312"/>
      <c r="D836" s="1274">
        <f>VLOOKUP($B836,DG!A:D,DG!$B$2,)</f>
        <v>0</v>
      </c>
      <c r="E836" s="1275" t="str">
        <f>VLOOKUP($B836,DG!A:D,DG!$C$2,)</f>
        <v>Boulon 22x650+ 2 long đền vuông D24-50x50x3/Zn</v>
      </c>
      <c r="F836" s="1274" t="str">
        <f>VLOOKUP($B836,DG!A:D,DG!$D$2,)</f>
        <v>bộ</v>
      </c>
      <c r="G836" s="1312">
        <f>G833</f>
        <v>0</v>
      </c>
      <c r="H836" s="1353">
        <f t="shared" si="33"/>
        <v>0</v>
      </c>
      <c r="I836" s="1310"/>
      <c r="J836" s="1310"/>
      <c r="K836" s="1312"/>
      <c r="L836" s="1125" t="s">
        <v>1295</v>
      </c>
      <c r="M836" s="1413"/>
    </row>
    <row r="837" spans="1:13" s="1279" customFormat="1" ht="20.100000000000001" customHeight="1">
      <c r="A837" s="1377">
        <f t="shared" si="32"/>
        <v>0</v>
      </c>
      <c r="B837" s="1589" t="str">
        <f>IF(chitiet!F5=1,"MDD1",IF(chitiet!F5=2,"MDD2",IF(chitiet!F5=3,"MDD3",IF(chitiet!F5=4,"MDD4"))))</f>
        <v>MDD3</v>
      </c>
      <c r="C837" s="1312"/>
      <c r="D837" s="1274" t="str">
        <f>VLOOKUP($B837,DG!A:D,DG!$B$2,)</f>
        <v>03.1013</v>
      </c>
      <c r="E837" s="1275" t="str">
        <f>VLOOKUP($B837,DG!A:D,DG!$C$2,)</f>
        <v>Đào hố móng đất cấp 3 sâu &gt;1m DT&lt;5m2</v>
      </c>
      <c r="F837" s="1274" t="str">
        <f>VLOOKUP($B837,DG!A:D,DG!$D$2,)</f>
        <v>m3</v>
      </c>
      <c r="G837" s="1346">
        <f>G833*0.87</f>
        <v>0</v>
      </c>
      <c r="H837" s="1353">
        <f t="shared" si="33"/>
        <v>0</v>
      </c>
      <c r="I837" s="1310"/>
      <c r="J837" s="1310"/>
      <c r="K837" s="1312"/>
      <c r="L837" s="1125" t="s">
        <v>1295</v>
      </c>
      <c r="M837" s="1413"/>
    </row>
    <row r="838" spans="1:13" s="1279" customFormat="1" ht="20.100000000000001" customHeight="1">
      <c r="A838" s="1377">
        <f t="shared" si="32"/>
        <v>0</v>
      </c>
      <c r="B838" s="1589" t="str">
        <f>IF(chitiet!F5=1,"MDAP1",IF(chitiet!F5=2,"MDAP2",IF(chitiet!F5=3,"MDAP3",IF(chitiet!F5=4,"MDAP4"))))</f>
        <v>MDAP3</v>
      </c>
      <c r="C838" s="1312"/>
      <c r="D838" s="1274" t="str">
        <f>VLOOKUP($B838,DG!A:D,DG!$B$2,)</f>
        <v>03.4113</v>
      </c>
      <c r="E838" s="1275" t="str">
        <f>VLOOKUP($B838,DG!A:D,DG!$C$2,)</f>
        <v>Đắp đất hố móng, độ chặt k=0,95</v>
      </c>
      <c r="F838" s="1274" t="str">
        <f>VLOOKUP($B838,DG!A:D,DG!$D$2,)</f>
        <v>m3</v>
      </c>
      <c r="G838" s="1346">
        <f>G833*0.79</f>
        <v>0</v>
      </c>
      <c r="H838" s="1353">
        <f t="shared" si="33"/>
        <v>0</v>
      </c>
      <c r="I838" s="1310"/>
      <c r="J838" s="1310"/>
      <c r="K838" s="1312"/>
      <c r="L838" s="1125" t="s">
        <v>1295</v>
      </c>
      <c r="M838" s="1413"/>
    </row>
    <row r="839" spans="1:13" s="1279" customFormat="1" ht="20.100000000000001" customHeight="1">
      <c r="A839" s="1377">
        <f t="shared" si="32"/>
        <v>0</v>
      </c>
      <c r="B839" s="1582"/>
      <c r="C839" s="1390">
        <f>IF(G839&gt;0,C833+1,C833)</f>
        <v>0</v>
      </c>
      <c r="D839" s="1437"/>
      <c r="E839" s="1425" t="s">
        <v>3798</v>
      </c>
      <c r="F839" s="1390" t="s">
        <v>2449</v>
      </c>
      <c r="G839" s="1390">
        <f>G823</f>
        <v>0</v>
      </c>
      <c r="H839" s="1353">
        <f t="shared" si="33"/>
        <v>0</v>
      </c>
      <c r="I839" s="1342"/>
      <c r="J839" s="1342"/>
      <c r="K839" s="1278"/>
      <c r="L839" s="1125" t="s">
        <v>1295</v>
      </c>
    </row>
    <row r="840" spans="1:13" s="1279" customFormat="1" ht="20.100000000000001" customHeight="1">
      <c r="A840" s="1377">
        <f>IF(A839&gt;0,1,0)</f>
        <v>0</v>
      </c>
      <c r="B840" s="1582"/>
      <c r="C840" s="1390"/>
      <c r="D840" s="1437"/>
      <c r="E840" s="1635" t="s">
        <v>2342</v>
      </c>
      <c r="F840" s="1312"/>
      <c r="G840" s="1312"/>
      <c r="H840" s="1353">
        <f t="shared" si="33"/>
        <v>0</v>
      </c>
      <c r="I840" s="1342"/>
      <c r="J840" s="1342"/>
      <c r="K840" s="1278"/>
      <c r="L840" s="1125" t="s">
        <v>1295</v>
      </c>
    </row>
    <row r="841" spans="1:13" s="1279" customFormat="1" ht="20.100000000000001" customHeight="1">
      <c r="A841" s="1377">
        <f t="shared" si="32"/>
        <v>0</v>
      </c>
      <c r="B841" s="1589" t="s">
        <v>365</v>
      </c>
      <c r="C841" s="1390"/>
      <c r="D841" s="1274">
        <f>VLOOKUP($B841,DG!A:D,DG!$B$2,)</f>
        <v>0</v>
      </c>
      <c r="E841" s="1275" t="str">
        <f>VLOOKUP($B841,DG!A:D,DG!$C$2,)</f>
        <v>Xà composite 110x800x5</v>
      </c>
      <c r="F841" s="1274" t="str">
        <f>VLOOKUP($B841,DG!A:D,DG!$D$2,)</f>
        <v>m</v>
      </c>
      <c r="G841" s="1346">
        <f>G839*2.4</f>
        <v>0</v>
      </c>
      <c r="H841" s="1353">
        <f t="shared" si="33"/>
        <v>0</v>
      </c>
      <c r="I841" s="1310"/>
      <c r="J841" s="1310"/>
      <c r="K841" s="1278"/>
      <c r="L841" s="1125" t="s">
        <v>1295</v>
      </c>
    </row>
    <row r="842" spans="1:13" s="1279" customFormat="1" ht="20.100000000000001" customHeight="1">
      <c r="A842" s="1377">
        <f t="shared" si="32"/>
        <v>0</v>
      </c>
      <c r="B842" s="1582" t="s">
        <v>366</v>
      </c>
      <c r="C842" s="1390"/>
      <c r="D842" s="1274">
        <f>VLOOKUP($B842,DG!A:D,DG!$B$2,)</f>
        <v>0</v>
      </c>
      <c r="E842" s="1275" t="str">
        <f>VLOOKUP($B842,DG!A:D,DG!$C$2,)</f>
        <v>Chống composite 40x10x920</v>
      </c>
      <c r="F842" s="1274" t="str">
        <f>VLOOKUP($B842,DG!A:D,DG!$D$2,)</f>
        <v>cái</v>
      </c>
      <c r="G842" s="1346">
        <f>2*G839</f>
        <v>0</v>
      </c>
      <c r="H842" s="1353">
        <f t="shared" si="33"/>
        <v>0</v>
      </c>
      <c r="I842" s="1310"/>
      <c r="J842" s="1310"/>
      <c r="K842" s="1278"/>
      <c r="L842" s="1125" t="s">
        <v>1295</v>
      </c>
    </row>
    <row r="843" spans="1:13" s="1279" customFormat="1" ht="20.100000000000001" customHeight="1">
      <c r="A843" s="1377">
        <f t="shared" si="32"/>
        <v>0</v>
      </c>
      <c r="B843" s="1582" t="s">
        <v>491</v>
      </c>
      <c r="C843" s="1390"/>
      <c r="D843" s="1274">
        <f>VLOOKUP($B843,DG!A:D,DG!$B$2,)</f>
        <v>0</v>
      </c>
      <c r="E843" s="1275" t="str">
        <f>VLOOKUP($B843,DG!A:D,DG!$C$2,)</f>
        <v>Bass LL bắt FCO và LA</v>
      </c>
      <c r="F843" s="1274" t="str">
        <f>VLOOKUP($B843,DG!A:D,DG!$D$2,)</f>
        <v>bộ</v>
      </c>
      <c r="G843" s="1312">
        <f>G839*3</f>
        <v>0</v>
      </c>
      <c r="H843" s="1353">
        <f t="shared" si="33"/>
        <v>0</v>
      </c>
      <c r="I843" s="1310"/>
      <c r="J843" s="1310"/>
      <c r="K843" s="1278"/>
      <c r="L843" s="1125" t="s">
        <v>1295</v>
      </c>
    </row>
    <row r="844" spans="1:13" s="1279" customFormat="1" ht="20.100000000000001" customHeight="1">
      <c r="A844" s="1377">
        <f t="shared" si="32"/>
        <v>0</v>
      </c>
      <c r="B844" s="1582" t="s">
        <v>810</v>
      </c>
      <c r="C844" s="1390"/>
      <c r="D844" s="1274">
        <f>VLOOKUP($B844,DG!A:D,DG!$B$2,)</f>
        <v>0</v>
      </c>
      <c r="E844" s="1275" t="str">
        <f>VLOOKUP($B844,DG!A:D,DG!$C$2,)</f>
        <v>Boulon 16x100+ 2 long đền vuông D18-50x50x3/Zn</v>
      </c>
      <c r="F844" s="1274" t="str">
        <f>VLOOKUP($B844,DG!A:D,DG!$D$2,)</f>
        <v>bộ</v>
      </c>
      <c r="G844" s="1312">
        <f>2*G839</f>
        <v>0</v>
      </c>
      <c r="H844" s="1353">
        <f t="shared" si="33"/>
        <v>0</v>
      </c>
      <c r="I844" s="1310"/>
      <c r="J844" s="1310"/>
      <c r="K844" s="1278"/>
      <c r="L844" s="1125" t="s">
        <v>1295</v>
      </c>
    </row>
    <row r="845" spans="1:13" s="1279" customFormat="1" ht="20.100000000000001" customHeight="1">
      <c r="A845" s="1377">
        <f t="shared" si="32"/>
        <v>0</v>
      </c>
      <c r="B845" s="1582" t="s">
        <v>1113</v>
      </c>
      <c r="C845" s="1390"/>
      <c r="D845" s="1274">
        <f>VLOOKUP($B845,DG!A:D,DG!$B$2,)</f>
        <v>0</v>
      </c>
      <c r="E845" s="1275" t="str">
        <f>VLOOKUP($B845,DG!A:D,DG!$C$2,)</f>
        <v>Boulon 16x400+ 2 long đền vuông D18-50x50x3/Zn</v>
      </c>
      <c r="F845" s="1274" t="str">
        <f>VLOOKUP($B845,DG!A:D,DG!$D$2,)</f>
        <v>bộ</v>
      </c>
      <c r="G845" s="1312">
        <f>2*G839</f>
        <v>0</v>
      </c>
      <c r="H845" s="1353">
        <f t="shared" si="33"/>
        <v>0</v>
      </c>
      <c r="I845" s="1310"/>
      <c r="J845" s="1310"/>
      <c r="K845" s="1278"/>
      <c r="L845" s="1125" t="s">
        <v>1295</v>
      </c>
    </row>
    <row r="846" spans="1:13" s="1279" customFormat="1" ht="20.100000000000001" customHeight="1">
      <c r="A846" s="1377">
        <f t="shared" si="32"/>
        <v>0</v>
      </c>
      <c r="B846" s="1582" t="s">
        <v>423</v>
      </c>
      <c r="C846" s="1390"/>
      <c r="D846" s="1274" t="str">
        <f>VLOOKUP($B846,DG!A:D,DG!$B$2,)</f>
        <v>05.6102</v>
      </c>
      <c r="E846" s="1275" t="str">
        <f>VLOOKUP($B846,DG!A:D,DG!$C$2,)</f>
        <v>Lắp xà đỡ ≤ 50kg</v>
      </c>
      <c r="F846" s="1274" t="str">
        <f>VLOOKUP($B846,DG!A:D,DG!$D$2,)</f>
        <v>bộ</v>
      </c>
      <c r="G846" s="1312">
        <f>G839</f>
        <v>0</v>
      </c>
      <c r="H846" s="1353">
        <f t="shared" si="33"/>
        <v>0</v>
      </c>
      <c r="I846" s="1310"/>
      <c r="J846" s="1310"/>
      <c r="K846" s="1278"/>
      <c r="L846" s="1125" t="s">
        <v>1295</v>
      </c>
    </row>
    <row r="847" spans="1:13" s="1279" customFormat="1" ht="20.100000000000001" customHeight="1">
      <c r="A847" s="1377">
        <f t="shared" si="32"/>
        <v>0</v>
      </c>
      <c r="B847" s="1582"/>
      <c r="C847" s="1273">
        <f>IF(G847&gt;0,C839+1,C839)</f>
        <v>0</v>
      </c>
      <c r="D847" s="1284"/>
      <c r="E847" s="1479" t="s">
        <v>3793</v>
      </c>
      <c r="F847" s="1273" t="s">
        <v>2449</v>
      </c>
      <c r="G847" s="1293">
        <f>G823</f>
        <v>0</v>
      </c>
      <c r="H847" s="1353">
        <f t="shared" si="33"/>
        <v>0</v>
      </c>
      <c r="I847" s="1342"/>
      <c r="J847" s="1342"/>
      <c r="K847" s="1278"/>
      <c r="L847" s="1125" t="s">
        <v>1295</v>
      </c>
    </row>
    <row r="848" spans="1:13" s="1279" customFormat="1" ht="20.100000000000001" customHeight="1">
      <c r="A848" s="1377">
        <f>IF(A847&gt;0,1,0)</f>
        <v>0</v>
      </c>
      <c r="B848" s="1582"/>
      <c r="C848" s="1273"/>
      <c r="D848" s="1284"/>
      <c r="E848" s="1637" t="s">
        <v>2342</v>
      </c>
      <c r="F848" s="1274"/>
      <c r="G848" s="1287"/>
      <c r="H848" s="1353">
        <f t="shared" si="33"/>
        <v>0</v>
      </c>
      <c r="I848" s="1342"/>
      <c r="J848" s="1342"/>
      <c r="K848" s="1278"/>
      <c r="L848" s="1125" t="s">
        <v>1295</v>
      </c>
    </row>
    <row r="849" spans="1:12" s="1279" customFormat="1" ht="20.100000000000001" customHeight="1">
      <c r="A849" s="1377">
        <f t="shared" si="32"/>
        <v>0</v>
      </c>
      <c r="B849" s="1582" t="s">
        <v>103</v>
      </c>
      <c r="C849" s="1312"/>
      <c r="D849" s="1274">
        <f>VLOOKUP($B849,DG!A:D,DG!$B$2,)</f>
        <v>0</v>
      </c>
      <c r="E849" s="1275" t="str">
        <f>VLOOKUP($B849,DG!A:D,DG!$C$2,)</f>
        <v>Cáp đồng trần M25mm2</v>
      </c>
      <c r="F849" s="1274" t="str">
        <f>VLOOKUP($B849,DG!A:D,DG!$D$2,)</f>
        <v>kg</v>
      </c>
      <c r="G849" s="1396">
        <f>G847*10*0.224</f>
        <v>0</v>
      </c>
      <c r="H849" s="1353">
        <f t="shared" si="33"/>
        <v>0</v>
      </c>
      <c r="I849" s="1310"/>
      <c r="J849" s="1310"/>
      <c r="K849" s="1278"/>
      <c r="L849" s="1125" t="s">
        <v>1295</v>
      </c>
    </row>
    <row r="850" spans="1:12" s="1279" customFormat="1" ht="20.100000000000001" customHeight="1">
      <c r="A850" s="1377">
        <f t="shared" ref="A850:A910" si="35">IF(H850&gt;0,1,0)</f>
        <v>0</v>
      </c>
      <c r="B850" s="1378" t="s">
        <v>1560</v>
      </c>
      <c r="C850" s="1312"/>
      <c r="D850" s="1274">
        <f>VLOOKUP($B850,DG!A:D,DG!$B$2,)</f>
        <v>0</v>
      </c>
      <c r="E850" s="1275" t="str">
        <f>VLOOKUP($B850,DG!A:D,DG!$C$2,)</f>
        <v>Cọc tiếp đất Ø 16- 2,4m + kẹp cọc</v>
      </c>
      <c r="F850" s="1274" t="str">
        <f>VLOOKUP($B850,DG!A:D,DG!$D$2,)</f>
        <v>bộ</v>
      </c>
      <c r="G850" s="1312">
        <f>G847*12</f>
        <v>0</v>
      </c>
      <c r="H850" s="1353">
        <f t="shared" si="33"/>
        <v>0</v>
      </c>
      <c r="I850" s="1310"/>
      <c r="J850" s="1310"/>
      <c r="K850" s="1278"/>
      <c r="L850" s="1125" t="s">
        <v>1295</v>
      </c>
    </row>
    <row r="851" spans="1:12" s="1279" customFormat="1" ht="20.100000000000001" customHeight="1">
      <c r="A851" s="1377">
        <f t="shared" si="35"/>
        <v>0</v>
      </c>
      <c r="B851" s="1378" t="s">
        <v>1025</v>
      </c>
      <c r="C851" s="1312"/>
      <c r="D851" s="1274">
        <f>VLOOKUP($B851,DG!A:D,DG!$B$2,)</f>
        <v>0</v>
      </c>
      <c r="E851" s="1275" t="str">
        <f>VLOOKUP($B851,DG!A:D,DG!$C$2,)</f>
        <v>Sắt   Ø10</v>
      </c>
      <c r="F851" s="1274" t="str">
        <f>VLOOKUP($B851,DG!A:D,DG!$D$2,)</f>
        <v>kg</v>
      </c>
      <c r="G851" s="1312">
        <f>0.395*40*G847</f>
        <v>0</v>
      </c>
      <c r="H851" s="1353">
        <f t="shared" si="33"/>
        <v>0</v>
      </c>
      <c r="I851" s="1310"/>
      <c r="J851" s="1310"/>
      <c r="K851" s="1278"/>
      <c r="L851" s="1125" t="s">
        <v>1295</v>
      </c>
    </row>
    <row r="852" spans="1:12" s="1279" customFormat="1" ht="20.100000000000001" customHeight="1">
      <c r="A852" s="1377">
        <f t="shared" si="35"/>
        <v>0</v>
      </c>
      <c r="B852" s="1378" t="s">
        <v>373</v>
      </c>
      <c r="C852" s="1312"/>
      <c r="D852" s="1274">
        <f>VLOOKUP($B852,DG!A:D,DG!$B$2,)</f>
        <v>0</v>
      </c>
      <c r="E852" s="1275" t="str">
        <f>VLOOKUP($B852,DG!A:D,DG!$C$2,)</f>
        <v>Bake D16 - 200x200</v>
      </c>
      <c r="F852" s="1274" t="str">
        <f>VLOOKUP($B852,DG!A:D,DG!$D$2,)</f>
        <v>cái</v>
      </c>
      <c r="G852" s="1312">
        <f>G847*14</f>
        <v>0</v>
      </c>
      <c r="H852" s="1353">
        <f t="shared" si="33"/>
        <v>0</v>
      </c>
      <c r="I852" s="1310"/>
      <c r="J852" s="1310"/>
      <c r="K852" s="1278"/>
      <c r="L852" s="1125" t="s">
        <v>1295</v>
      </c>
    </row>
    <row r="853" spans="1:12" s="1279" customFormat="1" ht="20.100000000000001" customHeight="1">
      <c r="A853" s="1377">
        <f t="shared" si="35"/>
        <v>0</v>
      </c>
      <c r="B853" s="1587" t="s">
        <v>1631</v>
      </c>
      <c r="C853" s="1312"/>
      <c r="D853" s="1274">
        <f>VLOOKUP($B853,DG!A:D,DG!$B$2,)</f>
        <v>0</v>
      </c>
      <c r="E853" s="1275" t="str">
        <f>VLOOKUP($B853,DG!A:D,DG!$C$2,)</f>
        <v>Kẹp ép WR cỡ dây 50mm2</v>
      </c>
      <c r="F853" s="1274" t="str">
        <f>VLOOKUP($B853,DG!A:D,DG!$D$2,)</f>
        <v>cái</v>
      </c>
      <c r="G853" s="1312">
        <f>2*G847</f>
        <v>0</v>
      </c>
      <c r="H853" s="1353">
        <f t="shared" si="33"/>
        <v>0</v>
      </c>
      <c r="I853" s="1310"/>
      <c r="J853" s="1310"/>
      <c r="K853" s="1278"/>
      <c r="L853" s="1125" t="s">
        <v>1295</v>
      </c>
    </row>
    <row r="854" spans="1:12" s="1279" customFormat="1" ht="20.100000000000001" customHeight="1">
      <c r="A854" s="1377">
        <f t="shared" si="35"/>
        <v>0</v>
      </c>
      <c r="B854" s="1587" t="s">
        <v>1145</v>
      </c>
      <c r="C854" s="1312"/>
      <c r="D854" s="1274">
        <f>VLOOKUP($B854,DG!A:D,DG!$B$2,)</f>
        <v>0</v>
      </c>
      <c r="E854" s="1275" t="str">
        <f>VLOOKUP($B854,DG!A:D,DG!$C$2,)</f>
        <v>Kẹp ép cỡ dây 25mm2</v>
      </c>
      <c r="F854" s="1274" t="str">
        <f>VLOOKUP($B854,DG!A:D,DG!$D$2,)</f>
        <v>cái</v>
      </c>
      <c r="G854" s="1312">
        <f>G847*4</f>
        <v>0</v>
      </c>
      <c r="H854" s="1353">
        <f t="shared" si="33"/>
        <v>0</v>
      </c>
      <c r="I854" s="1310"/>
      <c r="J854" s="1310"/>
      <c r="K854" s="1278"/>
      <c r="L854" s="1125" t="s">
        <v>1295</v>
      </c>
    </row>
    <row r="855" spans="1:12" s="1279" customFormat="1" ht="20.100000000000001" customHeight="1">
      <c r="A855" s="1377">
        <f t="shared" si="35"/>
        <v>0</v>
      </c>
      <c r="B855" s="1587" t="s">
        <v>378</v>
      </c>
      <c r="C855" s="1312"/>
      <c r="D855" s="1274" t="str">
        <f>VLOOKUP($B855,DG!A:D,DG!$B$2,)</f>
        <v>03.4002</v>
      </c>
      <c r="E855" s="1275" t="str">
        <f>VLOOKUP($B855,DG!A:D,DG!$C$2,)</f>
        <v>Đầu cosse ép Cu 35mm2</v>
      </c>
      <c r="F855" s="1274" t="str">
        <f>VLOOKUP($B855,DG!A:D,DG!$D$2,)</f>
        <v>cái</v>
      </c>
      <c r="G855" s="1312">
        <f>G847*2</f>
        <v>0</v>
      </c>
      <c r="H855" s="1353">
        <f t="shared" si="33"/>
        <v>0</v>
      </c>
      <c r="I855" s="1310"/>
      <c r="J855" s="1310"/>
      <c r="K855" s="1278"/>
      <c r="L855" s="1125" t="s">
        <v>1295</v>
      </c>
    </row>
    <row r="856" spans="1:12" s="1279" customFormat="1" ht="20.100000000000001" customHeight="1">
      <c r="A856" s="1377">
        <f t="shared" si="35"/>
        <v>0</v>
      </c>
      <c r="B856" s="1587" t="s">
        <v>372</v>
      </c>
      <c r="C856" s="1312"/>
      <c r="D856" s="1274" t="str">
        <f>VLOOKUP($B856,DG!A:D,DG!$B$2,)</f>
        <v>03.4003</v>
      </c>
      <c r="E856" s="1275" t="str">
        <f>VLOOKUP($B856,DG!A:D,DG!$C$2,)</f>
        <v>Đầu cosse ép Cu 70mm2</v>
      </c>
      <c r="F856" s="1274" t="str">
        <f>VLOOKUP($B856,DG!A:D,DG!$D$2,)</f>
        <v>cái</v>
      </c>
      <c r="G856" s="1312">
        <f>G847*2</f>
        <v>0</v>
      </c>
      <c r="H856" s="1353">
        <f t="shared" si="33"/>
        <v>0</v>
      </c>
      <c r="I856" s="1310"/>
      <c r="J856" s="1310"/>
      <c r="K856" s="1278"/>
      <c r="L856" s="1125" t="s">
        <v>1295</v>
      </c>
    </row>
    <row r="857" spans="1:12" s="1279" customFormat="1" ht="20.100000000000001" customHeight="1">
      <c r="A857" s="1377">
        <f t="shared" si="35"/>
        <v>0</v>
      </c>
      <c r="B857" s="1378" t="s">
        <v>376</v>
      </c>
      <c r="C857" s="1312"/>
      <c r="D857" s="1274" t="str">
        <f>VLOOKUP($B857,DG!A:D,DG!$B$2,)</f>
        <v>06.3231</v>
      </c>
      <c r="E857" s="1275" t="str">
        <f>VLOOKUP($B857,DG!A:D,DG!$C$2,)</f>
        <v>Cổ dê kẹp sắt Ø 10</v>
      </c>
      <c r="F857" s="1274" t="str">
        <f>VLOOKUP($B857,DG!A:D,DG!$D$2,)</f>
        <v>bộ</v>
      </c>
      <c r="G857" s="1312">
        <f>4*G847</f>
        <v>0</v>
      </c>
      <c r="H857" s="1353">
        <f t="shared" si="33"/>
        <v>0</v>
      </c>
      <c r="I857" s="1310"/>
      <c r="J857" s="1310"/>
      <c r="K857" s="1278"/>
      <c r="L857" s="1125" t="s">
        <v>1295</v>
      </c>
    </row>
    <row r="858" spans="1:12" s="1279" customFormat="1" ht="20.100000000000001" customHeight="1">
      <c r="A858" s="1377">
        <f t="shared" si="35"/>
        <v>0</v>
      </c>
      <c r="B858" s="1378" t="s">
        <v>1383</v>
      </c>
      <c r="C858" s="1312"/>
      <c r="D858" s="1274">
        <f>VLOOKUP($B858,DG!A:D,DG!$B$2,)</f>
        <v>0</v>
      </c>
      <c r="E858" s="1275" t="s">
        <v>829</v>
      </c>
      <c r="F858" s="1274" t="str">
        <f>VLOOKUP($B858,DG!A:D,DG!$D$2,)</f>
        <v>bộ</v>
      </c>
      <c r="G858" s="1312">
        <f>2*G847</f>
        <v>0</v>
      </c>
      <c r="H858" s="1353">
        <f t="shared" si="33"/>
        <v>0</v>
      </c>
      <c r="I858" s="1310"/>
      <c r="J858" s="1310"/>
      <c r="K858" s="1278"/>
      <c r="L858" s="1125" t="s">
        <v>1295</v>
      </c>
    </row>
    <row r="859" spans="1:12" s="1279" customFormat="1" ht="20.100000000000001" customHeight="1">
      <c r="A859" s="1377">
        <f t="shared" si="35"/>
        <v>0</v>
      </c>
      <c r="B859" s="1587" t="s">
        <v>2245</v>
      </c>
      <c r="C859" s="1312"/>
      <c r="D859" s="1274" t="str">
        <f>VLOOKUP($B859,DG!A:D,DG!$B$2,)</f>
        <v>04.7002</v>
      </c>
      <c r="E859" s="1275" t="str">
        <f>VLOOKUP($B859,DG!A:D,DG!$C$2,)</f>
        <v>Kéo dây tiếp địa trong TBA</v>
      </c>
      <c r="F859" s="1274" t="str">
        <f>VLOOKUP($B859,DG!A:D,DG!$D$2,)</f>
        <v>mét</v>
      </c>
      <c r="G859" s="1312">
        <f>G847*40</f>
        <v>0</v>
      </c>
      <c r="H859" s="1353">
        <f t="shared" si="33"/>
        <v>0</v>
      </c>
      <c r="I859" s="1310"/>
      <c r="J859" s="1310"/>
      <c r="K859" s="1278"/>
      <c r="L859" s="1125" t="s">
        <v>1295</v>
      </c>
    </row>
    <row r="860" spans="1:12" s="1279" customFormat="1" ht="20.100000000000001" customHeight="1">
      <c r="A860" s="1377">
        <f t="shared" si="35"/>
        <v>0</v>
      </c>
      <c r="B860" s="1378" t="s">
        <v>919</v>
      </c>
      <c r="C860" s="1312"/>
      <c r="D860" s="1274" t="str">
        <f>VLOOKUP($B860,DG!A:D,DG!$B$2,)</f>
        <v>04.7001</v>
      </c>
      <c r="E860" s="1275" t="str">
        <f>VLOOKUP($B860,DG!A:D,DG!$C$2,)</f>
        <v>Đóng cọc tiếp địa trong TBA</v>
      </c>
      <c r="F860" s="1274" t="str">
        <f>VLOOKUP($B860,DG!A:D,DG!$D$2,)</f>
        <v>cọc</v>
      </c>
      <c r="G860" s="1312">
        <f>G850</f>
        <v>0</v>
      </c>
      <c r="H860" s="1353">
        <f t="shared" si="33"/>
        <v>0</v>
      </c>
      <c r="I860" s="1310"/>
      <c r="J860" s="1310"/>
      <c r="K860" s="1278"/>
      <c r="L860" s="1125" t="s">
        <v>1295</v>
      </c>
    </row>
    <row r="861" spans="1:12" s="1279" customFormat="1" ht="20.100000000000001" customHeight="1">
      <c r="A861" s="1377">
        <f t="shared" si="35"/>
        <v>0</v>
      </c>
      <c r="B861" s="1587" t="str">
        <f>"dtd"&amp;chitiet!F5</f>
        <v>dtd3</v>
      </c>
      <c r="C861" s="1312"/>
      <c r="D861" s="1274" t="str">
        <f>VLOOKUP($B861,DG!A:D,DG!$B$2,)</f>
        <v>03.3123</v>
      </c>
      <c r="E861" s="1275" t="str">
        <f>VLOOKUP($B861,DG!A:D,DG!$C$2,)</f>
        <v>Đào rãnh tiếp địa đất cấp 3</v>
      </c>
      <c r="F861" s="1274" t="str">
        <f>VLOOKUP($B861,DG!A:D,DG!$D$2,)</f>
        <v>m3</v>
      </c>
      <c r="G861" s="1346">
        <f>G847*11*0.3*0.5</f>
        <v>0</v>
      </c>
      <c r="H861" s="1353">
        <f t="shared" si="33"/>
        <v>0</v>
      </c>
      <c r="I861" s="1310"/>
      <c r="J861" s="1310"/>
      <c r="K861" s="1278"/>
      <c r="L861" s="1125" t="s">
        <v>1295</v>
      </c>
    </row>
    <row r="862" spans="1:12" s="1279" customFormat="1" ht="20.100000000000001" customHeight="1">
      <c r="A862" s="1377">
        <f t="shared" si="35"/>
        <v>0</v>
      </c>
      <c r="B862" s="1378" t="str">
        <f>"datd"&amp;chitiet!F5</f>
        <v>datd3</v>
      </c>
      <c r="C862" s="1312"/>
      <c r="D862" s="1274" t="str">
        <f>VLOOKUP($B862,DG!A:D,DG!$B$2,)</f>
        <v>03.4123</v>
      </c>
      <c r="E862" s="1275" t="str">
        <f>VLOOKUP($B862,DG!A:D,DG!$C$2,)</f>
        <v>Đắp đất rãnh tiếp độ chặt k=0,95</v>
      </c>
      <c r="F862" s="1274" t="str">
        <f>VLOOKUP($B862,DG!A:D,DG!$D$2,)</f>
        <v>m3</v>
      </c>
      <c r="G862" s="1346">
        <f>G861</f>
        <v>0</v>
      </c>
      <c r="H862" s="1353">
        <f t="shared" si="33"/>
        <v>0</v>
      </c>
      <c r="I862" s="1310"/>
      <c r="J862" s="1310"/>
      <c r="K862" s="1278"/>
      <c r="L862" s="1125" t="s">
        <v>1295</v>
      </c>
    </row>
    <row r="863" spans="1:12" s="1279" customFormat="1" ht="20.100000000000001" customHeight="1">
      <c r="A863" s="1377">
        <f t="shared" si="35"/>
        <v>0</v>
      </c>
      <c r="B863" s="1582"/>
      <c r="C863" s="1479">
        <f>IF(G863&gt;0,C847+1,C847)</f>
        <v>0</v>
      </c>
      <c r="D863" s="1480"/>
      <c r="E863" s="1481" t="s">
        <v>3799</v>
      </c>
      <c r="F863" s="1273" t="s">
        <v>2449</v>
      </c>
      <c r="G863" s="1293">
        <f>G823</f>
        <v>0</v>
      </c>
      <c r="H863" s="1353">
        <f t="shared" si="33"/>
        <v>0</v>
      </c>
      <c r="I863" s="1482"/>
      <c r="J863" s="1482"/>
      <c r="K863" s="1278"/>
      <c r="L863" s="1125" t="s">
        <v>1295</v>
      </c>
    </row>
    <row r="864" spans="1:12" s="1279" customFormat="1" ht="20.100000000000001" customHeight="1">
      <c r="A864" s="1377">
        <f>IF(A863&gt;0,1,0)</f>
        <v>0</v>
      </c>
      <c r="B864" s="1582"/>
      <c r="C864" s="1273"/>
      <c r="D864" s="1284"/>
      <c r="E864" s="1637" t="s">
        <v>2342</v>
      </c>
      <c r="F864" s="1274"/>
      <c r="G864" s="1287"/>
      <c r="H864" s="1353">
        <f t="shared" si="33"/>
        <v>0</v>
      </c>
      <c r="I864" s="1342"/>
      <c r="J864" s="1342"/>
      <c r="K864" s="1278"/>
      <c r="L864" s="1125" t="s">
        <v>1295</v>
      </c>
    </row>
    <row r="865" spans="1:12" s="1279" customFormat="1" ht="20.100000000000001" customHeight="1">
      <c r="A865" s="1377">
        <f t="shared" si="35"/>
        <v>0</v>
      </c>
      <c r="B865" s="1620" t="s">
        <v>622</v>
      </c>
      <c r="C865" s="1483"/>
      <c r="D865" s="1274" t="str">
        <f>VLOOKUP($B865,DG!A:D,DG!$B$2,)</f>
        <v>05.1102</v>
      </c>
      <c r="E865" s="1275" t="str">
        <f>VLOOKUP($B865,DG!A:D,DG!$C$2,)</f>
        <v>Vỏ tủ + khóa tủ</v>
      </c>
      <c r="F865" s="1274" t="str">
        <f>VLOOKUP($B865,DG!A:D,DG!$D$2,)</f>
        <v>cái</v>
      </c>
      <c r="G865" s="1287">
        <f>G863</f>
        <v>0</v>
      </c>
      <c r="H865" s="1353">
        <f t="shared" si="33"/>
        <v>0</v>
      </c>
      <c r="I865" s="1310"/>
      <c r="J865" s="1310"/>
      <c r="K865" s="1278"/>
      <c r="L865" s="1125" t="s">
        <v>1295</v>
      </c>
    </row>
    <row r="866" spans="1:12" s="1279" customFormat="1" ht="20.100000000000001" customHeight="1">
      <c r="A866" s="1377">
        <f t="shared" si="35"/>
        <v>0</v>
      </c>
      <c r="B866" s="1582" t="s">
        <v>320</v>
      </c>
      <c r="C866" s="1286"/>
      <c r="D866" s="1274" t="str">
        <f>VLOOKUP($B866,DG!A:D,DG!$B$2,)</f>
        <v>06.3231</v>
      </c>
      <c r="E866" s="1275" t="str">
        <f>VLOOKUP($B866,DG!A:D,DG!$C$2,)</f>
        <v>Cổ dê CDĐKĐT( bắt thùng điện kế)</v>
      </c>
      <c r="F866" s="1274" t="str">
        <f>VLOOKUP($B866,DG!A:D,DG!$D$2,)</f>
        <v>bộ</v>
      </c>
      <c r="G866" s="1287">
        <f>2*G863</f>
        <v>0</v>
      </c>
      <c r="H866" s="1353">
        <f t="shared" si="33"/>
        <v>0</v>
      </c>
      <c r="I866" s="1310"/>
      <c r="J866" s="1310"/>
      <c r="K866" s="1278"/>
      <c r="L866" s="1125" t="s">
        <v>1295</v>
      </c>
    </row>
    <row r="867" spans="1:12" s="1279" customFormat="1" ht="20.100000000000001" customHeight="1">
      <c r="A867" s="1377">
        <f t="shared" si="35"/>
        <v>0</v>
      </c>
      <c r="B867" s="1582" t="s">
        <v>897</v>
      </c>
      <c r="C867" s="1286"/>
      <c r="D867" s="1484"/>
      <c r="E867" s="1275" t="str">
        <f>VLOOKUP($B867,DG!A:D,DG!$C$2,)</f>
        <v xml:space="preserve">Bakelit 550x450 dầy 10mm </v>
      </c>
      <c r="F867" s="1274" t="str">
        <f>VLOOKUP($B867,DG!A:D,DG!$D$2,)</f>
        <v>cái</v>
      </c>
      <c r="G867" s="1287">
        <f>G863</f>
        <v>0</v>
      </c>
      <c r="H867" s="1353">
        <f t="shared" si="33"/>
        <v>0</v>
      </c>
      <c r="I867" s="1310"/>
      <c r="J867" s="1310"/>
      <c r="K867" s="1278"/>
      <c r="L867" s="1125" t="s">
        <v>1295</v>
      </c>
    </row>
    <row r="868" spans="1:12" s="1279" customFormat="1" ht="20.100000000000001" customHeight="1">
      <c r="A868" s="1377">
        <f t="shared" si="35"/>
        <v>0</v>
      </c>
      <c r="B868" s="1582"/>
      <c r="C868" s="1273">
        <f>IF(G868&gt;0,C863+1,C863)</f>
        <v>0</v>
      </c>
      <c r="D868" s="1284"/>
      <c r="E868" s="1479" t="s">
        <v>3800</v>
      </c>
      <c r="F868" s="1273" t="s">
        <v>2449</v>
      </c>
      <c r="G868" s="1293">
        <f>G823</f>
        <v>0</v>
      </c>
      <c r="H868" s="1353">
        <f t="shared" ref="H868:H931" si="36">IF(L868=$L$23,G868+I868-J868,0)</f>
        <v>0</v>
      </c>
      <c r="I868" s="1342"/>
      <c r="J868" s="1342"/>
      <c r="K868" s="1278"/>
      <c r="L868" s="1125" t="s">
        <v>1295</v>
      </c>
    </row>
    <row r="869" spans="1:12" s="1279" customFormat="1" ht="20.100000000000001" customHeight="1">
      <c r="A869" s="1377">
        <f>IF(A868&gt;0,1,0)</f>
        <v>0</v>
      </c>
      <c r="B869" s="1582"/>
      <c r="C869" s="1273"/>
      <c r="D869" s="1284"/>
      <c r="E869" s="1637" t="s">
        <v>2342</v>
      </c>
      <c r="F869" s="1274"/>
      <c r="G869" s="1287"/>
      <c r="H869" s="1353">
        <f t="shared" si="36"/>
        <v>0</v>
      </c>
      <c r="I869" s="1342"/>
      <c r="J869" s="1342"/>
      <c r="K869" s="1278"/>
      <c r="L869" s="1125" t="s">
        <v>1295</v>
      </c>
    </row>
    <row r="870" spans="1:12" s="1279" customFormat="1" ht="20.100000000000001" customHeight="1">
      <c r="A870" s="1377">
        <f t="shared" si="35"/>
        <v>0</v>
      </c>
      <c r="B870" s="1378" t="s">
        <v>704</v>
      </c>
      <c r="C870" s="1286"/>
      <c r="D870" s="1274">
        <f>VLOOKUP($B870,DG!A:D,DG!$B$2,)</f>
        <v>0</v>
      </c>
      <c r="E870" s="1275" t="str">
        <f>VLOOKUP($B870,DG!A:D,DG!$C$2,)</f>
        <v>Cáp 24KV C/XLPE/PVC 25mm2</v>
      </c>
      <c r="F870" s="1274" t="str">
        <f>VLOOKUP($B870,DG!A:D,DG!$D$2,)</f>
        <v>mét</v>
      </c>
      <c r="G870" s="1287">
        <f>9*G868</f>
        <v>0</v>
      </c>
      <c r="H870" s="1353">
        <f t="shared" si="36"/>
        <v>0</v>
      </c>
      <c r="I870" s="1310"/>
      <c r="J870" s="1310"/>
      <c r="K870" s="1278"/>
      <c r="L870" s="1125" t="s">
        <v>1295</v>
      </c>
    </row>
    <row r="871" spans="1:12" s="1279" customFormat="1" ht="20.100000000000001" customHeight="1">
      <c r="A871" s="1377">
        <f t="shared" si="35"/>
        <v>0</v>
      </c>
      <c r="B871" s="1378" t="s">
        <v>1531</v>
      </c>
      <c r="C871" s="1286"/>
      <c r="D871" s="1274" t="str">
        <f>VLOOKUP($B871,DG!A:D,DG!$B$2,)</f>
        <v>04.3007</v>
      </c>
      <c r="E871" s="1275" t="str">
        <f>VLOOKUP($B871,DG!A:D,DG!$C$2,)</f>
        <v>Kẹp quai 2/0</v>
      </c>
      <c r="F871" s="1274" t="str">
        <f>VLOOKUP($B871,DG!A:D,DG!$D$2,)</f>
        <v>cái</v>
      </c>
      <c r="G871" s="1287">
        <f>3*G868</f>
        <v>0</v>
      </c>
      <c r="H871" s="1353">
        <f t="shared" si="36"/>
        <v>0</v>
      </c>
      <c r="I871" s="1310"/>
      <c r="J871" s="1310"/>
      <c r="K871" s="1278"/>
      <c r="L871" s="1125" t="s">
        <v>1295</v>
      </c>
    </row>
    <row r="872" spans="1:12" s="1279" customFormat="1" ht="20.100000000000001" customHeight="1">
      <c r="A872" s="1377">
        <f t="shared" si="35"/>
        <v>0</v>
      </c>
      <c r="B872" s="1378" t="s">
        <v>1529</v>
      </c>
      <c r="C872" s="1286"/>
      <c r="D872" s="1274" t="str">
        <f>VLOOKUP($B872,DG!A:D,DG!$B$2,)</f>
        <v>04.3007</v>
      </c>
      <c r="E872" s="1275" t="str">
        <f>VLOOKUP($B872,DG!A:D,DG!$C$2,)</f>
        <v>Kẹp hotline 2/0</v>
      </c>
      <c r="F872" s="1274" t="str">
        <f>VLOOKUP($B872,DG!A:D,DG!$D$2,)</f>
        <v>cái</v>
      </c>
      <c r="G872" s="1287">
        <f>3*G868</f>
        <v>0</v>
      </c>
      <c r="H872" s="1353">
        <f t="shared" si="36"/>
        <v>0</v>
      </c>
      <c r="I872" s="1310"/>
      <c r="J872" s="1310"/>
      <c r="K872" s="1278"/>
      <c r="L872" s="1125" t="s">
        <v>1295</v>
      </c>
    </row>
    <row r="873" spans="1:12" s="1279" customFormat="1" ht="20.100000000000001" customHeight="1">
      <c r="A873" s="1377">
        <f t="shared" si="35"/>
        <v>0</v>
      </c>
      <c r="B873" s="1378" t="s">
        <v>383</v>
      </c>
      <c r="C873" s="1286"/>
      <c r="D873" s="1274">
        <f>VLOOKUP($B873,DG!A:D,DG!$B$2,)</f>
        <v>0</v>
      </c>
      <c r="E873" s="1275" t="str">
        <f>VLOOKUP($B873,DG!A:D,DG!$C$2,)</f>
        <v>Chụp đầu cực FCO (bộ 2 cái)</v>
      </c>
      <c r="F873" s="1274" t="str">
        <f>VLOOKUP($B873,DG!A:D,DG!$D$2,)</f>
        <v>bộ</v>
      </c>
      <c r="G873" s="1287">
        <f>G814</f>
        <v>0</v>
      </c>
      <c r="H873" s="1353">
        <f t="shared" si="36"/>
        <v>0</v>
      </c>
      <c r="I873" s="1310"/>
      <c r="J873" s="1310"/>
      <c r="K873" s="1278"/>
      <c r="L873" s="1125" t="s">
        <v>1295</v>
      </c>
    </row>
    <row r="874" spans="1:12" s="1279" customFormat="1" ht="20.100000000000001" customHeight="1">
      <c r="A874" s="1377">
        <f t="shared" si="35"/>
        <v>0</v>
      </c>
      <c r="B874" s="1378" t="s">
        <v>384</v>
      </c>
      <c r="C874" s="1286"/>
      <c r="D874" s="1274">
        <f>VLOOKUP($B874,DG!A:D,DG!$B$2,)</f>
        <v>0</v>
      </c>
      <c r="E874" s="1275" t="str">
        <f>VLOOKUP($B874,DG!A:D,DG!$C$2,)</f>
        <v>Chụp đầu cực LA</v>
      </c>
      <c r="F874" s="1274" t="str">
        <f>VLOOKUP($B874,DG!A:D,DG!$D$2,)</f>
        <v>cái</v>
      </c>
      <c r="G874" s="1287">
        <f>G816</f>
        <v>0</v>
      </c>
      <c r="H874" s="1353">
        <f t="shared" si="36"/>
        <v>0</v>
      </c>
      <c r="I874" s="1310"/>
      <c r="J874" s="1310"/>
      <c r="K874" s="1278"/>
      <c r="L874" s="1125" t="s">
        <v>1295</v>
      </c>
    </row>
    <row r="875" spans="1:12" s="1279" customFormat="1" ht="20.100000000000001" customHeight="1">
      <c r="A875" s="1377">
        <f t="shared" si="35"/>
        <v>0</v>
      </c>
      <c r="B875" s="1378" t="s">
        <v>385</v>
      </c>
      <c r="C875" s="1286"/>
      <c r="D875" s="1274">
        <f>VLOOKUP($B875,DG!A:D,DG!$B$2,)</f>
        <v>0</v>
      </c>
      <c r="E875" s="1275" t="str">
        <f>VLOOKUP($B875,DG!A:D,DG!$C$2,)</f>
        <v>Chụp đầu MBA</v>
      </c>
      <c r="F875" s="1274" t="str">
        <f>VLOOKUP($B875,DG!A:D,DG!$D$2,)</f>
        <v>cái</v>
      </c>
      <c r="G875" s="1287">
        <f>G813</f>
        <v>0</v>
      </c>
      <c r="H875" s="1353">
        <f t="shared" si="36"/>
        <v>0</v>
      </c>
      <c r="I875" s="1310"/>
      <c r="J875" s="1310"/>
      <c r="K875" s="1278"/>
      <c r="L875" s="1125" t="s">
        <v>1295</v>
      </c>
    </row>
    <row r="876" spans="1:12" s="1279" customFormat="1" ht="20.100000000000001" customHeight="1">
      <c r="A876" s="1377">
        <f t="shared" si="35"/>
        <v>0</v>
      </c>
      <c r="B876" s="1378" t="s">
        <v>1577</v>
      </c>
      <c r="C876" s="1286"/>
      <c r="D876" s="1274" t="str">
        <f>VLOOKUP($B876,DG!A:D,DG!$B$2,)</f>
        <v>04.4201</v>
      </c>
      <c r="E876" s="1275" t="str">
        <f>VLOOKUP($B876,DG!A:D,DG!$C$2,)</f>
        <v>Lắp cáp đồng xuống thiết bị D ≤ 95mm2</v>
      </c>
      <c r="F876" s="1274" t="str">
        <f>VLOOKUP($B876,DG!A:D,DG!$D$2,)</f>
        <v>m</v>
      </c>
      <c r="G876" s="1287">
        <f>G870</f>
        <v>0</v>
      </c>
      <c r="H876" s="1353">
        <f t="shared" si="36"/>
        <v>0</v>
      </c>
      <c r="I876" s="1310"/>
      <c r="J876" s="1310"/>
      <c r="K876" s="1278"/>
      <c r="L876" s="1125" t="s">
        <v>1295</v>
      </c>
    </row>
    <row r="877" spans="1:12" s="1279" customFormat="1" ht="20.100000000000001" customHeight="1">
      <c r="A877" s="1377">
        <f t="shared" si="35"/>
        <v>0</v>
      </c>
      <c r="B877" s="1582"/>
      <c r="C877" s="1273">
        <f>IF(G877&gt;0,C868+1,C868)</f>
        <v>0</v>
      </c>
      <c r="D877" s="1284"/>
      <c r="E877" s="1481" t="s">
        <v>3809</v>
      </c>
      <c r="F877" s="1273" t="s">
        <v>2449</v>
      </c>
      <c r="G877" s="1293">
        <f>G823</f>
        <v>0</v>
      </c>
      <c r="H877" s="1353">
        <f t="shared" si="36"/>
        <v>0</v>
      </c>
      <c r="I877" s="1342"/>
      <c r="J877" s="1342"/>
      <c r="K877" s="1278"/>
      <c r="L877" s="1125" t="s">
        <v>1295</v>
      </c>
    </row>
    <row r="878" spans="1:12" s="1279" customFormat="1" ht="20.100000000000001" customHeight="1">
      <c r="A878" s="1377">
        <f>IF(A877&gt;0,1,0)</f>
        <v>0</v>
      </c>
      <c r="B878" s="1582"/>
      <c r="C878" s="1273"/>
      <c r="D878" s="1284"/>
      <c r="E878" s="1638" t="s">
        <v>2342</v>
      </c>
      <c r="F878" s="1274"/>
      <c r="G878" s="1293"/>
      <c r="H878" s="1353">
        <f t="shared" si="36"/>
        <v>0</v>
      </c>
      <c r="I878" s="1342"/>
      <c r="J878" s="1342"/>
      <c r="K878" s="1278"/>
      <c r="L878" s="1125" t="s">
        <v>1295</v>
      </c>
    </row>
    <row r="879" spans="1:12" s="1279" customFormat="1" ht="20.100000000000001" customHeight="1">
      <c r="A879" s="1377">
        <f t="shared" si="35"/>
        <v>0</v>
      </c>
      <c r="B879" s="1582" t="s">
        <v>32</v>
      </c>
      <c r="C879" s="1286"/>
      <c r="D879" s="1274">
        <f>VLOOKUP($B879,DG!A:D,DG!$B$2,)</f>
        <v>0</v>
      </c>
      <c r="E879" s="1275" t="str">
        <f>VLOOKUP($B879,DG!A:D,DG!$C$2,)&amp;": 9m/pha"</f>
        <v>Cáp đồng bọc CV120: 9m/pha</v>
      </c>
      <c r="F879" s="1274" t="str">
        <f>VLOOKUP($B879,DG!A:D,DG!$D$2,)</f>
        <v>mét</v>
      </c>
      <c r="G879" s="1287">
        <f>27*G877</f>
        <v>0</v>
      </c>
      <c r="H879" s="1353">
        <f t="shared" si="36"/>
        <v>0</v>
      </c>
      <c r="I879" s="1310"/>
      <c r="J879" s="1310"/>
      <c r="K879" s="1278"/>
      <c r="L879" s="1125" t="s">
        <v>1295</v>
      </c>
    </row>
    <row r="880" spans="1:12" s="1279" customFormat="1" ht="20.100000000000001" customHeight="1">
      <c r="A880" s="1377">
        <f t="shared" si="35"/>
        <v>0</v>
      </c>
      <c r="B880" s="1582" t="s">
        <v>1675</v>
      </c>
      <c r="C880" s="1286"/>
      <c r="D880" s="1274">
        <f>VLOOKUP($B880,DG!A:D,DG!$B$2,)</f>
        <v>0</v>
      </c>
      <c r="E880" s="1275" t="str">
        <f>VLOOKUP($B880,DG!A:D,DG!$C$2,)&amp;": 10/trung hoøa"</f>
        <v>Cáp đồng bọc CV70: 10/trung hoøa</v>
      </c>
      <c r="F880" s="1274" t="str">
        <f>VLOOKUP($B880,DG!A:D,DG!$D$2,)</f>
        <v>mét</v>
      </c>
      <c r="G880" s="1287">
        <f>10*G877</f>
        <v>0</v>
      </c>
      <c r="H880" s="1353">
        <f t="shared" si="36"/>
        <v>0</v>
      </c>
      <c r="I880" s="1310"/>
      <c r="J880" s="1310"/>
      <c r="K880" s="1278"/>
      <c r="L880" s="1125" t="s">
        <v>1295</v>
      </c>
    </row>
    <row r="881" spans="1:12" s="1279" customFormat="1" ht="20.100000000000001" customHeight="1">
      <c r="A881" s="1377">
        <f t="shared" si="35"/>
        <v>0</v>
      </c>
      <c r="B881" s="1582" t="s">
        <v>1875</v>
      </c>
      <c r="C881" s="1312"/>
      <c r="D881" s="1274" t="str">
        <f>VLOOKUP($B881,DG!A:D,DG!$B$2,)</f>
        <v>03.1401</v>
      </c>
      <c r="E881" s="1275" t="str">
        <f>VLOOKUP($B881,DG!A:D,DG!$C$2,)</f>
        <v xml:space="preserve">Cáp CVV 4x2,5mm2  </v>
      </c>
      <c r="F881" s="1274" t="str">
        <f>VLOOKUP($B881,DG!A:D,DG!$D$2,)</f>
        <v>mét</v>
      </c>
      <c r="G881" s="1287">
        <f>2*G877</f>
        <v>0</v>
      </c>
      <c r="H881" s="1353">
        <f t="shared" si="36"/>
        <v>0</v>
      </c>
      <c r="I881" s="1310"/>
      <c r="J881" s="1310"/>
      <c r="K881" s="1278"/>
      <c r="L881" s="1125" t="s">
        <v>1295</v>
      </c>
    </row>
    <row r="882" spans="1:12" s="1279" customFormat="1" ht="20.100000000000001" customHeight="1">
      <c r="A882" s="1377">
        <f t="shared" si="35"/>
        <v>0</v>
      </c>
      <c r="B882" s="1582" t="s">
        <v>1338</v>
      </c>
      <c r="C882" s="1286"/>
      <c r="D882" s="1274" t="str">
        <f>VLOOKUP($B882,DG!A:D,DG!$B$2,)</f>
        <v>03.4005</v>
      </c>
      <c r="E882" s="1275" t="str">
        <f>VLOOKUP($B882,DG!A:D,DG!$C$2,)</f>
        <v>Đầu cosse ép Cu 120mm2</v>
      </c>
      <c r="F882" s="1274" t="str">
        <f>VLOOKUP($B882,DG!A:D,DG!$D$2,)</f>
        <v>cái</v>
      </c>
      <c r="G882" s="1287">
        <f>G877*6</f>
        <v>0</v>
      </c>
      <c r="H882" s="1353">
        <f t="shared" si="36"/>
        <v>0</v>
      </c>
      <c r="I882" s="1310"/>
      <c r="J882" s="1310"/>
      <c r="K882" s="1278"/>
      <c r="L882" s="1125" t="s">
        <v>1295</v>
      </c>
    </row>
    <row r="883" spans="1:12" s="1279" customFormat="1" ht="20.100000000000001" customHeight="1">
      <c r="A883" s="1377">
        <f t="shared" si="35"/>
        <v>0</v>
      </c>
      <c r="B883" s="1582" t="s">
        <v>1104</v>
      </c>
      <c r="C883" s="1286"/>
      <c r="D883" s="1274" t="str">
        <f>VLOOKUP($B883,DG!A:D,DG!$B$2,)</f>
        <v>03.4003</v>
      </c>
      <c r="E883" s="1275" t="str">
        <f>VLOOKUP($B883,DG!A:D,DG!$C$2,)</f>
        <v>Đầu cosse ép Cu 70mm2</v>
      </c>
      <c r="F883" s="1274" t="str">
        <f>VLOOKUP($B883,DG!A:D,DG!$D$2,)</f>
        <v>cái</v>
      </c>
      <c r="G883" s="1287">
        <f>G877*2</f>
        <v>0</v>
      </c>
      <c r="H883" s="1353">
        <f t="shared" si="36"/>
        <v>0</v>
      </c>
      <c r="I883" s="1310"/>
      <c r="J883" s="1310"/>
      <c r="K883" s="1278"/>
      <c r="L883" s="1125" t="s">
        <v>1295</v>
      </c>
    </row>
    <row r="884" spans="1:12" s="1279" customFormat="1" ht="20.100000000000001" customHeight="1">
      <c r="A884" s="1377">
        <f t="shared" si="35"/>
        <v>0</v>
      </c>
      <c r="B884" s="1582" t="s">
        <v>1914</v>
      </c>
      <c r="C884" s="1286"/>
      <c r="D884" s="1274">
        <f>VLOOKUP($B884,DG!A:D,DG!$B$2,)</f>
        <v>0</v>
      </c>
      <c r="E884" s="1275" t="str">
        <f>VLOOKUP($B884,DG!A:D,DG!$C$2,)</f>
        <v>Chụp đầu cosse  120mm2</v>
      </c>
      <c r="F884" s="1274" t="str">
        <f>VLOOKUP($B884,DG!A:D,DG!$D$2,)</f>
        <v>cái</v>
      </c>
      <c r="G884" s="1287">
        <f>G882</f>
        <v>0</v>
      </c>
      <c r="H884" s="1353">
        <f t="shared" si="36"/>
        <v>0</v>
      </c>
      <c r="I884" s="1310"/>
      <c r="J884" s="1310"/>
      <c r="K884" s="1278"/>
      <c r="L884" s="1125" t="s">
        <v>1295</v>
      </c>
    </row>
    <row r="885" spans="1:12" s="1279" customFormat="1" ht="20.100000000000001" customHeight="1">
      <c r="A885" s="1377">
        <f t="shared" si="35"/>
        <v>0</v>
      </c>
      <c r="B885" s="1582" t="s">
        <v>2140</v>
      </c>
      <c r="C885" s="1286"/>
      <c r="D885" s="1274">
        <f>VLOOKUP($B885,DG!A:D,DG!$B$2,)</f>
        <v>0</v>
      </c>
      <c r="E885" s="1275" t="str">
        <f>VLOOKUP($B885,DG!A:D,DG!$C$2,)</f>
        <v>Chụp đầu cosse  70mm2</v>
      </c>
      <c r="F885" s="1274" t="str">
        <f>VLOOKUP($B885,DG!A:D,DG!$D$2,)</f>
        <v>cái</v>
      </c>
      <c r="G885" s="1287">
        <f>G883</f>
        <v>0</v>
      </c>
      <c r="H885" s="1353">
        <f t="shared" si="36"/>
        <v>0</v>
      </c>
      <c r="I885" s="1310"/>
      <c r="J885" s="1310"/>
      <c r="K885" s="1278"/>
      <c r="L885" s="1125" t="s">
        <v>1295</v>
      </c>
    </row>
    <row r="886" spans="1:12" s="1279" customFormat="1" ht="20.100000000000001" customHeight="1">
      <c r="A886" s="1377">
        <f t="shared" si="35"/>
        <v>0</v>
      </c>
      <c r="B886" s="1582" t="s">
        <v>493</v>
      </c>
      <c r="C886" s="1286"/>
      <c r="D886" s="1274">
        <f>VLOOKUP($B886,DG!A:D,DG!$B$2,)</f>
        <v>0</v>
      </c>
      <c r="E886" s="1275" t="str">
        <f>VLOOKUP($B886,DG!A:D,DG!$C$2,)&amp;" tieáp ñòa tuû"</f>
        <v>Dây đồng trần mềm dẹt tieáp ñòa tuû</v>
      </c>
      <c r="F886" s="1274" t="str">
        <f>VLOOKUP($B886,DG!A:D,DG!$D$2,)</f>
        <v>mét</v>
      </c>
      <c r="G886" s="1287">
        <f>G877*4</f>
        <v>0</v>
      </c>
      <c r="H886" s="1353">
        <f t="shared" si="36"/>
        <v>0</v>
      </c>
      <c r="I886" s="1310"/>
      <c r="J886" s="1310"/>
      <c r="K886" s="1278"/>
      <c r="L886" s="1125" t="s">
        <v>1295</v>
      </c>
    </row>
    <row r="887" spans="1:12" s="1279" customFormat="1" ht="20.100000000000001" customHeight="1">
      <c r="A887" s="1377">
        <f t="shared" si="35"/>
        <v>0</v>
      </c>
      <c r="B887" s="1582" t="s">
        <v>283</v>
      </c>
      <c r="C887" s="1286"/>
      <c r="D887" s="1274" t="str">
        <f>VLOOKUP($B887,DG!A:D,DG!$B$2,)</f>
        <v>04.8003</v>
      </c>
      <c r="E887" s="1275" t="str">
        <f>VLOOKUP($B887,DG!A:D,DG!$C$2,)</f>
        <v xml:space="preserve">Ống PVC D90x3,8mm </v>
      </c>
      <c r="F887" s="1274" t="str">
        <f>VLOOKUP($B887,DG!A:D,DG!$D$2,)</f>
        <v>m</v>
      </c>
      <c r="G887" s="1287">
        <f>6*G877</f>
        <v>0</v>
      </c>
      <c r="H887" s="1353">
        <f t="shared" si="36"/>
        <v>0</v>
      </c>
      <c r="I887" s="1310"/>
      <c r="J887" s="1310"/>
      <c r="K887" s="1278"/>
      <c r="L887" s="1125" t="s">
        <v>1295</v>
      </c>
    </row>
    <row r="888" spans="1:12" s="1279" customFormat="1" ht="20.100000000000001" customHeight="1">
      <c r="A888" s="1377">
        <f t="shared" si="35"/>
        <v>0</v>
      </c>
      <c r="B888" s="1378" t="s">
        <v>277</v>
      </c>
      <c r="C888" s="1286"/>
      <c r="D888" s="1274" t="str">
        <f>VLOOKUP($B888,DG!A:D,DG!$B$2,)</f>
        <v>06.3231</v>
      </c>
      <c r="E888" s="1275" t="str">
        <f>VLOOKUP($B888,DG!A:D,DG!$C$2,)</f>
        <v>Cổ dê kẹp ống PVC Ø 90</v>
      </c>
      <c r="F888" s="1274" t="str">
        <f>VLOOKUP($B888,DG!A:D,DG!$D$2,)</f>
        <v>bộ</v>
      </c>
      <c r="G888" s="1287">
        <f>3*G877</f>
        <v>0</v>
      </c>
      <c r="H888" s="1353">
        <f t="shared" si="36"/>
        <v>0</v>
      </c>
      <c r="I888" s="1310"/>
      <c r="J888" s="1310"/>
      <c r="K888" s="1278"/>
      <c r="L888" s="1125" t="s">
        <v>1295</v>
      </c>
    </row>
    <row r="889" spans="1:12" s="1279" customFormat="1" ht="20.100000000000001" customHeight="1">
      <c r="A889" s="1377">
        <f t="shared" si="35"/>
        <v>0</v>
      </c>
      <c r="B889" s="1582" t="s">
        <v>70</v>
      </c>
      <c r="C889" s="1286"/>
      <c r="D889" s="1274">
        <f>VLOOKUP($B889,DG!A:D,DG!$B$2,)</f>
        <v>0</v>
      </c>
      <c r="E889" s="1275" t="str">
        <f>VLOOKUP($B889,DG!A:D,DG!$C$2,)</f>
        <v>Co  90 độ PVC 90</v>
      </c>
      <c r="F889" s="1274" t="str">
        <f>VLOOKUP($B889,DG!A:D,DG!$D$2,)</f>
        <v>cái</v>
      </c>
      <c r="G889" s="1287">
        <f>2*G877</f>
        <v>0</v>
      </c>
      <c r="H889" s="1353">
        <f t="shared" si="36"/>
        <v>0</v>
      </c>
      <c r="I889" s="1310"/>
      <c r="J889" s="1310"/>
      <c r="K889" s="1278"/>
      <c r="L889" s="1125" t="s">
        <v>1295</v>
      </c>
    </row>
    <row r="890" spans="1:12" s="1279" customFormat="1" ht="20.100000000000001" customHeight="1">
      <c r="A890" s="1377">
        <f t="shared" si="35"/>
        <v>0</v>
      </c>
      <c r="B890" s="1582" t="s">
        <v>733</v>
      </c>
      <c r="C890" s="1286"/>
      <c r="D890" s="1274">
        <f>VLOOKUP($B890,DG!A:D,DG!$B$2,)</f>
        <v>0</v>
      </c>
      <c r="E890" s="1275" t="str">
        <f>VLOOKUP($B890,DG!A:D,DG!$C$2,)</f>
        <v xml:space="preserve">Nối thẳng ống PVC 90 </v>
      </c>
      <c r="F890" s="1274" t="str">
        <f>VLOOKUP($B890,DG!A:D,DG!$D$2,)</f>
        <v>cái</v>
      </c>
      <c r="G890" s="1287">
        <f>1*G877*0</f>
        <v>0</v>
      </c>
      <c r="H890" s="1353">
        <f t="shared" si="36"/>
        <v>0</v>
      </c>
      <c r="I890" s="1310"/>
      <c r="J890" s="1310"/>
      <c r="K890" s="1278"/>
      <c r="L890" s="1125" t="s">
        <v>1295</v>
      </c>
    </row>
    <row r="891" spans="1:12" s="1279" customFormat="1" ht="20.100000000000001" customHeight="1">
      <c r="A891" s="1377">
        <f t="shared" si="35"/>
        <v>0</v>
      </c>
      <c r="B891" s="1582" t="s">
        <v>422</v>
      </c>
      <c r="C891" s="1286"/>
      <c r="D891" s="1274">
        <f>VLOOKUP($B891,DG!A:D,DG!$B$2,)</f>
        <v>0</v>
      </c>
      <c r="E891" s="1275" t="str">
        <f>VLOOKUP($B891,DG!A:D,DG!$C$2,)</f>
        <v>Keo dán ống PVC (100gr)</v>
      </c>
      <c r="F891" s="1274" t="str">
        <f>VLOOKUP($B891,DG!A:D,DG!$D$2,)</f>
        <v>tuýp</v>
      </c>
      <c r="G891" s="1287">
        <f>G877*1</f>
        <v>0</v>
      </c>
      <c r="H891" s="1353">
        <f t="shared" si="36"/>
        <v>0</v>
      </c>
      <c r="I891" s="1310"/>
      <c r="J891" s="1310"/>
      <c r="K891" s="1278"/>
      <c r="L891" s="1125" t="s">
        <v>1295</v>
      </c>
    </row>
    <row r="892" spans="1:12" s="1279" customFormat="1" ht="20.100000000000001" customHeight="1">
      <c r="A892" s="1377">
        <f t="shared" si="35"/>
        <v>0</v>
      </c>
      <c r="B892" s="1582" t="s">
        <v>492</v>
      </c>
      <c r="C892" s="1286"/>
      <c r="D892" s="1274">
        <f>VLOOKUP($B892,DG!A:D,DG!$B$2,)</f>
        <v>0</v>
      </c>
      <c r="E892" s="1275" t="str">
        <f>VLOOKUP($B892,DG!A:D,DG!$C$2,)</f>
        <v>Keo silicon bít miệng ống</v>
      </c>
      <c r="F892" s="1274" t="str">
        <f>VLOOKUP($B892,DG!A:D,DG!$D$2,)</f>
        <v>ống</v>
      </c>
      <c r="G892" s="1287">
        <f>G891</f>
        <v>0</v>
      </c>
      <c r="H892" s="1353">
        <f t="shared" si="36"/>
        <v>0</v>
      </c>
      <c r="I892" s="1310"/>
      <c r="J892" s="1310"/>
      <c r="K892" s="1278"/>
      <c r="L892" s="1125" t="s">
        <v>1295</v>
      </c>
    </row>
    <row r="893" spans="1:12" s="1279" customFormat="1" ht="20.100000000000001" customHeight="1">
      <c r="A893" s="1377">
        <f t="shared" si="35"/>
        <v>0</v>
      </c>
      <c r="B893" s="1378" t="s">
        <v>677</v>
      </c>
      <c r="C893" s="1286"/>
      <c r="D893" s="1274">
        <f>VLOOKUP($B893,DG!A:D,DG!$B$2,)</f>
        <v>0</v>
      </c>
      <c r="E893" s="1275" t="str">
        <f>VLOOKUP($B893,DG!A:D,DG!$C$2,)</f>
        <v>Băng keo cách điện</v>
      </c>
      <c r="F893" s="1274" t="str">
        <f>VLOOKUP($B893,DG!A:D,DG!$D$2,)</f>
        <v>cuộn</v>
      </c>
      <c r="G893" s="1287">
        <f>G877*2</f>
        <v>0</v>
      </c>
      <c r="H893" s="1353">
        <f t="shared" si="36"/>
        <v>0</v>
      </c>
      <c r="I893" s="1310"/>
      <c r="J893" s="1310"/>
      <c r="K893" s="1298"/>
      <c r="L893" s="1125" t="s">
        <v>1295</v>
      </c>
    </row>
    <row r="894" spans="1:12" s="1279" customFormat="1" ht="20.100000000000001" customHeight="1">
      <c r="A894" s="1377">
        <f t="shared" si="35"/>
        <v>0</v>
      </c>
      <c r="B894" s="1587" t="s">
        <v>2244</v>
      </c>
      <c r="C894" s="1312"/>
      <c r="D894" s="1274" t="str">
        <f>VLOOKUP($B894,DG!A:D,DG!$B$2,)</f>
        <v>07.2415</v>
      </c>
      <c r="E894" s="1275" t="str">
        <f>VLOOKUP($B894,DG!A:D,DG!$C$2,)</f>
        <v>Lắp ống nhựa PVC D90</v>
      </c>
      <c r="F894" s="1274" t="str">
        <f>VLOOKUP($B894,DG!A:D,DG!$D$2,)</f>
        <v>mét</v>
      </c>
      <c r="G894" s="1312">
        <f>G887</f>
        <v>0</v>
      </c>
      <c r="H894" s="1353">
        <f t="shared" si="36"/>
        <v>0</v>
      </c>
      <c r="I894" s="1310"/>
      <c r="J894" s="1310"/>
      <c r="K894" s="1278"/>
      <c r="L894" s="1125" t="s">
        <v>1295</v>
      </c>
    </row>
    <row r="895" spans="1:12" s="1279" customFormat="1" ht="20.100000000000001" customHeight="1">
      <c r="A895" s="1377">
        <f t="shared" si="35"/>
        <v>0</v>
      </c>
      <c r="B895" s="1378" t="s">
        <v>1577</v>
      </c>
      <c r="C895" s="1312"/>
      <c r="D895" s="1274" t="str">
        <f>VLOOKUP($B895,DG!A:D,DG!$B$2,)</f>
        <v>04.4201</v>
      </c>
      <c r="E895" s="1275" t="str">
        <f>VLOOKUP($B895,DG!A:D,DG!$C$2,)</f>
        <v>Lắp cáp đồng xuống thiết bị D ≤ 95mm2</v>
      </c>
      <c r="F895" s="1274" t="str">
        <f>VLOOKUP($B895,DG!A:D,DG!$D$2,)</f>
        <v>m</v>
      </c>
      <c r="G895" s="1312">
        <f>G879+G880</f>
        <v>0</v>
      </c>
      <c r="H895" s="1353">
        <f t="shared" si="36"/>
        <v>0</v>
      </c>
      <c r="I895" s="1310"/>
      <c r="J895" s="1310"/>
      <c r="K895" s="1278"/>
      <c r="L895" s="1125" t="s">
        <v>1295</v>
      </c>
    </row>
    <row r="896" spans="1:12" s="1279" customFormat="1" ht="20.100000000000001" customHeight="1">
      <c r="A896" s="1377">
        <f t="shared" si="35"/>
        <v>0</v>
      </c>
      <c r="B896" s="1582" t="s">
        <v>290</v>
      </c>
      <c r="C896" s="1485">
        <f>IF(G896&gt;0,C877+1,C877)</f>
        <v>0</v>
      </c>
      <c r="D896" s="1486"/>
      <c r="E896" s="1275" t="str">
        <f>VLOOKUP($B896,DG!A:D,DG!$C$2,)</f>
        <v>Bảng tên trạm, bảng báo nguy hiểm + đinh vít</v>
      </c>
      <c r="F896" s="1274" t="str">
        <f>VLOOKUP($B896,DG!A:D,DG!$D$2,)</f>
        <v>bộ</v>
      </c>
      <c r="G896" s="1487">
        <f>G839</f>
        <v>0</v>
      </c>
      <c r="H896" s="1353">
        <f t="shared" si="36"/>
        <v>0</v>
      </c>
      <c r="I896" s="1310"/>
      <c r="J896" s="1310"/>
      <c r="K896" s="1474"/>
      <c r="L896" s="1125" t="s">
        <v>1295</v>
      </c>
    </row>
    <row r="897" spans="1:12" s="1279" customFormat="1" ht="20.100000000000001" customHeight="1">
      <c r="A897" s="1377">
        <f t="shared" si="35"/>
        <v>0</v>
      </c>
      <c r="B897" s="1582"/>
      <c r="C897" s="1373"/>
      <c r="D897" s="1356"/>
      <c r="E897" s="1306"/>
      <c r="F897" s="1357"/>
      <c r="G897" s="1357"/>
      <c r="H897" s="1353">
        <f t="shared" si="36"/>
        <v>0</v>
      </c>
      <c r="I897" s="1359"/>
      <c r="J897" s="1360"/>
      <c r="K897" s="1488"/>
      <c r="L897" s="1125"/>
    </row>
    <row r="898" spans="1:12" s="1279" customFormat="1" ht="20.100000000000001" customHeight="1">
      <c r="A898" s="1377">
        <f t="shared" si="35"/>
        <v>0</v>
      </c>
      <c r="B898" s="1582"/>
      <c r="C898" s="1489"/>
      <c r="D898" s="1489"/>
      <c r="E898" s="1490"/>
      <c r="F898" s="1491"/>
      <c r="G898" s="1491"/>
      <c r="H898" s="1353">
        <f t="shared" si="36"/>
        <v>0</v>
      </c>
      <c r="I898" s="1490"/>
      <c r="J898" s="1490"/>
      <c r="K898" s="1361"/>
      <c r="L898" s="1125"/>
    </row>
    <row r="899" spans="1:12" s="1279" customFormat="1" ht="20.100000000000001" customHeight="1">
      <c r="A899" s="1377">
        <f t="shared" si="35"/>
        <v>0</v>
      </c>
      <c r="B899" s="1576"/>
      <c r="C899" s="1300"/>
      <c r="D899" s="1125"/>
      <c r="E899" s="1301"/>
      <c r="F899" s="1125"/>
      <c r="G899" s="1302"/>
      <c r="H899" s="1353">
        <f t="shared" si="36"/>
        <v>0</v>
      </c>
      <c r="K899" s="1125"/>
      <c r="L899" s="1125"/>
    </row>
    <row r="900" spans="1:12" s="1279" customFormat="1" ht="20.100000000000001" customHeight="1">
      <c r="A900" s="1377">
        <f t="shared" si="35"/>
        <v>0</v>
      </c>
      <c r="B900" s="1619"/>
      <c r="C900" s="1632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30"/>
      <c r="E900" s="1130"/>
      <c r="F900" s="1130"/>
      <c r="G900" s="1130"/>
      <c r="H900" s="1353">
        <f t="shared" si="36"/>
        <v>0</v>
      </c>
      <c r="I900" s="1303"/>
      <c r="J900" s="1303"/>
      <c r="K900" s="1125"/>
      <c r="L900" s="1125"/>
    </row>
    <row r="901" spans="1:12" s="1279" customFormat="1" ht="20.100000000000001" customHeight="1">
      <c r="A901" s="1377">
        <f t="shared" si="35"/>
        <v>0</v>
      </c>
      <c r="B901" s="1582"/>
      <c r="C901" s="1304"/>
      <c r="D901" s="1305"/>
      <c r="E901" s="1306" t="s">
        <v>3771</v>
      </c>
      <c r="F901" s="1307"/>
      <c r="G901" s="1308"/>
      <c r="H901" s="1353">
        <f t="shared" si="36"/>
        <v>0</v>
      </c>
      <c r="I901" s="1307"/>
      <c r="J901" s="1307"/>
      <c r="K901" s="1309"/>
      <c r="L901" s="1125">
        <v>160</v>
      </c>
    </row>
    <row r="902" spans="1:12" s="1279" customFormat="1" ht="20.100000000000001" customHeight="1">
      <c r="A902" s="1377">
        <f t="shared" si="35"/>
        <v>0</v>
      </c>
      <c r="B902" s="1583" t="s">
        <v>1411</v>
      </c>
      <c r="C902" s="1286">
        <f>IF(G902&gt;0,1,0)</f>
        <v>0</v>
      </c>
      <c r="D902" s="1274" t="str">
        <f>VLOOKUP($B902,DG!A:D,DG!$B$2,)</f>
        <v>01.1144</v>
      </c>
      <c r="E902" s="1275" t="str">
        <f>VLOOKUP($B902,DG!A:D,DG!$C$2,)</f>
        <v>Máy biến áp 22/0,4kV  160kVA</v>
      </c>
      <c r="F902" s="1274" t="str">
        <f>VLOOKUP($B902,DG!A:D,DG!$D$2,)</f>
        <v>máy</v>
      </c>
      <c r="G902" s="1286">
        <f>K10</f>
        <v>0</v>
      </c>
      <c r="H902" s="1353">
        <f t="shared" si="36"/>
        <v>0</v>
      </c>
      <c r="I902" s="1310"/>
      <c r="J902" s="1310"/>
      <c r="K902" s="1311"/>
      <c r="L902" s="1125">
        <v>160</v>
      </c>
    </row>
    <row r="903" spans="1:12" s="1279" customFormat="1" ht="20.100000000000001" customHeight="1">
      <c r="A903" s="1377">
        <f t="shared" si="35"/>
        <v>0</v>
      </c>
      <c r="B903" s="1583" t="s">
        <v>1704</v>
      </c>
      <c r="C903" s="1286">
        <f>IF(G903&gt;0,C902+1,C902)</f>
        <v>0</v>
      </c>
      <c r="D903" s="1274" t="str">
        <f>VLOOKUP($B903,DG!A:D,DG!$B$2,)</f>
        <v>02.3155</v>
      </c>
      <c r="E903" s="1275" t="str">
        <f>VLOOKUP($B903,DG!A:D,DG!$C$2,)</f>
        <v>FCO 24kV - 100A</v>
      </c>
      <c r="F903" s="1274" t="str">
        <f>VLOOKUP($B903,DG!A:D,DG!$D$2,)</f>
        <v>cái</v>
      </c>
      <c r="G903" s="1287">
        <f>$G$902*3</f>
        <v>0</v>
      </c>
      <c r="H903" s="1353">
        <f t="shared" si="36"/>
        <v>0</v>
      </c>
      <c r="I903" s="1277"/>
      <c r="J903" s="1277"/>
      <c r="K903" s="1312"/>
      <c r="L903" s="1125">
        <v>160</v>
      </c>
    </row>
    <row r="904" spans="1:12" s="1279" customFormat="1" ht="20.100000000000001" customHeight="1">
      <c r="A904" s="1377">
        <f t="shared" si="35"/>
        <v>0</v>
      </c>
      <c r="B904" s="1583" t="str">
        <f>IF(14=15,"chi10","chi6k")</f>
        <v>chi6k</v>
      </c>
      <c r="C904" s="1286">
        <f t="shared" ref="C904:C909" si="37">IF(G904&gt;0,C903+1,C903)</f>
        <v>0</v>
      </c>
      <c r="D904" s="1274">
        <f>VLOOKUP($B904,DG!A:D,DG!$B$2,)</f>
        <v>0</v>
      </c>
      <c r="E904" s="1275" t="str">
        <f>VLOOKUP($B904,DG!A:D,DG!$C$2,)</f>
        <v>Dây chảy 6K</v>
      </c>
      <c r="F904" s="1274" t="str">
        <f>VLOOKUP($B904,DG!A:D,DG!$D$2,)</f>
        <v>Sợi</v>
      </c>
      <c r="G904" s="1287">
        <f>G903</f>
        <v>0</v>
      </c>
      <c r="H904" s="1353">
        <f t="shared" si="36"/>
        <v>0</v>
      </c>
      <c r="I904" s="1277"/>
      <c r="J904" s="1277"/>
      <c r="K904" s="1312"/>
      <c r="L904" s="1125">
        <v>160</v>
      </c>
    </row>
    <row r="905" spans="1:12" s="1279" customFormat="1" ht="20.100000000000001" customHeight="1">
      <c r="A905" s="1377">
        <f t="shared" si="35"/>
        <v>0</v>
      </c>
      <c r="B905" s="1582" t="s">
        <v>1406</v>
      </c>
      <c r="C905" s="1286">
        <f t="shared" si="37"/>
        <v>0</v>
      </c>
      <c r="D905" s="1274" t="str">
        <f>VLOOKUP($B905,DG!A:D,DG!$B$2,)</f>
        <v>02.5114</v>
      </c>
      <c r="E905" s="1275" t="str">
        <f>VLOOKUP($B905,DG!A:D,DG!$C$2,)</f>
        <v>LA 18kV 10kA</v>
      </c>
      <c r="F905" s="1274" t="str">
        <f>VLOOKUP($B905,DG!A:D,DG!$D$2,)</f>
        <v>cái</v>
      </c>
      <c r="G905" s="1287">
        <f>G903</f>
        <v>0</v>
      </c>
      <c r="H905" s="1353">
        <f t="shared" si="36"/>
        <v>0</v>
      </c>
      <c r="I905" s="1277"/>
      <c r="J905" s="1277"/>
      <c r="K905" s="1312"/>
      <c r="L905" s="1125">
        <v>160</v>
      </c>
    </row>
    <row r="906" spans="1:12" s="1279" customFormat="1" ht="20.100000000000001" customHeight="1">
      <c r="A906" s="1377">
        <f t="shared" si="35"/>
        <v>0</v>
      </c>
      <c r="B906" s="1583" t="s">
        <v>718</v>
      </c>
      <c r="C906" s="1286">
        <f t="shared" si="37"/>
        <v>0</v>
      </c>
      <c r="D906" s="1274" t="str">
        <f>VLOOKUP($B906,DG!A:D,DG!$B$2,)</f>
        <v>02.8401</v>
      </c>
      <c r="E906" s="1275" t="str">
        <f>VLOOKUP($B906,DG!A:D,DG!$C$2,)</f>
        <v xml:space="preserve">MCCB 3 cực 600V -250A - 36KA </v>
      </c>
      <c r="F906" s="1274" t="str">
        <f>VLOOKUP($B906,DG!A:D,DG!$D$2,)</f>
        <v>cái</v>
      </c>
      <c r="G906" s="1287">
        <f>$G$902</f>
        <v>0</v>
      </c>
      <c r="H906" s="1353">
        <f t="shared" si="36"/>
        <v>0</v>
      </c>
      <c r="I906" s="1277"/>
      <c r="J906" s="1277"/>
      <c r="K906" s="1312"/>
      <c r="L906" s="1125">
        <v>160</v>
      </c>
    </row>
    <row r="907" spans="1:12" s="1279" customFormat="1" ht="20.100000000000001" customHeight="1">
      <c r="A907" s="1377">
        <f t="shared" si="35"/>
        <v>0</v>
      </c>
      <c r="B907" s="1583" t="s">
        <v>690</v>
      </c>
      <c r="C907" s="1286">
        <f t="shared" si="37"/>
        <v>0</v>
      </c>
      <c r="D907" s="1274" t="str">
        <f>VLOOKUP($B907,DG!A:D,DG!$B$2,)</f>
        <v>02.8534</v>
      </c>
      <c r="E907" s="1275" t="str">
        <f>VLOOKUP($B907,DG!A:D,DG!$C$2,)</f>
        <v>Tủ tụ bù hạ thế 80kVAr</v>
      </c>
      <c r="F907" s="1274" t="str">
        <f>VLOOKUP($B907,DG!A:D,DG!$D$2,)</f>
        <v>tủ</v>
      </c>
      <c r="G907" s="1287">
        <f>$G$902</f>
        <v>0</v>
      </c>
      <c r="H907" s="1353">
        <f t="shared" si="36"/>
        <v>0</v>
      </c>
      <c r="I907" s="1277"/>
      <c r="J907" s="1277"/>
      <c r="K907" s="1312"/>
      <c r="L907" s="1125">
        <v>160</v>
      </c>
    </row>
    <row r="908" spans="1:12" s="1279" customFormat="1" ht="20.100000000000001" customHeight="1">
      <c r="A908" s="1377">
        <f t="shared" si="35"/>
        <v>0</v>
      </c>
      <c r="B908" s="1378" t="s">
        <v>1721</v>
      </c>
      <c r="C908" s="1286">
        <f t="shared" si="37"/>
        <v>0</v>
      </c>
      <c r="D908" s="1274">
        <f>VLOOKUP($B908,DG!A:D,DG!$B$2,)</f>
        <v>0</v>
      </c>
      <c r="E908" s="1386" t="str">
        <f>VLOOKUP($B908,DG!A:D,DG!$C$2,)</f>
        <v>Biến dòng 600V - 250/5A</v>
      </c>
      <c r="F908" s="1274" t="str">
        <f>VLOOKUP($B908,DG!A:D,DG!$D$2,)</f>
        <v>cái</v>
      </c>
      <c r="G908" s="1313">
        <f>$G$902*1</f>
        <v>0</v>
      </c>
      <c r="H908" s="1353">
        <f t="shared" si="36"/>
        <v>0</v>
      </c>
      <c r="I908" s="1277"/>
      <c r="J908" s="1277"/>
      <c r="K908" s="1314" t="s">
        <v>2666</v>
      </c>
      <c r="L908" s="1125">
        <v>160</v>
      </c>
    </row>
    <row r="909" spans="1:12" s="1279" customFormat="1" ht="20.100000000000001" customHeight="1">
      <c r="A909" s="1377">
        <f t="shared" si="35"/>
        <v>0</v>
      </c>
      <c r="B909" s="1621" t="s">
        <v>1512</v>
      </c>
      <c r="C909" s="1286">
        <f t="shared" si="37"/>
        <v>0</v>
      </c>
      <c r="D909" s="1274" t="str">
        <f>VLOOKUP($B909,DG!A:D,DG!$B$2,)</f>
        <v>05.5104</v>
      </c>
      <c r="E909" s="1386" t="str">
        <f>VLOOKUP($B909,DG!A:D,DG!$C$2,)</f>
        <v>Điện kế 3 pha 4 dây 220/380V-5A</v>
      </c>
      <c r="F909" s="1274" t="str">
        <f>VLOOKUP($B909,DG!A:D,DG!$D$2,)</f>
        <v>cái</v>
      </c>
      <c r="G909" s="1313">
        <f>$G$902</f>
        <v>0</v>
      </c>
      <c r="H909" s="1353">
        <f t="shared" si="36"/>
        <v>0</v>
      </c>
      <c r="I909" s="1277"/>
      <c r="J909" s="1277"/>
      <c r="K909" s="1315" t="s">
        <v>2666</v>
      </c>
      <c r="L909" s="1125">
        <v>160</v>
      </c>
    </row>
    <row r="910" spans="1:12" s="1279" customFormat="1" ht="20.100000000000001" customHeight="1">
      <c r="A910" s="1377">
        <f t="shared" si="35"/>
        <v>0</v>
      </c>
      <c r="B910" s="1582"/>
      <c r="C910" s="1316"/>
      <c r="D910" s="1317"/>
      <c r="E910" s="1271"/>
      <c r="F910" s="1316"/>
      <c r="G910" s="1318"/>
      <c r="H910" s="1353">
        <f t="shared" si="36"/>
        <v>0</v>
      </c>
      <c r="I910" s="1271"/>
      <c r="J910" s="1316"/>
      <c r="K910" s="1309"/>
      <c r="L910" s="1125">
        <v>160</v>
      </c>
    </row>
    <row r="911" spans="1:12" s="1279" customFormat="1" ht="20.100000000000001" customHeight="1">
      <c r="A911" s="1377">
        <f>IF(L911=$L$23,1,0)</f>
        <v>0</v>
      </c>
      <c r="B911" s="1582"/>
      <c r="C911" s="1319"/>
      <c r="D911" s="1320"/>
      <c r="E911" s="1710" t="s">
        <v>3772</v>
      </c>
      <c r="F911" s="1306"/>
      <c r="G911" s="1321"/>
      <c r="H911" s="1321">
        <f t="shared" si="36"/>
        <v>0</v>
      </c>
      <c r="I911" s="1306"/>
      <c r="J911" s="1306"/>
      <c r="K911" s="1309"/>
      <c r="L911" s="1125">
        <v>160</v>
      </c>
    </row>
    <row r="912" spans="1:12" s="1279" customFormat="1" ht="20.100000000000001" customHeight="1">
      <c r="A912" s="1377">
        <f t="shared" ref="A912:A981" si="38">IF(H912&gt;0,1,0)</f>
        <v>0</v>
      </c>
      <c r="B912" s="1622"/>
      <c r="C912" s="1322">
        <f>IF(G912&gt;0,1,0)</f>
        <v>0</v>
      </c>
      <c r="D912" s="1323"/>
      <c r="E912" s="1324" t="s">
        <v>3810</v>
      </c>
      <c r="F912" s="1325" t="s">
        <v>2340</v>
      </c>
      <c r="G912" s="1326">
        <f>G902*2*0</f>
        <v>0</v>
      </c>
      <c r="H912" s="1353">
        <f t="shared" si="36"/>
        <v>0</v>
      </c>
      <c r="I912" s="1327"/>
      <c r="J912" s="1327"/>
      <c r="K912" s="1312"/>
      <c r="L912" s="1125">
        <v>160</v>
      </c>
    </row>
    <row r="913" spans="1:12" s="1279" customFormat="1" ht="20.100000000000001" customHeight="1">
      <c r="A913" s="1377">
        <f t="shared" si="38"/>
        <v>0</v>
      </c>
      <c r="B913" s="1378" t="s">
        <v>116</v>
      </c>
      <c r="C913" s="1328"/>
      <c r="D913" s="1274"/>
      <c r="E913" s="1329" t="str">
        <f>VLOOKUP($B913,DG!A:D,DG!$C$2,)</f>
        <v>Trụ BTLT 12m F350 dự ứng lực</v>
      </c>
      <c r="F913" s="1274" t="str">
        <f>VLOOKUP($B913,DG!A:D,DG!$D$2,)</f>
        <v>trụ</v>
      </c>
      <c r="G913" s="1330">
        <f>G912</f>
        <v>0</v>
      </c>
      <c r="H913" s="1353">
        <f t="shared" si="36"/>
        <v>0</v>
      </c>
      <c r="I913" s="1310"/>
      <c r="J913" s="1273"/>
      <c r="K913" s="1312"/>
      <c r="L913" s="1125">
        <v>160</v>
      </c>
    </row>
    <row r="914" spans="1:12" s="1279" customFormat="1" ht="20.100000000000001" customHeight="1">
      <c r="A914" s="1377">
        <f t="shared" si="38"/>
        <v>0</v>
      </c>
      <c r="B914" s="1378" t="s">
        <v>1867</v>
      </c>
      <c r="C914" s="1328"/>
      <c r="D914" s="1274"/>
      <c r="E914" s="1329" t="str">
        <f>VLOOKUP($B914,DG!A:D,DG!$C$2,)</f>
        <v>Vật liệu dựng trụ</v>
      </c>
      <c r="F914" s="1274" t="str">
        <f>VLOOKUP($B914,DG!A:D,DG!$D$2,)</f>
        <v>trụ</v>
      </c>
      <c r="G914" s="1330">
        <f>G913</f>
        <v>0</v>
      </c>
      <c r="H914" s="1353">
        <f t="shared" si="36"/>
        <v>0</v>
      </c>
      <c r="I914" s="1273"/>
      <c r="J914" s="1273"/>
      <c r="K914" s="1312"/>
      <c r="L914" s="1125">
        <v>160</v>
      </c>
    </row>
    <row r="915" spans="1:12" s="1279" customFormat="1" ht="20.100000000000001" customHeight="1">
      <c r="A915" s="1377">
        <f t="shared" si="38"/>
        <v>0</v>
      </c>
      <c r="B915" s="1378" t="s">
        <v>648</v>
      </c>
      <c r="C915" s="1328"/>
      <c r="D915" s="1274" t="str">
        <f>VLOOKUP($B915,DG!A:D,DG!$B$2,)</f>
        <v>04.9203</v>
      </c>
      <c r="E915" s="1329" t="str">
        <f>VLOOKUP($B915,DG!A:D,DG!$C$2,)</f>
        <v>Dựng trụ BTLT 12m trong TBA bằng thủ công + cơ giới</v>
      </c>
      <c r="F915" s="1274" t="str">
        <f>VLOOKUP($B915,DG!A:D,DG!$D$2,)</f>
        <v>trụ</v>
      </c>
      <c r="G915" s="1330">
        <f>G913</f>
        <v>0</v>
      </c>
      <c r="H915" s="1353">
        <f t="shared" si="36"/>
        <v>0</v>
      </c>
      <c r="I915" s="1310"/>
      <c r="J915" s="1310"/>
      <c r="K915" s="1312"/>
      <c r="L915" s="1125">
        <v>160</v>
      </c>
    </row>
    <row r="916" spans="1:12" s="1279" customFormat="1" ht="20.100000000000001" customHeight="1">
      <c r="A916" s="1377">
        <f t="shared" si="38"/>
        <v>0</v>
      </c>
      <c r="B916" s="1622"/>
      <c r="C916" s="1322">
        <f>IF(G916&gt;0,1,0)</f>
        <v>0</v>
      </c>
      <c r="D916" s="1323"/>
      <c r="E916" s="1324" t="s">
        <v>3811</v>
      </c>
      <c r="F916" s="1325" t="s">
        <v>2340</v>
      </c>
      <c r="G916" s="1326">
        <f>G902*2*0</f>
        <v>0</v>
      </c>
      <c r="H916" s="1353">
        <f t="shared" si="36"/>
        <v>0</v>
      </c>
      <c r="I916" s="1327"/>
      <c r="J916" s="1327"/>
      <c r="K916" s="1278"/>
      <c r="L916" s="1125">
        <v>160</v>
      </c>
    </row>
    <row r="917" spans="1:12" s="1279" customFormat="1" ht="20.100000000000001" customHeight="1">
      <c r="A917" s="1377">
        <f t="shared" si="38"/>
        <v>0</v>
      </c>
      <c r="B917" s="1378" t="s">
        <v>115</v>
      </c>
      <c r="C917" s="1328"/>
      <c r="D917" s="1274"/>
      <c r="E917" s="1329" t="str">
        <f>VLOOKUP($B917,DG!A:D,DG!$C$2,)</f>
        <v>Trụ BTLT 10,5m F350 dự ứng lực</v>
      </c>
      <c r="F917" s="1274" t="str">
        <f>VLOOKUP($B917,DG!A:D,DG!$D$2,)</f>
        <v>trụ</v>
      </c>
      <c r="G917" s="1330">
        <f>G916</f>
        <v>0</v>
      </c>
      <c r="H917" s="1353">
        <f t="shared" si="36"/>
        <v>0</v>
      </c>
      <c r="I917" s="1310"/>
      <c r="J917" s="1273"/>
      <c r="K917" s="1278"/>
      <c r="L917" s="1125">
        <v>160</v>
      </c>
    </row>
    <row r="918" spans="1:12" s="1279" customFormat="1" ht="20.100000000000001" customHeight="1">
      <c r="A918" s="1377">
        <f t="shared" si="38"/>
        <v>0</v>
      </c>
      <c r="B918" s="1378" t="s">
        <v>1867</v>
      </c>
      <c r="C918" s="1328"/>
      <c r="D918" s="1274"/>
      <c r="E918" s="1329" t="str">
        <f>VLOOKUP($B918,DG!A:D,DG!$C$2,)</f>
        <v>Vật liệu dựng trụ</v>
      </c>
      <c r="F918" s="1274" t="str">
        <f>VLOOKUP($B918,DG!A:D,DG!$D$2,)</f>
        <v>trụ</v>
      </c>
      <c r="G918" s="1330">
        <f>G917</f>
        <v>0</v>
      </c>
      <c r="H918" s="1353">
        <f t="shared" si="36"/>
        <v>0</v>
      </c>
      <c r="I918" s="1273"/>
      <c r="J918" s="1273"/>
      <c r="K918" s="1278"/>
      <c r="L918" s="1125">
        <v>160</v>
      </c>
    </row>
    <row r="919" spans="1:12" s="1279" customFormat="1" ht="20.100000000000001" customHeight="1">
      <c r="A919" s="1377">
        <f t="shared" si="38"/>
        <v>0</v>
      </c>
      <c r="B919" s="1378" t="s">
        <v>649</v>
      </c>
      <c r="C919" s="1328"/>
      <c r="D919" s="1274" t="str">
        <f>VLOOKUP($B919,DG!A:D,DG!$B$2,)</f>
        <v>04.9203</v>
      </c>
      <c r="E919" s="1329" t="str">
        <f>VLOOKUP($B919,DG!A:D,DG!$C$2,)</f>
        <v>Dựng trụ BTLT 10,5m trong TBA bằng thủ công + cơ giới</v>
      </c>
      <c r="F919" s="1274" t="str">
        <f>VLOOKUP($B919,DG!A:D,DG!$D$2,)</f>
        <v>trụ</v>
      </c>
      <c r="G919" s="1330">
        <f>G917</f>
        <v>0</v>
      </c>
      <c r="H919" s="1353">
        <f t="shared" si="36"/>
        <v>0</v>
      </c>
      <c r="I919" s="1310"/>
      <c r="J919" s="1310"/>
      <c r="K919" s="1278"/>
      <c r="L919" s="1125">
        <v>160</v>
      </c>
    </row>
    <row r="920" spans="1:12" s="1279" customFormat="1" ht="20.100000000000001" customHeight="1">
      <c r="A920" s="1377">
        <f t="shared" si="38"/>
        <v>0</v>
      </c>
      <c r="B920" s="1623"/>
      <c r="C920" s="1280">
        <f>IF(G920&gt;0,C912+1,C912)</f>
        <v>0</v>
      </c>
      <c r="D920" s="1323"/>
      <c r="E920" s="1324" t="s">
        <v>2416</v>
      </c>
      <c r="F920" s="1325" t="s">
        <v>2391</v>
      </c>
      <c r="G920" s="1331">
        <f>G912</f>
        <v>0</v>
      </c>
      <c r="H920" s="1353">
        <f t="shared" si="36"/>
        <v>0</v>
      </c>
      <c r="I920" s="1273"/>
      <c r="J920" s="1273"/>
      <c r="K920" s="1312"/>
      <c r="L920" s="1125">
        <v>160</v>
      </c>
    </row>
    <row r="921" spans="1:12" s="1279" customFormat="1" ht="20.100000000000001" customHeight="1">
      <c r="A921" s="1377">
        <f t="shared" si="38"/>
        <v>0</v>
      </c>
      <c r="B921" s="1589" t="s">
        <v>641</v>
      </c>
      <c r="C921" s="1328"/>
      <c r="D921" s="1274" t="str">
        <f>VLOOKUP($B921,DG!A:D,DG!$B$2,)</f>
        <v>04.4001</v>
      </c>
      <c r="E921" s="1332" t="str">
        <f>VLOOKUP($B921,DG!A:D,DG!$C$2,)</f>
        <v>Đà cản BTCT 1,2m</v>
      </c>
      <c r="F921" s="1288" t="str">
        <f>VLOOKUP($B921,DG!A:D,DG!$D$2,)</f>
        <v>cái</v>
      </c>
      <c r="G921" s="1330">
        <f>G920</f>
        <v>0</v>
      </c>
      <c r="H921" s="1353">
        <f t="shared" si="36"/>
        <v>0</v>
      </c>
      <c r="I921" s="1310"/>
      <c r="J921" s="1273"/>
      <c r="K921" s="1312"/>
      <c r="L921" s="1125">
        <v>160</v>
      </c>
    </row>
    <row r="922" spans="1:12" s="1279" customFormat="1" ht="20.100000000000001" customHeight="1">
      <c r="A922" s="1377">
        <f t="shared" si="38"/>
        <v>0</v>
      </c>
      <c r="B922" s="1589" t="s">
        <v>570</v>
      </c>
      <c r="C922" s="1328"/>
      <c r="D922" s="1288"/>
      <c r="E922" s="1332" t="str">
        <f>VLOOKUP($B922,DG!A:D,DG!$C$2,)</f>
        <v>Boulon 22x650+ 2 long đền vuông D24-50x50x3/Zn</v>
      </c>
      <c r="F922" s="1288" t="str">
        <f>VLOOKUP($B922,DG!A:D,DG!$D$2,)</f>
        <v>bộ</v>
      </c>
      <c r="G922" s="1330">
        <f>G921</f>
        <v>0</v>
      </c>
      <c r="H922" s="1353">
        <f t="shared" si="36"/>
        <v>0</v>
      </c>
      <c r="I922" s="1332"/>
      <c r="J922" s="1273"/>
      <c r="K922" s="1312"/>
      <c r="L922" s="1125">
        <v>160</v>
      </c>
    </row>
    <row r="923" spans="1:12" s="1279" customFormat="1" ht="20.100000000000001" customHeight="1">
      <c r="A923" s="1377">
        <f t="shared" si="38"/>
        <v>0</v>
      </c>
      <c r="B923" s="1589" t="str">
        <f>IF(chitiet!F5=1,"MDD1",IF(chitiet!F5=2,"MDD2",IF(chitiet!F5=3,"MDD3",IF(chitiet!F5=4,"MDD4"))))</f>
        <v>MDD3</v>
      </c>
      <c r="C923" s="1328"/>
      <c r="D923" s="1288" t="str">
        <f>VLOOKUP($B923,DG!A:D,DG!$B$2,)</f>
        <v>03.1013</v>
      </c>
      <c r="E923" s="1332" t="str">
        <f>VLOOKUP($B923,DG!A:D,DG!$C$2,)</f>
        <v>Đào hố móng đất cấp 3 sâu &gt;1m DT&lt;5m2</v>
      </c>
      <c r="F923" s="1288" t="str">
        <f>VLOOKUP($B923,DG!A:D,DG!$D$2,)</f>
        <v>m3</v>
      </c>
      <c r="G923" s="1333">
        <f>1.45*G921</f>
        <v>0</v>
      </c>
      <c r="H923" s="1353">
        <f t="shared" si="36"/>
        <v>0</v>
      </c>
      <c r="I923" s="1334"/>
      <c r="J923" s="1273"/>
      <c r="K923" s="1312"/>
      <c r="L923" s="1125">
        <v>160</v>
      </c>
    </row>
    <row r="924" spans="1:12" s="1279" customFormat="1" ht="20.100000000000001" customHeight="1">
      <c r="A924" s="1377">
        <f t="shared" si="38"/>
        <v>0</v>
      </c>
      <c r="B924" s="1589" t="str">
        <f>IF(chitiet!F5=1,"MDAP1",IF(chitiet!F5=2,"MDAP2",IF(chitiet!F5=3,"MDAP3",IF(chitiet!F5=4,"MDAP4"))))</f>
        <v>MDAP3</v>
      </c>
      <c r="C924" s="1328"/>
      <c r="D924" s="1288" t="str">
        <f>VLOOKUP($B924,DG!A:D,DG!$B$2,)</f>
        <v>03.4113</v>
      </c>
      <c r="E924" s="1332" t="str">
        <f>VLOOKUP($B924,DG!A:D,DG!$C$2,)</f>
        <v>Đắp đất hố móng, độ chặt k=0,95</v>
      </c>
      <c r="F924" s="1288" t="str">
        <f>VLOOKUP($B924,DG!A:D,DG!$D$2,)</f>
        <v>m3</v>
      </c>
      <c r="G924" s="1335">
        <f>1.37*G920</f>
        <v>0</v>
      </c>
      <c r="H924" s="1353">
        <f t="shared" si="36"/>
        <v>0</v>
      </c>
      <c r="I924" s="1334"/>
      <c r="J924" s="1273"/>
      <c r="K924" s="1312"/>
      <c r="L924" s="1125">
        <v>160</v>
      </c>
    </row>
    <row r="925" spans="1:12" s="1279" customFormat="1" ht="20.100000000000001" customHeight="1">
      <c r="A925" s="1377">
        <f t="shared" si="38"/>
        <v>0</v>
      </c>
      <c r="B925" s="1623"/>
      <c r="C925" s="1280">
        <f>IF(G925&gt;0,C917+1,C917)</f>
        <v>0</v>
      </c>
      <c r="D925" s="1323"/>
      <c r="E925" s="1324" t="s">
        <v>3812</v>
      </c>
      <c r="F925" s="1325" t="s">
        <v>2391</v>
      </c>
      <c r="G925" s="1331">
        <f>G916*0</f>
        <v>0</v>
      </c>
      <c r="H925" s="1353">
        <f t="shared" si="36"/>
        <v>0</v>
      </c>
      <c r="I925" s="1273"/>
      <c r="J925" s="1273"/>
      <c r="K925" s="1278"/>
      <c r="L925" s="1125">
        <v>160</v>
      </c>
    </row>
    <row r="926" spans="1:12" s="1279" customFormat="1" ht="20.100000000000001" customHeight="1">
      <c r="A926" s="1377">
        <f t="shared" si="38"/>
        <v>0</v>
      </c>
      <c r="B926" s="1589" t="s">
        <v>641</v>
      </c>
      <c r="C926" s="1328"/>
      <c r="D926" s="1274" t="str">
        <f>VLOOKUP($B926,DG!A:D,DG!$B$2,)</f>
        <v>04.4001</v>
      </c>
      <c r="E926" s="1332" t="str">
        <f>VLOOKUP($B926,DG!A:D,DG!$C$2,)</f>
        <v>Đà cản BTCT 1,2m</v>
      </c>
      <c r="F926" s="1288" t="str">
        <f>VLOOKUP($B926,DG!A:D,DG!$D$2,)</f>
        <v>cái</v>
      </c>
      <c r="G926" s="1330">
        <f>G925</f>
        <v>0</v>
      </c>
      <c r="H926" s="1353">
        <f t="shared" si="36"/>
        <v>0</v>
      </c>
      <c r="I926" s="1310"/>
      <c r="J926" s="1273"/>
      <c r="K926" s="1278"/>
      <c r="L926" s="1125">
        <v>160</v>
      </c>
    </row>
    <row r="927" spans="1:12" s="1279" customFormat="1" ht="20.100000000000001" customHeight="1">
      <c r="A927" s="1377">
        <f t="shared" si="38"/>
        <v>0</v>
      </c>
      <c r="B927" s="1589" t="s">
        <v>570</v>
      </c>
      <c r="C927" s="1328"/>
      <c r="D927" s="1288"/>
      <c r="E927" s="1332" t="str">
        <f>VLOOKUP($B927,DG!A:D,DG!$C$2,)</f>
        <v>Boulon 22x650+ 2 long đền vuông D24-50x50x3/Zn</v>
      </c>
      <c r="F927" s="1288" t="str">
        <f>VLOOKUP($B927,DG!A:D,DG!$D$2,)</f>
        <v>bộ</v>
      </c>
      <c r="G927" s="1330">
        <f>G926</f>
        <v>0</v>
      </c>
      <c r="H927" s="1353">
        <f t="shared" si="36"/>
        <v>0</v>
      </c>
      <c r="I927" s="1332"/>
      <c r="J927" s="1273"/>
      <c r="K927" s="1278"/>
      <c r="L927" s="1125">
        <v>160</v>
      </c>
    </row>
    <row r="928" spans="1:12" s="1279" customFormat="1" ht="20.100000000000001" customHeight="1">
      <c r="A928" s="1377">
        <f t="shared" si="38"/>
        <v>0</v>
      </c>
      <c r="B928" s="1589" t="str">
        <f>IF(chitiet!F5=1,"MDD1",IF(chitiet!F5=2,"MDD2",IF(chitiet!F5=3,"MDD3",IF(chitiet!F5=4,"MDD4"))))</f>
        <v>MDD3</v>
      </c>
      <c r="C928" s="1328"/>
      <c r="D928" s="1288" t="str">
        <f>VLOOKUP($B928,DG!A:D,DG!$B$2,)</f>
        <v>03.1013</v>
      </c>
      <c r="E928" s="1332" t="str">
        <f>VLOOKUP($B928,DG!A:D,DG!$C$2,)</f>
        <v>Đào hố móng đất cấp 3 sâu &gt;1m DT&lt;5m2</v>
      </c>
      <c r="F928" s="1288" t="str">
        <f>VLOOKUP($B928,DG!A:D,DG!$D$2,)</f>
        <v>m3</v>
      </c>
      <c r="G928" s="1335">
        <f>1.48*G926</f>
        <v>0</v>
      </c>
      <c r="H928" s="1353">
        <f t="shared" si="36"/>
        <v>0</v>
      </c>
      <c r="I928" s="1334"/>
      <c r="J928" s="1273"/>
      <c r="K928" s="1278"/>
      <c r="L928" s="1125">
        <v>160</v>
      </c>
    </row>
    <row r="929" spans="1:12" s="1279" customFormat="1" ht="20.100000000000001" customHeight="1">
      <c r="A929" s="1377">
        <f t="shared" si="38"/>
        <v>0</v>
      </c>
      <c r="B929" s="1589" t="str">
        <f>IF(chitiet!F5=1,"MDAP1",IF(chitiet!F5=2,"MDAP2",IF(chitiet!F5=3,"MDAP3",IF(chitiet!F5=4,"MDAP4"))))</f>
        <v>MDAP3</v>
      </c>
      <c r="C929" s="1328"/>
      <c r="D929" s="1288" t="str">
        <f>VLOOKUP($B929,DG!A:D,DG!$B$2,)</f>
        <v>03.4113</v>
      </c>
      <c r="E929" s="1332" t="str">
        <f>VLOOKUP($B929,DG!A:D,DG!$C$2,)</f>
        <v>Đắp đất hố móng, độ chặt k=0,95</v>
      </c>
      <c r="F929" s="1288" t="str">
        <f>VLOOKUP($B929,DG!A:D,DG!$D$2,)</f>
        <v>m3</v>
      </c>
      <c r="G929" s="1335">
        <f>1.39*G925</f>
        <v>0</v>
      </c>
      <c r="H929" s="1353">
        <f t="shared" si="36"/>
        <v>0</v>
      </c>
      <c r="I929" s="1334"/>
      <c r="J929" s="1273"/>
      <c r="K929" s="1278"/>
      <c r="L929" s="1125">
        <v>160</v>
      </c>
    </row>
    <row r="930" spans="1:12" s="1279" customFormat="1" ht="20.100000000000001" customHeight="1">
      <c r="A930" s="1377">
        <f t="shared" si="38"/>
        <v>0</v>
      </c>
      <c r="B930" s="1582"/>
      <c r="C930" s="1280">
        <f>IF(G930&gt;0,C920+1,C920)</f>
        <v>0</v>
      </c>
      <c r="D930" s="1336"/>
      <c r="E930" s="1324" t="s">
        <v>3813</v>
      </c>
      <c r="F930" s="1322" t="s">
        <v>2449</v>
      </c>
      <c r="G930" s="1337">
        <f>G902</f>
        <v>0</v>
      </c>
      <c r="H930" s="1353">
        <f t="shared" si="36"/>
        <v>0</v>
      </c>
      <c r="I930" s="1338"/>
      <c r="J930" s="1338"/>
      <c r="K930" s="1278"/>
      <c r="L930" s="1125">
        <v>160</v>
      </c>
    </row>
    <row r="931" spans="1:12" s="1279" customFormat="1" ht="20.100000000000001" customHeight="1">
      <c r="A931" s="1377">
        <f>IF(A930&gt;0,1,0)</f>
        <v>0</v>
      </c>
      <c r="B931" s="1582"/>
      <c r="C931" s="1273"/>
      <c r="D931" s="1339"/>
      <c r="E931" s="1637" t="s">
        <v>2342</v>
      </c>
      <c r="F931" s="1286"/>
      <c r="G931" s="1287"/>
      <c r="H931" s="1353">
        <f t="shared" si="36"/>
        <v>0</v>
      </c>
      <c r="I931" s="1340"/>
      <c r="J931" s="1340"/>
      <c r="K931" s="1278"/>
      <c r="L931" s="1125">
        <v>160</v>
      </c>
    </row>
    <row r="932" spans="1:12" s="1279" customFormat="1" ht="20.100000000000001" customHeight="1">
      <c r="A932" s="1377">
        <f t="shared" si="38"/>
        <v>0</v>
      </c>
      <c r="B932" s="1378" t="s">
        <v>1166</v>
      </c>
      <c r="C932" s="1273"/>
      <c r="D932" s="1288" t="str">
        <f>VLOOKUP($B932,DG!A:D,DG!$B$2,)</f>
        <v>05.6105</v>
      </c>
      <c r="E932" s="1275" t="str">
        <f>VLOOKUP($B932,DG!A:D,DG!$C$2,)&amp;": 2 cái"</f>
        <v>Đà U160x68x5x2800 đỡ MBA: 2 cái</v>
      </c>
      <c r="F932" s="1274" t="str">
        <f>VLOOKUP($B932,DG!A:D,DG!$D$2,)</f>
        <v>kg</v>
      </c>
      <c r="G932" s="1276">
        <f>52.049*$G$930*2</f>
        <v>0</v>
      </c>
      <c r="H932" s="1661">
        <f t="shared" ref="H932:H1001" si="39">IF(L932=$L$23,G932+I932-J932,0)</f>
        <v>0</v>
      </c>
      <c r="I932" s="1310"/>
      <c r="J932" s="1310"/>
      <c r="K932" s="1278"/>
      <c r="L932" s="1125">
        <v>160</v>
      </c>
    </row>
    <row r="933" spans="1:12" s="1279" customFormat="1" ht="20.100000000000001" customHeight="1">
      <c r="A933" s="1377">
        <f t="shared" si="38"/>
        <v>0</v>
      </c>
      <c r="B933" s="1378" t="s">
        <v>1167</v>
      </c>
      <c r="C933" s="1273"/>
      <c r="D933" s="1288" t="str">
        <f>VLOOKUP($B933,DG!A:D,DG!$B$2,)</f>
        <v>05.6101</v>
      </c>
      <c r="E933" s="1275" t="str">
        <f>VLOOKUP($B933,DG!A:D,DG!$C$2,)&amp;": 4 cái"</f>
        <v>Đà U100x46x4.5x400 : 4 cái</v>
      </c>
      <c r="F933" s="1274" t="str">
        <f>VLOOKUP($B933,DG!A:D,DG!$D$2,)</f>
        <v>kg</v>
      </c>
      <c r="G933" s="1276">
        <f>$G$930*2.713*4</f>
        <v>0</v>
      </c>
      <c r="H933" s="1661">
        <f t="shared" si="39"/>
        <v>0</v>
      </c>
      <c r="I933" s="1310"/>
      <c r="J933" s="1310"/>
      <c r="K933" s="1278"/>
      <c r="L933" s="1125">
        <v>160</v>
      </c>
    </row>
    <row r="934" spans="1:12" s="1279" customFormat="1" ht="20.100000000000001" customHeight="1">
      <c r="A934" s="1377">
        <f t="shared" si="38"/>
        <v>0</v>
      </c>
      <c r="B934" s="1378" t="s">
        <v>1168</v>
      </c>
      <c r="C934" s="1273"/>
      <c r="D934" s="1288" t="str">
        <f>VLOOKUP($B934,DG!A:D,DG!$B$2,)</f>
        <v>05.6101</v>
      </c>
      <c r="E934" s="1275" t="str">
        <f>VLOOKUP($B934,DG!A:D,DG!$C$2,)&amp;": 2 cái"</f>
        <v>Đà U100x46x5x800 : 2 cái</v>
      </c>
      <c r="F934" s="1274" t="str">
        <f>VLOOKUP($B934,DG!A:D,DG!$D$2,)</f>
        <v>kg</v>
      </c>
      <c r="G934" s="1276">
        <f>$G$930*5.426*2</f>
        <v>0</v>
      </c>
      <c r="H934" s="1661">
        <f t="shared" si="39"/>
        <v>0</v>
      </c>
      <c r="I934" s="1310"/>
      <c r="J934" s="1310"/>
      <c r="K934" s="1278"/>
      <c r="L934" s="1125">
        <v>160</v>
      </c>
    </row>
    <row r="935" spans="1:12" s="1279" customFormat="1" ht="20.100000000000001" customHeight="1">
      <c r="A935" s="1377">
        <f t="shared" si="38"/>
        <v>0</v>
      </c>
      <c r="B935" s="1582" t="s">
        <v>1834</v>
      </c>
      <c r="C935" s="1273"/>
      <c r="D935" s="1288">
        <f>VLOOKUP($B935,DG!A:D,DG!$B$2,)</f>
        <v>0</v>
      </c>
      <c r="E935" s="1275" t="str">
        <f>VLOOKUP($B935,DG!A:D,DG!$C$2,)</f>
        <v>Boulon 16x400VRS+ 4 long đền vuông D18-50x50x3/Zn</v>
      </c>
      <c r="F935" s="1274" t="str">
        <f>VLOOKUP($B935,DG!A:D,DG!$D$2,)</f>
        <v>bộ</v>
      </c>
      <c r="G935" s="1287">
        <f>$G$930*10</f>
        <v>0</v>
      </c>
      <c r="H935" s="1353">
        <f t="shared" si="39"/>
        <v>0</v>
      </c>
      <c r="I935" s="1310"/>
      <c r="J935" s="1310"/>
      <c r="K935" s="1278"/>
      <c r="L935" s="1125">
        <v>160</v>
      </c>
    </row>
    <row r="936" spans="1:12" s="1279" customFormat="1" ht="20.100000000000001" customHeight="1">
      <c r="A936" s="1377">
        <f t="shared" si="38"/>
        <v>0</v>
      </c>
      <c r="B936" s="1582" t="s">
        <v>1113</v>
      </c>
      <c r="C936" s="1273"/>
      <c r="D936" s="1288">
        <f>VLOOKUP($B936,DG!A:D,DG!$B$2,)</f>
        <v>0</v>
      </c>
      <c r="E936" s="1275" t="str">
        <f>VLOOKUP($B936,DG!A:D,DG!$C$2,)</f>
        <v>Boulon 16x400+ 2 long đền vuông D18-50x50x3/Zn</v>
      </c>
      <c r="F936" s="1274" t="str">
        <f>VLOOKUP($B936,DG!A:D,DG!$D$2,)</f>
        <v>bộ</v>
      </c>
      <c r="G936" s="1287">
        <f>$G$930*2</f>
        <v>0</v>
      </c>
      <c r="H936" s="1353">
        <f t="shared" si="39"/>
        <v>0</v>
      </c>
      <c r="I936" s="1310"/>
      <c r="J936" s="1310"/>
      <c r="K936" s="1278"/>
      <c r="L936" s="1125">
        <v>160</v>
      </c>
    </row>
    <row r="937" spans="1:12" s="1279" customFormat="1" ht="20.100000000000001" customHeight="1">
      <c r="A937" s="1377">
        <f t="shared" si="38"/>
        <v>0</v>
      </c>
      <c r="B937" s="1582" t="s">
        <v>1109</v>
      </c>
      <c r="C937" s="1273"/>
      <c r="D937" s="1288">
        <f>VLOOKUP($B937,DG!A:D,DG!$B$2,)</f>
        <v>0</v>
      </c>
      <c r="E937" s="1275" t="str">
        <f>VLOOKUP($B937,DG!A:D,DG!$C$2,)</f>
        <v>Boulon 16x350+ 2 long đền vuông D18-50x50x3/Zn</v>
      </c>
      <c r="F937" s="1274" t="str">
        <f>VLOOKUP($B937,DG!A:D,DG!$D$2,)</f>
        <v>bộ</v>
      </c>
      <c r="G937" s="1287">
        <f>$G$930*12</f>
        <v>0</v>
      </c>
      <c r="H937" s="1353">
        <f t="shared" si="39"/>
        <v>0</v>
      </c>
      <c r="I937" s="1310"/>
      <c r="J937" s="1310"/>
      <c r="K937" s="1278"/>
      <c r="L937" s="1125">
        <v>160</v>
      </c>
    </row>
    <row r="938" spans="1:12" s="1279" customFormat="1" ht="20.100000000000001" customHeight="1">
      <c r="A938" s="1377">
        <f t="shared" si="38"/>
        <v>0</v>
      </c>
      <c r="B938" s="1582"/>
      <c r="C938" s="1280">
        <f>IF(G938&gt;0,C930+1,C930)</f>
        <v>0</v>
      </c>
      <c r="D938" s="1281"/>
      <c r="E938" s="1341" t="s">
        <v>3814</v>
      </c>
      <c r="F938" s="1280" t="s">
        <v>2449</v>
      </c>
      <c r="G938" s="1283">
        <f>$G$930*2*0</f>
        <v>0</v>
      </c>
      <c r="H938" s="1353">
        <f t="shared" si="39"/>
        <v>0</v>
      </c>
      <c r="I938" s="1342"/>
      <c r="J938" s="1342"/>
      <c r="K938" s="1278"/>
      <c r="L938" s="1125">
        <v>160</v>
      </c>
    </row>
    <row r="939" spans="1:12" s="1279" customFormat="1" ht="20.100000000000001" customHeight="1">
      <c r="A939" s="1377">
        <f>IF(A938&gt;0,1,0)</f>
        <v>0</v>
      </c>
      <c r="B939" s="1582"/>
      <c r="C939" s="1273"/>
      <c r="D939" s="1288"/>
      <c r="E939" s="1637" t="s">
        <v>2342</v>
      </c>
      <c r="F939" s="1286"/>
      <c r="G939" s="1287"/>
      <c r="H939" s="1353">
        <f t="shared" si="39"/>
        <v>0</v>
      </c>
      <c r="I939" s="1342"/>
      <c r="J939" s="1342"/>
      <c r="K939" s="1278"/>
      <c r="L939" s="1125">
        <v>160</v>
      </c>
    </row>
    <row r="940" spans="1:12" s="1279" customFormat="1" ht="20.100000000000001" customHeight="1">
      <c r="A940" s="1377">
        <f t="shared" si="38"/>
        <v>0</v>
      </c>
      <c r="B940" s="1589" t="s">
        <v>2075</v>
      </c>
      <c r="C940" s="1273"/>
      <c r="D940" s="1288">
        <f>VLOOKUP($B940,DG!A:D,DG!$B$2,)</f>
        <v>0</v>
      </c>
      <c r="E940" s="1275" t="str">
        <f>VLOOKUP($B940,DG!A:D,DG!$C$2,)</f>
        <v>Sắt góc L75 x75 x8</v>
      </c>
      <c r="F940" s="1288" t="str">
        <f>VLOOKUP($B940,DG!A:D,DG!$D$2,)</f>
        <v>kg</v>
      </c>
      <c r="G940" s="1276">
        <f>G938*9.02*(2.6+3*0.07)*2</f>
        <v>0</v>
      </c>
      <c r="H940" s="1353">
        <f t="shared" si="39"/>
        <v>0</v>
      </c>
      <c r="I940" s="1310"/>
      <c r="J940" s="1310"/>
      <c r="K940" s="1278"/>
      <c r="L940" s="1125">
        <v>160</v>
      </c>
    </row>
    <row r="941" spans="1:12" s="1279" customFormat="1" ht="20.100000000000001" customHeight="1">
      <c r="A941" s="1377">
        <f t="shared" si="38"/>
        <v>0</v>
      </c>
      <c r="B941" s="1582" t="s">
        <v>1837</v>
      </c>
      <c r="C941" s="1273"/>
      <c r="D941" s="1288">
        <f>VLOOKUP($B941,DG!A:D,DG!$B$2,)</f>
        <v>0</v>
      </c>
      <c r="E941" s="1275" t="str">
        <f>VLOOKUP($B941,DG!A:D,DG!$C$2,)</f>
        <v>Boulon 16x300VRS+ 4 long đền vuông D18-50x50x3/Zn</v>
      </c>
      <c r="F941" s="1288" t="str">
        <f>VLOOKUP($B941,DG!A:D,DG!$D$2,)</f>
        <v>bộ</v>
      </c>
      <c r="G941" s="1287">
        <f>G938*2</f>
        <v>0</v>
      </c>
      <c r="H941" s="1353">
        <f t="shared" si="39"/>
        <v>0</v>
      </c>
      <c r="I941" s="1310"/>
      <c r="J941" s="1310"/>
      <c r="K941" s="1278"/>
      <c r="L941" s="1125">
        <v>160</v>
      </c>
    </row>
    <row r="942" spans="1:12" s="1279" customFormat="1" ht="20.100000000000001" customHeight="1">
      <c r="A942" s="1377">
        <f t="shared" si="38"/>
        <v>0</v>
      </c>
      <c r="B942" s="1582" t="s">
        <v>1662</v>
      </c>
      <c r="C942" s="1273"/>
      <c r="D942" s="1288">
        <f>VLOOKUP($B942,DG!A:D,DG!$B$2,)</f>
        <v>0</v>
      </c>
      <c r="E942" s="1275" t="str">
        <f>VLOOKUP($B942,DG!A:D,DG!$C$2,)</f>
        <v>Boulon 16x300+ 2 long đền vuông D18-50x50x3/Zn</v>
      </c>
      <c r="F942" s="1288" t="str">
        <f>VLOOKUP($B942,DG!A:D,DG!$D$2,)</f>
        <v>bộ</v>
      </c>
      <c r="G942" s="1287">
        <f>G938*2</f>
        <v>0</v>
      </c>
      <c r="H942" s="1353">
        <f t="shared" si="39"/>
        <v>0</v>
      </c>
      <c r="I942" s="1310"/>
      <c r="J942" s="1310"/>
      <c r="K942" s="1278"/>
      <c r="L942" s="1125">
        <v>160</v>
      </c>
    </row>
    <row r="943" spans="1:12" s="1279" customFormat="1" ht="20.100000000000001" customHeight="1">
      <c r="A943" s="1377">
        <f t="shared" si="38"/>
        <v>0</v>
      </c>
      <c r="B943" s="1582" t="s">
        <v>1661</v>
      </c>
      <c r="C943" s="1273"/>
      <c r="D943" s="1288">
        <f>VLOOKUP($B943,DG!A:D,DG!$B$2,)</f>
        <v>0</v>
      </c>
      <c r="E943" s="1275" t="str">
        <f>VLOOKUP($B943,DG!A:D,DG!$C$2,)</f>
        <v>Boulon 16x250+ 2 long đền vuông D18-50x50x3/Zn</v>
      </c>
      <c r="F943" s="1288" t="str">
        <f>VLOOKUP($B943,DG!A:D,DG!$D$2,)</f>
        <v>bộ</v>
      </c>
      <c r="G943" s="1287">
        <f>G942</f>
        <v>0</v>
      </c>
      <c r="H943" s="1353">
        <f t="shared" si="39"/>
        <v>0</v>
      </c>
      <c r="I943" s="1310"/>
      <c r="J943" s="1310"/>
      <c r="K943" s="1278"/>
      <c r="L943" s="1125">
        <v>160</v>
      </c>
    </row>
    <row r="944" spans="1:12" s="1279" customFormat="1" ht="20.100000000000001" customHeight="1">
      <c r="A944" s="1377">
        <f t="shared" si="38"/>
        <v>0</v>
      </c>
      <c r="B944" s="1582" t="s">
        <v>2304</v>
      </c>
      <c r="C944" s="1273"/>
      <c r="D944" s="1288" t="str">
        <f>VLOOKUP($B944,DG!A:D,DG!$B$2,)</f>
        <v>05.6044</v>
      </c>
      <c r="E944" s="1275" t="str">
        <f>VLOOKUP($B944,DG!A:D,DG!$C$2,)</f>
        <v>Lắp xà cột Pi loại ≤140kg/xà</v>
      </c>
      <c r="F944" s="1288" t="str">
        <f>VLOOKUP($B944,DG!A:D,DG!$D$2,)</f>
        <v>bộ</v>
      </c>
      <c r="G944" s="1287">
        <f>G938</f>
        <v>0</v>
      </c>
      <c r="H944" s="1353">
        <f t="shared" si="39"/>
        <v>0</v>
      </c>
      <c r="I944" s="1310"/>
      <c r="J944" s="1310"/>
      <c r="K944" s="1278"/>
      <c r="L944" s="1125">
        <v>160</v>
      </c>
    </row>
    <row r="945" spans="1:12" s="1279" customFormat="1" ht="20.100000000000001" customHeight="1">
      <c r="A945" s="1377">
        <f t="shared" si="38"/>
        <v>0</v>
      </c>
      <c r="B945" s="1582"/>
      <c r="C945" s="1280">
        <f>IF(G945&gt;0,C938+1,C938)</f>
        <v>0</v>
      </c>
      <c r="D945" s="1281"/>
      <c r="E945" s="1341" t="s">
        <v>4703</v>
      </c>
      <c r="F945" s="1280" t="s">
        <v>2449</v>
      </c>
      <c r="G945" s="1283">
        <f>$G$930*2</f>
        <v>0</v>
      </c>
      <c r="H945" s="1353">
        <f t="shared" si="39"/>
        <v>0</v>
      </c>
      <c r="I945" s="1342"/>
      <c r="J945" s="1342"/>
      <c r="K945" s="1278"/>
      <c r="L945" s="1125">
        <v>160</v>
      </c>
    </row>
    <row r="946" spans="1:12" s="1279" customFormat="1" ht="20.100000000000001" customHeight="1">
      <c r="A946" s="1377">
        <f>IF(A945&gt;0,1,0)</f>
        <v>0</v>
      </c>
      <c r="B946" s="1582"/>
      <c r="C946" s="1273"/>
      <c r="D946" s="1284"/>
      <c r="E946" s="1637" t="s">
        <v>2342</v>
      </c>
      <c r="F946" s="1286"/>
      <c r="G946" s="1287"/>
      <c r="H946" s="1353">
        <f t="shared" si="39"/>
        <v>0</v>
      </c>
      <c r="I946" s="1342"/>
      <c r="J946" s="1342"/>
      <c r="K946" s="1278"/>
      <c r="L946" s="1125">
        <v>160</v>
      </c>
    </row>
    <row r="947" spans="1:12" s="1279" customFormat="1" ht="20.100000000000001" customHeight="1">
      <c r="A947" s="1377">
        <f t="shared" si="38"/>
        <v>0</v>
      </c>
      <c r="B947" s="1589" t="s">
        <v>2075</v>
      </c>
      <c r="C947" s="1273"/>
      <c r="D947" s="1288">
        <f>VLOOKUP($B947,DG!A:D,DG!$B$2,)</f>
        <v>0</v>
      </c>
      <c r="E947" s="1275" t="str">
        <f>VLOOKUP($B947,DG!A:D,DG!$C$2,)</f>
        <v>Sắt góc L75 x75 x8</v>
      </c>
      <c r="F947" s="1288" t="str">
        <f>VLOOKUP($B947,DG!A:D,DG!$D$2,)</f>
        <v>kg</v>
      </c>
      <c r="G947" s="1276">
        <f>$G$945*9.42*(2.6+3*0.07)</f>
        <v>0</v>
      </c>
      <c r="H947" s="1661">
        <f t="shared" si="39"/>
        <v>0</v>
      </c>
      <c r="I947" s="1310"/>
      <c r="J947" s="1310"/>
      <c r="K947" s="1278"/>
      <c r="L947" s="1125">
        <v>160</v>
      </c>
    </row>
    <row r="948" spans="1:12" s="1279" customFormat="1" ht="20.100000000000001" customHeight="1">
      <c r="A948" s="1377">
        <f t="shared" si="38"/>
        <v>0</v>
      </c>
      <c r="B948" s="1582" t="s">
        <v>1661</v>
      </c>
      <c r="C948" s="1273"/>
      <c r="D948" s="1288">
        <f>VLOOKUP($B948,DG!A:D,DG!$B$2,)</f>
        <v>0</v>
      </c>
      <c r="E948" s="1275" t="str">
        <f>VLOOKUP($B948,DG!A:D,DG!$C$2,)</f>
        <v>Boulon 16x250+ 2 long đền vuông D18-50x50x3/Zn</v>
      </c>
      <c r="F948" s="1288" t="str">
        <f>VLOOKUP($B948,DG!A:D,DG!$D$2,)</f>
        <v>bộ</v>
      </c>
      <c r="G948" s="1287">
        <f>IF($G$945=0,0,2)</f>
        <v>0</v>
      </c>
      <c r="H948" s="1353">
        <f t="shared" si="39"/>
        <v>0</v>
      </c>
      <c r="I948" s="1310"/>
      <c r="J948" s="1310"/>
      <c r="K948" s="1278"/>
      <c r="L948" s="1125">
        <v>160</v>
      </c>
    </row>
    <row r="949" spans="1:12" s="1279" customFormat="1" ht="20.100000000000001" customHeight="1">
      <c r="A949" s="1377">
        <f t="shared" si="38"/>
        <v>0</v>
      </c>
      <c r="B949" s="1582" t="s">
        <v>1662</v>
      </c>
      <c r="C949" s="1273"/>
      <c r="D949" s="1288">
        <f>VLOOKUP($B949,DG!A:D,DG!$B$2,)</f>
        <v>0</v>
      </c>
      <c r="E949" s="1275" t="str">
        <f>VLOOKUP($B949,DG!A:D,DG!$C$2,)</f>
        <v>Boulon 16x300+ 2 long đền vuông D18-50x50x3/Zn</v>
      </c>
      <c r="F949" s="1288" t="str">
        <f>VLOOKUP($B949,DG!A:D,DG!$D$2,)</f>
        <v>bộ</v>
      </c>
      <c r="G949" s="1287">
        <f>IF($G$945=0,0,2)</f>
        <v>0</v>
      </c>
      <c r="H949" s="1353">
        <f t="shared" si="39"/>
        <v>0</v>
      </c>
      <c r="I949" s="1310"/>
      <c r="J949" s="1310"/>
      <c r="K949" s="1278"/>
      <c r="L949" s="1125">
        <v>160</v>
      </c>
    </row>
    <row r="950" spans="1:12" s="1279" customFormat="1" ht="20.100000000000001" customHeight="1">
      <c r="A950" s="1377">
        <f t="shared" si="38"/>
        <v>0</v>
      </c>
      <c r="B950" s="1582" t="s">
        <v>30</v>
      </c>
      <c r="C950" s="1273"/>
      <c r="D950" s="1288">
        <f>VLOOKUP($B950,DG!A:D,DG!$B$2,)</f>
        <v>0</v>
      </c>
      <c r="E950" s="1275" t="str">
        <f>VLOOKUP($B950,DG!A:D,DG!$C$2,)</f>
        <v>Bass LI bắt FCO</v>
      </c>
      <c r="F950" s="1288" t="str">
        <f>VLOOKUP($B950,DG!A:D,DG!$D$2,)</f>
        <v>Bộ</v>
      </c>
      <c r="G950" s="1287">
        <f>$G$903</f>
        <v>0</v>
      </c>
      <c r="H950" s="1353">
        <f t="shared" si="39"/>
        <v>0</v>
      </c>
      <c r="I950" s="1310"/>
      <c r="J950" s="1310"/>
      <c r="K950" s="1278"/>
      <c r="L950" s="1125">
        <v>160</v>
      </c>
    </row>
    <row r="951" spans="1:12" s="1279" customFormat="1" ht="20.100000000000001" customHeight="1">
      <c r="A951" s="1377">
        <f t="shared" si="38"/>
        <v>0</v>
      </c>
      <c r="B951" s="1582" t="s">
        <v>2304</v>
      </c>
      <c r="C951" s="1273"/>
      <c r="D951" s="1288" t="str">
        <f>VLOOKUP($B951,DG!A:D,DG!$B$2,)</f>
        <v>05.6044</v>
      </c>
      <c r="E951" s="1386" t="str">
        <f>VLOOKUP($B951,DG!A:D,DG!$C$2,)</f>
        <v>Lắp xà cột Pi loại ≤140kg/xà</v>
      </c>
      <c r="F951" s="1288" t="str">
        <f>VLOOKUP($B951,DG!A:D,DG!$D$2,)</f>
        <v>bộ</v>
      </c>
      <c r="G951" s="1287">
        <f>$G$945/2</f>
        <v>0</v>
      </c>
      <c r="H951" s="1353">
        <f t="shared" si="39"/>
        <v>0</v>
      </c>
      <c r="I951" s="1310"/>
      <c r="J951" s="1310"/>
      <c r="K951" s="1278"/>
      <c r="L951" s="1125">
        <v>160</v>
      </c>
    </row>
    <row r="952" spans="1:12" s="1279" customFormat="1" ht="20.100000000000001" customHeight="1">
      <c r="A952" s="1377">
        <f t="shared" ref="A952:A957" si="40">IF(H952&gt;0,1,0)</f>
        <v>0</v>
      </c>
      <c r="B952" s="1582"/>
      <c r="C952" s="1280">
        <f>IF(G952&gt;0,C945+1,C945)</f>
        <v>0</v>
      </c>
      <c r="D952" s="1281"/>
      <c r="E952" s="1341" t="s">
        <v>4710</v>
      </c>
      <c r="F952" s="1280" t="s">
        <v>2449</v>
      </c>
      <c r="G952" s="1283">
        <f>$G$930*1</f>
        <v>0</v>
      </c>
      <c r="H952" s="1353">
        <f t="shared" ref="H952:H957" si="41">IF(L952=$L$23,G952+I952-J952,0)</f>
        <v>0</v>
      </c>
      <c r="I952" s="1342"/>
      <c r="J952" s="1342"/>
      <c r="K952" s="1278"/>
      <c r="L952" s="1125">
        <v>160</v>
      </c>
    </row>
    <row r="953" spans="1:12" s="1279" customFormat="1" ht="20.100000000000001" customHeight="1">
      <c r="A953" s="1377">
        <f>IF(A952&gt;0,1,0)</f>
        <v>0</v>
      </c>
      <c r="B953" s="1582"/>
      <c r="C953" s="1273"/>
      <c r="D953" s="1284"/>
      <c r="E953" s="1637" t="s">
        <v>2342</v>
      </c>
      <c r="F953" s="1286"/>
      <c r="G953" s="1287"/>
      <c r="H953" s="1353">
        <f t="shared" si="41"/>
        <v>0</v>
      </c>
      <c r="I953" s="1342"/>
      <c r="J953" s="1342"/>
      <c r="K953" s="1278"/>
      <c r="L953" s="1125">
        <v>160</v>
      </c>
    </row>
    <row r="954" spans="1:12" s="1279" customFormat="1" ht="20.100000000000001" customHeight="1">
      <c r="A954" s="1377">
        <f t="shared" si="40"/>
        <v>0</v>
      </c>
      <c r="B954" s="1589" t="s">
        <v>4704</v>
      </c>
      <c r="C954" s="1273"/>
      <c r="D954" s="1288">
        <f>VLOOKUP($B954,DG!A:D,DG!$B$2,)</f>
        <v>0</v>
      </c>
      <c r="E954" s="1275" t="str">
        <f>VLOOKUP($B954,DG!A:D,DG!$C$2,)</f>
        <v>Xà composite 110x800x5 dài 2,6m</v>
      </c>
      <c r="F954" s="1288" t="str">
        <f>VLOOKUP($B954,DG!A:D,DG!$D$2,)</f>
        <v>cái</v>
      </c>
      <c r="G954" s="1287">
        <f>G952</f>
        <v>0</v>
      </c>
      <c r="H954" s="1353">
        <f t="shared" si="41"/>
        <v>0</v>
      </c>
      <c r="I954" s="1310"/>
      <c r="J954" s="1310"/>
      <c r="K954" s="1278"/>
      <c r="L954" s="1125">
        <v>160</v>
      </c>
    </row>
    <row r="955" spans="1:12" s="1279" customFormat="1" ht="20.100000000000001" customHeight="1">
      <c r="A955" s="1377">
        <f t="shared" si="40"/>
        <v>0</v>
      </c>
      <c r="B955" s="1582" t="s">
        <v>1109</v>
      </c>
      <c r="C955" s="1273"/>
      <c r="D955" s="1288">
        <f>VLOOKUP($B955,DG!A:D,DG!$B$2,)</f>
        <v>0</v>
      </c>
      <c r="E955" s="1275" t="str">
        <f>VLOOKUP($B955,DG!A:D,DG!$C$2,)</f>
        <v>Boulon 16x350+ 2 long đền vuông D18-50x50x3/Zn</v>
      </c>
      <c r="F955" s="1288" t="str">
        <f>VLOOKUP($B955,DG!A:D,DG!$D$2,)</f>
        <v>bộ</v>
      </c>
      <c r="G955" s="1287">
        <f>IF($G$945=0,0,2)</f>
        <v>0</v>
      </c>
      <c r="H955" s="1353">
        <f t="shared" si="41"/>
        <v>0</v>
      </c>
      <c r="I955" s="1310"/>
      <c r="J955" s="1310"/>
      <c r="K955" s="1278"/>
      <c r="L955" s="1125">
        <v>160</v>
      </c>
    </row>
    <row r="956" spans="1:12" s="1279" customFormat="1" ht="20.100000000000001" customHeight="1">
      <c r="A956" s="1377">
        <f t="shared" si="40"/>
        <v>0</v>
      </c>
      <c r="B956" s="1582" t="s">
        <v>30</v>
      </c>
      <c r="C956" s="1273"/>
      <c r="D956" s="1288">
        <f>VLOOKUP($B956,DG!A:D,DG!$B$2,)</f>
        <v>0</v>
      </c>
      <c r="E956" s="1275" t="str">
        <f>VLOOKUP($B956,DG!A:D,DG!$C$2,)</f>
        <v>Bass LI bắt FCO</v>
      </c>
      <c r="F956" s="1288" t="str">
        <f>VLOOKUP($B956,DG!A:D,DG!$D$2,)</f>
        <v>Bộ</v>
      </c>
      <c r="G956" s="1287">
        <f>$G$903*2</f>
        <v>0</v>
      </c>
      <c r="H956" s="1353">
        <f t="shared" si="41"/>
        <v>0</v>
      </c>
      <c r="I956" s="1310"/>
      <c r="J956" s="1310"/>
      <c r="K956" s="1278"/>
      <c r="L956" s="1125">
        <v>160</v>
      </c>
    </row>
    <row r="957" spans="1:12" s="1279" customFormat="1" ht="20.100000000000001" customHeight="1">
      <c r="A957" s="1377">
        <f t="shared" si="40"/>
        <v>0</v>
      </c>
      <c r="B957" s="1582" t="s">
        <v>2048</v>
      </c>
      <c r="C957" s="1273"/>
      <c r="D957" s="1288" t="str">
        <f>VLOOKUP($B957,DG!A:D,DG!$B$2,)</f>
        <v>05.6401</v>
      </c>
      <c r="E957" s="1386" t="str">
        <f>VLOOKUP($B957,DG!A:D,DG!$C$2,)</f>
        <v>Lắp xà đỡ ≤ 25kg</v>
      </c>
      <c r="F957" s="1288" t="str">
        <f>VLOOKUP($B957,DG!A:D,DG!$D$2,)</f>
        <v>bộ</v>
      </c>
      <c r="G957" s="1287">
        <f>$G$945/2</f>
        <v>0</v>
      </c>
      <c r="H957" s="1353">
        <f t="shared" si="41"/>
        <v>0</v>
      </c>
      <c r="I957" s="1310"/>
      <c r="J957" s="1310"/>
      <c r="K957" s="1278"/>
      <c r="L957" s="1125">
        <v>160</v>
      </c>
    </row>
    <row r="958" spans="1:12" s="1279" customFormat="1" ht="20.100000000000001" customHeight="1">
      <c r="A958" s="1377">
        <f t="shared" si="38"/>
        <v>0</v>
      </c>
      <c r="B958" s="1582"/>
      <c r="C958" s="1280">
        <f>IF(G958&gt;0,C952+1,C945)</f>
        <v>0</v>
      </c>
      <c r="D958" s="1281"/>
      <c r="E958" s="1341" t="s">
        <v>3816</v>
      </c>
      <c r="F958" s="1280" t="s">
        <v>2449</v>
      </c>
      <c r="G958" s="1283">
        <f>$G$930*2</f>
        <v>0</v>
      </c>
      <c r="H958" s="1353">
        <f t="shared" si="39"/>
        <v>0</v>
      </c>
      <c r="I958" s="1342"/>
      <c r="J958" s="1342"/>
      <c r="K958" s="1278"/>
      <c r="L958" s="1125">
        <v>160</v>
      </c>
    </row>
    <row r="959" spans="1:12" s="1279" customFormat="1" ht="20.100000000000001" customHeight="1">
      <c r="A959" s="1377">
        <f>IF(A958&gt;0,1,0)</f>
        <v>0</v>
      </c>
      <c r="B959" s="1582"/>
      <c r="C959" s="1273"/>
      <c r="D959" s="1284"/>
      <c r="E959" s="1637" t="s">
        <v>2342</v>
      </c>
      <c r="F959" s="1286"/>
      <c r="G959" s="1287"/>
      <c r="H959" s="1353">
        <f t="shared" si="39"/>
        <v>0</v>
      </c>
      <c r="I959" s="1342"/>
      <c r="J959" s="1342"/>
      <c r="K959" s="1278"/>
      <c r="L959" s="1125">
        <v>160</v>
      </c>
    </row>
    <row r="960" spans="1:12" s="1279" customFormat="1" ht="20.100000000000001" customHeight="1">
      <c r="A960" s="1377">
        <f t="shared" si="38"/>
        <v>0</v>
      </c>
      <c r="B960" s="1582" t="s">
        <v>2075</v>
      </c>
      <c r="C960" s="1273"/>
      <c r="D960" s="1288">
        <f>VLOOKUP($B960,DG!A:D,DG!$B$2,)</f>
        <v>0</v>
      </c>
      <c r="E960" s="1275" t="str">
        <f>VLOOKUP($B960,DG!A:D,DG!$C$2,)</f>
        <v>Sắt góc L75 x75 x8</v>
      </c>
      <c r="F960" s="1288" t="str">
        <f>VLOOKUP($B960,DG!A:D,DG!$D$2,)</f>
        <v>kg</v>
      </c>
      <c r="G960" s="1276">
        <f>$G$958*9.42*2.6</f>
        <v>0</v>
      </c>
      <c r="H960" s="1661">
        <f t="shared" si="39"/>
        <v>0</v>
      </c>
      <c r="I960" s="1310"/>
      <c r="J960" s="1310"/>
      <c r="K960" s="1278"/>
      <c r="L960" s="1125">
        <v>160</v>
      </c>
    </row>
    <row r="961" spans="1:12" s="1279" customFormat="1" ht="20.100000000000001" customHeight="1">
      <c r="A961" s="1377">
        <f t="shared" si="38"/>
        <v>0</v>
      </c>
      <c r="B961" s="1582" t="s">
        <v>1113</v>
      </c>
      <c r="C961" s="1273"/>
      <c r="D961" s="1288">
        <f>VLOOKUP($B961,DG!A:D,DG!$B$2,)</f>
        <v>0</v>
      </c>
      <c r="E961" s="1275" t="str">
        <f>VLOOKUP($B961,DG!A:D,DG!$C$2,)</f>
        <v>Boulon 16x400+ 2 long đền vuông D18-50x50x3/Zn</v>
      </c>
      <c r="F961" s="1288" t="str">
        <f>VLOOKUP($B961,DG!A:D,DG!$D$2,)</f>
        <v>bộ</v>
      </c>
      <c r="G961" s="1287">
        <f>$G$958*2</f>
        <v>0</v>
      </c>
      <c r="H961" s="1353">
        <f t="shared" si="39"/>
        <v>0</v>
      </c>
      <c r="I961" s="1310"/>
      <c r="J961" s="1310"/>
      <c r="K961" s="1278"/>
      <c r="L961" s="1125">
        <v>160</v>
      </c>
    </row>
    <row r="962" spans="1:12" s="1279" customFormat="1" ht="20.100000000000001" customHeight="1">
      <c r="A962" s="1377">
        <f t="shared" si="38"/>
        <v>0</v>
      </c>
      <c r="B962" s="1582" t="s">
        <v>139</v>
      </c>
      <c r="C962" s="1273"/>
      <c r="D962" s="1288">
        <f>VLOOKUP($B962,DG!A:D,DG!$B$2,)</f>
        <v>0</v>
      </c>
      <c r="E962" s="1275" t="str">
        <f>VLOOKUP($B962,DG!A:D,DG!$C$2,)</f>
        <v>Boulon 12x40+ 2 long đền vuông D14-50x50x3/Zn</v>
      </c>
      <c r="F962" s="1288" t="str">
        <f>VLOOKUP($B962,DG!A:D,DG!$D$2,)</f>
        <v>bộ</v>
      </c>
      <c r="G962" s="1287">
        <f>$G$958*2</f>
        <v>0</v>
      </c>
      <c r="H962" s="1353">
        <f t="shared" si="39"/>
        <v>0</v>
      </c>
      <c r="I962" s="1310"/>
      <c r="J962" s="1310"/>
      <c r="K962" s="1278"/>
      <c r="L962" s="1125">
        <v>160</v>
      </c>
    </row>
    <row r="963" spans="1:12" s="1279" customFormat="1" ht="20.100000000000001" customHeight="1">
      <c r="A963" s="1377">
        <f t="shared" si="38"/>
        <v>0</v>
      </c>
      <c r="B963" s="1582" t="s">
        <v>2304</v>
      </c>
      <c r="C963" s="1273"/>
      <c r="D963" s="1288" t="str">
        <f>VLOOKUP($B963,DG!A:D,DG!$B$2,)</f>
        <v>05.6044</v>
      </c>
      <c r="E963" s="1386" t="str">
        <f>VLOOKUP($B963,DG!A:D,DG!$C$2,)</f>
        <v>Lắp xà cột Pi loại ≤140kg/xà</v>
      </c>
      <c r="F963" s="1288" t="str">
        <f>VLOOKUP($B963,DG!A:D,DG!$D$2,)</f>
        <v>bộ</v>
      </c>
      <c r="G963" s="1287">
        <f>$G$958/2</f>
        <v>0</v>
      </c>
      <c r="H963" s="1353">
        <f t="shared" si="39"/>
        <v>0</v>
      </c>
      <c r="I963" s="1310"/>
      <c r="J963" s="1310"/>
      <c r="K963" s="1278"/>
      <c r="L963" s="1125">
        <v>160</v>
      </c>
    </row>
    <row r="964" spans="1:12" s="1279" customFormat="1" ht="20.100000000000001" customHeight="1">
      <c r="A964" s="1377">
        <f t="shared" si="38"/>
        <v>0</v>
      </c>
      <c r="B964" s="1582" t="s">
        <v>218</v>
      </c>
      <c r="C964" s="1273"/>
      <c r="D964" s="1288" t="str">
        <f>VLOOKUP($B964,DG!A:D,DG!$B$2,)</f>
        <v>02.1115</v>
      </c>
      <c r="E964" s="1275" t="str">
        <f>VLOOKUP($B964,DG!A:D,DG!$C$2,)</f>
        <v>Bốc dỡ xà, thép thanh</v>
      </c>
      <c r="F964" s="1288" t="str">
        <f>VLOOKUP($B964,DG!A:D,DG!$D$2,)</f>
        <v>tấn</v>
      </c>
      <c r="G964" s="1276">
        <f>0.05*0</f>
        <v>0</v>
      </c>
      <c r="H964" s="1353">
        <f t="shared" si="39"/>
        <v>0</v>
      </c>
      <c r="I964" s="1310"/>
      <c r="J964" s="1310"/>
      <c r="K964" s="1278"/>
      <c r="L964" s="1125">
        <v>160</v>
      </c>
    </row>
    <row r="965" spans="1:12" s="1279" customFormat="1" ht="20.100000000000001" customHeight="1">
      <c r="A965" s="1377">
        <f t="shared" si="38"/>
        <v>0</v>
      </c>
      <c r="B965" s="1582" t="s">
        <v>1662</v>
      </c>
      <c r="C965" s="1273"/>
      <c r="D965" s="1288">
        <f>VLOOKUP($B965,DG!A:D,DG!$B$2,)</f>
        <v>0</v>
      </c>
      <c r="E965" s="1275" t="str">
        <f>VLOOKUP($B965,DG!A:D,DG!$C$2,)</f>
        <v>Boulon 16x300+ 2 long đền vuông D18-50x50x3/Zn</v>
      </c>
      <c r="F965" s="1274" t="s">
        <v>2503</v>
      </c>
      <c r="G965" s="1287">
        <f>G958*2*0</f>
        <v>0</v>
      </c>
      <c r="H965" s="1353">
        <f t="shared" si="39"/>
        <v>0</v>
      </c>
      <c r="I965" s="1310"/>
      <c r="J965" s="1310"/>
      <c r="K965" s="1278"/>
      <c r="L965" s="1125">
        <v>160</v>
      </c>
    </row>
    <row r="966" spans="1:12" s="1279" customFormat="1" ht="20.100000000000001" customHeight="1">
      <c r="A966" s="1377">
        <f t="shared" si="38"/>
        <v>0</v>
      </c>
      <c r="B966" s="1582" t="s">
        <v>1661</v>
      </c>
      <c r="C966" s="1273"/>
      <c r="D966" s="1288">
        <f>VLOOKUP($B966,DG!A:D,DG!$B$2,)</f>
        <v>0</v>
      </c>
      <c r="E966" s="1275" t="str">
        <f>VLOOKUP($B966,DG!A:D,DG!$C$2,)</f>
        <v>Boulon 16x250+ 2 long đền vuông D18-50x50x3/Zn</v>
      </c>
      <c r="F966" s="1274" t="s">
        <v>2503</v>
      </c>
      <c r="G966" s="1287">
        <f>2*G958*2*0</f>
        <v>0</v>
      </c>
      <c r="H966" s="1353">
        <f t="shared" si="39"/>
        <v>0</v>
      </c>
      <c r="I966" s="1310"/>
      <c r="J966" s="1310"/>
      <c r="K966" s="1278"/>
      <c r="L966" s="1125">
        <v>160</v>
      </c>
    </row>
    <row r="967" spans="1:12" s="1279" customFormat="1" ht="20.100000000000001" customHeight="1" collapsed="1">
      <c r="A967" s="1377">
        <f t="shared" si="38"/>
        <v>0</v>
      </c>
      <c r="B967" s="1582"/>
      <c r="C967" s="1280">
        <f>IF(G967&gt;0,C958+1,C958)</f>
        <v>0</v>
      </c>
      <c r="D967" s="1281"/>
      <c r="E967" s="1341" t="s">
        <v>3817</v>
      </c>
      <c r="F967" s="1280" t="s">
        <v>2449</v>
      </c>
      <c r="G967" s="1283">
        <f>G902*0</f>
        <v>0</v>
      </c>
      <c r="H967" s="1353">
        <f t="shared" si="39"/>
        <v>0</v>
      </c>
      <c r="I967" s="1277"/>
      <c r="J967" s="1277"/>
      <c r="K967" s="1312"/>
      <c r="L967" s="1125">
        <v>160</v>
      </c>
    </row>
    <row r="968" spans="1:12" s="1279" customFormat="1" ht="20.100000000000001" customHeight="1">
      <c r="A968" s="1377">
        <f>IF(A967&gt;0,1,0)</f>
        <v>0</v>
      </c>
      <c r="B968" s="1582"/>
      <c r="C968" s="1273"/>
      <c r="D968" s="1284"/>
      <c r="E968" s="1637" t="s">
        <v>2342</v>
      </c>
      <c r="F968" s="1286"/>
      <c r="G968" s="1287"/>
      <c r="H968" s="1353">
        <f t="shared" si="39"/>
        <v>0</v>
      </c>
      <c r="I968" s="1277"/>
      <c r="J968" s="1277"/>
      <c r="K968" s="1312"/>
      <c r="L968" s="1125">
        <v>160</v>
      </c>
    </row>
    <row r="969" spans="1:12" s="1279" customFormat="1" ht="20.100000000000001" customHeight="1">
      <c r="A969" s="1377">
        <f t="shared" si="38"/>
        <v>0</v>
      </c>
      <c r="B969" s="1582" t="s">
        <v>2075</v>
      </c>
      <c r="C969" s="1273"/>
      <c r="D969" s="1288">
        <f>VLOOKUP($B969,DG!A:D,DG!$B$2,)</f>
        <v>0</v>
      </c>
      <c r="E969" s="1275" t="str">
        <f>VLOOKUP($B969,DG!A:D,DG!$C$2,)</f>
        <v>Sắt góc L75 x75 x8</v>
      </c>
      <c r="F969" s="1274" t="s">
        <v>2310</v>
      </c>
      <c r="G969" s="1276">
        <f>G967*9.02*(2.4+4*0.07)*2</f>
        <v>0</v>
      </c>
      <c r="H969" s="1353">
        <f t="shared" si="39"/>
        <v>0</v>
      </c>
      <c r="I969" s="1277"/>
      <c r="J969" s="1277"/>
      <c r="K969" s="1312"/>
      <c r="L969" s="1125">
        <v>160</v>
      </c>
    </row>
    <row r="970" spans="1:12" s="1279" customFormat="1" ht="20.100000000000001" customHeight="1">
      <c r="A970" s="1377">
        <f t="shared" si="38"/>
        <v>0</v>
      </c>
      <c r="B970" s="1582" t="s">
        <v>1065</v>
      </c>
      <c r="C970" s="1273"/>
      <c r="D970" s="1288">
        <f>VLOOKUP($B970,DG!A:D,DG!$B$2,)</f>
        <v>0</v>
      </c>
      <c r="E970" s="1275" t="str">
        <f>VLOOKUP($B970,DG!A:D,DG!$C$2,)&amp;" (Thanh choáng 810)"</f>
        <v>Sắt góc L50 x50 x5 (Thanh choáng 810)</v>
      </c>
      <c r="F970" s="1274" t="s">
        <v>2310</v>
      </c>
      <c r="G970" s="1276">
        <f>G967*3.77*0.81*4</f>
        <v>0</v>
      </c>
      <c r="H970" s="1353">
        <f t="shared" si="39"/>
        <v>0</v>
      </c>
      <c r="I970" s="1277"/>
      <c r="J970" s="1277"/>
      <c r="K970" s="1312"/>
      <c r="L970" s="1125">
        <v>160</v>
      </c>
    </row>
    <row r="971" spans="1:12" s="1279" customFormat="1" ht="20.100000000000001" customHeight="1">
      <c r="A971" s="1377">
        <f t="shared" si="38"/>
        <v>0</v>
      </c>
      <c r="B971" s="1582" t="s">
        <v>1662</v>
      </c>
      <c r="C971" s="1273"/>
      <c r="D971" s="1288">
        <f>VLOOKUP($B971,DG!A:D,DG!$B$2,)</f>
        <v>0</v>
      </c>
      <c r="E971" s="1275" t="str">
        <f>VLOOKUP($B971,DG!A:D,DG!$C$2,)</f>
        <v>Boulon 16x300+ 2 long đền vuông D18-50x50x3/Zn</v>
      </c>
      <c r="F971" s="1274" t="s">
        <v>2503</v>
      </c>
      <c r="G971" s="1287">
        <f>G967*2</f>
        <v>0</v>
      </c>
      <c r="H971" s="1353">
        <f t="shared" si="39"/>
        <v>0</v>
      </c>
      <c r="I971" s="1277"/>
      <c r="J971" s="1277"/>
      <c r="K971" s="1312"/>
      <c r="L971" s="1125">
        <v>160</v>
      </c>
    </row>
    <row r="972" spans="1:12" s="1279" customFormat="1" ht="20.100000000000001" customHeight="1">
      <c r="A972" s="1377">
        <f t="shared" si="38"/>
        <v>0</v>
      </c>
      <c r="B972" s="1582" t="s">
        <v>1839</v>
      </c>
      <c r="C972" s="1273"/>
      <c r="D972" s="1288">
        <f>VLOOKUP($B972,DG!A:D,DG!$B$2,)</f>
        <v>0</v>
      </c>
      <c r="E972" s="1275" t="str">
        <f>VLOOKUP($B972,DG!A:D,DG!$C$2,)</f>
        <v>Boulon 16x50+ 2 long đền vuông D18-50x50x3/Zn</v>
      </c>
      <c r="F972" s="1274" t="s">
        <v>2503</v>
      </c>
      <c r="G972" s="1287">
        <f>G967*4</f>
        <v>0</v>
      </c>
      <c r="H972" s="1353">
        <f t="shared" si="39"/>
        <v>0</v>
      </c>
      <c r="I972" s="1277"/>
      <c r="J972" s="1277"/>
      <c r="K972" s="1312"/>
      <c r="L972" s="1125">
        <v>160</v>
      </c>
    </row>
    <row r="973" spans="1:12" s="1279" customFormat="1" ht="20.100000000000001" customHeight="1">
      <c r="A973" s="1377">
        <f t="shared" si="38"/>
        <v>0</v>
      </c>
      <c r="B973" s="1582" t="s">
        <v>1837</v>
      </c>
      <c r="C973" s="1273"/>
      <c r="D973" s="1288">
        <f>VLOOKUP($B973,DG!A:D,DG!$B$2,)</f>
        <v>0</v>
      </c>
      <c r="E973" s="1275" t="str">
        <f>VLOOKUP($B973,DG!A:D,DG!$C$2,)</f>
        <v>Boulon 16x300VRS+ 4 long đền vuông D18-50x50x3/Zn</v>
      </c>
      <c r="F973" s="1274" t="s">
        <v>2503</v>
      </c>
      <c r="G973" s="1287">
        <f>G967*4</f>
        <v>0</v>
      </c>
      <c r="H973" s="1353">
        <f t="shared" si="39"/>
        <v>0</v>
      </c>
      <c r="I973" s="1277"/>
      <c r="J973" s="1277"/>
      <c r="K973" s="1312"/>
      <c r="L973" s="1125">
        <v>160</v>
      </c>
    </row>
    <row r="974" spans="1:12" s="1279" customFormat="1" ht="20.100000000000001" customHeight="1">
      <c r="A974" s="1377">
        <f t="shared" si="38"/>
        <v>0</v>
      </c>
      <c r="B974" s="1582" t="s">
        <v>520</v>
      </c>
      <c r="C974" s="1273"/>
      <c r="D974" s="1288" t="str">
        <f>VLOOKUP($B974,DG!A:D,DG!$B$2,)</f>
        <v>05.6203</v>
      </c>
      <c r="E974" s="1275" t="str">
        <f>VLOOKUP($B974,DG!A:D,DG!$C$2,)</f>
        <v>Lắp xà néo ≤ 100kg</v>
      </c>
      <c r="F974" s="1274" t="s">
        <v>2503</v>
      </c>
      <c r="G974" s="1287">
        <f>G967</f>
        <v>0</v>
      </c>
      <c r="H974" s="1353">
        <f t="shared" si="39"/>
        <v>0</v>
      </c>
      <c r="I974" s="1277"/>
      <c r="J974" s="1277"/>
      <c r="K974" s="1312"/>
      <c r="L974" s="1125">
        <v>160</v>
      </c>
    </row>
    <row r="975" spans="1:12" s="1279" customFormat="1" ht="20.100000000000001" customHeight="1">
      <c r="A975" s="1377">
        <f t="shared" si="38"/>
        <v>0</v>
      </c>
      <c r="B975" s="1582"/>
      <c r="C975" s="1280">
        <f>IF(G975&gt;0,C967+1,C967)</f>
        <v>0</v>
      </c>
      <c r="D975" s="1281"/>
      <c r="E975" s="1341" t="s">
        <v>3818</v>
      </c>
      <c r="F975" s="1280" t="s">
        <v>2449</v>
      </c>
      <c r="G975" s="1283">
        <f>G902*1*0</f>
        <v>0</v>
      </c>
      <c r="H975" s="1353">
        <f t="shared" si="39"/>
        <v>0</v>
      </c>
      <c r="I975" s="1277"/>
      <c r="J975" s="1277"/>
      <c r="K975" s="1312"/>
      <c r="L975" s="1125">
        <v>160</v>
      </c>
    </row>
    <row r="976" spans="1:12" s="1279" customFormat="1" ht="20.100000000000001" customHeight="1">
      <c r="A976" s="1377">
        <f>IF(A975&gt;0,1,0)</f>
        <v>0</v>
      </c>
      <c r="B976" s="1582"/>
      <c r="C976" s="1273"/>
      <c r="D976" s="1284"/>
      <c r="E976" s="1637" t="s">
        <v>2342</v>
      </c>
      <c r="F976" s="1286"/>
      <c r="G976" s="1287"/>
      <c r="H976" s="1353">
        <f t="shared" si="39"/>
        <v>0</v>
      </c>
      <c r="I976" s="1277"/>
      <c r="J976" s="1277"/>
      <c r="K976" s="1312"/>
      <c r="L976" s="1125">
        <v>160</v>
      </c>
    </row>
    <row r="977" spans="1:12" s="1279" customFormat="1" ht="20.100000000000001" customHeight="1">
      <c r="A977" s="1377">
        <f t="shared" si="38"/>
        <v>0</v>
      </c>
      <c r="B977" s="1582" t="s">
        <v>2075</v>
      </c>
      <c r="C977" s="1273"/>
      <c r="D977" s="1288">
        <f>VLOOKUP($B977,DG!A:D,DG!$B$2,)</f>
        <v>0</v>
      </c>
      <c r="E977" s="1275" t="str">
        <f>VLOOKUP($B977,DG!A:D,DG!$C$2,)</f>
        <v>Sắt góc L75 x75 x8</v>
      </c>
      <c r="F977" s="1274" t="s">
        <v>2310</v>
      </c>
      <c r="G977" s="1276">
        <f>G975*9.02*(2.4+4*0.07)</f>
        <v>0</v>
      </c>
      <c r="H977" s="1353">
        <f t="shared" si="39"/>
        <v>0</v>
      </c>
      <c r="I977" s="1277"/>
      <c r="J977" s="1277"/>
      <c r="K977" s="1312"/>
      <c r="L977" s="1125">
        <v>160</v>
      </c>
    </row>
    <row r="978" spans="1:12" s="1279" customFormat="1" ht="20.100000000000001" customHeight="1">
      <c r="A978" s="1377">
        <f t="shared" si="38"/>
        <v>0</v>
      </c>
      <c r="B978" s="1582" t="s">
        <v>1065</v>
      </c>
      <c r="C978" s="1273"/>
      <c r="D978" s="1288">
        <f>VLOOKUP($B978,DG!A:D,DG!$B$2,)</f>
        <v>0</v>
      </c>
      <c r="E978" s="1275" t="str">
        <f>VLOOKUP($B978,DG!A:D,DG!$C$2,)&amp;" (Thanh choáng 810)"</f>
        <v>Sắt góc L50 x50 x5 (Thanh choáng 810)</v>
      </c>
      <c r="F978" s="1274" t="s">
        <v>2310</v>
      </c>
      <c r="G978" s="1276">
        <f>G975*3.77*0.81*2</f>
        <v>0</v>
      </c>
      <c r="H978" s="1353">
        <f t="shared" si="39"/>
        <v>0</v>
      </c>
      <c r="I978" s="1277"/>
      <c r="J978" s="1277"/>
      <c r="K978" s="1312"/>
      <c r="L978" s="1125">
        <v>160</v>
      </c>
    </row>
    <row r="979" spans="1:12" s="1279" customFormat="1" ht="20.100000000000001" customHeight="1">
      <c r="A979" s="1377">
        <f t="shared" si="38"/>
        <v>0</v>
      </c>
      <c r="B979" s="1582" t="s">
        <v>1109</v>
      </c>
      <c r="C979" s="1273"/>
      <c r="D979" s="1288">
        <f>VLOOKUP($B979,DG!A:D,DG!$B$2,)</f>
        <v>0</v>
      </c>
      <c r="E979" s="1275" t="str">
        <f>VLOOKUP($B979,DG!A:D,DG!$C$2,)</f>
        <v>Boulon 16x350+ 2 long đền vuông D18-50x50x3/Zn</v>
      </c>
      <c r="F979" s="1274" t="s">
        <v>2503</v>
      </c>
      <c r="G979" s="1287">
        <f>G975*2</f>
        <v>0</v>
      </c>
      <c r="H979" s="1353">
        <f t="shared" si="39"/>
        <v>0</v>
      </c>
      <c r="I979" s="1277"/>
      <c r="J979" s="1277"/>
      <c r="K979" s="1312"/>
      <c r="L979" s="1125">
        <v>160</v>
      </c>
    </row>
    <row r="980" spans="1:12" s="1279" customFormat="1" ht="20.100000000000001" customHeight="1">
      <c r="A980" s="1377">
        <f t="shared" si="38"/>
        <v>0</v>
      </c>
      <c r="B980" s="1582" t="s">
        <v>1839</v>
      </c>
      <c r="C980" s="1273"/>
      <c r="D980" s="1288">
        <f>VLOOKUP($B980,DG!A:D,DG!$B$2,)</f>
        <v>0</v>
      </c>
      <c r="E980" s="1275" t="str">
        <f>VLOOKUP($B980,DG!A:D,DG!$C$2,)</f>
        <v>Boulon 16x50+ 2 long đền vuông D18-50x50x3/Zn</v>
      </c>
      <c r="F980" s="1274" t="s">
        <v>2503</v>
      </c>
      <c r="G980" s="1287">
        <f>G975*2</f>
        <v>0</v>
      </c>
      <c r="H980" s="1353">
        <f t="shared" si="39"/>
        <v>0</v>
      </c>
      <c r="I980" s="1277"/>
      <c r="J980" s="1277"/>
      <c r="K980" s="1312"/>
      <c r="L980" s="1125">
        <v>160</v>
      </c>
    </row>
    <row r="981" spans="1:12" s="1279" customFormat="1" ht="20.100000000000001" customHeight="1">
      <c r="A981" s="1377">
        <f t="shared" si="38"/>
        <v>0</v>
      </c>
      <c r="B981" s="1582" t="s">
        <v>1788</v>
      </c>
      <c r="C981" s="1273"/>
      <c r="D981" s="1288">
        <f>VLOOKUP($B981,DG!A:D,DG!$B$2,)</f>
        <v>0</v>
      </c>
      <c r="E981" s="1275" t="str">
        <f>VLOOKUP($B981,DG!A:D,DG!$C$2,)</f>
        <v>Bass LI bắt FCO</v>
      </c>
      <c r="F981" s="1274" t="s">
        <v>2503</v>
      </c>
      <c r="G981" s="1287">
        <f>IF(G975&gt;0,3,)</f>
        <v>0</v>
      </c>
      <c r="H981" s="1353">
        <f t="shared" si="39"/>
        <v>0</v>
      </c>
      <c r="I981" s="1277"/>
      <c r="J981" s="1277"/>
      <c r="K981" s="1312"/>
      <c r="L981" s="1125">
        <v>160</v>
      </c>
    </row>
    <row r="982" spans="1:12" s="1279" customFormat="1" ht="20.100000000000001" customHeight="1">
      <c r="A982" s="1377">
        <f t="shared" ref="A982:A1045" si="42">IF(H982&gt;0,1,0)</f>
        <v>0</v>
      </c>
      <c r="B982" s="1582" t="s">
        <v>1018</v>
      </c>
      <c r="C982" s="1273"/>
      <c r="D982" s="1288" t="str">
        <f>VLOOKUP($B982,DG!A:D,DG!$B$2,)</f>
        <v>06.3231</v>
      </c>
      <c r="E982" s="1275" t="str">
        <f>VLOOKUP($B982,DG!A:D,DG!$C$2,)</f>
        <v xml:space="preserve">Cổ dê chống lắc 8x80x800 </v>
      </c>
      <c r="F982" s="1274" t="s">
        <v>2503</v>
      </c>
      <c r="G982" s="1287">
        <f>G975*0</f>
        <v>0</v>
      </c>
      <c r="H982" s="1353">
        <f t="shared" si="39"/>
        <v>0</v>
      </c>
      <c r="I982" s="1277"/>
      <c r="J982" s="1277"/>
      <c r="K982" s="1312"/>
      <c r="L982" s="1125">
        <v>160</v>
      </c>
    </row>
    <row r="983" spans="1:12" s="1279" customFormat="1" ht="20.100000000000001" customHeight="1">
      <c r="A983" s="1377">
        <f t="shared" si="42"/>
        <v>0</v>
      </c>
      <c r="B983" s="1582" t="s">
        <v>1473</v>
      </c>
      <c r="C983" s="1273"/>
      <c r="D983" s="1288" t="str">
        <f>VLOOKUP($B983,DG!A:D,DG!$B$2,)</f>
        <v>05.6102</v>
      </c>
      <c r="E983" s="1275" t="str">
        <f>VLOOKUP($B983,DG!A:D,DG!$C$2,)</f>
        <v>Lắp xà đỡ ≤ 50kg</v>
      </c>
      <c r="F983" s="1274" t="s">
        <v>2503</v>
      </c>
      <c r="G983" s="1287">
        <f>G975</f>
        <v>0</v>
      </c>
      <c r="H983" s="1353">
        <f t="shared" si="39"/>
        <v>0</v>
      </c>
      <c r="I983" s="1277"/>
      <c r="J983" s="1277"/>
      <c r="K983" s="1312"/>
      <c r="L983" s="1125">
        <v>160</v>
      </c>
    </row>
    <row r="984" spans="1:12" s="1279" customFormat="1" ht="20.100000000000001" customHeight="1">
      <c r="A984" s="1377">
        <f t="shared" si="42"/>
        <v>0</v>
      </c>
      <c r="B984" s="1582"/>
      <c r="C984" s="1280">
        <f>IF(G984&gt;0,C975+1,C975)</f>
        <v>0</v>
      </c>
      <c r="D984" s="1281"/>
      <c r="E984" s="1341" t="s">
        <v>3819</v>
      </c>
      <c r="F984" s="1280" t="s">
        <v>2449</v>
      </c>
      <c r="G984" s="1283">
        <f>G902</f>
        <v>0</v>
      </c>
      <c r="H984" s="1353">
        <f t="shared" si="39"/>
        <v>0</v>
      </c>
      <c r="I984" s="1277"/>
      <c r="J984" s="1277"/>
      <c r="K984" s="1312"/>
      <c r="L984" s="1125">
        <v>160</v>
      </c>
    </row>
    <row r="985" spans="1:12" s="1279" customFormat="1" ht="20.100000000000001" customHeight="1">
      <c r="A985" s="1377">
        <f>IF(A984&gt;0,1,0)</f>
        <v>0</v>
      </c>
      <c r="B985" s="1624"/>
      <c r="C985" s="1273"/>
      <c r="D985" s="1284"/>
      <c r="E985" s="1637" t="s">
        <v>2342</v>
      </c>
      <c r="F985" s="1286"/>
      <c r="G985" s="1287"/>
      <c r="H985" s="1353">
        <f t="shared" si="39"/>
        <v>0</v>
      </c>
      <c r="I985" s="1277"/>
      <c r="J985" s="1277"/>
      <c r="K985" s="1312"/>
      <c r="L985" s="1125">
        <v>160</v>
      </c>
    </row>
    <row r="986" spans="1:12" s="1279" customFormat="1" ht="20.100000000000001" customHeight="1">
      <c r="A986" s="1377">
        <f t="shared" si="42"/>
        <v>0</v>
      </c>
      <c r="B986" s="1582" t="s">
        <v>1063</v>
      </c>
      <c r="C986" s="1273"/>
      <c r="D986" s="1274">
        <f>VLOOKUP($B986,DG!A:D,DG!$B$2,)</f>
        <v>0</v>
      </c>
      <c r="E986" s="1275" t="str">
        <f>VLOOKUP($B986,DG!A:D,DG!$C$2,)</f>
        <v>Cáp đồng trần M25mm2</v>
      </c>
      <c r="F986" s="1288" t="str">
        <f>VLOOKUP($B986,DG!A:D,DG!$D$2,)</f>
        <v>kg</v>
      </c>
      <c r="G986" s="1276">
        <f>H3*0.224*$G$984</f>
        <v>0</v>
      </c>
      <c r="H986" s="1353">
        <f t="shared" si="39"/>
        <v>0</v>
      </c>
      <c r="I986" s="1277"/>
      <c r="J986" s="1277"/>
      <c r="K986" s="1312"/>
      <c r="L986" s="1125">
        <v>160</v>
      </c>
    </row>
    <row r="987" spans="1:12" s="1279" customFormat="1" ht="20.100000000000001" customHeight="1">
      <c r="A987" s="1377">
        <f t="shared" si="42"/>
        <v>0</v>
      </c>
      <c r="B987" s="1582" t="s">
        <v>1063</v>
      </c>
      <c r="C987" s="1273"/>
      <c r="D987" s="1274">
        <f>VLOOKUP($B987,DG!A:D,DG!$B$2,)</f>
        <v>0</v>
      </c>
      <c r="E987" s="1275" t="str">
        <f>VLOOKUP($B987,DG!A:D,DG!$C$2,)&amp;": 17m nối lên vỏ các thiết bị"</f>
        <v>Cáp đồng trần M25mm2: 17m nối lên vỏ các thiết bị</v>
      </c>
      <c r="F987" s="1274" t="str">
        <f>VLOOKUP($B987,DG!A:D,DG!$D$2,)</f>
        <v>kg</v>
      </c>
      <c r="G987" s="1276">
        <f>17*0.224*G984*0</f>
        <v>0</v>
      </c>
      <c r="H987" s="1353">
        <f t="shared" si="39"/>
        <v>0</v>
      </c>
      <c r="I987" s="1277"/>
      <c r="J987" s="1277"/>
      <c r="K987" s="1312"/>
      <c r="L987" s="1125">
        <v>160</v>
      </c>
    </row>
    <row r="988" spans="1:12" s="1279" customFormat="1" ht="20.100000000000001" customHeight="1">
      <c r="A988" s="1377">
        <f t="shared" si="42"/>
        <v>0</v>
      </c>
      <c r="B988" s="1378" t="s">
        <v>1560</v>
      </c>
      <c r="C988" s="1273"/>
      <c r="D988" s="1274">
        <f>VLOOKUP($B988,DG!A:D,DG!$B$2,)</f>
        <v>0</v>
      </c>
      <c r="E988" s="1275" t="str">
        <f>VLOOKUP($B988,DG!A:D,DG!$C$2,)</f>
        <v>Cọc tiếp đất Ø 16- 2,4m + kẹp cọc</v>
      </c>
      <c r="F988" s="1288" t="str">
        <f>VLOOKUP($B988,DG!A:D,DG!$D$2,)</f>
        <v>bộ</v>
      </c>
      <c r="G988" s="1287">
        <f>H2*$G$984</f>
        <v>0</v>
      </c>
      <c r="H988" s="1353">
        <f t="shared" si="39"/>
        <v>0</v>
      </c>
      <c r="I988" s="1277"/>
      <c r="J988" s="1277"/>
      <c r="K988" s="1312"/>
      <c r="L988" s="1125">
        <v>160</v>
      </c>
    </row>
    <row r="989" spans="1:12" s="1279" customFormat="1" ht="20.100000000000001" customHeight="1">
      <c r="A989" s="1377">
        <f t="shared" si="42"/>
        <v>0</v>
      </c>
      <c r="B989" s="1378" t="s">
        <v>1542</v>
      </c>
      <c r="C989" s="1273"/>
      <c r="D989" s="1274" t="str">
        <f>VLOOKUP($B989,DG!A:D,DG!$B$2,)</f>
        <v>07.2403</v>
      </c>
      <c r="E989" s="1275" t="str">
        <f>VLOOKUP($B989,DG!A:D,DG!$C$2,)</f>
        <v xml:space="preserve">Ống PVC D21x1,6mm </v>
      </c>
      <c r="F989" s="1274" t="str">
        <f>VLOOKUP($B989,DG!A:D,DG!$D$2,)</f>
        <v>m</v>
      </c>
      <c r="G989" s="1287">
        <f>$G$984*12*0</f>
        <v>0</v>
      </c>
      <c r="H989" s="1353">
        <f t="shared" si="39"/>
        <v>0</v>
      </c>
      <c r="I989" s="1277"/>
      <c r="J989" s="1277"/>
      <c r="K989" s="1278"/>
      <c r="L989" s="1125">
        <v>160</v>
      </c>
    </row>
    <row r="990" spans="1:12" s="1279" customFormat="1" ht="20.100000000000001" customHeight="1">
      <c r="A990" s="1377">
        <f t="shared" si="42"/>
        <v>0</v>
      </c>
      <c r="B990" s="1587" t="s">
        <v>1631</v>
      </c>
      <c r="C990" s="1273"/>
      <c r="D990" s="1274">
        <f>VLOOKUP($B990,DG!A:D,DG!$B$2,)</f>
        <v>0</v>
      </c>
      <c r="E990" s="1275" t="str">
        <f>VLOOKUP($B990,DG!A:D,DG!$C$2,)&amp; " bắt dây trung tính "</f>
        <v xml:space="preserve">Kẹp ép WR cỡ dây 50mm2 bắt dây trung tính </v>
      </c>
      <c r="F990" s="1288" t="str">
        <f>VLOOKUP($B990,DG!A:D,DG!$D$2,)</f>
        <v>cái</v>
      </c>
      <c r="G990" s="1287">
        <f>2*$G$984</f>
        <v>0</v>
      </c>
      <c r="H990" s="1353">
        <f t="shared" si="39"/>
        <v>0</v>
      </c>
      <c r="I990" s="1277"/>
      <c r="J990" s="1277"/>
      <c r="K990" s="1312"/>
      <c r="L990" s="1125">
        <v>160</v>
      </c>
    </row>
    <row r="991" spans="1:12" s="1279" customFormat="1" ht="20.100000000000001" customHeight="1">
      <c r="A991" s="1377">
        <f t="shared" si="42"/>
        <v>0</v>
      </c>
      <c r="B991" s="1587" t="s">
        <v>1428</v>
      </c>
      <c r="C991" s="1343"/>
      <c r="D991" s="1274">
        <f>VLOOKUP($B991,DG!A:D,DG!$B$2,)</f>
        <v>0</v>
      </c>
      <c r="E991" s="1275" t="str">
        <f>VLOOKUP($B991,DG!A:D,DG!$C$2,)&amp;": bắt lưới tiếp địa"</f>
        <v>Kẹp ép cỡ dây 25mm2: bắt lưới tiếp địa</v>
      </c>
      <c r="F991" s="1288" t="str">
        <f>VLOOKUP($B991,DG!A:D,DG!$D$2,)</f>
        <v>cái</v>
      </c>
      <c r="G991" s="1287">
        <f>$G$984*4</f>
        <v>0</v>
      </c>
      <c r="H991" s="1353">
        <f t="shared" si="39"/>
        <v>0</v>
      </c>
      <c r="I991" s="1277"/>
      <c r="J991" s="1277"/>
      <c r="K991" s="1312"/>
      <c r="L991" s="1125">
        <v>160</v>
      </c>
    </row>
    <row r="992" spans="1:12" s="1279" customFormat="1" ht="20.100000000000001" customHeight="1">
      <c r="A992" s="1377">
        <f t="shared" si="42"/>
        <v>0</v>
      </c>
      <c r="B992" s="1378" t="s">
        <v>139</v>
      </c>
      <c r="C992" s="1273"/>
      <c r="D992" s="1274">
        <f>VLOOKUP($B992,DG!A:D,DG!$B$2,)</f>
        <v>0</v>
      </c>
      <c r="E992" s="1275" t="str">
        <f>VLOOKUP($B992,DG!A:D,DG!$C$2,)</f>
        <v>Boulon 12x40+ 2 long đền vuông D14-50x50x3/Zn</v>
      </c>
      <c r="F992" s="1288" t="str">
        <f>VLOOKUP($B992,DG!A:D,DG!$D$2,)</f>
        <v>bộ</v>
      </c>
      <c r="G992" s="1287">
        <f>$G$984*0</f>
        <v>0</v>
      </c>
      <c r="H992" s="1353">
        <f t="shared" si="39"/>
        <v>0</v>
      </c>
      <c r="I992" s="1277"/>
      <c r="J992" s="1277"/>
      <c r="K992" s="1312"/>
      <c r="L992" s="1125">
        <v>160</v>
      </c>
    </row>
    <row r="993" spans="1:12" s="1279" customFormat="1" ht="20.100000000000001" customHeight="1">
      <c r="A993" s="1377">
        <f t="shared" si="42"/>
        <v>0</v>
      </c>
      <c r="B993" s="1378" t="s">
        <v>104</v>
      </c>
      <c r="C993" s="1273"/>
      <c r="D993" s="1274" t="str">
        <f>VLOOKUP($B993,DG!A:D,DG!$B$2,)</f>
        <v>03.4001</v>
      </c>
      <c r="E993" s="1275" t="str">
        <f>VLOOKUP($B993,DG!A:D,DG!$C$2,)</f>
        <v>Đầu cosse ép Cu 25mm2</v>
      </c>
      <c r="F993" s="1288" t="str">
        <f>VLOOKUP($B993,DG!A:D,DG!$D$2,)</f>
        <v>cái</v>
      </c>
      <c r="G993" s="1287">
        <f>G992*2</f>
        <v>0</v>
      </c>
      <c r="H993" s="1353">
        <f t="shared" si="39"/>
        <v>0</v>
      </c>
      <c r="I993" s="1277"/>
      <c r="J993" s="1277"/>
      <c r="K993" s="1312"/>
      <c r="L993" s="1125">
        <v>160</v>
      </c>
    </row>
    <row r="994" spans="1:12" s="1279" customFormat="1" ht="20.100000000000001" customHeight="1">
      <c r="A994" s="1377">
        <f t="shared" si="42"/>
        <v>0</v>
      </c>
      <c r="B994" s="1378" t="s">
        <v>528</v>
      </c>
      <c r="C994" s="1273"/>
      <c r="D994" s="1274" t="str">
        <f>VLOOKUP($B994,DG!A:D,DG!$B$2,)</f>
        <v>06.3231</v>
      </c>
      <c r="E994" s="1275" t="str">
        <f>VLOOKUP($B994,DG!A:D,DG!$C$2,)&amp;": CD-250"</f>
        <v>Cổ dê kẹp ống PVC  21: CD-250</v>
      </c>
      <c r="F994" s="1274" t="str">
        <f>VLOOKUP($B994,DG!A:D,DG!$D$2,)</f>
        <v>bộ</v>
      </c>
      <c r="G994" s="1345">
        <f>$G$984*0.415*0</f>
        <v>0</v>
      </c>
      <c r="H994" s="1353">
        <f t="shared" si="39"/>
        <v>0</v>
      </c>
      <c r="I994" s="1277"/>
      <c r="J994" s="1277"/>
      <c r="K994" s="1278"/>
      <c r="L994" s="1125">
        <v>160</v>
      </c>
    </row>
    <row r="995" spans="1:12" s="1279" customFormat="1" ht="20.100000000000001" customHeight="1">
      <c r="A995" s="1377">
        <f t="shared" si="42"/>
        <v>0</v>
      </c>
      <c r="B995" s="1378" t="s">
        <v>528</v>
      </c>
      <c r="C995" s="1273"/>
      <c r="D995" s="1274" t="str">
        <f>VLOOKUP($B995,DG!A:D,DG!$B$2,)</f>
        <v>06.3231</v>
      </c>
      <c r="E995" s="1275" t="str">
        <f>VLOOKUP($B995,DG!A:D,DG!$C$2,)&amp;": CD-280"</f>
        <v>Cổ dê kẹp ống PVC  21: CD-280</v>
      </c>
      <c r="F995" s="1274" t="str">
        <f>VLOOKUP($B995,DG!A:D,DG!$D$2,)</f>
        <v>bộ</v>
      </c>
      <c r="G995" s="1345">
        <f>$G$984*0.452*0</f>
        <v>0</v>
      </c>
      <c r="H995" s="1353">
        <f t="shared" si="39"/>
        <v>0</v>
      </c>
      <c r="I995" s="1277"/>
      <c r="J995" s="1277"/>
      <c r="K995" s="1278"/>
      <c r="L995" s="1125">
        <v>160</v>
      </c>
    </row>
    <row r="996" spans="1:12" s="1279" customFormat="1" ht="20.100000000000001" customHeight="1">
      <c r="A996" s="1377">
        <f t="shared" si="42"/>
        <v>0</v>
      </c>
      <c r="B996" s="1378" t="s">
        <v>528</v>
      </c>
      <c r="C996" s="1273"/>
      <c r="D996" s="1274" t="str">
        <f>VLOOKUP($B996,DG!A:D,DG!$B$2,)</f>
        <v>06.3231</v>
      </c>
      <c r="E996" s="1275" t="str">
        <f>VLOOKUP($B996,DG!A:D,DG!$C$2,)&amp;": CD-320"</f>
        <v>Cổ dê kẹp ống PVC  21: CD-320</v>
      </c>
      <c r="F996" s="1274" t="str">
        <f>VLOOKUP($B996,DG!A:D,DG!$D$2,)</f>
        <v>bộ</v>
      </c>
      <c r="G996" s="1345">
        <f>$G$984*0.501*0</f>
        <v>0</v>
      </c>
      <c r="H996" s="1353">
        <f t="shared" si="39"/>
        <v>0</v>
      </c>
      <c r="I996" s="1277"/>
      <c r="J996" s="1277"/>
      <c r="K996" s="1278"/>
      <c r="L996" s="1125">
        <v>160</v>
      </c>
    </row>
    <row r="997" spans="1:12" s="1279" customFormat="1" ht="20.100000000000001" customHeight="1">
      <c r="A997" s="1377">
        <f t="shared" si="42"/>
        <v>0</v>
      </c>
      <c r="B997" s="1378" t="s">
        <v>1161</v>
      </c>
      <c r="C997" s="1273"/>
      <c r="D997" s="1274" t="str">
        <f>VLOOKUP($B997,DG!A:D,DG!$B$2,)</f>
        <v>06.2110</v>
      </c>
      <c r="E997" s="1386" t="str">
        <f>VLOOKUP($B997,DG!A:D,DG!$C$2,)&amp;": CD-320"</f>
        <v>Lắp cổ dề: CD-320</v>
      </c>
      <c r="F997" s="1274" t="str">
        <f>VLOOKUP($B997,DG!A:D,DG!$D$2,)</f>
        <v>bộ</v>
      </c>
      <c r="G997" s="1345">
        <f>$G$984*0</f>
        <v>0</v>
      </c>
      <c r="H997" s="1353">
        <f t="shared" si="39"/>
        <v>0</v>
      </c>
      <c r="I997" s="1277"/>
      <c r="J997" s="1277"/>
      <c r="K997" s="1278"/>
      <c r="L997" s="1125">
        <v>160</v>
      </c>
    </row>
    <row r="998" spans="1:12" s="1279" customFormat="1" ht="20.100000000000001" customHeight="1">
      <c r="A998" s="1377">
        <f t="shared" si="42"/>
        <v>0</v>
      </c>
      <c r="B998" s="1378" t="s">
        <v>139</v>
      </c>
      <c r="C998" s="1273"/>
      <c r="D998" s="1274">
        <f>VLOOKUP($B998,DG!A:D,DG!$B$2,)</f>
        <v>0</v>
      </c>
      <c r="E998" s="1275" t="str">
        <f>VLOOKUP($B998,DG!A:D,DG!$C$2,)</f>
        <v>Boulon 12x40+ 2 long đền vuông D14-50x50x3/Zn</v>
      </c>
      <c r="F998" s="1274" t="str">
        <f>VLOOKUP($B998,DG!A:D,DG!$D$2,)</f>
        <v>bộ</v>
      </c>
      <c r="G998" s="1276">
        <f>$G$984*6*0</f>
        <v>0</v>
      </c>
      <c r="H998" s="1353">
        <f t="shared" si="39"/>
        <v>0</v>
      </c>
      <c r="I998" s="1277"/>
      <c r="J998" s="1277"/>
      <c r="K998" s="1278"/>
      <c r="L998" s="1125">
        <v>160</v>
      </c>
    </row>
    <row r="999" spans="1:12" s="1279" customFormat="1" ht="20.100000000000001" customHeight="1">
      <c r="A999" s="1377">
        <f t="shared" si="42"/>
        <v>0</v>
      </c>
      <c r="B999" s="1378" t="s">
        <v>1637</v>
      </c>
      <c r="C999" s="1273"/>
      <c r="D999" s="1274">
        <f>VLOOKUP($B999,DG!A:D,DG!$B$2,)</f>
        <v>0</v>
      </c>
      <c r="E999" s="1275" t="str">
        <f>VLOOKUP($B999,DG!A:D,DG!$C$2,)</f>
        <v>Giếng tiếp địa khoan đất</v>
      </c>
      <c r="F999" s="1274" t="str">
        <f>VLOOKUP($B999,DG!A:D,DG!$D$2,)</f>
        <v>Cái</v>
      </c>
      <c r="G999" s="1287">
        <f>L3*G984</f>
        <v>0</v>
      </c>
      <c r="H999" s="1353">
        <f t="shared" si="39"/>
        <v>0</v>
      </c>
      <c r="I999" s="1277"/>
      <c r="J999" s="1277"/>
      <c r="K999" s="1312"/>
      <c r="L999" s="1125">
        <v>160</v>
      </c>
    </row>
    <row r="1000" spans="1:12" s="1279" customFormat="1" ht="20.100000000000001" customHeight="1">
      <c r="A1000" s="1377">
        <f t="shared" si="42"/>
        <v>0</v>
      </c>
      <c r="B1000" s="1378" t="str">
        <f>"DTD"&amp;chitiet!F5</f>
        <v>DTD3</v>
      </c>
      <c r="C1000" s="1286"/>
      <c r="D1000" s="1274" t="str">
        <f>VLOOKUP($B1000,DG!A:D,DG!$B$2,)</f>
        <v>03.3123</v>
      </c>
      <c r="E1000" s="1386" t="str">
        <f>VLOOKUP($B1000,DG!A:D,DG!$C$2,)</f>
        <v>Đào rãnh tiếp địa đất cấp 3</v>
      </c>
      <c r="F1000" s="1288" t="str">
        <f>VLOOKUP($B1000,DG!A:D,DG!$D$2,)</f>
        <v>m3</v>
      </c>
      <c r="G1000" s="1396">
        <f>0.2*0.3*24*$G$984*2.0901</f>
        <v>0</v>
      </c>
      <c r="H1000" s="1353">
        <f t="shared" si="39"/>
        <v>0</v>
      </c>
      <c r="I1000" s="1277"/>
      <c r="J1000" s="1277"/>
      <c r="K1000" s="1312"/>
      <c r="L1000" s="1125">
        <v>160</v>
      </c>
    </row>
    <row r="1001" spans="1:12" s="1279" customFormat="1" ht="20.100000000000001" customHeight="1">
      <c r="A1001" s="1377">
        <f t="shared" si="42"/>
        <v>0</v>
      </c>
      <c r="B1001" s="1378" t="str">
        <f>"DATD"&amp;chitiet!F5</f>
        <v>DATD3</v>
      </c>
      <c r="C1001" s="1286"/>
      <c r="D1001" s="1274" t="str">
        <f>VLOOKUP($B1001,DG!A:D,DG!$B$2,)</f>
        <v>03.4123</v>
      </c>
      <c r="E1001" s="1386" t="str">
        <f>VLOOKUP($B1001,DG!A:D,DG!$C$2,)</f>
        <v>Đắp đất rãnh tiếp độ chặt k=0,95</v>
      </c>
      <c r="F1001" s="1288" t="str">
        <f>VLOOKUP($B1001,DG!A:D,DG!$D$2,)</f>
        <v>m3</v>
      </c>
      <c r="G1001" s="1396">
        <f>0.2*0.3*24*$G$984*2.0901</f>
        <v>0</v>
      </c>
      <c r="H1001" s="1353">
        <f t="shared" si="39"/>
        <v>0</v>
      </c>
      <c r="I1001" s="1277"/>
      <c r="J1001" s="1277"/>
      <c r="K1001" s="1312"/>
      <c r="L1001" s="1125">
        <v>160</v>
      </c>
    </row>
    <row r="1002" spans="1:12" s="1279" customFormat="1" ht="20.100000000000001" customHeight="1">
      <c r="A1002" s="1377">
        <f t="shared" si="42"/>
        <v>0</v>
      </c>
      <c r="B1002" s="1378" t="s">
        <v>919</v>
      </c>
      <c r="C1002" s="1286"/>
      <c r="D1002" s="1274" t="str">
        <f>VLOOKUP($B1002,DG!A:D,DG!$B$2,)</f>
        <v>04.7001</v>
      </c>
      <c r="E1002" s="1386" t="str">
        <f>VLOOKUP($B1002,DG!A:D,DG!$C$2,)</f>
        <v>Đóng cọc tiếp địa trong TBA</v>
      </c>
      <c r="F1002" s="1288" t="str">
        <f>VLOOKUP($B1002,DG!A:D,DG!$D$2,)</f>
        <v>cọc</v>
      </c>
      <c r="G1002" s="1312">
        <f>H2*K10</f>
        <v>0</v>
      </c>
      <c r="H1002" s="1353">
        <f t="shared" ref="H1002:H1065" si="43">IF(L1002=$L$23,G1002+I1002-J1002,0)</f>
        <v>0</v>
      </c>
      <c r="I1002" s="1277"/>
      <c r="J1002" s="1277"/>
      <c r="K1002" s="1312"/>
      <c r="L1002" s="1125">
        <v>160</v>
      </c>
    </row>
    <row r="1003" spans="1:12" s="1279" customFormat="1" ht="20.100000000000001" customHeight="1">
      <c r="A1003" s="1377">
        <f t="shared" si="42"/>
        <v>0</v>
      </c>
      <c r="B1003" s="1378" t="s">
        <v>1470</v>
      </c>
      <c r="C1003" s="1273"/>
      <c r="D1003" s="1274" t="str">
        <f>VLOOKUP($B1003,DG!A:D,DG!$B$2,)</f>
        <v>04.7002</v>
      </c>
      <c r="E1003" s="1386" t="str">
        <f>VLOOKUP($B1003,DG!A:D,DG!$C$2,)</f>
        <v>Kéo dây tiếp địa trong TBA</v>
      </c>
      <c r="F1003" s="1288" t="str">
        <f>VLOOKUP($B1003,DG!A:D,DG!$D$2,)</f>
        <v>mét</v>
      </c>
      <c r="G1003" s="1287">
        <f>H3*K10</f>
        <v>0</v>
      </c>
      <c r="H1003" s="1353">
        <f t="shared" si="43"/>
        <v>0</v>
      </c>
      <c r="I1003" s="1277"/>
      <c r="J1003" s="1277"/>
      <c r="K1003" s="1312"/>
      <c r="L1003" s="1125">
        <v>160</v>
      </c>
    </row>
    <row r="1004" spans="1:12" s="1279" customFormat="1" ht="20.100000000000001" customHeight="1">
      <c r="A1004" s="1377">
        <f t="shared" si="42"/>
        <v>0</v>
      </c>
      <c r="B1004" s="1582"/>
      <c r="C1004" s="1280">
        <f>IF(G1004&gt;0,C984+1,C984)</f>
        <v>0</v>
      </c>
      <c r="D1004" s="1281"/>
      <c r="E1004" s="1282" t="s">
        <v>3820</v>
      </c>
      <c r="F1004" s="1280" t="s">
        <v>2449</v>
      </c>
      <c r="G1004" s="1283"/>
      <c r="H1004" s="1353">
        <f t="shared" si="43"/>
        <v>0</v>
      </c>
      <c r="I1004" s="1277"/>
      <c r="J1004" s="1277"/>
      <c r="K1004" s="1278"/>
      <c r="L1004" s="1125">
        <v>160</v>
      </c>
    </row>
    <row r="1005" spans="1:12" s="1279" customFormat="1" ht="20.100000000000001" customHeight="1">
      <c r="A1005" s="1377">
        <f>IF(A1004&gt;0,1,0)</f>
        <v>0</v>
      </c>
      <c r="B1005" s="1582"/>
      <c r="C1005" s="1273"/>
      <c r="D1005" s="1284"/>
      <c r="E1005" s="1637" t="s">
        <v>2342</v>
      </c>
      <c r="F1005" s="1286"/>
      <c r="G1005" s="1287"/>
      <c r="H1005" s="1353">
        <f t="shared" si="43"/>
        <v>0</v>
      </c>
      <c r="I1005" s="1277"/>
      <c r="J1005" s="1277"/>
      <c r="K1005" s="1278"/>
      <c r="L1005" s="1125">
        <v>160</v>
      </c>
    </row>
    <row r="1006" spans="1:12" s="1279" customFormat="1" ht="20.100000000000001" customHeight="1">
      <c r="A1006" s="1377">
        <f t="shared" si="42"/>
        <v>0</v>
      </c>
      <c r="B1006" s="1582" t="s">
        <v>658</v>
      </c>
      <c r="C1006" s="1286"/>
      <c r="D1006" s="1288">
        <f>VLOOKUP($B1006,DG!A:D,DG!$B$2,)</f>
        <v>0</v>
      </c>
      <c r="E1006" s="1289" t="str">
        <f>VLOOKUP($B1006,DG!A:D,DG!$C$2,)</f>
        <v xml:space="preserve">Ximăng </v>
      </c>
      <c r="F1006" s="1288" t="str">
        <f>VLOOKUP($B1006,DG!A:D,DG!$D$2,)</f>
        <v>kg</v>
      </c>
      <c r="G1006" s="1276">
        <f>G1004*L1009</f>
        <v>0</v>
      </c>
      <c r="H1006" s="1353">
        <f t="shared" si="43"/>
        <v>0</v>
      </c>
      <c r="I1006" s="1277"/>
      <c r="J1006" s="1277"/>
      <c r="K1006" s="1278"/>
      <c r="L1006" s="1125">
        <v>160</v>
      </c>
    </row>
    <row r="1007" spans="1:12" s="1279" customFormat="1" ht="20.100000000000001" customHeight="1">
      <c r="A1007" s="1377">
        <f t="shared" si="42"/>
        <v>0</v>
      </c>
      <c r="B1007" s="1582" t="s">
        <v>4665</v>
      </c>
      <c r="C1007" s="1273"/>
      <c r="D1007" s="1288">
        <f>VLOOKUP($B1007,DG!A:D,DG!$B$2,)</f>
        <v>0</v>
      </c>
      <c r="E1007" s="1289" t="str">
        <f>VLOOKUP($B1007,DG!A:D,DG!$C$2,)</f>
        <v>Cát vàng</v>
      </c>
      <c r="F1007" s="1288" t="str">
        <f>VLOOKUP($B1007,DG!A:D,DG!$D$2,)</f>
        <v>m3</v>
      </c>
      <c r="G1007" s="1276">
        <f>G1004*M1009</f>
        <v>0</v>
      </c>
      <c r="H1007" s="1353">
        <f t="shared" si="43"/>
        <v>0</v>
      </c>
      <c r="I1007" s="1277"/>
      <c r="J1007" s="1277"/>
      <c r="K1007" s="1278"/>
      <c r="L1007" s="1125">
        <v>160</v>
      </c>
    </row>
    <row r="1008" spans="1:12" s="1279" customFormat="1" ht="20.100000000000001" customHeight="1">
      <c r="A1008" s="1377">
        <f t="shared" si="42"/>
        <v>0</v>
      </c>
      <c r="B1008" s="1582" t="s">
        <v>217</v>
      </c>
      <c r="C1008" s="1273"/>
      <c r="D1008" s="1288">
        <f>VLOOKUP($B1008,DG!A:D,DG!$B$2,)</f>
        <v>0</v>
      </c>
      <c r="E1008" s="1289" t="str">
        <f>VLOOKUP($B1008,DG!A:D,DG!$C$2,)</f>
        <v>Đá 1x2</v>
      </c>
      <c r="F1008" s="1288" t="str">
        <f>VLOOKUP($B1008,DG!A:D,DG!$D$2,)</f>
        <v>m3</v>
      </c>
      <c r="G1008" s="1276">
        <f>G1004*N1009</f>
        <v>0</v>
      </c>
      <c r="H1008" s="1353">
        <f t="shared" si="43"/>
        <v>0</v>
      </c>
      <c r="I1008" s="1277"/>
      <c r="J1008" s="1277"/>
      <c r="K1008" s="1278"/>
      <c r="L1008" s="1125">
        <v>160</v>
      </c>
    </row>
    <row r="1009" spans="1:15" s="1279" customFormat="1" ht="20.100000000000001" customHeight="1">
      <c r="A1009" s="1377">
        <f t="shared" si="42"/>
        <v>0</v>
      </c>
      <c r="B1009" s="1582" t="s">
        <v>659</v>
      </c>
      <c r="C1009" s="1286"/>
      <c r="D1009" s="1288" t="str">
        <f>VLOOKUP($B1009,DG!A:D,DG!$B$2,)</f>
        <v>04.1203c</v>
      </c>
      <c r="E1009" s="1289" t="str">
        <f>VLOOKUP($B1009,DG!A:D,DG!$C$2,)</f>
        <v>Đổ bê tông móng trụ &lt;=250cm-M200 đá 1x2</v>
      </c>
      <c r="F1009" s="1288" t="str">
        <f>VLOOKUP($B1009,DG!A:D,DG!$D$2,)</f>
        <v>m3</v>
      </c>
      <c r="G1009" s="1276">
        <f>G1004*(0.4*3*1-2*3.14*0.15^2*0.4)*1.025</f>
        <v>0</v>
      </c>
      <c r="H1009" s="1353">
        <f t="shared" si="43"/>
        <v>0</v>
      </c>
      <c r="I1009" s="1277"/>
      <c r="J1009" s="1277"/>
      <c r="K1009" s="1278"/>
      <c r="L1009" s="1125">
        <v>160</v>
      </c>
      <c r="M1009" s="1291">
        <f>1.025*0.45</f>
        <v>0.46124999999999999</v>
      </c>
      <c r="N1009" s="1291">
        <f>1.025*0.866</f>
        <v>0.88764999999999994</v>
      </c>
      <c r="O1009" s="1466"/>
    </row>
    <row r="1010" spans="1:15" s="1279" customFormat="1" ht="20.100000000000001" customHeight="1">
      <c r="A1010" s="1377">
        <f t="shared" si="42"/>
        <v>0</v>
      </c>
      <c r="B1010" s="1582"/>
      <c r="C1010" s="1280">
        <f>IF(G1010&gt;0,C1004+1,C1004)</f>
        <v>0</v>
      </c>
      <c r="D1010" s="1281"/>
      <c r="E1010" s="1282" t="s">
        <v>3821</v>
      </c>
      <c r="F1010" s="1280" t="s">
        <v>2449</v>
      </c>
      <c r="G1010" s="1283"/>
      <c r="H1010" s="1353">
        <f t="shared" si="43"/>
        <v>0</v>
      </c>
      <c r="I1010" s="1277"/>
      <c r="J1010" s="1277"/>
      <c r="K1010" s="1278"/>
      <c r="L1010" s="1125">
        <v>160</v>
      </c>
    </row>
    <row r="1011" spans="1:15" s="1279" customFormat="1" ht="20.100000000000001" customHeight="1">
      <c r="A1011" s="1377">
        <f>IF(A1010&gt;0,1,0)</f>
        <v>0</v>
      </c>
      <c r="B1011" s="1582"/>
      <c r="C1011" s="1273"/>
      <c r="D1011" s="1284"/>
      <c r="E1011" s="1637" t="s">
        <v>2342</v>
      </c>
      <c r="F1011" s="1286"/>
      <c r="G1011" s="1287"/>
      <c r="H1011" s="1353">
        <f t="shared" si="43"/>
        <v>0</v>
      </c>
      <c r="I1011" s="1277"/>
      <c r="J1011" s="1277"/>
      <c r="K1011" s="1278"/>
      <c r="L1011" s="1125">
        <v>160</v>
      </c>
    </row>
    <row r="1012" spans="1:15" s="1279" customFormat="1" ht="20.100000000000001" customHeight="1">
      <c r="A1012" s="1377">
        <f t="shared" si="42"/>
        <v>0</v>
      </c>
      <c r="B1012" s="1582" t="s">
        <v>658</v>
      </c>
      <c r="C1012" s="1286"/>
      <c r="D1012" s="1288">
        <f>VLOOKUP($B1012,DG!A:D,DG!$B$2,)</f>
        <v>0</v>
      </c>
      <c r="E1012" s="1289" t="str">
        <f>VLOOKUP($B1012,DG!A:D,DG!$C$2,)</f>
        <v xml:space="preserve">Ximăng </v>
      </c>
      <c r="F1012" s="1288" t="str">
        <f>VLOOKUP($B1012,DG!A:D,DG!$D$2,)</f>
        <v>kg</v>
      </c>
      <c r="G1012" s="1276">
        <f>G1015*L1015</f>
        <v>0</v>
      </c>
      <c r="H1012" s="1353">
        <f t="shared" si="43"/>
        <v>0</v>
      </c>
      <c r="I1012" s="1277"/>
      <c r="J1012" s="1277"/>
      <c r="K1012" s="1278"/>
      <c r="L1012" s="1125">
        <v>160</v>
      </c>
    </row>
    <row r="1013" spans="1:15" s="1279" customFormat="1" ht="20.100000000000001" customHeight="1">
      <c r="A1013" s="1377">
        <f t="shared" si="42"/>
        <v>0</v>
      </c>
      <c r="B1013" s="1582" t="s">
        <v>4665</v>
      </c>
      <c r="C1013" s="1273"/>
      <c r="D1013" s="1288">
        <f>VLOOKUP($B1013,DG!A:D,DG!$B$2,)</f>
        <v>0</v>
      </c>
      <c r="E1013" s="1289" t="str">
        <f>VLOOKUP($B1013,DG!A:D,DG!$C$2,)</f>
        <v>Cát vàng</v>
      </c>
      <c r="F1013" s="1288" t="str">
        <f>VLOOKUP($B1013,DG!A:D,DG!$D$2,)</f>
        <v>m3</v>
      </c>
      <c r="G1013" s="1290">
        <f>G1015*M1015</f>
        <v>0</v>
      </c>
      <c r="H1013" s="1353">
        <f t="shared" si="43"/>
        <v>0</v>
      </c>
      <c r="I1013" s="1277"/>
      <c r="J1013" s="1277"/>
      <c r="K1013" s="1278"/>
      <c r="L1013" s="1125">
        <v>160</v>
      </c>
    </row>
    <row r="1014" spans="1:15" s="1279" customFormat="1" ht="20.100000000000001" customHeight="1">
      <c r="A1014" s="1377">
        <f t="shared" si="42"/>
        <v>0</v>
      </c>
      <c r="B1014" s="1582" t="s">
        <v>217</v>
      </c>
      <c r="C1014" s="1273"/>
      <c r="D1014" s="1288">
        <f>VLOOKUP($B1014,DG!A:D,DG!$B$2,)</f>
        <v>0</v>
      </c>
      <c r="E1014" s="1289" t="str">
        <f>VLOOKUP($B1014,DG!A:D,DG!$C$2,)</f>
        <v>Đá 1x2</v>
      </c>
      <c r="F1014" s="1288" t="str">
        <f>VLOOKUP($B1014,DG!A:D,DG!$D$2,)</f>
        <v>m3</v>
      </c>
      <c r="G1014" s="1290">
        <f>G1015*N1015</f>
        <v>0</v>
      </c>
      <c r="H1014" s="1353">
        <f t="shared" si="43"/>
        <v>0</v>
      </c>
      <c r="I1014" s="1277"/>
      <c r="J1014" s="1277"/>
      <c r="K1014" s="1278"/>
      <c r="L1014" s="1125">
        <v>160</v>
      </c>
    </row>
    <row r="1015" spans="1:15" s="1279" customFormat="1" ht="20.100000000000001" customHeight="1">
      <c r="A1015" s="1377">
        <f t="shared" si="42"/>
        <v>0</v>
      </c>
      <c r="B1015" s="1582" t="s">
        <v>659</v>
      </c>
      <c r="C1015" s="1286"/>
      <c r="D1015" s="1288" t="str">
        <f>VLOOKUP($B1015,DG!A:D,DG!$B$2,)</f>
        <v>04.1203c</v>
      </c>
      <c r="E1015" s="1289" t="str">
        <f>VLOOKUP($B1015,DG!A:D,DG!$C$2,)</f>
        <v>Đổ bê tông móng trụ &lt;=250cm-M200 đá 1x2</v>
      </c>
      <c r="F1015" s="1288" t="str">
        <f>VLOOKUP($B1015,DG!A:D,DG!$D$2,)</f>
        <v>m3</v>
      </c>
      <c r="G1015" s="1276">
        <f>G1010*0.2*0.2*(0.2+0.2+0.8+0.8+2*4)</f>
        <v>0</v>
      </c>
      <c r="H1015" s="1353">
        <f t="shared" si="43"/>
        <v>0</v>
      </c>
      <c r="I1015" s="1277"/>
      <c r="J1015" s="1277"/>
      <c r="K1015" s="1278"/>
      <c r="L1015" s="1125">
        <v>160</v>
      </c>
      <c r="M1015" s="1291">
        <f>1.025*0.45</f>
        <v>0.46124999999999999</v>
      </c>
      <c r="N1015" s="1291">
        <f>1.025*0.866</f>
        <v>0.88764999999999994</v>
      </c>
      <c r="O1015" s="1466"/>
    </row>
    <row r="1016" spans="1:15" s="1279" customFormat="1" ht="20.100000000000001" customHeight="1">
      <c r="A1016" s="1377">
        <f t="shared" si="42"/>
        <v>0</v>
      </c>
      <c r="B1016" s="1582"/>
      <c r="C1016" s="1280">
        <f>IF(G1016&gt;0,C1010+1,C1010)</f>
        <v>0</v>
      </c>
      <c r="D1016" s="1281"/>
      <c r="E1016" s="1282" t="s">
        <v>3822</v>
      </c>
      <c r="F1016" s="1280" t="s">
        <v>2449</v>
      </c>
      <c r="G1016" s="1283">
        <f>G902</f>
        <v>0</v>
      </c>
      <c r="H1016" s="1353">
        <f t="shared" si="43"/>
        <v>0</v>
      </c>
      <c r="I1016" s="1277"/>
      <c r="J1016" s="1277"/>
      <c r="K1016" s="1312"/>
      <c r="L1016" s="1125">
        <v>160</v>
      </c>
    </row>
    <row r="1017" spans="1:15" s="1279" customFormat="1" ht="20.100000000000001" customHeight="1">
      <c r="A1017" s="1377">
        <f>IF(A1016&gt;0,1,0)</f>
        <v>0</v>
      </c>
      <c r="B1017" s="1582"/>
      <c r="C1017" s="1273"/>
      <c r="D1017" s="1284"/>
      <c r="E1017" s="1637" t="s">
        <v>2342</v>
      </c>
      <c r="F1017" s="1286"/>
      <c r="G1017" s="1287"/>
      <c r="H1017" s="1353">
        <f t="shared" si="43"/>
        <v>0</v>
      </c>
      <c r="I1017" s="1277"/>
      <c r="J1017" s="1277"/>
      <c r="K1017" s="1312"/>
      <c r="L1017" s="1125">
        <v>160</v>
      </c>
    </row>
    <row r="1018" spans="1:15" s="1279" customFormat="1" ht="20.100000000000001" customHeight="1">
      <c r="A1018" s="1377">
        <f t="shared" si="42"/>
        <v>0</v>
      </c>
      <c r="B1018" s="1625" t="s">
        <v>2102</v>
      </c>
      <c r="C1018" s="1286"/>
      <c r="D1018" s="1288" t="str">
        <f>VLOOKUP($B1018,DG!A:D,DG!$B$2,)</f>
        <v>05.1002</v>
      </c>
      <c r="E1018" s="1289" t="str">
        <f>VLOOKUP($B1018,DG!A:D,DG!$C$2,)</f>
        <v>Vỏ tủ trạm giàn 2 ngăn + khóa tủ</v>
      </c>
      <c r="F1018" s="1288" t="str">
        <f>VLOOKUP($B1018,DG!A:D,DG!$D$2,)</f>
        <v>cái</v>
      </c>
      <c r="G1018" s="1287">
        <f>$G$1016</f>
        <v>0</v>
      </c>
      <c r="H1018" s="1353">
        <f t="shared" si="43"/>
        <v>0</v>
      </c>
      <c r="I1018" s="1277"/>
      <c r="J1018" s="1277"/>
      <c r="K1018" s="1312"/>
      <c r="L1018" s="1125">
        <v>160</v>
      </c>
    </row>
    <row r="1019" spans="1:15" s="1279" customFormat="1" ht="20.100000000000001" customHeight="1">
      <c r="A1019" s="1377">
        <f t="shared" si="42"/>
        <v>0</v>
      </c>
      <c r="B1019" s="1625" t="s">
        <v>139</v>
      </c>
      <c r="C1019" s="1286"/>
      <c r="D1019" s="1288">
        <f>VLOOKUP($B1019,DG!A:D,DG!$B$2,)</f>
        <v>0</v>
      </c>
      <c r="E1019" s="1289" t="str">
        <f>VLOOKUP($B1019,DG!A:D,DG!$C$2,)</f>
        <v>Boulon 12x40+ 2 long đền vuông D14-50x50x3/Zn</v>
      </c>
      <c r="F1019" s="1288" t="str">
        <f>VLOOKUP($B1019,DG!A:D,DG!$D$2,)</f>
        <v>bộ</v>
      </c>
      <c r="G1019" s="1287">
        <f>G1016*12</f>
        <v>0</v>
      </c>
      <c r="H1019" s="1353">
        <f t="shared" si="43"/>
        <v>0</v>
      </c>
      <c r="I1019" s="1277"/>
      <c r="J1019" s="1277"/>
      <c r="K1019" s="1312"/>
      <c r="L1019" s="1125">
        <v>160</v>
      </c>
    </row>
    <row r="1020" spans="1:15" s="1279" customFormat="1" ht="20.100000000000001" customHeight="1">
      <c r="A1020" s="1377">
        <f t="shared" si="42"/>
        <v>0</v>
      </c>
      <c r="B1020" s="1582" t="s">
        <v>1587</v>
      </c>
      <c r="C1020" s="1273"/>
      <c r="D1020" s="1288">
        <f>VLOOKUP($B1020,DG!A:D,DG!$B$2,)</f>
        <v>0</v>
      </c>
      <c r="E1020" s="1289" t="str">
        <f>VLOOKUP($B1020,DG!A:D,DG!$C$2,)</f>
        <v>Giá nới + Thanh cái tủ CB</v>
      </c>
      <c r="F1020" s="1288" t="str">
        <f>VLOOKUP($B1020,DG!A:D,DG!$D$2,)</f>
        <v>bộ</v>
      </c>
      <c r="G1020" s="1293">
        <f>G1016*0</f>
        <v>0</v>
      </c>
      <c r="H1020" s="1353">
        <f t="shared" si="43"/>
        <v>0</v>
      </c>
      <c r="I1020" s="1277"/>
      <c r="J1020" s="1277"/>
      <c r="K1020" s="1312"/>
      <c r="L1020" s="1125">
        <v>160</v>
      </c>
    </row>
    <row r="1021" spans="1:15" s="1279" customFormat="1" ht="20.100000000000001" customHeight="1">
      <c r="A1021" s="1377">
        <f t="shared" si="42"/>
        <v>0</v>
      </c>
      <c r="B1021" s="1582" t="s">
        <v>897</v>
      </c>
      <c r="C1021" s="1273"/>
      <c r="D1021" s="1288">
        <f>VLOOKUP($B1021,DG!A:D,DG!$B$2,)</f>
        <v>0</v>
      </c>
      <c r="E1021" s="1289" t="str">
        <f>VLOOKUP($B1021,DG!A:D,DG!$C$2,)</f>
        <v xml:space="preserve">Bakelit 550x450 dầy 10mm </v>
      </c>
      <c r="F1021" s="1288" t="str">
        <f>VLOOKUP($B1021,DG!A:D,DG!$D$2,)</f>
        <v>cái</v>
      </c>
      <c r="G1021" s="1287">
        <f>G1016*3</f>
        <v>0</v>
      </c>
      <c r="H1021" s="1353">
        <f t="shared" si="43"/>
        <v>0</v>
      </c>
      <c r="I1021" s="1277"/>
      <c r="J1021" s="1277"/>
      <c r="K1021" s="1312"/>
      <c r="L1021" s="1125">
        <v>160</v>
      </c>
    </row>
    <row r="1022" spans="1:15" s="1279" customFormat="1" ht="20.100000000000001" customHeight="1">
      <c r="A1022" s="1377">
        <f t="shared" si="42"/>
        <v>0</v>
      </c>
      <c r="B1022" s="1582" t="s">
        <v>290</v>
      </c>
      <c r="C1022" s="1286"/>
      <c r="D1022" s="1288" t="str">
        <f>VLOOKUP($B1022,DG!A:D,DG!$B$2,)</f>
        <v>06.3191</v>
      </c>
      <c r="E1022" s="1289" t="str">
        <f>VLOOKUP($B1022,DG!A:D,DG!$C$2,)</f>
        <v>Bảng tên trạm, bảng báo nguy hiểm + đinh vít</v>
      </c>
      <c r="F1022" s="1288" t="str">
        <f>VLOOKUP($B1022,DG!A:D,DG!$D$2,)</f>
        <v>bộ</v>
      </c>
      <c r="G1022" s="1287">
        <f>G1016</f>
        <v>0</v>
      </c>
      <c r="H1022" s="1353">
        <f t="shared" si="43"/>
        <v>0</v>
      </c>
      <c r="I1022" s="1277"/>
      <c r="J1022" s="1277"/>
      <c r="K1022" s="1312"/>
      <c r="L1022" s="1125">
        <v>160</v>
      </c>
    </row>
    <row r="1023" spans="1:15" s="1279" customFormat="1" ht="20.100000000000001" customHeight="1">
      <c r="A1023" s="1377">
        <f t="shared" si="42"/>
        <v>0</v>
      </c>
      <c r="B1023" s="1582"/>
      <c r="C1023" s="1280">
        <f>IF(G1023&gt;0,C1016+1,C1016)</f>
        <v>0</v>
      </c>
      <c r="D1023" s="1281"/>
      <c r="E1023" s="1282" t="s">
        <v>3823</v>
      </c>
      <c r="F1023" s="1280" t="s">
        <v>2596</v>
      </c>
      <c r="G1023" s="1347">
        <f>G902*0</f>
        <v>0</v>
      </c>
      <c r="H1023" s="1353">
        <f t="shared" si="43"/>
        <v>0</v>
      </c>
      <c r="I1023" s="1277"/>
      <c r="J1023" s="1277"/>
      <c r="K1023" s="1278"/>
      <c r="L1023" s="1125">
        <v>160</v>
      </c>
    </row>
    <row r="1024" spans="1:15" s="1279" customFormat="1" ht="20.100000000000001" customHeight="1">
      <c r="A1024" s="1377">
        <f>IF(A1023&gt;0,1,0)</f>
        <v>0</v>
      </c>
      <c r="B1024" s="1582"/>
      <c r="C1024" s="1273"/>
      <c r="D1024" s="1284"/>
      <c r="E1024" s="1637" t="s">
        <v>2342</v>
      </c>
      <c r="F1024" s="1286"/>
      <c r="G1024" s="1348"/>
      <c r="H1024" s="1353">
        <f t="shared" si="43"/>
        <v>0</v>
      </c>
      <c r="I1024" s="1277"/>
      <c r="J1024" s="1277"/>
      <c r="K1024" s="1278"/>
      <c r="L1024" s="1125">
        <v>160</v>
      </c>
    </row>
    <row r="1025" spans="1:13" s="1279" customFormat="1" ht="20.100000000000001" customHeight="1">
      <c r="A1025" s="1377">
        <f t="shared" si="42"/>
        <v>0</v>
      </c>
      <c r="B1025" s="1584" t="s">
        <v>760</v>
      </c>
      <c r="C1025" s="1286"/>
      <c r="D1025" s="1288" t="e">
        <f>VLOOKUP($B1025,DG!A:D,DG!$B$2,)</f>
        <v>#N/A</v>
      </c>
      <c r="E1025" s="1310" t="e">
        <f>VLOOKUP($B1025,DG!A:D,DG!$C$2,)&amp;": 0,315m3/m"</f>
        <v>#N/A</v>
      </c>
      <c r="F1025" s="1288" t="e">
        <f>VLOOKUP($B1025,DG!A:D,DG!$D$2,)</f>
        <v>#N/A</v>
      </c>
      <c r="G1025" s="1276">
        <f>G1023*0.315</f>
        <v>0</v>
      </c>
      <c r="H1025" s="1353">
        <f t="shared" si="43"/>
        <v>0</v>
      </c>
      <c r="I1025" s="1277"/>
      <c r="J1025" s="1277"/>
      <c r="K1025" s="1278"/>
      <c r="L1025" s="1125">
        <v>160</v>
      </c>
    </row>
    <row r="1026" spans="1:13" s="1279" customFormat="1" ht="20.100000000000001" customHeight="1">
      <c r="A1026" s="1377">
        <f t="shared" si="42"/>
        <v>0</v>
      </c>
      <c r="B1026" s="1584" t="s">
        <v>523</v>
      </c>
      <c r="C1026" s="1286"/>
      <c r="D1026" s="1288">
        <f>VLOOKUP($B1026,DG!A:D,DG!$B$2,)</f>
        <v>0</v>
      </c>
      <c r="E1026" s="1310" t="str">
        <f>VLOOKUP($B1026,DG!A:D,DG!$C$2,)&amp;": 0,092m3/m"</f>
        <v>Đá 2x4: 0,092m3/m</v>
      </c>
      <c r="F1026" s="1288" t="str">
        <f>VLOOKUP($B1026,DG!A:D,DG!$D$2,)</f>
        <v>m3</v>
      </c>
      <c r="G1026" s="1276">
        <f>0.092*G1023</f>
        <v>0</v>
      </c>
      <c r="H1026" s="1353">
        <f t="shared" si="43"/>
        <v>0</v>
      </c>
      <c r="I1026" s="1277"/>
      <c r="J1026" s="1277"/>
      <c r="K1026" s="1278"/>
      <c r="L1026" s="1125">
        <v>160</v>
      </c>
    </row>
    <row r="1027" spans="1:13" s="1279" customFormat="1" ht="20.100000000000001" customHeight="1">
      <c r="A1027" s="1377">
        <f t="shared" si="42"/>
        <v>0</v>
      </c>
      <c r="B1027" s="1584" t="s">
        <v>1728</v>
      </c>
      <c r="C1027" s="1286"/>
      <c r="D1027" s="1288">
        <f>VLOOKUP($B1027,DG!A:D,DG!$B$2,)</f>
        <v>0</v>
      </c>
      <c r="E1027" s="1310" t="str">
        <f>VLOOKUP($B1027,DG!A:D,DG!$C$2,)&amp;": 3,3vieân/m"</f>
        <v>Gạch tàu: 3,3vieân/m</v>
      </c>
      <c r="F1027" s="1288" t="str">
        <f>VLOOKUP($B1027,DG!A:D,DG!$D$2,)</f>
        <v>viên</v>
      </c>
      <c r="G1027" s="1276">
        <f>3.3*G1023</f>
        <v>0</v>
      </c>
      <c r="H1027" s="1353">
        <f t="shared" si="43"/>
        <v>0</v>
      </c>
      <c r="I1027" s="1277"/>
      <c r="J1027" s="1277"/>
      <c r="K1027" s="1278"/>
      <c r="L1027" s="1125">
        <v>160</v>
      </c>
    </row>
    <row r="1028" spans="1:13" s="1279" customFormat="1" ht="20.100000000000001" customHeight="1">
      <c r="A1028" s="1377">
        <f t="shared" si="42"/>
        <v>0</v>
      </c>
      <c r="B1028" s="1584" t="s">
        <v>1729</v>
      </c>
      <c r="C1028" s="1286"/>
      <c r="D1028" s="1288">
        <f>VLOOKUP($B1028,DG!A:D,DG!$B$2,)</f>
        <v>0</v>
      </c>
      <c r="E1028" s="1310" t="str">
        <f>VLOOKUP($B1028,DG!A:D,DG!$C$2,)&amp;": 0,4m2/m"</f>
        <v>Tấm nilông màu cảnh báo: 0,4m2/m</v>
      </c>
      <c r="F1028" s="1288" t="str">
        <f>VLOOKUP($B1028,DG!A:D,DG!$D$2,)</f>
        <v>m2</v>
      </c>
      <c r="G1028" s="1276">
        <f>0.4*G1023</f>
        <v>0</v>
      </c>
      <c r="H1028" s="1353">
        <f t="shared" si="43"/>
        <v>0</v>
      </c>
      <c r="I1028" s="1277"/>
      <c r="J1028" s="1277"/>
      <c r="K1028" s="1278"/>
      <c r="L1028" s="1125">
        <v>160</v>
      </c>
    </row>
    <row r="1029" spans="1:13" s="1279" customFormat="1" ht="20.100000000000001" customHeight="1">
      <c r="A1029" s="1377">
        <f t="shared" si="42"/>
        <v>0</v>
      </c>
      <c r="B1029" s="1584" t="s">
        <v>1570</v>
      </c>
      <c r="C1029" s="1273"/>
      <c r="D1029" s="1288">
        <f>VLOOKUP($B1029,DG!A:D,DG!$B$2,)</f>
        <v>0</v>
      </c>
      <c r="E1029" s="1310" t="str">
        <f>VLOOKUP($B1029,DG!A:D,DG!$C$2,)</f>
        <v>Ống PVC D140x6,7mm</v>
      </c>
      <c r="F1029" s="1288" t="str">
        <f>VLOOKUP($B1029,DG!A:D,DG!$D$2,)</f>
        <v>m</v>
      </c>
      <c r="G1029" s="1276">
        <f>1*G1023</f>
        <v>0</v>
      </c>
      <c r="H1029" s="1353">
        <f t="shared" si="43"/>
        <v>0</v>
      </c>
      <c r="I1029" s="1277"/>
      <c r="J1029" s="1277"/>
      <c r="K1029" s="1278"/>
      <c r="L1029" s="1125">
        <v>160</v>
      </c>
    </row>
    <row r="1030" spans="1:13" s="1279" customFormat="1" ht="20.100000000000001" customHeight="1">
      <c r="A1030" s="1377">
        <f t="shared" si="42"/>
        <v>0</v>
      </c>
      <c r="B1030" s="1584" t="s">
        <v>1731</v>
      </c>
      <c r="C1030" s="1286"/>
      <c r="D1030" s="1288" t="str">
        <f>VLOOKUP($B1030,DG!A:D,DG!$B$2,)</f>
        <v>03.7000</v>
      </c>
      <c r="E1030" s="1310" t="str">
        <f>VLOOKUP($B1030,DG!A:D,DG!$C$2,)&amp;" + ñaép ñaù"</f>
        <v>Đắp cát  + ñaép ñaù</v>
      </c>
      <c r="F1030" s="1288" t="str">
        <f>VLOOKUP($B1030,DG!A:D,DG!$D$2,)</f>
        <v>m3</v>
      </c>
      <c r="G1030" s="1276">
        <f>G1025+G1026</f>
        <v>0</v>
      </c>
      <c r="H1030" s="1353">
        <f t="shared" si="43"/>
        <v>0</v>
      </c>
      <c r="I1030" s="1277"/>
      <c r="J1030" s="1277"/>
      <c r="K1030" s="1278"/>
      <c r="L1030" s="1125">
        <v>160</v>
      </c>
    </row>
    <row r="1031" spans="1:13" s="1279" customFormat="1" ht="20.100000000000001" customHeight="1">
      <c r="A1031" s="1377">
        <f t="shared" si="42"/>
        <v>0</v>
      </c>
      <c r="B1031" s="1584" t="s">
        <v>145</v>
      </c>
      <c r="C1031" s="1286"/>
      <c r="D1031" s="1288" t="str">
        <f>VLOOKUP($B1031,DG!A:D,DG!$B$2,)</f>
        <v>03.3103</v>
      </c>
      <c r="E1031" s="1310" t="str">
        <f>VLOOKUP($B1031,DG!A:D,DG!$C$2,)&amp;" : 0,48m3/m"</f>
        <v>Đào mương cáp ngầm đất cấp 3 : 0,48m3/m</v>
      </c>
      <c r="F1031" s="1288" t="str">
        <f>VLOOKUP($B1031,DG!A:D,DG!$D$2,)</f>
        <v>m3</v>
      </c>
      <c r="G1031" s="1276">
        <f>G1023*0.48</f>
        <v>0</v>
      </c>
      <c r="H1031" s="1353">
        <f t="shared" si="43"/>
        <v>0</v>
      </c>
      <c r="I1031" s="1277"/>
      <c r="J1031" s="1277"/>
      <c r="K1031" s="1278"/>
      <c r="L1031" s="1125">
        <v>160</v>
      </c>
    </row>
    <row r="1032" spans="1:13" s="1279" customFormat="1" ht="20.100000000000001" customHeight="1">
      <c r="A1032" s="1377">
        <f t="shared" si="42"/>
        <v>0</v>
      </c>
      <c r="B1032" s="1584" t="s">
        <v>532</v>
      </c>
      <c r="C1032" s="1286"/>
      <c r="D1032" s="1288" t="str">
        <f>VLOOKUP($B1032,DG!A:D,DG!$B$2,)</f>
        <v>03.3203</v>
      </c>
      <c r="E1032" s="1310" t="str">
        <f>VLOOKUP($B1032,DG!A:D,DG!$C$2,)&amp;" : 0,073m3/m"</f>
        <v>Đắp đất mương cáp ngầm, đất cấp 3 : 0,073m3/m</v>
      </c>
      <c r="F1032" s="1288" t="str">
        <f>VLOOKUP($B1032,DG!A:D,DG!$D$2,)</f>
        <v>m3</v>
      </c>
      <c r="G1032" s="1276">
        <f>G1023*0.073</f>
        <v>0</v>
      </c>
      <c r="H1032" s="1353">
        <f t="shared" si="43"/>
        <v>0</v>
      </c>
      <c r="I1032" s="1277"/>
      <c r="J1032" s="1277"/>
      <c r="K1032" s="1278"/>
      <c r="L1032" s="1125">
        <v>160</v>
      </c>
      <c r="M1032" s="1349">
        <v>0.47499999999999998</v>
      </c>
    </row>
    <row r="1033" spans="1:13" s="1279" customFormat="1" ht="20.100000000000001" customHeight="1">
      <c r="A1033" s="1377">
        <f t="shared" si="42"/>
        <v>0</v>
      </c>
      <c r="B1033" s="1582"/>
      <c r="C1033" s="1280">
        <f>IF(G1033&gt;0,C1023+1,C1023)</f>
        <v>0</v>
      </c>
      <c r="D1033" s="1281"/>
      <c r="E1033" s="1282" t="s">
        <v>3824</v>
      </c>
      <c r="F1033" s="1280" t="s">
        <v>2449</v>
      </c>
      <c r="G1033" s="1283">
        <f>G1042</f>
        <v>0</v>
      </c>
      <c r="H1033" s="1353">
        <f t="shared" si="43"/>
        <v>0</v>
      </c>
      <c r="I1033" s="1277"/>
      <c r="J1033" s="1277"/>
      <c r="K1033" s="1278"/>
      <c r="L1033" s="1125">
        <v>160</v>
      </c>
      <c r="M1033" s="1349">
        <v>0.88100000000000001</v>
      </c>
    </row>
    <row r="1034" spans="1:13" s="1279" customFormat="1" ht="20.100000000000001" customHeight="1">
      <c r="A1034" s="1377">
        <f>IF(A1033&gt;0,1,0)</f>
        <v>0</v>
      </c>
      <c r="B1034" s="1582"/>
      <c r="C1034" s="1273"/>
      <c r="D1034" s="1284"/>
      <c r="E1034" s="1637" t="s">
        <v>2342</v>
      </c>
      <c r="F1034" s="1286"/>
      <c r="G1034" s="1348"/>
      <c r="H1034" s="1353">
        <f t="shared" si="43"/>
        <v>0</v>
      </c>
      <c r="I1034" s="1277"/>
      <c r="J1034" s="1277"/>
      <c r="K1034" s="1278"/>
      <c r="L1034" s="1125">
        <v>160</v>
      </c>
    </row>
    <row r="1035" spans="1:13" s="1279" customFormat="1" ht="20.100000000000001" customHeight="1">
      <c r="A1035" s="1377">
        <f t="shared" si="42"/>
        <v>0</v>
      </c>
      <c r="B1035" s="1582" t="s">
        <v>628</v>
      </c>
      <c r="C1035" s="1286"/>
      <c r="D1035" s="1288" t="str">
        <f>VLOOKUP($B1035,DG!A:D,DG!$B$2,)</f>
        <v>07.2204</v>
      </c>
      <c r="E1035" s="1289" t="str">
        <f>VLOOKUP($B1035,DG!A:D,DG!$C$2,)</f>
        <v>ÔÁng sắt tráng kẽm D140</v>
      </c>
      <c r="F1035" s="1288" t="str">
        <f>VLOOKUP($B1035,DG!A:D,DG!$D$2,)</f>
        <v>mét</v>
      </c>
      <c r="G1035" s="1276">
        <f>G1033*5*0</f>
        <v>0</v>
      </c>
      <c r="H1035" s="1353">
        <f t="shared" si="43"/>
        <v>0</v>
      </c>
      <c r="I1035" s="1277"/>
      <c r="J1035" s="1277"/>
      <c r="K1035" s="1278"/>
      <c r="L1035" s="1125">
        <v>160</v>
      </c>
    </row>
    <row r="1036" spans="1:13" s="1279" customFormat="1" ht="20.100000000000001" customHeight="1">
      <c r="A1036" s="1377">
        <f t="shared" si="42"/>
        <v>0</v>
      </c>
      <c r="B1036" s="1584" t="s">
        <v>476</v>
      </c>
      <c r="C1036" s="1273"/>
      <c r="D1036" s="1288">
        <f>VLOOKUP($B1036,DG!A:D,DG!$B$2,)</f>
        <v>0</v>
      </c>
      <c r="E1036" s="1289" t="str">
        <f>VLOOKUP($B1036,DG!A:D,DG!$C$2,)</f>
        <v>Co sừng 90 độ PVC 140</v>
      </c>
      <c r="F1036" s="1288" t="str">
        <f>VLOOKUP($B1036,DG!A:D,DG!$D$2,)</f>
        <v>cái</v>
      </c>
      <c r="G1036" s="1276">
        <f>G1033*0</f>
        <v>0</v>
      </c>
      <c r="H1036" s="1353">
        <f t="shared" si="43"/>
        <v>0</v>
      </c>
      <c r="I1036" s="1277"/>
      <c r="J1036" s="1277"/>
      <c r="K1036" s="1278"/>
      <c r="L1036" s="1125">
        <v>160</v>
      </c>
    </row>
    <row r="1037" spans="1:13" s="1279" customFormat="1" ht="20.100000000000001" customHeight="1">
      <c r="A1037" s="1377">
        <f t="shared" si="42"/>
        <v>0</v>
      </c>
      <c r="B1037" s="1582" t="s">
        <v>121</v>
      </c>
      <c r="C1037" s="1286"/>
      <c r="D1037" s="1288" t="str">
        <f>VLOOKUP($B1037,DG!A:D,DG!$B$2,)</f>
        <v>06.3231</v>
      </c>
      <c r="E1037" s="1289" t="str">
        <f>VLOOKUP($B1037,DG!A:D,DG!$C$2,)</f>
        <v>Cổ dê giữ ống STK D140 vào tường+Boulon+long đền+tắc ke sắt</v>
      </c>
      <c r="F1037" s="1288" t="str">
        <f>VLOOKUP($B1037,DG!A:D,DG!$D$2,)</f>
        <v>bộ</v>
      </c>
      <c r="G1037" s="1276">
        <f>G1033*2*0</f>
        <v>0</v>
      </c>
      <c r="H1037" s="1353">
        <f t="shared" si="43"/>
        <v>0</v>
      </c>
      <c r="I1037" s="1277"/>
      <c r="J1037" s="1277"/>
      <c r="K1037" s="1278"/>
      <c r="L1037" s="1125">
        <v>160</v>
      </c>
    </row>
    <row r="1038" spans="1:13" s="1279" customFormat="1" ht="20.100000000000001" customHeight="1">
      <c r="A1038" s="1377">
        <f t="shared" si="42"/>
        <v>0</v>
      </c>
      <c r="B1038" s="1378" t="s">
        <v>1442</v>
      </c>
      <c r="C1038" s="1286"/>
      <c r="D1038" s="1288">
        <f>VLOOKUP($B1038,DG!A:D,DG!$B$2,)</f>
        <v>0</v>
      </c>
      <c r="E1038" s="1289" t="str">
        <f>VLOOKUP($B1038,DG!A:D,DG!$C$2,)</f>
        <v>Giá đỡ cáp ngầm (V63x6)</v>
      </c>
      <c r="F1038" s="1288" t="str">
        <f>VLOOKUP($B1038,DG!A:D,DG!$D$2,)</f>
        <v>bộ</v>
      </c>
      <c r="G1038" s="1276">
        <f>G1033*0</f>
        <v>0</v>
      </c>
      <c r="H1038" s="1353">
        <f t="shared" si="43"/>
        <v>0</v>
      </c>
      <c r="I1038" s="1277"/>
      <c r="J1038" s="1277"/>
      <c r="K1038" s="1278"/>
      <c r="L1038" s="1125">
        <v>160</v>
      </c>
    </row>
    <row r="1039" spans="1:13" s="1279" customFormat="1" ht="20.100000000000001" customHeight="1">
      <c r="A1039" s="1377">
        <f t="shared" si="42"/>
        <v>0</v>
      </c>
      <c r="B1039" s="1378" t="s">
        <v>2200</v>
      </c>
      <c r="C1039" s="1286"/>
      <c r="D1039" s="1288">
        <f>VLOOKUP($B1039,DG!A:D,DG!$B$2,)</f>
        <v>0</v>
      </c>
      <c r="E1039" s="1289" t="str">
        <f>VLOOKUP($B1039,DG!A:D,DG!$C$2,)</f>
        <v>Giá đỡ cáp trung hạ thế</v>
      </c>
      <c r="F1039" s="1288" t="str">
        <f>VLOOKUP($B1039,DG!A:D,DG!$D$2,)</f>
        <v>bộ</v>
      </c>
      <c r="G1039" s="1276">
        <f>G1033</f>
        <v>0</v>
      </c>
      <c r="H1039" s="1353">
        <f t="shared" si="43"/>
        <v>0</v>
      </c>
      <c r="I1039" s="1277"/>
      <c r="J1039" s="1277"/>
      <c r="K1039" s="1278"/>
      <c r="L1039" s="1125">
        <v>160</v>
      </c>
    </row>
    <row r="1040" spans="1:13" s="1279" customFormat="1" ht="20.100000000000001" customHeight="1">
      <c r="A1040" s="1377">
        <f t="shared" si="42"/>
        <v>0</v>
      </c>
      <c r="B1040" s="1582" t="s">
        <v>1443</v>
      </c>
      <c r="C1040" s="1273"/>
      <c r="D1040" s="1288" t="str">
        <f>VLOOKUP($B1040,DG!A:D,DG!$B$2,)</f>
        <v>05.6101</v>
      </c>
      <c r="E1040" s="1289" t="str">
        <f>VLOOKUP($B1040,DG!A:D,DG!$C$2,)</f>
        <v>Lắp Giá đỡ cáp</v>
      </c>
      <c r="F1040" s="1288" t="str">
        <f>VLOOKUP($B1040,DG!A:D,DG!$D$2,)</f>
        <v>bộ</v>
      </c>
      <c r="G1040" s="1276">
        <f>G1038+G1039</f>
        <v>0</v>
      </c>
      <c r="H1040" s="1353">
        <f t="shared" si="43"/>
        <v>0</v>
      </c>
      <c r="I1040" s="1277"/>
      <c r="J1040" s="1277"/>
      <c r="K1040" s="1278"/>
      <c r="L1040" s="1125">
        <v>160</v>
      </c>
    </row>
    <row r="1041" spans="1:12" s="1279" customFormat="1" ht="20.100000000000001" customHeight="1">
      <c r="A1041" s="1377">
        <f t="shared" si="42"/>
        <v>0</v>
      </c>
      <c r="B1041" s="1582" t="s">
        <v>290</v>
      </c>
      <c r="C1041" s="1286"/>
      <c r="D1041" s="1288" t="str">
        <f>VLOOKUP($B1041,DG!A:D,DG!$B$2,)</f>
        <v>06.3191</v>
      </c>
      <c r="E1041" s="1289" t="str">
        <f>VLOOKUP($B1041,DG!A:D,DG!$C$2,)</f>
        <v>Bảng tên trạm, bảng báo nguy hiểm + đinh vít</v>
      </c>
      <c r="F1041" s="1288" t="str">
        <f>VLOOKUP($B1041,DG!A:D,DG!$D$2,)</f>
        <v>bộ</v>
      </c>
      <c r="G1041" s="1276">
        <f>G1033*0</f>
        <v>0</v>
      </c>
      <c r="H1041" s="1353">
        <f t="shared" si="43"/>
        <v>0</v>
      </c>
      <c r="I1041" s="1277"/>
      <c r="J1041" s="1277"/>
      <c r="K1041" s="1278"/>
      <c r="L1041" s="1125">
        <v>160</v>
      </c>
    </row>
    <row r="1042" spans="1:12" s="1279" customFormat="1" ht="20.100000000000001" customHeight="1">
      <c r="A1042" s="1377">
        <f t="shared" si="42"/>
        <v>0</v>
      </c>
      <c r="B1042" s="1582"/>
      <c r="C1042" s="1280">
        <f>IF(G1042&gt;0,C1033+1,C1033)</f>
        <v>0</v>
      </c>
      <c r="D1042" s="1281"/>
      <c r="E1042" s="1292" t="s">
        <v>3825</v>
      </c>
      <c r="F1042" s="1280" t="s">
        <v>2449</v>
      </c>
      <c r="G1042" s="1283">
        <v>0</v>
      </c>
      <c r="H1042" s="1353">
        <f t="shared" si="43"/>
        <v>0</v>
      </c>
      <c r="I1042" s="1277"/>
      <c r="J1042" s="1277"/>
      <c r="K1042" s="1278"/>
      <c r="L1042" s="1125">
        <v>160</v>
      </c>
    </row>
    <row r="1043" spans="1:12" s="1279" customFormat="1" ht="20.100000000000001" customHeight="1">
      <c r="A1043" s="1377">
        <f>IF(A1042&gt;0,1,0)</f>
        <v>0</v>
      </c>
      <c r="B1043" s="1582"/>
      <c r="C1043" s="1273"/>
      <c r="D1043" s="1284"/>
      <c r="E1043" s="1638" t="s">
        <v>2342</v>
      </c>
      <c r="F1043" s="1273"/>
      <c r="G1043" s="1293"/>
      <c r="H1043" s="1353">
        <f t="shared" si="43"/>
        <v>0</v>
      </c>
      <c r="I1043" s="1277"/>
      <c r="J1043" s="1277"/>
      <c r="K1043" s="1278"/>
      <c r="L1043" s="1125">
        <v>160</v>
      </c>
    </row>
    <row r="1044" spans="1:12" s="1279" customFormat="1" ht="20.100000000000001" customHeight="1">
      <c r="A1044" s="1377">
        <f t="shared" si="42"/>
        <v>0</v>
      </c>
      <c r="B1044" s="1378" t="s">
        <v>473</v>
      </c>
      <c r="C1044" s="1286"/>
      <c r="D1044" s="1274">
        <f>VLOOKUP($B1044,DG!A:D,DG!$B$2,)</f>
        <v>0</v>
      </c>
      <c r="E1044" s="1275" t="str">
        <f>VLOOKUP($B1044,DG!A:D,DG!$C$2,)&amp;": trong möông vaø leân MBA"</f>
        <v>Cáp 24kV C/XLPE/DSTA/PVC3x50: trong möông vaø leân MBA</v>
      </c>
      <c r="F1044" s="1274" t="str">
        <f>VLOOKUP($B1044,DG!A:D,DG!$D$2,)</f>
        <v>mét</v>
      </c>
      <c r="G1044" s="1276">
        <f>G1023+G1042*8</f>
        <v>0</v>
      </c>
      <c r="H1044" s="1353">
        <f t="shared" si="43"/>
        <v>0</v>
      </c>
      <c r="I1044" s="1277"/>
      <c r="J1044" s="1277"/>
      <c r="K1044" s="1278"/>
      <c r="L1044" s="1125">
        <v>160</v>
      </c>
    </row>
    <row r="1045" spans="1:12" s="1279" customFormat="1" ht="20.100000000000001" customHeight="1">
      <c r="A1045" s="1377">
        <f t="shared" si="42"/>
        <v>0</v>
      </c>
      <c r="B1045" s="1378" t="s">
        <v>272</v>
      </c>
      <c r="C1045" s="1286"/>
      <c r="D1045" s="1274">
        <f>VLOOKUP($B1045,DG!A:D,DG!$B$2,)</f>
        <v>0</v>
      </c>
      <c r="E1045" s="1275" t="str">
        <f>VLOOKUP($B1045,DG!A:D,DG!$C$2,)&amp;": trung tính"</f>
        <v>Cáp 24KV C/XLPE/PVC 50mm2: trung tính</v>
      </c>
      <c r="F1045" s="1274" t="str">
        <f>VLOOKUP($B1045,DG!A:D,DG!$D$2,)</f>
        <v>mét</v>
      </c>
      <c r="G1045" s="1276">
        <f>G1044</f>
        <v>0</v>
      </c>
      <c r="H1045" s="1353">
        <f t="shared" si="43"/>
        <v>0</v>
      </c>
      <c r="I1045" s="1277"/>
      <c r="J1045" s="1277"/>
      <c r="K1045" s="1278"/>
      <c r="L1045" s="1125">
        <v>160</v>
      </c>
    </row>
    <row r="1046" spans="1:12" s="1279" customFormat="1" ht="20.100000000000001" customHeight="1">
      <c r="A1046" s="1377">
        <f t="shared" ref="A1046:A1111" si="44">IF(H1046&gt;0,1,0)</f>
        <v>0</v>
      </c>
      <c r="B1046" s="1378" t="s">
        <v>272</v>
      </c>
      <c r="C1046" s="1286"/>
      <c r="D1046" s="1274">
        <f>VLOOKUP($B1046,DG!A:D,DG!$B$2,)</f>
        <v>0</v>
      </c>
      <c r="E1046" s="1275" t="str">
        <f>VLOOKUP($B1046,DG!A:D,DG!$C$2,)&amp;": 0,5m/pha töø FCO xuoáng MBA"</f>
        <v>Cáp 24KV C/XLPE/PVC 50mm2: 0,5m/pha töø FCO xuoáng MBA</v>
      </c>
      <c r="F1046" s="1274" t="str">
        <f>VLOOKUP($B1046,DG!A:D,DG!$D$2,)</f>
        <v>mét</v>
      </c>
      <c r="G1046" s="1276">
        <f>G1042*0.5*3*0</f>
        <v>0</v>
      </c>
      <c r="H1046" s="1353">
        <f t="shared" si="43"/>
        <v>0</v>
      </c>
      <c r="I1046" s="1277"/>
      <c r="J1046" s="1277"/>
      <c r="K1046" s="1278"/>
      <c r="L1046" s="1125">
        <v>160</v>
      </c>
    </row>
    <row r="1047" spans="1:12" s="1279" customFormat="1" ht="20.100000000000001" customHeight="1">
      <c r="A1047" s="1377">
        <f t="shared" si="44"/>
        <v>0</v>
      </c>
      <c r="B1047" s="1378" t="s">
        <v>1385</v>
      </c>
      <c r="C1047" s="1286"/>
      <c r="D1047" s="1274">
        <f>VLOOKUP($B1047,DG!A:D,DG!$B$2,)</f>
        <v>0</v>
      </c>
      <c r="E1047" s="1275" t="str">
        <f>VLOOKUP($B1047,DG!A:D,DG!$C$2,)</f>
        <v>Đầu cáp ngầm 24KV 3x50mm2 outdoor</v>
      </c>
      <c r="F1047" s="1274" t="str">
        <f>VLOOKUP($B1047,DG!A:D,DG!$D$2,)</f>
        <v>cái</v>
      </c>
      <c r="G1047" s="1276">
        <f>G1042</f>
        <v>0</v>
      </c>
      <c r="H1047" s="1353">
        <f t="shared" si="43"/>
        <v>0</v>
      </c>
      <c r="I1047" s="1277"/>
      <c r="J1047" s="1277"/>
      <c r="K1047" s="1278"/>
      <c r="L1047" s="1125">
        <v>160</v>
      </c>
    </row>
    <row r="1048" spans="1:12" s="1279" customFormat="1" ht="20.100000000000001" customHeight="1">
      <c r="A1048" s="1377">
        <f t="shared" si="44"/>
        <v>0</v>
      </c>
      <c r="B1048" s="1378" t="s">
        <v>473</v>
      </c>
      <c r="C1048" s="1286"/>
      <c r="D1048" s="1274">
        <f>VLOOKUP($B1048,DG!A:D,DG!$B$2,)</f>
        <v>0</v>
      </c>
      <c r="E1048" s="1275" t="str">
        <f>VLOOKUP($B1048,DG!A:D,DG!$C$2,)&amp;": töø tuû LBS ñeán MBA"</f>
        <v>Cáp 24kV C/XLPE/DSTA/PVC3x50: töø tuû LBS ñeán MBA</v>
      </c>
      <c r="F1048" s="1274" t="str">
        <f>VLOOKUP($B1048,DG!A:D,DG!$D$2,)</f>
        <v>mét</v>
      </c>
      <c r="G1048" s="1276">
        <f>(1.2+2.4)*G1042*0</f>
        <v>0</v>
      </c>
      <c r="H1048" s="1353">
        <f t="shared" si="43"/>
        <v>0</v>
      </c>
      <c r="I1048" s="1277"/>
      <c r="J1048" s="1277"/>
      <c r="K1048" s="1278"/>
      <c r="L1048" s="1125">
        <v>160</v>
      </c>
    </row>
    <row r="1049" spans="1:12" s="1279" customFormat="1" ht="20.100000000000001" customHeight="1">
      <c r="A1049" s="1377">
        <f t="shared" si="44"/>
        <v>0</v>
      </c>
      <c r="B1049" s="1378" t="s">
        <v>272</v>
      </c>
      <c r="C1049" s="1286"/>
      <c r="D1049" s="1274">
        <f>VLOOKUP($B1049,DG!A:D,DG!$B$2,)</f>
        <v>0</v>
      </c>
      <c r="E1049" s="1275" t="str">
        <f>VLOOKUP($B1049,DG!A:D,DG!$C$2,)&amp;": töø tuû LBS ñeán MBA"</f>
        <v>Cáp 24KV C/XLPE/PVC 50mm2: töø tuû LBS ñeán MBA</v>
      </c>
      <c r="F1049" s="1274" t="str">
        <f>VLOOKUP($B1049,DG!A:D,DG!$D$2,)</f>
        <v>mét</v>
      </c>
      <c r="G1049" s="1276">
        <f>G1042*1.2*0</f>
        <v>0</v>
      </c>
      <c r="H1049" s="1353">
        <f t="shared" si="43"/>
        <v>0</v>
      </c>
      <c r="I1049" s="1277"/>
      <c r="J1049" s="1277"/>
      <c r="K1049" s="1278"/>
      <c r="L1049" s="1125">
        <v>160</v>
      </c>
    </row>
    <row r="1050" spans="1:12" s="1279" customFormat="1" ht="20.100000000000001" customHeight="1">
      <c r="A1050" s="1377">
        <f t="shared" si="44"/>
        <v>0</v>
      </c>
      <c r="B1050" s="1378" t="s">
        <v>1386</v>
      </c>
      <c r="C1050" s="1286"/>
      <c r="D1050" s="1274">
        <f>VLOOKUP($B1050,DG!A:D,DG!$B$2,)</f>
        <v>0</v>
      </c>
      <c r="E1050" s="1275" t="str">
        <f>VLOOKUP($B1050,DG!A:D,DG!$C$2,)</f>
        <v>Đầu cáp ngầm 24KV 3x50mm2 indoor</v>
      </c>
      <c r="F1050" s="1274" t="str">
        <f>VLOOKUP($B1050,DG!A:D,DG!$D$2,)</f>
        <v>cái</v>
      </c>
      <c r="G1050" s="1276">
        <f>G1042</f>
        <v>0</v>
      </c>
      <c r="H1050" s="1353">
        <f t="shared" si="43"/>
        <v>0</v>
      </c>
      <c r="I1050" s="1277"/>
      <c r="J1050" s="1277"/>
      <c r="K1050" s="1278"/>
      <c r="L1050" s="1125">
        <v>160</v>
      </c>
    </row>
    <row r="1051" spans="1:12" s="1279" customFormat="1" ht="20.100000000000001" customHeight="1">
      <c r="A1051" s="1377">
        <f t="shared" si="44"/>
        <v>0</v>
      </c>
      <c r="B1051" s="1378" t="s">
        <v>1727</v>
      </c>
      <c r="C1051" s="1286"/>
      <c r="D1051" s="1274" t="str">
        <f>VLOOKUP($B1051,DG!A:D,DG!$B$2,)</f>
        <v>07.4312</v>
      </c>
      <c r="E1051" s="1275" t="str">
        <f>VLOOKUP($B1051,DG!A:D,DG!$C$2,)</f>
        <v>Lắp đầu cáp trung thế 3x50mm2, 70mm2</v>
      </c>
      <c r="F1051" s="1274" t="str">
        <f>VLOOKUP($B1051,DG!A:D,DG!$D$2,)</f>
        <v>cái</v>
      </c>
      <c r="G1051" s="1276">
        <f>G1047+G1050</f>
        <v>0</v>
      </c>
      <c r="H1051" s="1353">
        <f t="shared" si="43"/>
        <v>0</v>
      </c>
      <c r="I1051" s="1277"/>
      <c r="J1051" s="1277"/>
      <c r="K1051" s="1278"/>
      <c r="L1051" s="1125">
        <v>160</v>
      </c>
    </row>
    <row r="1052" spans="1:12" s="1279" customFormat="1" ht="20.100000000000001" customHeight="1">
      <c r="A1052" s="1377">
        <f t="shared" si="44"/>
        <v>0</v>
      </c>
      <c r="B1052" s="1378" t="s">
        <v>1234</v>
      </c>
      <c r="C1052" s="1286"/>
      <c r="D1052" s="1274" t="str">
        <f>VLOOKUP($B1052,DG!A:D,DG!$B$2,)</f>
        <v>03.1405</v>
      </c>
      <c r="E1052" s="1275" t="str">
        <f>VLOOKUP($B1052,DG!A:D,DG!$C$2,)</f>
        <v>Lắp cáp trong ống bảo vệ trong TBA loại &lt;=6kg</v>
      </c>
      <c r="F1052" s="1274" t="str">
        <f>VLOOKUP($B1052,DG!A:D,DG!$D$2,)</f>
        <v>mét</v>
      </c>
      <c r="G1052" s="1276">
        <f>G1044+G1048</f>
        <v>0</v>
      </c>
      <c r="H1052" s="1353">
        <f t="shared" si="43"/>
        <v>0</v>
      </c>
      <c r="I1052" s="1277"/>
      <c r="J1052" s="1277"/>
      <c r="K1052" s="1278"/>
      <c r="L1052" s="1125">
        <v>160</v>
      </c>
    </row>
    <row r="1053" spans="1:12" s="1279" customFormat="1" ht="20.100000000000001" customHeight="1">
      <c r="A1053" s="1377">
        <f t="shared" si="44"/>
        <v>0</v>
      </c>
      <c r="B1053" s="1378" t="s">
        <v>1231</v>
      </c>
      <c r="C1053" s="1286"/>
      <c r="D1053" s="1274" t="str">
        <f>VLOOKUP($B1053,DG!A:D,DG!$B$2,)</f>
        <v>03.1402</v>
      </c>
      <c r="E1053" s="1275" t="str">
        <f>VLOOKUP($B1053,DG!A:D,DG!$C$2,)</f>
        <v>Lắp cáp trong ống bảo vệ trong TBA loại &lt;=2kg</v>
      </c>
      <c r="F1053" s="1274" t="str">
        <f>VLOOKUP($B1053,DG!A:D,DG!$D$2,)</f>
        <v>mét</v>
      </c>
      <c r="G1053" s="1276">
        <f>G1045+G1049</f>
        <v>0</v>
      </c>
      <c r="H1053" s="1353">
        <f t="shared" si="43"/>
        <v>0</v>
      </c>
      <c r="I1053" s="1277"/>
      <c r="J1053" s="1277"/>
      <c r="K1053" s="1278"/>
      <c r="L1053" s="1125">
        <v>160</v>
      </c>
    </row>
    <row r="1054" spans="1:12" s="1279" customFormat="1" ht="20.100000000000001" customHeight="1">
      <c r="A1054" s="1377">
        <f t="shared" si="44"/>
        <v>0</v>
      </c>
      <c r="B1054" s="1378" t="s">
        <v>1577</v>
      </c>
      <c r="C1054" s="1286"/>
      <c r="D1054" s="1274" t="str">
        <f>VLOOKUP($B1054,DG!A:D,DG!$B$2,)</f>
        <v>04.4201</v>
      </c>
      <c r="E1054" s="1275" t="str">
        <f>VLOOKUP($B1054,DG!A:D,DG!$C$2,)</f>
        <v>Lắp cáp đồng xuống thiết bị D ≤ 95mm2</v>
      </c>
      <c r="F1054" s="1274" t="str">
        <f>VLOOKUP($B1054,DG!A:D,DG!$D$2,)</f>
        <v>m</v>
      </c>
      <c r="G1054" s="1276">
        <f>G1046</f>
        <v>0</v>
      </c>
      <c r="H1054" s="1353">
        <f t="shared" si="43"/>
        <v>0</v>
      </c>
      <c r="I1054" s="1277"/>
      <c r="J1054" s="1277"/>
      <c r="K1054" s="1278"/>
      <c r="L1054" s="1125">
        <v>160</v>
      </c>
    </row>
    <row r="1055" spans="1:12" s="1279" customFormat="1" ht="20.100000000000001" customHeight="1">
      <c r="A1055" s="1377">
        <f t="shared" si="44"/>
        <v>0</v>
      </c>
      <c r="B1055" s="1378" t="s">
        <v>1382</v>
      </c>
      <c r="C1055" s="1286"/>
      <c r="D1055" s="1274">
        <f>VLOOKUP($B1055,DG!A:D,DG!$B$2,)</f>
        <v>0</v>
      </c>
      <c r="E1055" s="1275" t="str">
        <f>VLOOKUP($B1055,DG!A:D,DG!$C$2,)</f>
        <v>Dây rút cáp</v>
      </c>
      <c r="F1055" s="1274" t="str">
        <f>VLOOKUP($B1055,DG!A:D,DG!$D$2,)</f>
        <v>bọc</v>
      </c>
      <c r="G1055" s="1276">
        <f>G1042*2</f>
        <v>0</v>
      </c>
      <c r="H1055" s="1353">
        <f t="shared" si="43"/>
        <v>0</v>
      </c>
      <c r="I1055" s="1277"/>
      <c r="J1055" s="1277"/>
      <c r="K1055" s="1278"/>
      <c r="L1055" s="1125">
        <v>160</v>
      </c>
    </row>
    <row r="1056" spans="1:12" s="1279" customFormat="1" ht="20.100000000000001" customHeight="1">
      <c r="A1056" s="1377">
        <f t="shared" si="44"/>
        <v>0</v>
      </c>
      <c r="B1056" s="1582"/>
      <c r="C1056" s="1280">
        <f>IF(G1056&gt;0,C1042+1,C1042)</f>
        <v>0</v>
      </c>
      <c r="D1056" s="1281"/>
      <c r="E1056" s="1292" t="s">
        <v>3826</v>
      </c>
      <c r="F1056" s="1280" t="s">
        <v>2449</v>
      </c>
      <c r="G1056" s="1283">
        <f>G902</f>
        <v>0</v>
      </c>
      <c r="H1056" s="1353">
        <f t="shared" si="43"/>
        <v>0</v>
      </c>
      <c r="I1056" s="1277"/>
      <c r="J1056" s="1277"/>
      <c r="K1056" s="1312"/>
      <c r="L1056" s="1125">
        <v>160</v>
      </c>
    </row>
    <row r="1057" spans="1:12" s="1279" customFormat="1" ht="20.100000000000001" customHeight="1">
      <c r="A1057" s="1377">
        <f>IF(A1056&gt;0,1,0)</f>
        <v>0</v>
      </c>
      <c r="B1057" s="1582"/>
      <c r="C1057" s="1273"/>
      <c r="D1057" s="1284"/>
      <c r="E1057" s="1638" t="s">
        <v>2342</v>
      </c>
      <c r="F1057" s="1273"/>
      <c r="G1057" s="1293"/>
      <c r="H1057" s="1353">
        <f t="shared" si="43"/>
        <v>0</v>
      </c>
      <c r="I1057" s="1277"/>
      <c r="J1057" s="1277"/>
      <c r="K1057" s="1312"/>
      <c r="L1057" s="1125">
        <v>160</v>
      </c>
    </row>
    <row r="1058" spans="1:12" s="1279" customFormat="1" ht="20.100000000000001" customHeight="1">
      <c r="A1058" s="1377">
        <f t="shared" si="44"/>
        <v>0</v>
      </c>
      <c r="B1058" s="1378" t="s">
        <v>704</v>
      </c>
      <c r="C1058" s="1286"/>
      <c r="D1058" s="1274">
        <f>VLOOKUP($B1058,DG!A:D,DG!$B$2,)</f>
        <v>0</v>
      </c>
      <c r="E1058" s="1275" t="str">
        <f>VLOOKUP($B1058,DG!A:D,DG!$C$2,)&amp;": 9m/1pha"</f>
        <v>Cáp 24KV C/XLPE/PVC 25mm2: 9m/1pha</v>
      </c>
      <c r="F1058" s="1274" t="str">
        <f>VLOOKUP($B1058,DG!A:D,DG!$D$2,)</f>
        <v>mét</v>
      </c>
      <c r="G1058" s="1287">
        <f>G1056*(8)*3</f>
        <v>0</v>
      </c>
      <c r="H1058" s="1353">
        <f t="shared" si="43"/>
        <v>0</v>
      </c>
      <c r="I1058" s="1277"/>
      <c r="J1058" s="1277"/>
      <c r="K1058" s="1312"/>
      <c r="L1058" s="1125">
        <v>160</v>
      </c>
    </row>
    <row r="1059" spans="1:12" s="1279" customFormat="1" ht="20.100000000000001" customHeight="1">
      <c r="A1059" s="1377">
        <f t="shared" si="44"/>
        <v>0</v>
      </c>
      <c r="B1059" s="1378" t="s">
        <v>704</v>
      </c>
      <c r="C1059" s="1286"/>
      <c r="D1059" s="1274">
        <f>VLOOKUP($B1059,DG!A:D,DG!$B$2,)</f>
        <v>0</v>
      </c>
      <c r="E1059" s="1275" t="str">
        <f>VLOOKUP($B1059,DG!A:D,DG!$C$2,)&amp;": 1m/1pha ñaáu noái  LA"</f>
        <v>Cáp 24KV C/XLPE/PVC 25mm2: 1m/1pha ñaáu noái  LA</v>
      </c>
      <c r="F1059" s="1274" t="str">
        <f>VLOOKUP($B1059,DG!A:D,DG!$D$2,)</f>
        <v>mét</v>
      </c>
      <c r="G1059" s="1348">
        <f>G1056*3*1*0</f>
        <v>0</v>
      </c>
      <c r="H1059" s="1353">
        <f t="shared" si="43"/>
        <v>0</v>
      </c>
      <c r="I1059" s="1277"/>
      <c r="J1059" s="1277"/>
      <c r="K1059" s="1312"/>
      <c r="L1059" s="1125">
        <v>160</v>
      </c>
    </row>
    <row r="1060" spans="1:12" s="1279" customFormat="1" ht="20.100000000000001" customHeight="1">
      <c r="A1060" s="1377">
        <f t="shared" si="44"/>
        <v>0</v>
      </c>
      <c r="B1060" s="1378" t="s">
        <v>1145</v>
      </c>
      <c r="C1060" s="1286"/>
      <c r="D1060" s="1274">
        <f>VLOOKUP($B1060,DG!A:D,DG!$B$2,)</f>
        <v>0</v>
      </c>
      <c r="E1060" s="1275" t="str">
        <f>VLOOKUP($B1060,DG!A:D,DG!$C$2,)</f>
        <v>Kẹp ép cỡ dây 25mm2</v>
      </c>
      <c r="F1060" s="1274" t="str">
        <f>VLOOKUP($B1060,DG!A:D,DG!$D$2,)</f>
        <v>cái</v>
      </c>
      <c r="G1060" s="1287">
        <f>$G$1056*3*2*0</f>
        <v>0</v>
      </c>
      <c r="H1060" s="1353">
        <f t="shared" si="43"/>
        <v>0</v>
      </c>
      <c r="I1060" s="1277"/>
      <c r="J1060" s="1277"/>
      <c r="K1060" s="1278"/>
      <c r="L1060" s="1125">
        <v>160</v>
      </c>
    </row>
    <row r="1061" spans="1:12" s="1279" customFormat="1" ht="20.100000000000001" customHeight="1">
      <c r="A1061" s="1377">
        <f t="shared" si="44"/>
        <v>0</v>
      </c>
      <c r="B1061" s="1378" t="s">
        <v>554</v>
      </c>
      <c r="C1061" s="1286"/>
      <c r="D1061" s="1274">
        <f>VLOOKUP($B1061,DG!A:D,DG!$B$2,)</f>
        <v>0</v>
      </c>
      <c r="E1061" s="1275" t="str">
        <f>VLOOKUP($B1061,DG!A:D,DG!$C$2,)&amp;" + LA"</f>
        <v>Bass LI bắt FCO + LA</v>
      </c>
      <c r="F1061" s="1274" t="str">
        <f>VLOOKUP($B1061,DG!A:D,DG!$D$2,)</f>
        <v>Bộ</v>
      </c>
      <c r="G1061" s="1287">
        <f>$G$1056*3*2*0</f>
        <v>0</v>
      </c>
      <c r="H1061" s="1353">
        <f t="shared" si="43"/>
        <v>0</v>
      </c>
      <c r="I1061" s="1277"/>
      <c r="J1061" s="1277"/>
      <c r="K1061" s="1278"/>
      <c r="L1061" s="1125">
        <v>160</v>
      </c>
    </row>
    <row r="1062" spans="1:12" s="1279" customFormat="1" ht="20.100000000000001" customHeight="1">
      <c r="A1062" s="1377">
        <f t="shared" si="44"/>
        <v>0</v>
      </c>
      <c r="B1062" s="1378" t="s">
        <v>1531</v>
      </c>
      <c r="C1062" s="1286"/>
      <c r="D1062" s="1274" t="str">
        <f>VLOOKUP($B1062,DG!A:D,DG!$B$2,)</f>
        <v>04.3007</v>
      </c>
      <c r="E1062" s="1275" t="str">
        <f>VLOOKUP($B1062,DG!A:D,DG!$C$2,)</f>
        <v>Kẹp quai 2/0</v>
      </c>
      <c r="F1062" s="1274" t="str">
        <f>VLOOKUP($B1062,DG!A:D,DG!$D$2,)</f>
        <v>cái</v>
      </c>
      <c r="G1062" s="1287">
        <f>$G$1056*3</f>
        <v>0</v>
      </c>
      <c r="H1062" s="1353">
        <f t="shared" si="43"/>
        <v>0</v>
      </c>
      <c r="I1062" s="1277"/>
      <c r="J1062" s="1277"/>
      <c r="K1062" s="1312"/>
      <c r="L1062" s="1125">
        <v>160</v>
      </c>
    </row>
    <row r="1063" spans="1:12" s="1279" customFormat="1" ht="20.100000000000001" customHeight="1">
      <c r="A1063" s="1377">
        <f t="shared" si="44"/>
        <v>0</v>
      </c>
      <c r="B1063" s="1378" t="s">
        <v>1529</v>
      </c>
      <c r="C1063" s="1286"/>
      <c r="D1063" s="1274" t="str">
        <f>VLOOKUP($B1063,DG!A:D,DG!$B$2,)</f>
        <v>04.3007</v>
      </c>
      <c r="E1063" s="1275" t="str">
        <f>VLOOKUP($B1063,DG!A:D,DG!$C$2,)&amp;": "</f>
        <v xml:space="preserve">Kẹp hotline 2/0: </v>
      </c>
      <c r="F1063" s="1274" t="str">
        <f>VLOOKUP($B1063,DG!A:D,DG!$D$2,)</f>
        <v>cái</v>
      </c>
      <c r="G1063" s="1287">
        <f>G1062</f>
        <v>0</v>
      </c>
      <c r="H1063" s="1353">
        <f t="shared" si="43"/>
        <v>0</v>
      </c>
      <c r="I1063" s="1277"/>
      <c r="J1063" s="1277"/>
      <c r="K1063" s="1312"/>
      <c r="L1063" s="1125">
        <v>160</v>
      </c>
    </row>
    <row r="1064" spans="1:12" s="1279" customFormat="1" ht="20.100000000000001" customHeight="1">
      <c r="A1064" s="1377">
        <f t="shared" si="44"/>
        <v>0</v>
      </c>
      <c r="B1064" s="1378" t="s">
        <v>703</v>
      </c>
      <c r="C1064" s="1312"/>
      <c r="D1064" s="1274">
        <f>VLOOKUP($B1064,DG!A:D,DG!$B$2,)</f>
        <v>0</v>
      </c>
      <c r="E1064" s="1275" t="str">
        <f>VLOOKUP($B1064,DG!A:D,DG!$C$2,)</f>
        <v xml:space="preserve">Sứ đứng 24KV </v>
      </c>
      <c r="F1064" s="1274" t="str">
        <f>VLOOKUP($B1064,DG!A:D,DG!$D$2,)</f>
        <v>cái</v>
      </c>
      <c r="G1064" s="1287">
        <f>$G$1056*6</f>
        <v>0</v>
      </c>
      <c r="H1064" s="1353">
        <f t="shared" si="43"/>
        <v>0</v>
      </c>
      <c r="I1064" s="1277"/>
      <c r="J1064" s="1277"/>
      <c r="K1064" s="1312"/>
      <c r="L1064" s="1125">
        <v>160</v>
      </c>
    </row>
    <row r="1065" spans="1:12" s="1279" customFormat="1" ht="20.100000000000001" customHeight="1">
      <c r="A1065" s="1377">
        <f t="shared" si="44"/>
        <v>0</v>
      </c>
      <c r="B1065" s="1378" t="s">
        <v>1298</v>
      </c>
      <c r="C1065" s="1286"/>
      <c r="D1065" s="1274">
        <f>VLOOKUP($B1065,DG!A:D,DG!$B$2,)</f>
        <v>0</v>
      </c>
      <c r="E1065" s="1275" t="str">
        <f>VLOOKUP($B1065,DG!A:D,DG!$C$2,)</f>
        <v>Chân sứ đứng D20</v>
      </c>
      <c r="F1065" s="1274" t="str">
        <f>VLOOKUP($B1065,DG!A:D,DG!$D$2,)</f>
        <v>cái</v>
      </c>
      <c r="G1065" s="1287">
        <f>G1064</f>
        <v>0</v>
      </c>
      <c r="H1065" s="1353">
        <f t="shared" si="43"/>
        <v>0</v>
      </c>
      <c r="I1065" s="1277"/>
      <c r="J1065" s="1277"/>
      <c r="K1065" s="1312"/>
      <c r="L1065" s="1125">
        <v>160</v>
      </c>
    </row>
    <row r="1066" spans="1:12" s="1279" customFormat="1" ht="20.100000000000001" customHeight="1">
      <c r="A1066" s="1377">
        <f t="shared" si="44"/>
        <v>0</v>
      </c>
      <c r="B1066" s="1378" t="s">
        <v>442</v>
      </c>
      <c r="C1066" s="1286"/>
      <c r="D1066" s="1274">
        <f>VLOOKUP($B1066,DG!A:D,DG!$B$2,)</f>
        <v>0</v>
      </c>
      <c r="E1066" s="1275" t="str">
        <f>VLOOKUP($B1066,DG!A:D,DG!$C$2,)</f>
        <v>Sứ treo polymer</v>
      </c>
      <c r="F1066" s="1274" t="str">
        <f>VLOOKUP($B1066,DG!A:D,DG!$D$2,)</f>
        <v>chuỗi</v>
      </c>
      <c r="G1066" s="1287">
        <f>G1056*6*0</f>
        <v>0</v>
      </c>
      <c r="H1066" s="1353">
        <f t="shared" ref="H1066:H1131" si="45">IF(L1066=$L$23,G1066+I1066-J1066,0)</f>
        <v>0</v>
      </c>
      <c r="I1066" s="1277"/>
      <c r="J1066" s="1277"/>
      <c r="K1066" s="1312"/>
      <c r="L1066" s="1125">
        <v>160</v>
      </c>
    </row>
    <row r="1067" spans="1:12" s="1279" customFormat="1" ht="20.100000000000001" customHeight="1">
      <c r="A1067" s="1377">
        <f t="shared" si="44"/>
        <v>0</v>
      </c>
      <c r="B1067" s="1378" t="s">
        <v>1617</v>
      </c>
      <c r="C1067" s="1286"/>
      <c r="D1067" s="1274" t="str">
        <f>VLOOKUP($B1067,DG!A:D,DG!$B$2,)</f>
        <v>06.1115</v>
      </c>
      <c r="E1067" s="1386" t="str">
        <f>VLOOKUP($B1067,DG!A:D,DG!$C$2,)</f>
        <v>Lắp sứ đứng 24KV</v>
      </c>
      <c r="F1067" s="1274" t="str">
        <f>VLOOKUP($B1067,DG!A:D,DG!$D$2,)</f>
        <v>bộ</v>
      </c>
      <c r="G1067" s="1287">
        <f>G1065</f>
        <v>0</v>
      </c>
      <c r="H1067" s="1353">
        <f t="shared" si="45"/>
        <v>0</v>
      </c>
      <c r="I1067" s="1277"/>
      <c r="J1067" s="1277"/>
      <c r="K1067" s="1312"/>
      <c r="L1067" s="1125">
        <v>160</v>
      </c>
    </row>
    <row r="1068" spans="1:12" s="1279" customFormat="1" ht="20.100000000000001" customHeight="1">
      <c r="A1068" s="1377">
        <f t="shared" si="44"/>
        <v>0</v>
      </c>
      <c r="B1068" s="1378" t="s">
        <v>236</v>
      </c>
      <c r="C1068" s="1286"/>
      <c r="D1068" s="1274" t="str">
        <f>VLOOKUP($B1068,DG!A:D,DG!$B$2,)</f>
        <v>06.1115</v>
      </c>
      <c r="E1068" s="1275" t="str">
        <f>VLOOKUP($B1068,DG!A:D,DG!$C$2,)</f>
        <v>Tháo sứ đứng 24KV</v>
      </c>
      <c r="F1068" s="1274" t="str">
        <f>VLOOKUP($B1068,DG!A:D,DG!$D$2,)</f>
        <v>bộ</v>
      </c>
      <c r="G1068" s="1287"/>
      <c r="H1068" s="1353">
        <f t="shared" si="45"/>
        <v>0</v>
      </c>
      <c r="I1068" s="1277"/>
      <c r="J1068" s="1277"/>
      <c r="K1068" s="1312"/>
      <c r="L1068" s="1125">
        <v>160</v>
      </c>
    </row>
    <row r="1069" spans="1:12" s="1279" customFormat="1" ht="20.100000000000001" customHeight="1">
      <c r="A1069" s="1377">
        <f t="shared" si="44"/>
        <v>0</v>
      </c>
      <c r="B1069" s="1378" t="s">
        <v>1559</v>
      </c>
      <c r="C1069" s="1286"/>
      <c r="D1069" s="1274" t="str">
        <f>VLOOKUP($B1069,DG!A:D,DG!$B$2,)</f>
        <v>06.2201</v>
      </c>
      <c r="E1069" s="1275" t="str">
        <f>VLOOKUP($B1069,DG!A:D,DG!$C$2,)</f>
        <v>Lắp chuỗi sứ néo Polymer</v>
      </c>
      <c r="F1069" s="1274" t="str">
        <f>VLOOKUP($B1069,DG!A:D,DG!$D$2,)</f>
        <v>chuỗi</v>
      </c>
      <c r="G1069" s="1287">
        <f>G1066</f>
        <v>0</v>
      </c>
      <c r="H1069" s="1353">
        <f t="shared" si="45"/>
        <v>0</v>
      </c>
      <c r="I1069" s="1277"/>
      <c r="J1069" s="1277"/>
      <c r="K1069" s="1312"/>
      <c r="L1069" s="1125">
        <v>160</v>
      </c>
    </row>
    <row r="1070" spans="1:12" s="1279" customFormat="1" ht="20.100000000000001" customHeight="1">
      <c r="A1070" s="1377">
        <f t="shared" si="44"/>
        <v>0</v>
      </c>
      <c r="B1070" s="1378" t="s">
        <v>1577</v>
      </c>
      <c r="C1070" s="1286"/>
      <c r="D1070" s="1274" t="str">
        <f>VLOOKUP($B1070,DG!A:D,DG!$B$2,)</f>
        <v>04.4201</v>
      </c>
      <c r="E1070" s="1386" t="str">
        <f>VLOOKUP($B1070,DG!A:D,DG!$C$2,)</f>
        <v>Lắp cáp đồng xuống thiết bị D ≤ 95mm2</v>
      </c>
      <c r="F1070" s="1274" t="str">
        <f>VLOOKUP($B1070,DG!A:D,DG!$D$2,)</f>
        <v>m</v>
      </c>
      <c r="G1070" s="1287">
        <f>G1058+G1059</f>
        <v>0</v>
      </c>
      <c r="H1070" s="1353">
        <f t="shared" si="45"/>
        <v>0</v>
      </c>
      <c r="I1070" s="1277"/>
      <c r="J1070" s="1277"/>
      <c r="K1070" s="1312"/>
      <c r="L1070" s="1125">
        <v>160</v>
      </c>
    </row>
    <row r="1071" spans="1:12" s="1279" customFormat="1" ht="20.100000000000001" customHeight="1">
      <c r="A1071" s="1377">
        <f t="shared" si="44"/>
        <v>0</v>
      </c>
      <c r="B1071" s="1582"/>
      <c r="C1071" s="1280">
        <f>IF(G1071&gt;0,C1056+1,C1056)</f>
        <v>0</v>
      </c>
      <c r="D1071" s="1281"/>
      <c r="E1071" s="1292" t="s">
        <v>3807</v>
      </c>
      <c r="F1071" s="1280" t="s">
        <v>2449</v>
      </c>
      <c r="G1071" s="1283">
        <f>K10</f>
        <v>0</v>
      </c>
      <c r="H1071" s="1353">
        <f t="shared" si="45"/>
        <v>0</v>
      </c>
      <c r="I1071" s="1277"/>
      <c r="J1071" s="1277"/>
      <c r="K1071" s="1278"/>
      <c r="L1071" s="1125">
        <v>160</v>
      </c>
    </row>
    <row r="1072" spans="1:12" s="1279" customFormat="1" ht="20.100000000000001" customHeight="1">
      <c r="A1072" s="1377">
        <f>IF(A1071&gt;0,1,0)</f>
        <v>0</v>
      </c>
      <c r="B1072" s="1582"/>
      <c r="C1072" s="1273"/>
      <c r="D1072" s="1284"/>
      <c r="E1072" s="1638" t="s">
        <v>2342</v>
      </c>
      <c r="F1072" s="1273"/>
      <c r="G1072" s="1293"/>
      <c r="H1072" s="1353">
        <f t="shared" si="45"/>
        <v>0</v>
      </c>
      <c r="I1072" s="1277"/>
      <c r="J1072" s="1277"/>
      <c r="K1072" s="1278"/>
      <c r="L1072" s="1125">
        <v>160</v>
      </c>
    </row>
    <row r="1073" spans="1:12" s="1279" customFormat="1" ht="20.100000000000001" customHeight="1">
      <c r="A1073" s="1377">
        <f t="shared" si="44"/>
        <v>0</v>
      </c>
      <c r="B1073" s="1582" t="s">
        <v>2203</v>
      </c>
      <c r="C1073" s="1286"/>
      <c r="D1073" s="1274" t="str">
        <f>VLOOKUP($B1073,DG!A:D,DG!$B$2,)</f>
        <v>07.2403</v>
      </c>
      <c r="E1073" s="1275" t="str">
        <f>VLOOKUP($B1073,DG!A:D,DG!$C$2,)</f>
        <v>Ống PVC D42x2,1mm</v>
      </c>
      <c r="F1073" s="1274" t="str">
        <f>VLOOKUP($B1073,DG!A:D,DG!$D$2,)</f>
        <v>m</v>
      </c>
      <c r="G1073" s="1287">
        <f>G1071*2</f>
        <v>0</v>
      </c>
      <c r="H1073" s="1353">
        <f t="shared" si="45"/>
        <v>0</v>
      </c>
      <c r="I1073" s="1277"/>
      <c r="J1073" s="1277"/>
      <c r="K1073" s="1278"/>
      <c r="L1073" s="1125">
        <v>160</v>
      </c>
    </row>
    <row r="1074" spans="1:12" s="1279" customFormat="1" ht="20.100000000000001" customHeight="1">
      <c r="A1074" s="1377">
        <f t="shared" si="44"/>
        <v>0</v>
      </c>
      <c r="B1074" s="1582" t="s">
        <v>1080</v>
      </c>
      <c r="C1074" s="1286"/>
      <c r="D1074" s="1274">
        <f>VLOOKUP($B1074,DG!A:D,DG!$B$2,)</f>
        <v>0</v>
      </c>
      <c r="E1074" s="1275" t="str">
        <f>VLOOKUP($B1074,DG!A:D,DG!$C$2,)</f>
        <v>Co chữ T ống PVC 42</v>
      </c>
      <c r="F1074" s="1274" t="str">
        <f>VLOOKUP($B1074,DG!A:D,DG!$D$2,)</f>
        <v>cái</v>
      </c>
      <c r="G1074" s="1287">
        <f>G1071</f>
        <v>0</v>
      </c>
      <c r="H1074" s="1353">
        <f t="shared" si="45"/>
        <v>0</v>
      </c>
      <c r="I1074" s="1277"/>
      <c r="J1074" s="1277"/>
      <c r="K1074" s="1278"/>
      <c r="L1074" s="1125">
        <v>160</v>
      </c>
    </row>
    <row r="1075" spans="1:12" s="1279" customFormat="1" ht="20.100000000000001" customHeight="1">
      <c r="A1075" s="1377">
        <f t="shared" si="44"/>
        <v>0</v>
      </c>
      <c r="B1075" s="1582" t="s">
        <v>2182</v>
      </c>
      <c r="C1075" s="1286"/>
      <c r="D1075" s="1274">
        <f>VLOOKUP($B1075,DG!A:D,DG!$B$2,)</f>
        <v>0</v>
      </c>
      <c r="E1075" s="1275" t="str">
        <f>VLOOKUP($B1075,DG!A:D,DG!$C$2,)</f>
        <v>Khâu ven răng trong D42</v>
      </c>
      <c r="F1075" s="1274" t="str">
        <f>VLOOKUP($B1075,DG!A:D,DG!$D$2,)</f>
        <v>cái</v>
      </c>
      <c r="G1075" s="1287">
        <f>G1071*2</f>
        <v>0</v>
      </c>
      <c r="H1075" s="1353">
        <f t="shared" si="45"/>
        <v>0</v>
      </c>
      <c r="I1075" s="1277"/>
      <c r="J1075" s="1277"/>
      <c r="K1075" s="1278"/>
      <c r="L1075" s="1125">
        <v>160</v>
      </c>
    </row>
    <row r="1076" spans="1:12" s="1279" customFormat="1" ht="20.100000000000001" customHeight="1">
      <c r="A1076" s="1377">
        <f t="shared" si="44"/>
        <v>0</v>
      </c>
      <c r="B1076" s="1582" t="s">
        <v>989</v>
      </c>
      <c r="C1076" s="1286"/>
      <c r="D1076" s="1274">
        <f>VLOOKUP($B1076,DG!A:D,DG!$B$2,)</f>
        <v>0</v>
      </c>
      <c r="E1076" s="1275" t="str">
        <f>VLOOKUP($B1076,DG!A:D,DG!$C$2,)</f>
        <v>Khâu ven răng ngoài D42</v>
      </c>
      <c r="F1076" s="1274" t="str">
        <f>VLOOKUP($B1076,DG!A:D,DG!$D$2,)</f>
        <v>cái</v>
      </c>
      <c r="G1076" s="1287">
        <f>G1075</f>
        <v>0</v>
      </c>
      <c r="H1076" s="1353">
        <f t="shared" si="45"/>
        <v>0</v>
      </c>
      <c r="I1076" s="1277"/>
      <c r="J1076" s="1277"/>
      <c r="K1076" s="1278"/>
      <c r="L1076" s="1125">
        <v>160</v>
      </c>
    </row>
    <row r="1077" spans="1:12" s="1279" customFormat="1" ht="20.100000000000001" customHeight="1">
      <c r="A1077" s="1377">
        <f t="shared" si="44"/>
        <v>0</v>
      </c>
      <c r="B1077" s="1378"/>
      <c r="C1077" s="1280">
        <f>IF(G1077&gt;0,C1071+1,C1071)</f>
        <v>0</v>
      </c>
      <c r="D1077" s="1281"/>
      <c r="E1077" s="1292" t="s">
        <v>3827</v>
      </c>
      <c r="F1077" s="1280" t="s">
        <v>2449</v>
      </c>
      <c r="G1077" s="1351">
        <f>$G$902</f>
        <v>0</v>
      </c>
      <c r="H1077" s="1353">
        <f t="shared" si="45"/>
        <v>0</v>
      </c>
      <c r="I1077" s="1277"/>
      <c r="J1077" s="1277"/>
      <c r="K1077" s="1312"/>
      <c r="L1077" s="1125">
        <v>160</v>
      </c>
    </row>
    <row r="1078" spans="1:12" s="1279" customFormat="1" ht="20.100000000000001" customHeight="1">
      <c r="A1078" s="1377">
        <f>IF(A1077&gt;0,1,0)</f>
        <v>0</v>
      </c>
      <c r="B1078" s="1378"/>
      <c r="C1078" s="1273"/>
      <c r="D1078" s="1284"/>
      <c r="E1078" s="1638" t="s">
        <v>2342</v>
      </c>
      <c r="F1078" s="1273"/>
      <c r="G1078" s="1287"/>
      <c r="H1078" s="1353">
        <f t="shared" si="45"/>
        <v>0</v>
      </c>
      <c r="I1078" s="1277"/>
      <c r="J1078" s="1277"/>
      <c r="K1078" s="1312"/>
      <c r="L1078" s="1125">
        <v>160</v>
      </c>
    </row>
    <row r="1079" spans="1:12" s="1279" customFormat="1" ht="20.100000000000001" customHeight="1">
      <c r="A1079" s="1377">
        <f t="shared" si="44"/>
        <v>0</v>
      </c>
      <c r="B1079" s="1582" t="s">
        <v>32</v>
      </c>
      <c r="C1079" s="1286"/>
      <c r="D1079" s="1274">
        <f>VLOOKUP($B1079,DG!A:D,DG!$B$2,)</f>
        <v>0</v>
      </c>
      <c r="E1079" s="1275" t="str">
        <f>VLOOKUP($B1079,DG!A:D,DG!$C$2,)&amp;":  "&amp;L2&amp;" x 8m/pha "</f>
        <v xml:space="preserve">Cáp đồng bọc CV120:  1 x 8m/pha </v>
      </c>
      <c r="F1079" s="1274" t="str">
        <f>VLOOKUP($B1079,DG!A:D,DG!$D$2,)</f>
        <v>mét</v>
      </c>
      <c r="G1079" s="1348">
        <f>8*3*$G$1077*L2</f>
        <v>0</v>
      </c>
      <c r="H1079" s="1353">
        <f t="shared" si="45"/>
        <v>0</v>
      </c>
      <c r="I1079" s="1277"/>
      <c r="J1079" s="1277"/>
      <c r="K1079" s="1312"/>
      <c r="L1079" s="1125">
        <v>160</v>
      </c>
    </row>
    <row r="1080" spans="1:12" s="1279" customFormat="1" ht="20.100000000000001" customHeight="1">
      <c r="A1080" s="1377">
        <f t="shared" si="44"/>
        <v>0</v>
      </c>
      <c r="B1080" s="1582" t="s">
        <v>275</v>
      </c>
      <c r="C1080" s="1286"/>
      <c r="D1080" s="1274">
        <f>VLOOKUP($B1080,DG!A:D,DG!$B$2,)</f>
        <v>0</v>
      </c>
      <c r="E1080" s="1275" t="str">
        <f>VLOOKUP($B1080,DG!A:D,DG!$C$2,)&amp;":  "&amp;L2&amp;" x 8m/trung tính "</f>
        <v xml:space="preserve">Cáp đồng bọc CV95:  1 x 8m/trung tính </v>
      </c>
      <c r="F1080" s="1274" t="str">
        <f>VLOOKUP($B1080,DG!A:D,DG!$D$2,)</f>
        <v>mét</v>
      </c>
      <c r="G1080" s="1348">
        <f>8*$G$1077</f>
        <v>0</v>
      </c>
      <c r="H1080" s="1353">
        <f t="shared" si="45"/>
        <v>0</v>
      </c>
      <c r="I1080" s="1277"/>
      <c r="J1080" s="1277"/>
      <c r="K1080" s="1312"/>
      <c r="L1080" s="1125">
        <v>160</v>
      </c>
    </row>
    <row r="1081" spans="1:12" s="1279" customFormat="1" ht="20.100000000000001" customHeight="1">
      <c r="A1081" s="1377">
        <f t="shared" si="44"/>
        <v>0</v>
      </c>
      <c r="B1081" s="1582" t="s">
        <v>1338</v>
      </c>
      <c r="C1081" s="1286"/>
      <c r="D1081" s="1274" t="str">
        <f>VLOOKUP($B1081,DG!A:D,DG!$B$2,)</f>
        <v>03.4005</v>
      </c>
      <c r="E1081" s="1275" t="str">
        <f>VLOOKUP($B1081,DG!A:D,DG!$C$2,)&amp;": "</f>
        <v xml:space="preserve">Đầu cosse ép Cu 120mm2: </v>
      </c>
      <c r="F1081" s="1274" t="str">
        <f>VLOOKUP($B1081,DG!A:D,DG!$D$2,)</f>
        <v>cái</v>
      </c>
      <c r="G1081" s="1287">
        <f>$G$1077*L2*6</f>
        <v>0</v>
      </c>
      <c r="H1081" s="1353">
        <f t="shared" si="45"/>
        <v>0</v>
      </c>
      <c r="I1081" s="1277"/>
      <c r="J1081" s="1277"/>
      <c r="K1081" s="1312"/>
      <c r="L1081" s="1125">
        <v>160</v>
      </c>
    </row>
    <row r="1082" spans="1:12" s="1279" customFormat="1" ht="20.100000000000001" customHeight="1">
      <c r="A1082" s="1377">
        <f t="shared" si="44"/>
        <v>0</v>
      </c>
      <c r="B1082" s="1582" t="s">
        <v>1337</v>
      </c>
      <c r="C1082" s="1286"/>
      <c r="D1082" s="1274" t="str">
        <f>VLOOKUP($B1082,DG!A:D,DG!$B$2,)</f>
        <v>03.4004</v>
      </c>
      <c r="E1082" s="1275" t="str">
        <f>VLOOKUP($B1082,DG!A:D,DG!$C$2,)&amp;": "</f>
        <v xml:space="preserve">Đầu cosse ép Cu 95mm2: </v>
      </c>
      <c r="F1082" s="1274" t="str">
        <f>VLOOKUP($B1082,DG!A:D,DG!$D$2,)</f>
        <v>cái</v>
      </c>
      <c r="G1082" s="1287">
        <f>G1077*2</f>
        <v>0</v>
      </c>
      <c r="H1082" s="1353">
        <f t="shared" si="45"/>
        <v>0</v>
      </c>
      <c r="I1082" s="1277"/>
      <c r="J1082" s="1277"/>
      <c r="K1082" s="1312"/>
      <c r="L1082" s="1125">
        <v>160</v>
      </c>
    </row>
    <row r="1083" spans="1:12" s="1279" customFormat="1" ht="20.100000000000001" customHeight="1">
      <c r="A1083" s="1377">
        <f t="shared" si="44"/>
        <v>0</v>
      </c>
      <c r="B1083" s="1582" t="s">
        <v>93</v>
      </c>
      <c r="C1083" s="1286"/>
      <c r="D1083" s="1274">
        <f>VLOOKUP($B1083,DG!A:D,DG!$B$2,)</f>
        <v>0</v>
      </c>
      <c r="E1083" s="1275" t="str">
        <f>VLOOKUP($B1083,DG!A:D,DG!$C$2,)&amp;": "</f>
        <v xml:space="preserve">Chụp đầu cosse  120mm2: </v>
      </c>
      <c r="F1083" s="1274" t="str">
        <f>VLOOKUP($B1083,DG!A:D,DG!$D$2,)</f>
        <v>cái</v>
      </c>
      <c r="G1083" s="1287">
        <f>G1081</f>
        <v>0</v>
      </c>
      <c r="H1083" s="1353">
        <f t="shared" si="45"/>
        <v>0</v>
      </c>
      <c r="I1083" s="1277"/>
      <c r="J1083" s="1277"/>
      <c r="K1083" s="1312"/>
      <c r="L1083" s="1125">
        <v>160</v>
      </c>
    </row>
    <row r="1084" spans="1:12" s="1279" customFormat="1" ht="20.100000000000001" customHeight="1">
      <c r="A1084" s="1377">
        <f t="shared" si="44"/>
        <v>0</v>
      </c>
      <c r="B1084" s="1582" t="s">
        <v>4711</v>
      </c>
      <c r="C1084" s="1286"/>
      <c r="D1084" s="1274">
        <f>VLOOKUP($B1084,DG!A:D,DG!$B$2,)</f>
        <v>0</v>
      </c>
      <c r="E1084" s="1275" t="str">
        <f>VLOOKUP($B1084,DG!A:D,DG!$C$2,)&amp;": "</f>
        <v xml:space="preserve">Chụp đầu cosse  95mm2: </v>
      </c>
      <c r="F1084" s="1274" t="str">
        <f>VLOOKUP($B1084,DG!A:D,DG!$D$2,)</f>
        <v>cái</v>
      </c>
      <c r="G1084" s="1287">
        <f>G1082</f>
        <v>0</v>
      </c>
      <c r="H1084" s="1353">
        <f t="shared" si="45"/>
        <v>0</v>
      </c>
      <c r="I1084" s="1277"/>
      <c r="J1084" s="1277"/>
      <c r="K1084" s="1312"/>
      <c r="L1084" s="1125">
        <v>160</v>
      </c>
    </row>
    <row r="1085" spans="1:12" s="1279" customFormat="1" ht="20.100000000000001" customHeight="1">
      <c r="A1085" s="1377">
        <f t="shared" si="44"/>
        <v>0</v>
      </c>
      <c r="B1085" s="1582" t="s">
        <v>1072</v>
      </c>
      <c r="C1085" s="1286"/>
      <c r="D1085" s="1274">
        <f>VLOOKUP($B1085,DG!A:D,DG!$B$2,)</f>
        <v>0</v>
      </c>
      <c r="E1085" s="1275" t="str">
        <f>VLOOKUP($B1085,DG!A:D,DG!$C$2,)</f>
        <v xml:space="preserve">Ống PVC D114x4,9mm </v>
      </c>
      <c r="F1085" s="1274" t="str">
        <f>VLOOKUP($B1085,DG!A:D,DG!$D$2,)</f>
        <v>m</v>
      </c>
      <c r="G1085" s="1287">
        <f>IF(L$2&gt;2,0,6*G1077*L$2)</f>
        <v>0</v>
      </c>
      <c r="H1085" s="1353">
        <f t="shared" si="45"/>
        <v>0</v>
      </c>
      <c r="I1085" s="1277"/>
      <c r="J1085" s="1277"/>
      <c r="K1085" s="1312"/>
      <c r="L1085" s="1125">
        <v>160</v>
      </c>
    </row>
    <row r="1086" spans="1:12" s="1279" customFormat="1" ht="20.100000000000001" customHeight="1">
      <c r="A1086" s="1377">
        <f t="shared" si="44"/>
        <v>0</v>
      </c>
      <c r="B1086" s="1378" t="s">
        <v>739</v>
      </c>
      <c r="C1086" s="1286"/>
      <c r="D1086" s="1274" t="str">
        <f>VLOOKUP($B1086,DG!A:D,DG!$B$2,)</f>
        <v>06.3231</v>
      </c>
      <c r="E1086" s="1275" t="str">
        <f>VLOOKUP($B1086,DG!A:D,DG!$C$2,)&amp;": CD-250"</f>
        <v>Cổ dê kẹp ống PVC Ø 114: CD-250</v>
      </c>
      <c r="F1086" s="1274" t="str">
        <f>VLOOKUP($B1086,DG!A:D,DG!$D$2,)</f>
        <v>bộ</v>
      </c>
      <c r="G1086" s="1287">
        <f>$G$1077*1</f>
        <v>0</v>
      </c>
      <c r="H1086" s="1353">
        <f t="shared" si="45"/>
        <v>0</v>
      </c>
      <c r="I1086" s="1277"/>
      <c r="J1086" s="1277"/>
      <c r="K1086" s="1312"/>
      <c r="L1086" s="1125">
        <v>160</v>
      </c>
    </row>
    <row r="1087" spans="1:12" s="1279" customFormat="1" ht="20.100000000000001" customHeight="1">
      <c r="A1087" s="1377">
        <f t="shared" si="44"/>
        <v>0</v>
      </c>
      <c r="B1087" s="1378" t="s">
        <v>739</v>
      </c>
      <c r="C1087" s="1286"/>
      <c r="D1087" s="1274" t="str">
        <f>VLOOKUP($B1087,DG!A:D,DG!$B$2,)</f>
        <v>06.3231</v>
      </c>
      <c r="E1087" s="1275" t="str">
        <f>VLOOKUP($B1087,DG!A:D,DG!$C$2,)&amp;": CD-280"</f>
        <v>Cổ dê kẹp ống PVC Ø 114: CD-280</v>
      </c>
      <c r="F1087" s="1274" t="str">
        <f>VLOOKUP($B1087,DG!A:D,DG!$D$2,)</f>
        <v>bộ</v>
      </c>
      <c r="G1087" s="1287">
        <f>$G$1077*1</f>
        <v>0</v>
      </c>
      <c r="H1087" s="1353">
        <f t="shared" si="45"/>
        <v>0</v>
      </c>
      <c r="I1087" s="1277"/>
      <c r="J1087" s="1277"/>
      <c r="K1087" s="1312"/>
      <c r="L1087" s="1125">
        <v>160</v>
      </c>
    </row>
    <row r="1088" spans="1:12" s="1279" customFormat="1" ht="20.100000000000001" customHeight="1">
      <c r="A1088" s="1377">
        <f t="shared" si="44"/>
        <v>0</v>
      </c>
      <c r="B1088" s="1378" t="s">
        <v>1161</v>
      </c>
      <c r="C1088" s="1286"/>
      <c r="D1088" s="1274" t="str">
        <f>VLOOKUP($B1088,DG!A:D,DG!$B$2,)</f>
        <v>06.2110</v>
      </c>
      <c r="E1088" s="1386" t="str">
        <f>VLOOKUP($B1088,DG!A:D,DG!$C$2,)&amp;": CD-280"</f>
        <v>Lắp cổ dề: CD-280</v>
      </c>
      <c r="F1088" s="1274" t="str">
        <f>VLOOKUP($B1088,DG!A:D,DG!$D$2,)</f>
        <v>bộ</v>
      </c>
      <c r="G1088" s="1287">
        <f>G1086+G1087</f>
        <v>0</v>
      </c>
      <c r="H1088" s="1353">
        <f t="shared" si="45"/>
        <v>0</v>
      </c>
      <c r="I1088" s="1277"/>
      <c r="J1088" s="1277"/>
      <c r="K1088" s="1312"/>
      <c r="L1088" s="1125">
        <v>160</v>
      </c>
    </row>
    <row r="1089" spans="1:12" s="1279" customFormat="1" ht="20.100000000000001" customHeight="1">
      <c r="A1089" s="1377">
        <f t="shared" si="44"/>
        <v>0</v>
      </c>
      <c r="B1089" s="1615" t="s">
        <v>139</v>
      </c>
      <c r="C1089" s="1286"/>
      <c r="D1089" s="1274">
        <f>VLOOKUP($B1089,DG!A:D,DG!$B$2,)</f>
        <v>0</v>
      </c>
      <c r="E1089" s="1275" t="str">
        <f>VLOOKUP($B1089,DG!A:D,DG!$C$2,)</f>
        <v>Boulon 12x40+ 2 long đền vuông D14-50x50x3/Zn</v>
      </c>
      <c r="F1089" s="1274" t="str">
        <f>VLOOKUP($B1089,DG!A:D,DG!$D$2,)</f>
        <v>bộ</v>
      </c>
      <c r="G1089" s="1287">
        <f>$G$1077*6*0</f>
        <v>0</v>
      </c>
      <c r="H1089" s="1353">
        <f t="shared" si="45"/>
        <v>0</v>
      </c>
      <c r="I1089" s="1277"/>
      <c r="J1089" s="1277"/>
      <c r="K1089" s="1312"/>
      <c r="L1089" s="1125">
        <v>160</v>
      </c>
    </row>
    <row r="1090" spans="1:12" s="1279" customFormat="1" ht="20.100000000000001" customHeight="1">
      <c r="A1090" s="1377">
        <f t="shared" si="44"/>
        <v>0</v>
      </c>
      <c r="B1090" s="1582" t="s">
        <v>2229</v>
      </c>
      <c r="C1090" s="1286"/>
      <c r="D1090" s="1274">
        <f>VLOOKUP($B1090,DG!A:D,DG!$B$2,)</f>
        <v>0</v>
      </c>
      <c r="E1090" s="1275" t="str">
        <f>VLOOKUP($B1090,DG!A:D,DG!$C$2,)</f>
        <v>Khâu ven răng trong D114</v>
      </c>
      <c r="F1090" s="1274" t="str">
        <f>VLOOKUP($B1090,DG!A:D,DG!$D$2,)</f>
        <v>cái</v>
      </c>
      <c r="G1090" s="1287">
        <f>IF(G1085&gt;0,G1077*L2,)</f>
        <v>0</v>
      </c>
      <c r="H1090" s="1353">
        <f t="shared" si="45"/>
        <v>0</v>
      </c>
      <c r="I1090" s="1277"/>
      <c r="J1090" s="1277"/>
      <c r="K1090" s="1312"/>
      <c r="L1090" s="1125">
        <v>160</v>
      </c>
    </row>
    <row r="1091" spans="1:12" s="1279" customFormat="1" ht="20.100000000000001" customHeight="1">
      <c r="A1091" s="1377">
        <f t="shared" si="44"/>
        <v>0</v>
      </c>
      <c r="B1091" s="1582" t="s">
        <v>2230</v>
      </c>
      <c r="C1091" s="1286"/>
      <c r="D1091" s="1274">
        <f>VLOOKUP($B1091,DG!A:D,DG!$B$2,)</f>
        <v>0</v>
      </c>
      <c r="E1091" s="1275" t="str">
        <f>VLOOKUP($B1091,DG!A:D,DG!$C$2,)&amp;": "</f>
        <v xml:space="preserve">Khâu ven răng ngoài D114: </v>
      </c>
      <c r="F1091" s="1274" t="str">
        <f>VLOOKUP($B1091,DG!A:D,DG!$D$2,)</f>
        <v>cái</v>
      </c>
      <c r="G1091" s="1287">
        <f>G1090</f>
        <v>0</v>
      </c>
      <c r="H1091" s="1353">
        <f t="shared" si="45"/>
        <v>0</v>
      </c>
      <c r="I1091" s="1277"/>
      <c r="J1091" s="1277"/>
      <c r="K1091" s="1312"/>
      <c r="L1091" s="1125">
        <v>160</v>
      </c>
    </row>
    <row r="1092" spans="1:12" s="1279" customFormat="1" ht="20.100000000000001" customHeight="1">
      <c r="A1092" s="1377">
        <f t="shared" si="44"/>
        <v>0</v>
      </c>
      <c r="B1092" s="1582" t="s">
        <v>2136</v>
      </c>
      <c r="C1092" s="1286"/>
      <c r="D1092" s="1274">
        <f>VLOOKUP($B1092,DG!A:D,DG!$B$2,)</f>
        <v>0</v>
      </c>
      <c r="E1092" s="1275" t="str">
        <f>VLOOKUP($B1092,DG!A:D,DG!$C$2,)&amp;": "</f>
        <v xml:space="preserve">Keo dán ống PVC (100gr): </v>
      </c>
      <c r="F1092" s="1274" t="str">
        <f>VLOOKUP($B1092,DG!A:D,DG!$D$2,)</f>
        <v>tuýp</v>
      </c>
      <c r="G1092" s="1287">
        <f>IF(G1085&gt;0,G1077*L2,)</f>
        <v>0</v>
      </c>
      <c r="H1092" s="1353">
        <f t="shared" si="45"/>
        <v>0</v>
      </c>
      <c r="I1092" s="1277"/>
      <c r="J1092" s="1277"/>
      <c r="K1092" s="1312"/>
      <c r="L1092" s="1125">
        <v>160</v>
      </c>
    </row>
    <row r="1093" spans="1:12" s="1279" customFormat="1" ht="20.100000000000001" customHeight="1">
      <c r="A1093" s="1377">
        <f t="shared" si="44"/>
        <v>0</v>
      </c>
      <c r="B1093" s="1378" t="s">
        <v>6</v>
      </c>
      <c r="C1093" s="1286"/>
      <c r="D1093" s="1274"/>
      <c r="E1093" s="1275" t="str">
        <f>VLOOKUP($B1093,DG!A:D,DG!$C$2,)</f>
        <v>Keo silicon bít miệng ống</v>
      </c>
      <c r="F1093" s="1274" t="str">
        <f>VLOOKUP($B1093,DG!A:D,DG!$D$2,)</f>
        <v>ống</v>
      </c>
      <c r="G1093" s="1287">
        <f>G1077*L2</f>
        <v>0</v>
      </c>
      <c r="H1093" s="1353">
        <f t="shared" si="45"/>
        <v>0</v>
      </c>
      <c r="I1093" s="1277"/>
      <c r="J1093" s="1277"/>
      <c r="K1093" s="1278"/>
      <c r="L1093" s="1125">
        <v>160</v>
      </c>
    </row>
    <row r="1094" spans="1:12" s="1279" customFormat="1" ht="20.100000000000001" customHeight="1">
      <c r="A1094" s="1377">
        <f t="shared" si="44"/>
        <v>0</v>
      </c>
      <c r="B1094" s="1582" t="s">
        <v>2338</v>
      </c>
      <c r="C1094" s="1286"/>
      <c r="D1094" s="1274" t="str">
        <f>VLOOKUP($B1094,DG!A:D,DG!$B$2,)</f>
        <v>03.1401</v>
      </c>
      <c r="E1094" s="1275" t="str">
        <f>VLOOKUP($B1094,DG!A:D,DG!$C$2,)</f>
        <v xml:space="preserve">Cáp CVV 4x4mm2  </v>
      </c>
      <c r="F1094" s="1274" t="str">
        <f>VLOOKUP($B1094,DG!A:D,DG!$D$2,)</f>
        <v>mét</v>
      </c>
      <c r="G1094" s="1287">
        <f>G1077*4</f>
        <v>0</v>
      </c>
      <c r="H1094" s="1353">
        <f t="shared" si="45"/>
        <v>0</v>
      </c>
      <c r="I1094" s="1277"/>
      <c r="J1094" s="1277"/>
      <c r="K1094" s="1278"/>
      <c r="L1094" s="1125">
        <v>160</v>
      </c>
    </row>
    <row r="1095" spans="1:12" s="1279" customFormat="1" ht="20.100000000000001" customHeight="1">
      <c r="A1095" s="1377">
        <f>IF(H1095&gt;0,1,0)</f>
        <v>0</v>
      </c>
      <c r="B1095" s="1582" t="s">
        <v>1381</v>
      </c>
      <c r="C1095" s="1286"/>
      <c r="D1095" s="1274">
        <f>VLOOKUP($B1095,DG!A:D,DG!$B$2,)</f>
        <v>0</v>
      </c>
      <c r="E1095" s="1275" t="str">
        <f>VLOOKUP($B1095,DG!A:D,DG!$C$2,)</f>
        <v>Dây rút cáp</v>
      </c>
      <c r="F1095" s="1274" t="str">
        <f>VLOOKUP($B1095,DG!A:D,DG!$D$2,)</f>
        <v>bọc</v>
      </c>
      <c r="G1095" s="1287"/>
      <c r="H1095" s="1353">
        <f>IF(L1095=$L$23,G1095+I1095-J1095,0)</f>
        <v>0</v>
      </c>
      <c r="I1095" s="1277"/>
      <c r="J1095" s="1277"/>
      <c r="K1095" s="1278"/>
      <c r="L1095" s="1125">
        <v>160</v>
      </c>
    </row>
    <row r="1096" spans="1:12" s="1279" customFormat="1" ht="20.100000000000001" customHeight="1">
      <c r="A1096" s="1377">
        <f>IF(H1096&gt;0,1,0)</f>
        <v>0</v>
      </c>
      <c r="B1096" s="1582" t="s">
        <v>4550</v>
      </c>
      <c r="C1096" s="1286"/>
      <c r="D1096" s="1274">
        <f>VLOOKUP($B1096,DG!A:D,DG!$B$2,)</f>
        <v>0</v>
      </c>
      <c r="E1096" s="1275" t="str">
        <f>VLOOKUP($B1096,DG!A:D,DG!$C$2,)</f>
        <v>Chụp cách điện đầu cực MBA</v>
      </c>
      <c r="F1096" s="1274" t="str">
        <f>VLOOKUP($B1096,DG!A:D,DG!$D$2,)</f>
        <v>cái</v>
      </c>
      <c r="G1096" s="1287">
        <f>K10*3</f>
        <v>0</v>
      </c>
      <c r="H1096" s="1353">
        <f>IF(L1096=$L$23,G1096+I1096-J1096,0)</f>
        <v>0</v>
      </c>
      <c r="I1096" s="1277"/>
      <c r="J1096" s="1277"/>
      <c r="K1096" s="1278"/>
      <c r="L1096" s="1125">
        <v>160</v>
      </c>
    </row>
    <row r="1097" spans="1:12" s="1279" customFormat="1" ht="20.100000000000001" customHeight="1">
      <c r="A1097" s="1377">
        <f>IF(H1097&gt;0,1,0)</f>
        <v>0</v>
      </c>
      <c r="B1097" s="1582" t="s">
        <v>4544</v>
      </c>
      <c r="C1097" s="1286"/>
      <c r="D1097" s="1274">
        <f>VLOOKUP($B1097,DG!A:D,DG!$B$2,)</f>
        <v>0</v>
      </c>
      <c r="E1097" s="1275" t="str">
        <f>VLOOKUP($B1097,DG!A:D,DG!$C$2,)</f>
        <v>Chụp cách điện đầu cực FCO (trên + dưới)</v>
      </c>
      <c r="F1097" s="1274" t="str">
        <f>VLOOKUP($B1097,DG!A:D,DG!$D$2,)</f>
        <v>bộ</v>
      </c>
      <c r="G1097" s="1287">
        <f>K10*3</f>
        <v>0</v>
      </c>
      <c r="H1097" s="1353">
        <f>IF(L1097=$L$23,G1097+I1097-J1097,0)</f>
        <v>0</v>
      </c>
      <c r="I1097" s="1277"/>
      <c r="J1097" s="1277"/>
      <c r="K1097" s="1278"/>
      <c r="L1097" s="1125">
        <v>160</v>
      </c>
    </row>
    <row r="1098" spans="1:12" s="1279" customFormat="1" ht="20.100000000000001" customHeight="1">
      <c r="A1098" s="1377">
        <f t="shared" si="44"/>
        <v>0</v>
      </c>
      <c r="B1098" s="1582" t="s">
        <v>4552</v>
      </c>
      <c r="C1098" s="1286"/>
      <c r="D1098" s="1274">
        <f>VLOOKUP($B1098,DG!A:D,DG!$B$2,)</f>
        <v>0</v>
      </c>
      <c r="E1098" s="1275" t="str">
        <f>VLOOKUP($B1098,DG!A:D,DG!$C$2,)</f>
        <v>Chụp cách điện đầu cực LA</v>
      </c>
      <c r="F1098" s="1274" t="str">
        <f>VLOOKUP($B1098,DG!A:D,DG!$D$2,)</f>
        <v>cái</v>
      </c>
      <c r="G1098" s="1287">
        <f>K10*3</f>
        <v>0</v>
      </c>
      <c r="H1098" s="1353">
        <f t="shared" si="45"/>
        <v>0</v>
      </c>
      <c r="I1098" s="1277"/>
      <c r="J1098" s="1277"/>
      <c r="K1098" s="1278"/>
      <c r="L1098" s="1125">
        <v>160</v>
      </c>
    </row>
    <row r="1099" spans="1:12" s="1279" customFormat="1" ht="20.100000000000001" customHeight="1">
      <c r="A1099" s="1377">
        <f t="shared" si="44"/>
        <v>0</v>
      </c>
      <c r="B1099" s="1378" t="s">
        <v>677</v>
      </c>
      <c r="C1099" s="1286"/>
      <c r="D1099" s="1274">
        <f>VLOOKUP($B1099,DG!A:D,DG!$B$2,)</f>
        <v>0</v>
      </c>
      <c r="E1099" s="1275" t="str">
        <f>VLOOKUP($B1099,DG!A:D,DG!$C$2,)&amp;":"</f>
        <v>Băng keo cách điện:</v>
      </c>
      <c r="F1099" s="1274" t="str">
        <f>VLOOKUP($B1099,DG!A:D,DG!$D$2,)</f>
        <v>cuộn</v>
      </c>
      <c r="G1099" s="1287">
        <f>G1077*L2*2</f>
        <v>0</v>
      </c>
      <c r="H1099" s="1353">
        <f t="shared" si="45"/>
        <v>0</v>
      </c>
      <c r="I1099" s="1277"/>
      <c r="J1099" s="1277"/>
      <c r="K1099" s="1312"/>
      <c r="L1099" s="1125">
        <v>160</v>
      </c>
    </row>
    <row r="1100" spans="1:12" s="1279" customFormat="1" ht="20.100000000000001" customHeight="1">
      <c r="A1100" s="1377">
        <f t="shared" si="44"/>
        <v>0</v>
      </c>
      <c r="B1100" s="1378" t="s">
        <v>1443</v>
      </c>
      <c r="C1100" s="1286"/>
      <c r="D1100" s="1274" t="str">
        <f>VLOOKUP($B1100,DG!A:D,DG!$B$2,)</f>
        <v>05.6101</v>
      </c>
      <c r="E1100" s="1275" t="str">
        <f>VLOOKUP($B1100,DG!A:D,DG!$C$2,)&amp;":"</f>
        <v>Lắp Giá đỡ cáp:</v>
      </c>
      <c r="F1100" s="1274" t="str">
        <f>VLOOKUP($B1100,DG!A:D,DG!$D$2,)</f>
        <v>bộ</v>
      </c>
      <c r="G1100" s="1287"/>
      <c r="H1100" s="1353">
        <f t="shared" si="45"/>
        <v>0</v>
      </c>
      <c r="I1100" s="1277"/>
      <c r="J1100" s="1277"/>
      <c r="K1100" s="1312"/>
      <c r="L1100" s="1125">
        <v>160</v>
      </c>
    </row>
    <row r="1101" spans="1:12" s="1279" customFormat="1" ht="20.100000000000001" customHeight="1">
      <c r="A1101" s="1377">
        <f t="shared" si="44"/>
        <v>0</v>
      </c>
      <c r="B1101" s="1378" t="s">
        <v>248</v>
      </c>
      <c r="C1101" s="1286"/>
      <c r="D1101" s="1274" t="str">
        <f>VLOOKUP($B1101,DG!A:D,DG!$B$2,)</f>
        <v>04.4203</v>
      </c>
      <c r="E1101" s="1275" t="str">
        <f>VLOOKUP($B1101,DG!A:D,DG!$C$2,)&amp;":"</f>
        <v>Lắp cáp đồng xuống thiết bị D &gt; 150mm2:</v>
      </c>
      <c r="F1101" s="1274" t="str">
        <f>VLOOKUP($B1101,DG!A:D,DG!$D$2,)</f>
        <v>m</v>
      </c>
      <c r="G1101" s="1287"/>
      <c r="H1101" s="1353">
        <f t="shared" si="45"/>
        <v>0</v>
      </c>
      <c r="I1101" s="1277"/>
      <c r="J1101" s="1277"/>
      <c r="K1101" s="1312"/>
      <c r="L1101" s="1125">
        <v>160</v>
      </c>
    </row>
    <row r="1102" spans="1:12" s="1279" customFormat="1" ht="20.100000000000001" customHeight="1">
      <c r="A1102" s="1377">
        <f t="shared" si="44"/>
        <v>0</v>
      </c>
      <c r="B1102" s="1378" t="s">
        <v>2059</v>
      </c>
      <c r="C1102" s="1286"/>
      <c r="D1102" s="1274" t="str">
        <f>VLOOKUP($B1102,DG!A:D,DG!$B$2,)</f>
        <v>04.4202</v>
      </c>
      <c r="E1102" s="1386" t="str">
        <f>VLOOKUP($B1102,DG!A:D,DG!$C$2,)&amp;":"</f>
        <v>Lắp cáp đồng xuống thiết bị D ≤ 150mm2:</v>
      </c>
      <c r="F1102" s="1274" t="str">
        <f>VLOOKUP($B1102,DG!A:D,DG!$D$2,)</f>
        <v>m</v>
      </c>
      <c r="G1102" s="1287">
        <f>G1079+G1080</f>
        <v>0</v>
      </c>
      <c r="H1102" s="1353">
        <f t="shared" si="45"/>
        <v>0</v>
      </c>
      <c r="I1102" s="1277"/>
      <c r="J1102" s="1277"/>
      <c r="K1102" s="1278"/>
      <c r="L1102" s="1125">
        <v>160</v>
      </c>
    </row>
    <row r="1103" spans="1:12" s="1279" customFormat="1" ht="20.100000000000001" customHeight="1">
      <c r="A1103" s="1377">
        <f t="shared" si="44"/>
        <v>0</v>
      </c>
      <c r="B1103" s="1378" t="s">
        <v>243</v>
      </c>
      <c r="C1103" s="1286"/>
      <c r="D1103" s="1274">
        <f>VLOOKUP($B1103,DG!A:D,DG!$B$2,)</f>
        <v>0</v>
      </c>
      <c r="E1103" s="1275" t="str">
        <f>VLOOKUP($B1103,DG!A:D,DG!$C$2,)&amp;":"</f>
        <v>Bộ móng tủ bù 0,2x0,2x0,4x4móng:</v>
      </c>
      <c r="F1103" s="1274" t="str">
        <f>VLOOKUP($B1103,DG!A:D,DG!$D$2,)</f>
        <v>trọn bộ</v>
      </c>
      <c r="G1103" s="1287">
        <f>G1077*1*0</f>
        <v>0</v>
      </c>
      <c r="H1103" s="1353">
        <f t="shared" si="45"/>
        <v>0</v>
      </c>
      <c r="I1103" s="1277"/>
      <c r="J1103" s="1277"/>
      <c r="K1103" s="1278"/>
      <c r="L1103" s="1125">
        <v>160</v>
      </c>
    </row>
    <row r="1104" spans="1:12" s="1279" customFormat="1" ht="20.100000000000001" customHeight="1">
      <c r="A1104" s="1377">
        <f t="shared" si="44"/>
        <v>0</v>
      </c>
      <c r="B1104" s="1378"/>
      <c r="C1104" s="1280">
        <f>IF(G1104&gt;0,C1077+1,C1077)</f>
        <v>0</v>
      </c>
      <c r="D1104" s="1281"/>
      <c r="E1104" s="1292" t="s">
        <v>3828</v>
      </c>
      <c r="F1104" s="1280" t="s">
        <v>2449</v>
      </c>
      <c r="G1104" s="1351"/>
      <c r="H1104" s="1353">
        <f t="shared" si="45"/>
        <v>0</v>
      </c>
      <c r="I1104" s="1277"/>
      <c r="J1104" s="1277"/>
      <c r="K1104" s="1312"/>
      <c r="L1104" s="1125">
        <v>160</v>
      </c>
    </row>
    <row r="1105" spans="1:12" s="1352" customFormat="1" ht="20.100000000000001" customHeight="1">
      <c r="A1105" s="1377">
        <f>IF(A1104&gt;0,1,0)</f>
        <v>0</v>
      </c>
      <c r="B1105" s="1626"/>
      <c r="C1105" s="1273"/>
      <c r="D1105" s="1284"/>
      <c r="E1105" s="1638" t="s">
        <v>2342</v>
      </c>
      <c r="F1105" s="1273"/>
      <c r="G1105" s="1293"/>
      <c r="H1105" s="1353">
        <f t="shared" si="45"/>
        <v>0</v>
      </c>
      <c r="I1105" s="1277"/>
      <c r="J1105" s="1277"/>
      <c r="K1105" s="1312"/>
      <c r="L1105" s="1125">
        <v>160</v>
      </c>
    </row>
    <row r="1106" spans="1:12" s="1279" customFormat="1" ht="20.100000000000001" customHeight="1">
      <c r="A1106" s="1377">
        <f t="shared" si="44"/>
        <v>0</v>
      </c>
      <c r="B1106" s="1582" t="s">
        <v>1875</v>
      </c>
      <c r="C1106" s="1312"/>
      <c r="D1106" s="1274" t="str">
        <f>VLOOKUP($B1106,DG!A:D,DG!$B$2,)</f>
        <v>03.1401</v>
      </c>
      <c r="E1106" s="1310" t="str">
        <f>VLOOKUP($B1106,DG!A:D,DG!$C$2,)</f>
        <v xml:space="preserve">Cáp CVV 4x2,5mm2  </v>
      </c>
      <c r="F1106" s="1353" t="str">
        <f>VLOOKUP($B1106,DG!A:D,DG!$D$2,)</f>
        <v>mét</v>
      </c>
      <c r="G1106" s="1287">
        <f>G1104*26</f>
        <v>0</v>
      </c>
      <c r="H1106" s="1353">
        <f t="shared" si="45"/>
        <v>0</v>
      </c>
      <c r="I1106" s="1342"/>
      <c r="J1106" s="1342"/>
      <c r="K1106" s="1312"/>
      <c r="L1106" s="1125">
        <v>160</v>
      </c>
    </row>
    <row r="1107" spans="1:12" s="1279" customFormat="1" ht="20.100000000000001" customHeight="1">
      <c r="A1107" s="1377">
        <f t="shared" si="44"/>
        <v>0</v>
      </c>
      <c r="B1107" s="1582" t="s">
        <v>247</v>
      </c>
      <c r="C1107" s="1312"/>
      <c r="D1107" s="1274" t="str">
        <f>VLOOKUP($B1107,DG!A:D,DG!$B$2,)</f>
        <v>05.6101</v>
      </c>
      <c r="E1107" s="1310" t="str">
        <f>VLOOKUP($B1107,DG!A:D,DG!$C$2,)</f>
        <v>Xà kẹp TU, TI U50x32x4 350</v>
      </c>
      <c r="F1107" s="1353" t="str">
        <f>VLOOKUP($B1107,DG!A:D,DG!$D$2,)</f>
        <v>Bộ</v>
      </c>
      <c r="G1107" s="1287">
        <f>G1104*24</f>
        <v>0</v>
      </c>
      <c r="H1107" s="1353">
        <f t="shared" si="45"/>
        <v>0</v>
      </c>
      <c r="I1107" s="1342"/>
      <c r="J1107" s="1342"/>
      <c r="K1107" s="1312"/>
      <c r="L1107" s="1125">
        <v>160</v>
      </c>
    </row>
    <row r="1108" spans="1:12" s="1279" customFormat="1" ht="20.100000000000001" customHeight="1">
      <c r="A1108" s="1377">
        <f t="shared" si="44"/>
        <v>0</v>
      </c>
      <c r="B1108" s="1582" t="s">
        <v>1918</v>
      </c>
      <c r="C1108" s="1286"/>
      <c r="D1108" s="1274" t="str">
        <f>VLOOKUP($B1108,DG!A:D,DG!$B$2,)</f>
        <v>03.4001</v>
      </c>
      <c r="E1108" s="1310" t="str">
        <f>VLOOKUP($B1108,DG!A:D,DG!$C$2,)</f>
        <v xml:space="preserve">Đầu cosse ép Cu 2,5mm2 + bao PVC </v>
      </c>
      <c r="F1108" s="1353" t="str">
        <f>VLOOKUP($B1108,DG!A:D,DG!$D$2,)</f>
        <v>cái</v>
      </c>
      <c r="G1108" s="1287">
        <f>G1104*16</f>
        <v>0</v>
      </c>
      <c r="H1108" s="1353">
        <f t="shared" si="45"/>
        <v>0</v>
      </c>
      <c r="I1108" s="1342"/>
      <c r="J1108" s="1342"/>
      <c r="K1108" s="1312"/>
      <c r="L1108" s="1125">
        <v>160</v>
      </c>
    </row>
    <row r="1109" spans="1:12" s="1279" customFormat="1" ht="20.100000000000001" customHeight="1">
      <c r="A1109" s="1377">
        <f t="shared" si="44"/>
        <v>0</v>
      </c>
      <c r="B1109" s="1582" t="s">
        <v>1562</v>
      </c>
      <c r="C1109" s="1286"/>
      <c r="D1109" s="1274">
        <f>VLOOKUP($B1109,DG!A:D,DG!$B$2,)</f>
        <v>0</v>
      </c>
      <c r="E1109" s="1310" t="str">
        <f>VLOOKUP($B1109,DG!A:D,DG!$C$2,)</f>
        <v>Dây điện đôi 16/10</v>
      </c>
      <c r="F1109" s="1353" t="str">
        <f>VLOOKUP($B1109,DG!A:D,DG!$D$2,)</f>
        <v>mét</v>
      </c>
      <c r="G1109" s="1287">
        <f>2*G1104</f>
        <v>0</v>
      </c>
      <c r="H1109" s="1353">
        <f t="shared" si="45"/>
        <v>0</v>
      </c>
      <c r="I1109" s="1342"/>
      <c r="J1109" s="1342"/>
      <c r="K1109" s="1312"/>
      <c r="L1109" s="1125">
        <v>160</v>
      </c>
    </row>
    <row r="1110" spans="1:12" s="1279" customFormat="1" ht="20.100000000000001" customHeight="1">
      <c r="A1110" s="1377">
        <f t="shared" si="44"/>
        <v>0</v>
      </c>
      <c r="B1110" s="1582" t="s">
        <v>1144</v>
      </c>
      <c r="C1110" s="1286"/>
      <c r="D1110" s="1274">
        <f>VLOOKUP($B1110,DG!A:D,DG!$B$2,)</f>
        <v>0</v>
      </c>
      <c r="E1110" s="1310" t="str">
        <f>VLOOKUP($B1110,DG!A:D,DG!$C$2,)&amp;" (ñaáu TU )"</f>
        <v>Kẹp ép cỡ dây 25mm2 (ñaáu TU )</v>
      </c>
      <c r="F1110" s="1353" t="str">
        <f>VLOOKUP($B1110,DG!A:D,DG!$D$2,)</f>
        <v>cái</v>
      </c>
      <c r="G1110" s="1287">
        <f>+G1104*3</f>
        <v>0</v>
      </c>
      <c r="H1110" s="1353">
        <f t="shared" si="45"/>
        <v>0</v>
      </c>
      <c r="I1110" s="1342"/>
      <c r="J1110" s="1342"/>
      <c r="K1110" s="1312"/>
      <c r="L1110" s="1125">
        <v>160</v>
      </c>
    </row>
    <row r="1111" spans="1:12" s="1279" customFormat="1" ht="20.100000000000001" customHeight="1">
      <c r="A1111" s="1377">
        <f t="shared" si="44"/>
        <v>0</v>
      </c>
      <c r="B1111" s="1582" t="s">
        <v>2203</v>
      </c>
      <c r="C1111" s="1286"/>
      <c r="D1111" s="1274" t="str">
        <f>VLOOKUP($B1111,DG!A:D,DG!$B$2,)</f>
        <v>07.2403</v>
      </c>
      <c r="E1111" s="1310" t="str">
        <f>VLOOKUP($B1111,DG!A:D,DG!$C$2,)</f>
        <v>Ống PVC D42x2,1mm</v>
      </c>
      <c r="F1111" s="1353" t="str">
        <f>VLOOKUP($B1111,DG!A:D,DG!$D$2,)</f>
        <v>m</v>
      </c>
      <c r="G1111" s="1287">
        <f>G1104*16</f>
        <v>0</v>
      </c>
      <c r="H1111" s="1353">
        <f t="shared" si="45"/>
        <v>0</v>
      </c>
      <c r="I1111" s="1342"/>
      <c r="J1111" s="1342"/>
      <c r="K1111" s="1312"/>
      <c r="L1111" s="1125">
        <v>160</v>
      </c>
    </row>
    <row r="1112" spans="1:12" s="1279" customFormat="1" ht="20.100000000000001" customHeight="1">
      <c r="A1112" s="1377">
        <f t="shared" ref="A1112:A1173" si="46">IF(H1112&gt;0,1,0)</f>
        <v>0</v>
      </c>
      <c r="B1112" s="1378" t="s">
        <v>205</v>
      </c>
      <c r="C1112" s="1286"/>
      <c r="D1112" s="1274" t="str">
        <f>VLOOKUP($B1112,DG!A:D,DG!$B$2,)</f>
        <v>06.3231</v>
      </c>
      <c r="E1112" s="1310" t="str">
        <f>VLOOKUP($B1112,DG!A:D,DG!$C$2,)</f>
        <v>Cổ dê giữ ống PVC D42</v>
      </c>
      <c r="F1112" s="1353" t="str">
        <f>VLOOKUP($B1112,DG!A:D,DG!$D$2,)</f>
        <v>bộ</v>
      </c>
      <c r="G1112" s="1287">
        <f>G1104*4</f>
        <v>0</v>
      </c>
      <c r="H1112" s="1353">
        <f t="shared" si="45"/>
        <v>0</v>
      </c>
      <c r="I1112" s="1342"/>
      <c r="J1112" s="1342"/>
      <c r="K1112" s="1312"/>
      <c r="L1112" s="1125">
        <v>160</v>
      </c>
    </row>
    <row r="1113" spans="1:12" s="1279" customFormat="1" ht="20.100000000000001" customHeight="1">
      <c r="A1113" s="1377">
        <f t="shared" si="46"/>
        <v>0</v>
      </c>
      <c r="B1113" s="1582" t="s">
        <v>1668</v>
      </c>
      <c r="C1113" s="1286"/>
      <c r="D1113" s="1274">
        <f>VLOOKUP($B1113,DG!A:D,DG!$B$2,)</f>
        <v>0</v>
      </c>
      <c r="E1113" s="1310" t="str">
        <f>VLOOKUP($B1113,DG!A:D,DG!$C$2,)</f>
        <v>Co 90 độ PVC 42</v>
      </c>
      <c r="F1113" s="1353" t="str">
        <f>VLOOKUP($B1113,DG!A:D,DG!$D$2,)</f>
        <v>cái</v>
      </c>
      <c r="G1113" s="1287">
        <f>G1104*5</f>
        <v>0</v>
      </c>
      <c r="H1113" s="1353">
        <f t="shared" si="45"/>
        <v>0</v>
      </c>
      <c r="I1113" s="1342"/>
      <c r="J1113" s="1342"/>
      <c r="K1113" s="1312"/>
      <c r="L1113" s="1125">
        <v>160</v>
      </c>
    </row>
    <row r="1114" spans="1:12" s="1279" customFormat="1" ht="20.100000000000001" customHeight="1">
      <c r="A1114" s="1377">
        <f t="shared" si="46"/>
        <v>0</v>
      </c>
      <c r="B1114" s="1582" t="s">
        <v>1080</v>
      </c>
      <c r="C1114" s="1286"/>
      <c r="D1114" s="1274">
        <f>VLOOKUP($B1114,DG!A:D,DG!$B$2,)</f>
        <v>0</v>
      </c>
      <c r="E1114" s="1310" t="str">
        <f>VLOOKUP($B1114,DG!A:D,DG!$C$2,)</f>
        <v>Co chữ T ống PVC 42</v>
      </c>
      <c r="F1114" s="1353" t="str">
        <f>VLOOKUP($B1114,DG!A:D,DG!$D$2,)</f>
        <v>cái</v>
      </c>
      <c r="G1114" s="1287">
        <f>G1104*5</f>
        <v>0</v>
      </c>
      <c r="H1114" s="1353">
        <f t="shared" si="45"/>
        <v>0</v>
      </c>
      <c r="I1114" s="1342"/>
      <c r="J1114" s="1342"/>
      <c r="K1114" s="1312"/>
      <c r="L1114" s="1125">
        <v>160</v>
      </c>
    </row>
    <row r="1115" spans="1:12" s="1279" customFormat="1" ht="20.100000000000001" customHeight="1">
      <c r="A1115" s="1377">
        <f t="shared" si="46"/>
        <v>0</v>
      </c>
      <c r="B1115" s="1582" t="s">
        <v>1966</v>
      </c>
      <c r="C1115" s="1286"/>
      <c r="D1115" s="1274">
        <f>VLOOKUP($B1115,DG!A:D,DG!$B$2,)</f>
        <v>0</v>
      </c>
      <c r="E1115" s="1310" t="str">
        <f>VLOOKUP($B1115,DG!A:D,DG!$C$2,)</f>
        <v>Nối thẳng ống PVC 42</v>
      </c>
      <c r="F1115" s="1353" t="str">
        <f>VLOOKUP($B1115,DG!A:D,DG!$D$2,)</f>
        <v>cái</v>
      </c>
      <c r="G1115" s="1287">
        <f>G1104</f>
        <v>0</v>
      </c>
      <c r="H1115" s="1353">
        <f t="shared" si="45"/>
        <v>0</v>
      </c>
      <c r="I1115" s="1342"/>
      <c r="J1115" s="1342"/>
      <c r="K1115" s="1312"/>
      <c r="L1115" s="1125">
        <v>160</v>
      </c>
    </row>
    <row r="1116" spans="1:12" s="1279" customFormat="1" ht="20.100000000000001" customHeight="1">
      <c r="A1116" s="1377">
        <f t="shared" si="46"/>
        <v>0</v>
      </c>
      <c r="B1116" s="1582" t="s">
        <v>704</v>
      </c>
      <c r="C1116" s="1286"/>
      <c r="D1116" s="1274">
        <f>VLOOKUP($B1116,DG!A:D,DG!$B$2,)</f>
        <v>0</v>
      </c>
      <c r="E1116" s="1310" t="str">
        <f>VLOOKUP($B1116,DG!A:D,DG!$C$2,)&amp;" ñaáu TU"</f>
        <v>Cáp 24KV C/XLPE/PVC 25mm2 ñaáu TU</v>
      </c>
      <c r="F1116" s="1353" t="str">
        <f>VLOOKUP($B1116,DG!A:D,DG!$D$2,)</f>
        <v>mét</v>
      </c>
      <c r="G1116" s="1348">
        <f>G1104*2.5*3*0</f>
        <v>0</v>
      </c>
      <c r="H1116" s="1353">
        <f t="shared" si="45"/>
        <v>0</v>
      </c>
      <c r="I1116" s="1342"/>
      <c r="J1116" s="1342"/>
      <c r="K1116" s="1312"/>
      <c r="L1116" s="1125">
        <v>160</v>
      </c>
    </row>
    <row r="1117" spans="1:12" s="1279" customFormat="1" ht="20.100000000000001" customHeight="1">
      <c r="A1117" s="1377">
        <f t="shared" si="46"/>
        <v>0</v>
      </c>
      <c r="B1117" s="1582" t="s">
        <v>734</v>
      </c>
      <c r="C1117" s="1286"/>
      <c r="D1117" s="1274">
        <f>VLOOKUP($B1117,DG!A:D,DG!$B$2,)</f>
        <v>0</v>
      </c>
      <c r="E1117" s="1310" t="str">
        <f>VLOOKUP($B1117,DG!A:D,DG!$C$2,)</f>
        <v>Keo dán ống PVC (500gr)</v>
      </c>
      <c r="F1117" s="1353" t="str">
        <f>VLOOKUP($B1117,DG!A:D,DG!$D$2,)</f>
        <v>lon</v>
      </c>
      <c r="G1117" s="1287">
        <f>G1104</f>
        <v>0</v>
      </c>
      <c r="H1117" s="1353">
        <f t="shared" si="45"/>
        <v>0</v>
      </c>
      <c r="I1117" s="1342"/>
      <c r="J1117" s="1342"/>
      <c r="K1117" s="1312"/>
      <c r="L1117" s="1125">
        <v>160</v>
      </c>
    </row>
    <row r="1118" spans="1:12" s="1279" customFormat="1" ht="20.100000000000001" customHeight="1">
      <c r="A1118" s="1377">
        <f t="shared" si="46"/>
        <v>0</v>
      </c>
      <c r="B1118" s="1378" t="s">
        <v>677</v>
      </c>
      <c r="C1118" s="1286"/>
      <c r="D1118" s="1274">
        <f>VLOOKUP($B1118,DG!A:D,DG!$B$2,)</f>
        <v>0</v>
      </c>
      <c r="E1118" s="1310" t="str">
        <f>VLOOKUP($B1118,DG!A:D,DG!$C$2,)</f>
        <v>Băng keo cách điện</v>
      </c>
      <c r="F1118" s="1353" t="str">
        <f>VLOOKUP($B1118,DG!A:D,DG!$D$2,)</f>
        <v>cuộn</v>
      </c>
      <c r="G1118" s="1287">
        <f>G1104</f>
        <v>0</v>
      </c>
      <c r="H1118" s="1353">
        <f t="shared" si="45"/>
        <v>0</v>
      </c>
      <c r="I1118" s="1277"/>
      <c r="J1118" s="1277"/>
      <c r="K1118" s="1312"/>
      <c r="L1118" s="1125">
        <v>160</v>
      </c>
    </row>
    <row r="1119" spans="1:12" s="1279" customFormat="1" ht="20.100000000000001" customHeight="1">
      <c r="A1119" s="1377">
        <f t="shared" si="46"/>
        <v>0</v>
      </c>
      <c r="B1119" s="1582" t="s">
        <v>2182</v>
      </c>
      <c r="C1119" s="1286"/>
      <c r="D1119" s="1274">
        <f>VLOOKUP($B1119,DG!A:D,DG!$B$2,)</f>
        <v>0</v>
      </c>
      <c r="E1119" s="1310" t="str">
        <f>VLOOKUP($B1119,DG!A:D,DG!$C$2,)</f>
        <v>Khâu ven răng trong D42</v>
      </c>
      <c r="F1119" s="1353" t="str">
        <f>VLOOKUP($B1119,DG!A:D,DG!$D$2,)</f>
        <v>cái</v>
      </c>
      <c r="G1119" s="1287">
        <f>G1104</f>
        <v>0</v>
      </c>
      <c r="H1119" s="1353">
        <f t="shared" si="45"/>
        <v>0</v>
      </c>
      <c r="I1119" s="1277"/>
      <c r="J1119" s="1277"/>
      <c r="K1119" s="1312"/>
      <c r="L1119" s="1125">
        <v>160</v>
      </c>
    </row>
    <row r="1120" spans="1:12" s="1279" customFormat="1" ht="20.100000000000001" customHeight="1">
      <c r="A1120" s="1377">
        <f t="shared" si="46"/>
        <v>0</v>
      </c>
      <c r="B1120" s="1378" t="s">
        <v>989</v>
      </c>
      <c r="C1120" s="1286"/>
      <c r="D1120" s="1274">
        <f>VLOOKUP($B1120,DG!A:D,DG!$B$2,)</f>
        <v>0</v>
      </c>
      <c r="E1120" s="1310" t="str">
        <f>VLOOKUP($B1120,DG!A:D,DG!$C$2,)</f>
        <v>Khâu ven răng ngoài D42</v>
      </c>
      <c r="F1120" s="1353" t="str">
        <f>VLOOKUP($B1120,DG!A:D,DG!$D$2,)</f>
        <v>cái</v>
      </c>
      <c r="G1120" s="1287">
        <f>G1104</f>
        <v>0</v>
      </c>
      <c r="H1120" s="1353">
        <f t="shared" si="45"/>
        <v>0</v>
      </c>
      <c r="I1120" s="1277"/>
      <c r="J1120" s="1277"/>
      <c r="K1120" s="1312"/>
      <c r="L1120" s="1125">
        <v>160</v>
      </c>
    </row>
    <row r="1121" spans="1:12" s="1279" customFormat="1" ht="20.100000000000001" customHeight="1">
      <c r="A1121" s="1377">
        <f t="shared" si="46"/>
        <v>0</v>
      </c>
      <c r="B1121" s="1378" t="s">
        <v>320</v>
      </c>
      <c r="C1121" s="1286"/>
      <c r="D1121" s="1274" t="str">
        <f>VLOOKUP($B1121,DG!A:D,DG!$B$2,)</f>
        <v>06.3231</v>
      </c>
      <c r="E1121" s="1310" t="str">
        <f>VLOOKUP($B1121,DG!A:D,DG!$C$2,)</f>
        <v>Cổ dê CDĐKĐT( bắt thùng điện kế)</v>
      </c>
      <c r="F1121" s="1353" t="str">
        <f>VLOOKUP($B1121,DG!A:D,DG!$D$2,)</f>
        <v>bộ</v>
      </c>
      <c r="G1121" s="1344">
        <f>G1104*2*0</f>
        <v>0</v>
      </c>
      <c r="H1121" s="1353">
        <f t="shared" si="45"/>
        <v>0</v>
      </c>
      <c r="I1121" s="1277"/>
      <c r="J1121" s="1277"/>
      <c r="K1121" s="1278"/>
      <c r="L1121" s="1125">
        <v>160</v>
      </c>
    </row>
    <row r="1122" spans="1:12" s="1279" customFormat="1" ht="20.100000000000001" customHeight="1">
      <c r="A1122" s="1377">
        <f t="shared" si="46"/>
        <v>0</v>
      </c>
      <c r="B1122" s="1378" t="s">
        <v>1968</v>
      </c>
      <c r="C1122" s="1286"/>
      <c r="D1122" s="1274" t="str">
        <f>VLOOKUP($B1122,DG!A:D,DG!$B$2,)</f>
        <v>05.1101</v>
      </c>
      <c r="E1122" s="1310" t="str">
        <f>VLOOKUP($B1122,DG!A:D,DG!$C$2,)</f>
        <v>Thùng điện kế 450x300x200mm đo đếm trung thế</v>
      </c>
      <c r="F1122" s="1353" t="str">
        <f>VLOOKUP($B1122,DG!A:D,DG!$D$2,)</f>
        <v>cái</v>
      </c>
      <c r="G1122" s="1287">
        <f>G1104*0</f>
        <v>0</v>
      </c>
      <c r="H1122" s="1353">
        <f t="shared" si="45"/>
        <v>0</v>
      </c>
      <c r="I1122" s="1277"/>
      <c r="J1122" s="1277"/>
      <c r="K1122" s="1312"/>
      <c r="L1122" s="1125">
        <v>160</v>
      </c>
    </row>
    <row r="1123" spans="1:12" s="1279" customFormat="1" ht="20.100000000000001" customHeight="1">
      <c r="A1123" s="1377">
        <f t="shared" si="46"/>
        <v>0</v>
      </c>
      <c r="B1123" s="1378" t="s">
        <v>6</v>
      </c>
      <c r="C1123" s="1286"/>
      <c r="D1123" s="1274">
        <f>VLOOKUP($B1123,DG!A:D,DG!$B$2,)</f>
        <v>0</v>
      </c>
      <c r="E1123" s="1310" t="str">
        <f>VLOOKUP($B1123,DG!A:D,DG!$C$2,)</f>
        <v>Keo silicon bít miệng ống</v>
      </c>
      <c r="F1123" s="1353" t="str">
        <f>VLOOKUP($B1123,DG!A:D,DG!$D$2,)</f>
        <v>ống</v>
      </c>
      <c r="G1123" s="1287">
        <f>G1104</f>
        <v>0</v>
      </c>
      <c r="H1123" s="1353">
        <f t="shared" si="45"/>
        <v>0</v>
      </c>
      <c r="I1123" s="1277"/>
      <c r="J1123" s="1277"/>
      <c r="K1123" s="1312"/>
      <c r="L1123" s="1125">
        <v>160</v>
      </c>
    </row>
    <row r="1124" spans="1:12" s="1279" customFormat="1" ht="20.100000000000001" customHeight="1">
      <c r="A1124" s="1377">
        <f t="shared" si="46"/>
        <v>0</v>
      </c>
      <c r="B1124" s="1378" t="s">
        <v>2201</v>
      </c>
      <c r="C1124" s="1286"/>
      <c r="D1124" s="1274">
        <f>VLOOKUP($B1124,DG!A:D,DG!$B$2,)</f>
        <v>0</v>
      </c>
      <c r="E1124" s="1310" t="str">
        <f>VLOOKUP($B1124,DG!A:D,DG!$C$2,)</f>
        <v>Dây đồng trần mềm dẹt</v>
      </c>
      <c r="F1124" s="1353" t="str">
        <f>VLOOKUP($B1124,DG!A:D,DG!$D$2,)</f>
        <v>mét</v>
      </c>
      <c r="G1124" s="1287">
        <f>G1104*4</f>
        <v>0</v>
      </c>
      <c r="H1124" s="1353">
        <f t="shared" si="45"/>
        <v>0</v>
      </c>
      <c r="I1124" s="1277"/>
      <c r="J1124" s="1277"/>
      <c r="K1124" s="1312"/>
      <c r="L1124" s="1125">
        <v>160</v>
      </c>
    </row>
    <row r="1125" spans="1:12" s="1279" customFormat="1" ht="20.100000000000001" customHeight="1">
      <c r="A1125" s="1377">
        <f t="shared" si="46"/>
        <v>0</v>
      </c>
      <c r="B1125" s="1378" t="s">
        <v>1249</v>
      </c>
      <c r="C1125" s="1286"/>
      <c r="D1125" s="1274" t="str">
        <f>VLOOKUP($B1125,DG!A:D,DG!$B$2,)</f>
        <v>06.3191</v>
      </c>
      <c r="E1125" s="1310" t="str">
        <f>VLOOKUP($B1125,DG!A:D,DG!$C$2,)</f>
        <v>Bảng tên trạm, bảng báo nguy hiểm + đinh vít</v>
      </c>
      <c r="F1125" s="1353" t="str">
        <f>VLOOKUP($B1125,DG!A:D,DG!$D$2,)</f>
        <v>bộ</v>
      </c>
      <c r="G1125" s="1276">
        <f>G1104</f>
        <v>0</v>
      </c>
      <c r="H1125" s="1353">
        <f t="shared" si="45"/>
        <v>0</v>
      </c>
      <c r="I1125" s="1277"/>
      <c r="J1125" s="1277"/>
      <c r="K1125" s="1312"/>
      <c r="L1125" s="1125">
        <v>160</v>
      </c>
    </row>
    <row r="1126" spans="1:12" s="1279" customFormat="1" ht="20.100000000000001" customHeight="1">
      <c r="A1126" s="1377">
        <f t="shared" si="46"/>
        <v>0</v>
      </c>
      <c r="B1126" s="1378" t="s">
        <v>1383</v>
      </c>
      <c r="C1126" s="1286"/>
      <c r="D1126" s="1274">
        <f>VLOOKUP($B1126,DG!A:D,DG!$B$2,)</f>
        <v>0</v>
      </c>
      <c r="E1126" s="1310" t="str">
        <f>VLOOKUP($B1126,DG!A:D,DG!$C$2,)&amp;" baét thuøng ÑKÑT"</f>
        <v>Boulon 12x60+ 2 long đền vuông D14-50x50x3/Zn baét thuøng ÑKÑT</v>
      </c>
      <c r="F1126" s="1353" t="str">
        <f>VLOOKUP($B1126,DG!A:D,DG!$D$2,)</f>
        <v>bộ</v>
      </c>
      <c r="G1126" s="1287">
        <f>4*G1104*0</f>
        <v>0</v>
      </c>
      <c r="H1126" s="1353">
        <f t="shared" si="45"/>
        <v>0</v>
      </c>
      <c r="I1126" s="1277"/>
      <c r="J1126" s="1277"/>
      <c r="K1126" s="1312"/>
      <c r="L1126" s="1125">
        <v>160</v>
      </c>
    </row>
    <row r="1127" spans="1:12" s="1279" customFormat="1" ht="20.100000000000001" customHeight="1">
      <c r="A1127" s="1377">
        <f t="shared" si="46"/>
        <v>0</v>
      </c>
      <c r="B1127" s="1378"/>
      <c r="C1127" s="1319"/>
      <c r="D1127" s="1320"/>
      <c r="E1127" s="1306" t="s">
        <v>3829</v>
      </c>
      <c r="F1127" s="1306"/>
      <c r="G1127" s="1321"/>
      <c r="H1127" s="1353">
        <f t="shared" si="45"/>
        <v>0</v>
      </c>
      <c r="I1127" s="1306"/>
      <c r="J1127" s="1306"/>
      <c r="K1127" s="1354"/>
      <c r="L1127" s="1125">
        <v>160</v>
      </c>
    </row>
    <row r="1128" spans="1:12" s="1279" customFormat="1" ht="20.100000000000001" customHeight="1">
      <c r="A1128" s="1377">
        <f t="shared" si="46"/>
        <v>0</v>
      </c>
      <c r="B1128" s="1378" t="s">
        <v>996</v>
      </c>
      <c r="C1128" s="1286"/>
      <c r="D1128" s="1274" t="str">
        <f>VLOOKUP($B1128,DG!A:D,DG!$B$2,)</f>
        <v>02.5114</v>
      </c>
      <c r="E1128" s="1310" t="s">
        <v>3830</v>
      </c>
      <c r="F1128" s="1353" t="str">
        <f>VLOOKUP($B1128,DG!A:D,DG!$D$2,)</f>
        <v>cái</v>
      </c>
      <c r="G1128" s="1287"/>
      <c r="H1128" s="1353">
        <f t="shared" si="45"/>
        <v>0</v>
      </c>
      <c r="I1128" s="1277"/>
      <c r="J1128" s="1277"/>
      <c r="K1128" s="1312" t="s">
        <v>3831</v>
      </c>
      <c r="L1128" s="1125">
        <v>160</v>
      </c>
    </row>
    <row r="1129" spans="1:12" s="1279" customFormat="1" ht="20.100000000000001" customHeight="1">
      <c r="A1129" s="1377">
        <f t="shared" si="46"/>
        <v>0</v>
      </c>
      <c r="B1129" s="1378" t="s">
        <v>1959</v>
      </c>
      <c r="C1129" s="1286"/>
      <c r="D1129" s="1274" t="str">
        <f>VLOOKUP($B1129,DG!A:D,DG!$B$2,)</f>
        <v>05.6011</v>
      </c>
      <c r="E1129" s="1310" t="s">
        <v>2525</v>
      </c>
      <c r="F1129" s="1353" t="str">
        <f>VLOOKUP($B1129,DG!A:D,DG!$D$2,)</f>
        <v>bộ</v>
      </c>
      <c r="G1129" s="1287"/>
      <c r="H1129" s="1353">
        <f t="shared" si="45"/>
        <v>0</v>
      </c>
      <c r="I1129" s="1277"/>
      <c r="J1129" s="1277"/>
      <c r="K1129" s="1278"/>
      <c r="L1129" s="1125">
        <v>160</v>
      </c>
    </row>
    <row r="1130" spans="1:12" s="1279" customFormat="1" ht="20.100000000000001" customHeight="1">
      <c r="A1130" s="1377">
        <f>IF(L1130=L23,1,0)</f>
        <v>0</v>
      </c>
      <c r="B1130" s="1378"/>
      <c r="C1130" s="1355"/>
      <c r="D1130" s="1356"/>
      <c r="E1130" s="1306"/>
      <c r="F1130" s="1357"/>
      <c r="G1130" s="1358"/>
      <c r="H1130" s="1358">
        <f t="shared" si="45"/>
        <v>0</v>
      </c>
      <c r="I1130" s="1359"/>
      <c r="J1130" s="1360"/>
      <c r="K1130" s="1309"/>
      <c r="L1130" s="1125">
        <v>160</v>
      </c>
    </row>
    <row r="1131" spans="1:12" s="1279" customFormat="1" ht="20.100000000000001" customHeight="1">
      <c r="A1131" s="1377">
        <f t="shared" si="46"/>
        <v>0</v>
      </c>
      <c r="B1131" s="1378"/>
      <c r="C1131" s="1361"/>
      <c r="E1131" s="1362"/>
      <c r="G1131" s="1363"/>
      <c r="H1131" s="1353">
        <f t="shared" si="45"/>
        <v>0</v>
      </c>
      <c r="L1131" s="1125"/>
    </row>
    <row r="1132" spans="1:12" s="1279" customFormat="1" ht="20.100000000000001" customHeight="1">
      <c r="A1132" s="1377">
        <f t="shared" si="46"/>
        <v>0</v>
      </c>
      <c r="B1132" s="1619"/>
      <c r="C1132" s="1131" t="e">
        <f>"BAÛNG TOÅNG HÔÏP VAÄT LIEÄU, NHAÂN COÂNG, MAÙY THI COÂNG : "&amp;#REF!&amp;" TRAÏM 3P_250KVA"</f>
        <v>#REF!</v>
      </c>
      <c r="D1132" s="1131"/>
      <c r="E1132" s="1131"/>
      <c r="F1132" s="1131"/>
      <c r="G1132" s="1131"/>
      <c r="H1132" s="1353">
        <f t="shared" ref="H1132:H1195" si="47">IF(L1132=$L$23,G1132+I1132-J1132,0)</f>
        <v>0</v>
      </c>
      <c r="I1132" s="1364"/>
      <c r="J1132" s="1364"/>
      <c r="K1132" s="1365"/>
      <c r="L1132" s="1125"/>
    </row>
    <row r="1133" spans="1:12" s="1279" customFormat="1" ht="20.100000000000001" customHeight="1">
      <c r="A1133" s="1377">
        <f t="shared" si="46"/>
        <v>0</v>
      </c>
      <c r="B1133" s="1582"/>
      <c r="C1133" s="1304"/>
      <c r="D1133" s="1305"/>
      <c r="E1133" s="1306" t="s">
        <v>3771</v>
      </c>
      <c r="F1133" s="1307"/>
      <c r="G1133" s="1308"/>
      <c r="H1133" s="1353">
        <f t="shared" si="47"/>
        <v>0</v>
      </c>
      <c r="I1133" s="1307"/>
      <c r="J1133" s="1307"/>
      <c r="K1133" s="1309"/>
      <c r="L1133" s="1125">
        <v>250</v>
      </c>
    </row>
    <row r="1134" spans="1:12" s="1279" customFormat="1" ht="20.100000000000001" customHeight="1">
      <c r="A1134" s="1377">
        <f t="shared" si="46"/>
        <v>0</v>
      </c>
      <c r="B1134" s="1583" t="s">
        <v>4778</v>
      </c>
      <c r="C1134" s="1286">
        <f>IF(G1134&gt;0,1,0)</f>
        <v>0</v>
      </c>
      <c r="D1134" s="1274" t="str">
        <f>VLOOKUP($B1134,DG!A:D,DG!$B$2,)</f>
        <v>01.1415</v>
      </c>
      <c r="E1134" s="1275" t="str">
        <f>VLOOKUP($B1134,DG!A:D,DG!$C$2,)</f>
        <v>Máy biến áp 22/0,4kV- 250kVA</v>
      </c>
      <c r="F1134" s="1274" t="str">
        <f>VLOOKUP($B1134,DG!A:D,DG!$D$2,)</f>
        <v>máy</v>
      </c>
      <c r="G1134" s="1286">
        <f>K11</f>
        <v>0</v>
      </c>
      <c r="H1134" s="1353">
        <f t="shared" si="47"/>
        <v>0</v>
      </c>
      <c r="I1134" s="1310"/>
      <c r="J1134" s="1310"/>
      <c r="K1134" s="1311"/>
      <c r="L1134" s="1125">
        <v>250</v>
      </c>
    </row>
    <row r="1135" spans="1:12" s="1279" customFormat="1" ht="20.100000000000001" customHeight="1">
      <c r="A1135" s="1377">
        <f t="shared" si="46"/>
        <v>0</v>
      </c>
      <c r="B1135" s="1583" t="s">
        <v>1704</v>
      </c>
      <c r="C1135" s="1286">
        <f>IF(G1135&gt;0,C1134+1,C1134)</f>
        <v>0</v>
      </c>
      <c r="D1135" s="1274" t="str">
        <f>VLOOKUP($B1135,DG!A:D,DG!$B$2,)</f>
        <v>02.3155</v>
      </c>
      <c r="E1135" s="1275" t="str">
        <f>VLOOKUP($B1135,DG!A:D,DG!$C$2,)</f>
        <v>FCO 24kV - 100A</v>
      </c>
      <c r="F1135" s="1274" t="str">
        <f>VLOOKUP($B1135,DG!A:D,DG!$D$2,)</f>
        <v>cái</v>
      </c>
      <c r="G1135" s="1287"/>
      <c r="H1135" s="1353">
        <f t="shared" si="47"/>
        <v>0</v>
      </c>
      <c r="I1135" s="1277"/>
      <c r="J1135" s="1277"/>
      <c r="K1135" s="1312"/>
      <c r="L1135" s="1125">
        <v>250</v>
      </c>
    </row>
    <row r="1136" spans="1:12" s="1279" customFormat="1" ht="20.100000000000001" customHeight="1">
      <c r="A1136" s="1377">
        <f t="shared" si="46"/>
        <v>0</v>
      </c>
      <c r="B1136" s="1583" t="s">
        <v>4779</v>
      </c>
      <c r="C1136" s="1286">
        <f t="shared" ref="C1136:C1141" si="48">IF(G1136&gt;0,C1135+1,C1135)</f>
        <v>0</v>
      </c>
      <c r="D1136" s="1274">
        <f>VLOOKUP($B1136,DG!A:D,DG!$B$2,)</f>
        <v>0</v>
      </c>
      <c r="E1136" s="1275" t="str">
        <f>VLOOKUP($B1136,DG!A:D,DG!$C$2,)</f>
        <v>Dây chảy 10K</v>
      </c>
      <c r="F1136" s="1274" t="str">
        <f>VLOOKUP($B1136,DG!A:D,DG!$D$2,)</f>
        <v>Sợi</v>
      </c>
      <c r="G1136" s="1287">
        <f>G1135</f>
        <v>0</v>
      </c>
      <c r="H1136" s="1353">
        <f t="shared" si="47"/>
        <v>0</v>
      </c>
      <c r="I1136" s="1277"/>
      <c r="J1136" s="1277"/>
      <c r="K1136" s="1312"/>
      <c r="L1136" s="1125">
        <v>250</v>
      </c>
    </row>
    <row r="1137" spans="1:12" s="1279" customFormat="1" ht="20.100000000000001" customHeight="1">
      <c r="A1137" s="1377">
        <f t="shared" si="46"/>
        <v>0</v>
      </c>
      <c r="B1137" s="1582" t="s">
        <v>1406</v>
      </c>
      <c r="C1137" s="1286">
        <f t="shared" si="48"/>
        <v>0</v>
      </c>
      <c r="D1137" s="1274" t="str">
        <f>VLOOKUP($B1137,DG!A:D,DG!$B$2,)</f>
        <v>02.5114</v>
      </c>
      <c r="E1137" s="1275" t="str">
        <f>VLOOKUP($B1137,DG!A:D,DG!$C$2,)</f>
        <v>LA 18kV 10kA</v>
      </c>
      <c r="F1137" s="1274" t="str">
        <f>VLOOKUP($B1137,DG!A:D,DG!$D$2,)</f>
        <v>cái</v>
      </c>
      <c r="G1137" s="1287">
        <f>G1134*3</f>
        <v>0</v>
      </c>
      <c r="H1137" s="1353">
        <f t="shared" si="47"/>
        <v>0</v>
      </c>
      <c r="I1137" s="1277"/>
      <c r="J1137" s="1277"/>
      <c r="K1137" s="1312"/>
      <c r="L1137" s="1125">
        <v>250</v>
      </c>
    </row>
    <row r="1138" spans="1:12" s="1279" customFormat="1" ht="20.100000000000001" customHeight="1">
      <c r="A1138" s="1377">
        <f t="shared" si="46"/>
        <v>0</v>
      </c>
      <c r="B1138" s="1583" t="s">
        <v>983</v>
      </c>
      <c r="C1138" s="1286">
        <f t="shared" si="48"/>
        <v>0</v>
      </c>
      <c r="D1138" s="1274" t="str">
        <f>VLOOKUP($B1138,DG!A:D,DG!$B$2,)</f>
        <v>02.8402</v>
      </c>
      <c r="E1138" s="1275" t="str">
        <f>VLOOKUP($B1138,DG!A:D,DG!$C$2,)</f>
        <v>MCCB 3 cực 690V - 400A - 50KA</v>
      </c>
      <c r="F1138" s="1274" t="str">
        <f>VLOOKUP($B1138,DG!A:D,DG!$D$2,)</f>
        <v>cái</v>
      </c>
      <c r="G1138" s="1287">
        <f>G1134</f>
        <v>0</v>
      </c>
      <c r="H1138" s="1353">
        <f t="shared" si="47"/>
        <v>0</v>
      </c>
      <c r="I1138" s="1277"/>
      <c r="J1138" s="1277"/>
      <c r="K1138" s="1312"/>
      <c r="L1138" s="1125">
        <v>250</v>
      </c>
    </row>
    <row r="1139" spans="1:12" s="1279" customFormat="1" ht="20.100000000000001" customHeight="1">
      <c r="A1139" s="1377">
        <f t="shared" si="46"/>
        <v>0</v>
      </c>
      <c r="B1139" s="1583" t="s">
        <v>982</v>
      </c>
      <c r="C1139" s="1286">
        <f t="shared" si="48"/>
        <v>0</v>
      </c>
      <c r="D1139" s="1274" t="str">
        <f>VLOOKUP($B1139,DG!A:D,DG!$B$2,)</f>
        <v>02.8504a</v>
      </c>
      <c r="E1139" s="1275" t="str">
        <f>VLOOKUP($B1139,DG!A:D,DG!$C$2,)</f>
        <v>Tủ tụ bù hạ thế 100kVAr</v>
      </c>
      <c r="F1139" s="1274" t="str">
        <f>VLOOKUP($B1139,DG!A:D,DG!$D$2,)</f>
        <v>tủ</v>
      </c>
      <c r="G1139" s="1287">
        <f>G1134</f>
        <v>0</v>
      </c>
      <c r="H1139" s="1353">
        <f t="shared" si="47"/>
        <v>0</v>
      </c>
      <c r="I1139" s="1277"/>
      <c r="J1139" s="1277"/>
      <c r="K1139" s="1312" t="s">
        <v>4887</v>
      </c>
      <c r="L1139" s="1125">
        <v>250</v>
      </c>
    </row>
    <row r="1140" spans="1:12" s="1279" customFormat="1" ht="20.100000000000001" customHeight="1">
      <c r="A1140" s="1377">
        <f t="shared" si="46"/>
        <v>0</v>
      </c>
      <c r="B1140" s="1378" t="s">
        <v>914</v>
      </c>
      <c r="C1140" s="1286">
        <f t="shared" si="48"/>
        <v>0</v>
      </c>
      <c r="D1140" s="1274">
        <f>VLOOKUP($B1140,DG!A:D,DG!$B$2,)</f>
        <v>0</v>
      </c>
      <c r="E1140" s="1275" t="str">
        <f>VLOOKUP($B1140,DG!A:D,DG!$C$2,)</f>
        <v>Biến dòng 600V - 400/5A</v>
      </c>
      <c r="F1140" s="1274" t="str">
        <f>VLOOKUP($B1140,DG!A:D,DG!$D$2,)</f>
        <v>cái</v>
      </c>
      <c r="G1140" s="1313">
        <f>3*G1134</f>
        <v>0</v>
      </c>
      <c r="H1140" s="1353">
        <f t="shared" si="47"/>
        <v>0</v>
      </c>
      <c r="I1140" s="1277"/>
      <c r="J1140" s="1277"/>
      <c r="K1140" s="1314" t="s">
        <v>2666</v>
      </c>
      <c r="L1140" s="1125">
        <v>250</v>
      </c>
    </row>
    <row r="1141" spans="1:12" s="1279" customFormat="1" ht="20.100000000000001" customHeight="1">
      <c r="A1141" s="1377">
        <f t="shared" si="46"/>
        <v>0</v>
      </c>
      <c r="B1141" s="1621" t="s">
        <v>1512</v>
      </c>
      <c r="C1141" s="1286">
        <f t="shared" si="48"/>
        <v>1</v>
      </c>
      <c r="D1141" s="1274" t="str">
        <f>VLOOKUP($B1141,DG!A:D,DG!$B$2,)</f>
        <v>05.5104</v>
      </c>
      <c r="E1141" s="1275" t="str">
        <f>VLOOKUP($B1141,DG!A:D,DG!$C$2,)</f>
        <v>Điện kế 3 pha 4 dây 220/380V-5A</v>
      </c>
      <c r="F1141" s="1274" t="str">
        <f>VLOOKUP($B1141,DG!A:D,DG!$D$2,)</f>
        <v>cái</v>
      </c>
      <c r="G1141" s="1313">
        <v>3</v>
      </c>
      <c r="H1141" s="1353">
        <f t="shared" si="47"/>
        <v>0</v>
      </c>
      <c r="I1141" s="1277"/>
      <c r="J1141" s="1277">
        <v>2</v>
      </c>
      <c r="K1141" s="1315" t="s">
        <v>2666</v>
      </c>
      <c r="L1141" s="1125">
        <v>250</v>
      </c>
    </row>
    <row r="1142" spans="1:12" s="1279" customFormat="1" ht="20.100000000000001" customHeight="1">
      <c r="A1142" s="1377">
        <f>IF(L1142=$L$23,1,0)</f>
        <v>0</v>
      </c>
      <c r="B1142" s="1582"/>
      <c r="C1142" s="1316"/>
      <c r="D1142" s="1317"/>
      <c r="E1142" s="1271"/>
      <c r="F1142" s="1316"/>
      <c r="G1142" s="1318"/>
      <c r="H1142" s="1353">
        <f t="shared" si="47"/>
        <v>0</v>
      </c>
      <c r="I1142" s="1271"/>
      <c r="J1142" s="1316"/>
      <c r="K1142" s="1309"/>
      <c r="L1142" s="1125">
        <v>250</v>
      </c>
    </row>
    <row r="1143" spans="1:12" s="1279" customFormat="1" ht="20.100000000000001" customHeight="1">
      <c r="A1143" s="1377">
        <f>IF(L1143=$L$23,1,0)</f>
        <v>0</v>
      </c>
      <c r="B1143" s="1582"/>
      <c r="C1143" s="1319"/>
      <c r="D1143" s="1320"/>
      <c r="E1143" s="1306" t="s">
        <v>3772</v>
      </c>
      <c r="F1143" s="1306"/>
      <c r="G1143" s="1321"/>
      <c r="H1143" s="1353">
        <f t="shared" si="47"/>
        <v>0</v>
      </c>
      <c r="I1143" s="1306"/>
      <c r="J1143" s="1306"/>
      <c r="K1143" s="1309"/>
      <c r="L1143" s="1125">
        <v>250</v>
      </c>
    </row>
    <row r="1144" spans="1:12" s="1279" customFormat="1" ht="20.100000000000001" customHeight="1">
      <c r="A1144" s="1377">
        <f t="shared" si="46"/>
        <v>0</v>
      </c>
      <c r="B1144" s="1622"/>
      <c r="C1144" s="1322">
        <f>IF(G1144&gt;0,1,0)</f>
        <v>0</v>
      </c>
      <c r="D1144" s="1323"/>
      <c r="E1144" s="1324" t="s">
        <v>3832</v>
      </c>
      <c r="F1144" s="1325" t="s">
        <v>2340</v>
      </c>
      <c r="G1144" s="1326"/>
      <c r="H1144" s="1353">
        <f t="shared" si="47"/>
        <v>0</v>
      </c>
      <c r="I1144" s="1327"/>
      <c r="J1144" s="1327"/>
      <c r="K1144" s="1312"/>
      <c r="L1144" s="1125">
        <v>250</v>
      </c>
    </row>
    <row r="1145" spans="1:12" s="1279" customFormat="1" ht="20.100000000000001" customHeight="1">
      <c r="A1145" s="1377">
        <f t="shared" si="46"/>
        <v>0</v>
      </c>
      <c r="B1145" s="1378" t="s">
        <v>116</v>
      </c>
      <c r="C1145" s="1328"/>
      <c r="D1145" s="1274"/>
      <c r="E1145" s="1329" t="str">
        <f>VLOOKUP($B1145,DG!A:D,DG!$C$2,)</f>
        <v>Trụ BTLT 12m F350 dự ứng lực</v>
      </c>
      <c r="F1145" s="1274" t="str">
        <f>VLOOKUP($B1145,DG!A:D,DG!$D$2,)</f>
        <v>trụ</v>
      </c>
      <c r="G1145" s="1330">
        <f>G1144</f>
        <v>0</v>
      </c>
      <c r="H1145" s="1353">
        <f t="shared" si="47"/>
        <v>0</v>
      </c>
      <c r="I1145" s="1310"/>
      <c r="J1145" s="1273"/>
      <c r="K1145" s="1312"/>
      <c r="L1145" s="1125">
        <v>250</v>
      </c>
    </row>
    <row r="1146" spans="1:12" s="1279" customFormat="1" ht="20.100000000000001" customHeight="1">
      <c r="A1146" s="1377">
        <f t="shared" si="46"/>
        <v>0</v>
      </c>
      <c r="B1146" s="1378" t="s">
        <v>1867</v>
      </c>
      <c r="C1146" s="1328"/>
      <c r="D1146" s="1274"/>
      <c r="E1146" s="1329" t="str">
        <f>VLOOKUP($B1146,DG!A:D,DG!$C$2,)</f>
        <v>Vật liệu dựng trụ</v>
      </c>
      <c r="F1146" s="1274" t="str">
        <f>VLOOKUP($B1146,DG!A:D,DG!$D$2,)</f>
        <v>trụ</v>
      </c>
      <c r="G1146" s="1330">
        <f>G1145</f>
        <v>0</v>
      </c>
      <c r="H1146" s="1353">
        <f t="shared" si="47"/>
        <v>0</v>
      </c>
      <c r="I1146" s="1273"/>
      <c r="J1146" s="1273"/>
      <c r="K1146" s="1312"/>
      <c r="L1146" s="1125">
        <v>250</v>
      </c>
    </row>
    <row r="1147" spans="1:12" s="1279" customFormat="1" ht="20.100000000000001" customHeight="1">
      <c r="A1147" s="1377">
        <f t="shared" si="46"/>
        <v>0</v>
      </c>
      <c r="B1147" s="1378" t="s">
        <v>648</v>
      </c>
      <c r="C1147" s="1328"/>
      <c r="D1147" s="1274" t="str">
        <f>VLOOKUP($B1147,DG!A:D,DG!$B$2,)</f>
        <v>04.9203</v>
      </c>
      <c r="E1147" s="1329" t="str">
        <f>VLOOKUP($B1147,DG!A:D,DG!$C$2,)</f>
        <v>Dựng trụ BTLT 12m trong TBA bằng thủ công + cơ giới</v>
      </c>
      <c r="F1147" s="1274" t="str">
        <f>VLOOKUP($B1147,DG!A:D,DG!$D$2,)</f>
        <v>trụ</v>
      </c>
      <c r="G1147" s="1330">
        <f>G1145</f>
        <v>0</v>
      </c>
      <c r="H1147" s="1353">
        <f t="shared" si="47"/>
        <v>0</v>
      </c>
      <c r="I1147" s="1310"/>
      <c r="J1147" s="1310"/>
      <c r="K1147" s="1312"/>
      <c r="L1147" s="1125">
        <v>250</v>
      </c>
    </row>
    <row r="1148" spans="1:12" s="1279" customFormat="1" ht="20.100000000000001" customHeight="1">
      <c r="A1148" s="1377">
        <f t="shared" si="46"/>
        <v>0</v>
      </c>
      <c r="B1148" s="1622"/>
      <c r="C1148" s="1322">
        <f>IF(G1148&gt;0,1,0)</f>
        <v>0</v>
      </c>
      <c r="D1148" s="1323"/>
      <c r="E1148" s="1324" t="s">
        <v>3833</v>
      </c>
      <c r="F1148" s="1325" t="s">
        <v>2340</v>
      </c>
      <c r="G1148" s="1326">
        <f>G1134*2*0</f>
        <v>0</v>
      </c>
      <c r="H1148" s="1353">
        <f t="shared" si="47"/>
        <v>0</v>
      </c>
      <c r="I1148" s="1327"/>
      <c r="J1148" s="1327"/>
      <c r="K1148" s="1278"/>
      <c r="L1148" s="1125">
        <v>250</v>
      </c>
    </row>
    <row r="1149" spans="1:12" s="1279" customFormat="1" ht="20.100000000000001" customHeight="1">
      <c r="A1149" s="1377">
        <f t="shared" si="46"/>
        <v>0</v>
      </c>
      <c r="B1149" s="1378" t="s">
        <v>115</v>
      </c>
      <c r="C1149" s="1328"/>
      <c r="D1149" s="1274"/>
      <c r="E1149" s="1329" t="str">
        <f>VLOOKUP($B1149,DG!A:D,DG!$C$2,)</f>
        <v>Trụ BTLT 10,5m F350 dự ứng lực</v>
      </c>
      <c r="F1149" s="1274" t="str">
        <f>VLOOKUP($B1149,DG!A:D,DG!$D$2,)</f>
        <v>trụ</v>
      </c>
      <c r="G1149" s="1330">
        <f>G1148</f>
        <v>0</v>
      </c>
      <c r="H1149" s="1353">
        <f t="shared" si="47"/>
        <v>0</v>
      </c>
      <c r="I1149" s="1310"/>
      <c r="J1149" s="1273"/>
      <c r="K1149" s="1278"/>
      <c r="L1149" s="1125">
        <v>250</v>
      </c>
    </row>
    <row r="1150" spans="1:12" s="1279" customFormat="1" ht="20.100000000000001" customHeight="1">
      <c r="A1150" s="1377">
        <f t="shared" si="46"/>
        <v>0</v>
      </c>
      <c r="B1150" s="1378" t="s">
        <v>1867</v>
      </c>
      <c r="C1150" s="1328"/>
      <c r="D1150" s="1274"/>
      <c r="E1150" s="1329" t="str">
        <f>VLOOKUP($B1150,DG!A:D,DG!$C$2,)</f>
        <v>Vật liệu dựng trụ</v>
      </c>
      <c r="F1150" s="1274" t="str">
        <f>VLOOKUP($B1150,DG!A:D,DG!$D$2,)</f>
        <v>trụ</v>
      </c>
      <c r="G1150" s="1330">
        <f>G1149</f>
        <v>0</v>
      </c>
      <c r="H1150" s="1353">
        <f t="shared" si="47"/>
        <v>0</v>
      </c>
      <c r="I1150" s="1273"/>
      <c r="J1150" s="1273"/>
      <c r="K1150" s="1278"/>
      <c r="L1150" s="1125">
        <v>250</v>
      </c>
    </row>
    <row r="1151" spans="1:12" s="1279" customFormat="1" ht="20.100000000000001" customHeight="1">
      <c r="A1151" s="1377">
        <f t="shared" si="46"/>
        <v>0</v>
      </c>
      <c r="B1151" s="1378" t="s">
        <v>649</v>
      </c>
      <c r="C1151" s="1328"/>
      <c r="D1151" s="1274" t="str">
        <f>VLOOKUP($B1151,DG!A:D,DG!$B$2,)</f>
        <v>04.9203</v>
      </c>
      <c r="E1151" s="1329" t="str">
        <f>VLOOKUP($B1151,DG!A:D,DG!$C$2,)</f>
        <v>Dựng trụ BTLT 10,5m trong TBA bằng thủ công + cơ giới</v>
      </c>
      <c r="F1151" s="1274" t="str">
        <f>VLOOKUP($B1151,DG!A:D,DG!$D$2,)</f>
        <v>trụ</v>
      </c>
      <c r="G1151" s="1330">
        <f>G1149</f>
        <v>0</v>
      </c>
      <c r="H1151" s="1353">
        <f t="shared" si="47"/>
        <v>0</v>
      </c>
      <c r="I1151" s="1310"/>
      <c r="J1151" s="1310"/>
      <c r="K1151" s="1278"/>
      <c r="L1151" s="1125">
        <v>250</v>
      </c>
    </row>
    <row r="1152" spans="1:12" s="1279" customFormat="1" ht="20.100000000000001" customHeight="1">
      <c r="A1152" s="1377">
        <f t="shared" si="46"/>
        <v>0</v>
      </c>
      <c r="B1152" s="1623"/>
      <c r="C1152" s="1280">
        <f>IF(G1152&gt;0,C1144+1,C1144)</f>
        <v>0</v>
      </c>
      <c r="D1152" s="1323"/>
      <c r="E1152" s="1324" t="s">
        <v>2416</v>
      </c>
      <c r="F1152" s="1325" t="s">
        <v>2391</v>
      </c>
      <c r="G1152" s="1331"/>
      <c r="H1152" s="1353">
        <f t="shared" si="47"/>
        <v>0</v>
      </c>
      <c r="I1152" s="1273"/>
      <c r="J1152" s="1273"/>
      <c r="K1152" s="1312"/>
      <c r="L1152" s="1125">
        <v>250</v>
      </c>
    </row>
    <row r="1153" spans="1:12" s="1279" customFormat="1" ht="20.100000000000001" customHeight="1">
      <c r="A1153" s="1377">
        <f t="shared" si="46"/>
        <v>0</v>
      </c>
      <c r="B1153" s="1589" t="s">
        <v>641</v>
      </c>
      <c r="C1153" s="1328"/>
      <c r="D1153" s="1274" t="str">
        <f>VLOOKUP($B1153,DG!A:D,DG!$B$2,)</f>
        <v>04.4001</v>
      </c>
      <c r="E1153" s="1332" t="str">
        <f>VLOOKUP($B1153,DG!A:D,DG!$C$2,)</f>
        <v>Đà cản BTCT 1,2m</v>
      </c>
      <c r="F1153" s="1288" t="str">
        <f>VLOOKUP($B1153,DG!A:D,DG!$D$2,)</f>
        <v>cái</v>
      </c>
      <c r="G1153" s="1330">
        <f>G1152</f>
        <v>0</v>
      </c>
      <c r="H1153" s="1353">
        <f t="shared" si="47"/>
        <v>0</v>
      </c>
      <c r="I1153" s="1310"/>
      <c r="J1153" s="1273"/>
      <c r="K1153" s="1312"/>
      <c r="L1153" s="1125">
        <v>250</v>
      </c>
    </row>
    <row r="1154" spans="1:12" s="1279" customFormat="1" ht="20.100000000000001" customHeight="1">
      <c r="A1154" s="1377">
        <f t="shared" si="46"/>
        <v>0</v>
      </c>
      <c r="B1154" s="1589" t="s">
        <v>570</v>
      </c>
      <c r="C1154" s="1328"/>
      <c r="D1154" s="1288"/>
      <c r="E1154" s="1332" t="str">
        <f>VLOOKUP($B1154,DG!A:D,DG!$C$2,)</f>
        <v>Boulon 22x650+ 2 long đền vuông D24-50x50x3/Zn</v>
      </c>
      <c r="F1154" s="1288" t="str">
        <f>VLOOKUP($B1154,DG!A:D,DG!$D$2,)</f>
        <v>bộ</v>
      </c>
      <c r="G1154" s="1330">
        <f>G1153</f>
        <v>0</v>
      </c>
      <c r="H1154" s="1353">
        <f t="shared" si="47"/>
        <v>0</v>
      </c>
      <c r="I1154" s="1332"/>
      <c r="J1154" s="1273"/>
      <c r="K1154" s="1312"/>
      <c r="L1154" s="1125">
        <v>250</v>
      </c>
    </row>
    <row r="1155" spans="1:12" s="1279" customFormat="1" ht="20.100000000000001" customHeight="1">
      <c r="A1155" s="1377">
        <f t="shared" si="46"/>
        <v>0</v>
      </c>
      <c r="B1155" s="1589" t="str">
        <f>IF(chitiet!F5=1,"MDD1",IF(chitiet!F5=2,"MDD2",IF(chitiet!F5=3,"MDD3",IF(chitiet!F5=4,"MDD4"))))</f>
        <v>MDD3</v>
      </c>
      <c r="C1155" s="1328"/>
      <c r="D1155" s="1288" t="str">
        <f>VLOOKUP($B1155,DG!A:D,DG!$B$2,)</f>
        <v>03.1013</v>
      </c>
      <c r="E1155" s="1332" t="str">
        <f>VLOOKUP($B1155,DG!A:D,DG!$C$2,)</f>
        <v>Đào hố móng đất cấp 3 sâu &gt;1m DT&lt;5m2</v>
      </c>
      <c r="F1155" s="1288" t="str">
        <f>VLOOKUP($B1155,DG!A:D,DG!$D$2,)</f>
        <v>m3</v>
      </c>
      <c r="G1155" s="1333">
        <f>0.87*G1153</f>
        <v>0</v>
      </c>
      <c r="H1155" s="1353">
        <f t="shared" si="47"/>
        <v>0</v>
      </c>
      <c r="I1155" s="1334"/>
      <c r="J1155" s="1273"/>
      <c r="K1155" s="1312"/>
      <c r="L1155" s="1125">
        <v>250</v>
      </c>
    </row>
    <row r="1156" spans="1:12" s="1279" customFormat="1" ht="20.100000000000001" customHeight="1">
      <c r="A1156" s="1377">
        <f t="shared" si="46"/>
        <v>0</v>
      </c>
      <c r="B1156" s="1589" t="str">
        <f>IF(chitiet!F5=1,"MDAP1",IF(chitiet!F5=2,"MDAP2",IF(chitiet!F5=3,"MDAP3",IF(chitiet!F5=4,"MDAP4"))))</f>
        <v>MDAP3</v>
      </c>
      <c r="C1156" s="1328"/>
      <c r="D1156" s="1288" t="str">
        <f>VLOOKUP($B1156,DG!A:D,DG!$B$2,)</f>
        <v>03.4113</v>
      </c>
      <c r="E1156" s="1332" t="str">
        <f>VLOOKUP($B1156,DG!A:D,DG!$C$2,)</f>
        <v>Đắp đất hố móng, độ chặt k=0,95</v>
      </c>
      <c r="F1156" s="1288" t="str">
        <f>VLOOKUP($B1156,DG!A:D,DG!$D$2,)</f>
        <v>m3</v>
      </c>
      <c r="G1156" s="1335">
        <f>0.79*G1152</f>
        <v>0</v>
      </c>
      <c r="H1156" s="1353">
        <f t="shared" si="47"/>
        <v>0</v>
      </c>
      <c r="I1156" s="1334"/>
      <c r="J1156" s="1273"/>
      <c r="K1156" s="1312"/>
      <c r="L1156" s="1125">
        <v>250</v>
      </c>
    </row>
    <row r="1157" spans="1:12" s="1279" customFormat="1" ht="20.100000000000001" customHeight="1">
      <c r="A1157" s="1377">
        <f t="shared" si="46"/>
        <v>0</v>
      </c>
      <c r="B1157" s="1623"/>
      <c r="C1157" s="1280">
        <f>IF(G1157&gt;0,C1149+1,C1149)</f>
        <v>0</v>
      </c>
      <c r="D1157" s="1323"/>
      <c r="E1157" s="1324" t="s">
        <v>3812</v>
      </c>
      <c r="F1157" s="1325" t="s">
        <v>2391</v>
      </c>
      <c r="G1157" s="1331">
        <f>G1148</f>
        <v>0</v>
      </c>
      <c r="H1157" s="1353">
        <f t="shared" si="47"/>
        <v>0</v>
      </c>
      <c r="I1157" s="1273"/>
      <c r="J1157" s="1273"/>
      <c r="K1157" s="1278"/>
      <c r="L1157" s="1125">
        <v>250</v>
      </c>
    </row>
    <row r="1158" spans="1:12" s="1279" customFormat="1" ht="20.100000000000001" customHeight="1">
      <c r="A1158" s="1377">
        <f t="shared" si="46"/>
        <v>0</v>
      </c>
      <c r="B1158" s="1589" t="s">
        <v>641</v>
      </c>
      <c r="C1158" s="1328"/>
      <c r="D1158" s="1274" t="str">
        <f>VLOOKUP($B1158,DG!A:D,DG!$B$2,)</f>
        <v>04.4001</v>
      </c>
      <c r="E1158" s="1332" t="str">
        <f>VLOOKUP($B1158,DG!A:D,DG!$C$2,)</f>
        <v>Đà cản BTCT 1,2m</v>
      </c>
      <c r="F1158" s="1288" t="str">
        <f>VLOOKUP($B1158,DG!A:D,DG!$D$2,)</f>
        <v>cái</v>
      </c>
      <c r="G1158" s="1330">
        <f>G1157</f>
        <v>0</v>
      </c>
      <c r="H1158" s="1353">
        <f t="shared" si="47"/>
        <v>0</v>
      </c>
      <c r="I1158" s="1310"/>
      <c r="J1158" s="1273"/>
      <c r="K1158" s="1278"/>
      <c r="L1158" s="1125">
        <v>250</v>
      </c>
    </row>
    <row r="1159" spans="1:12" s="1279" customFormat="1" ht="20.100000000000001" customHeight="1">
      <c r="A1159" s="1377">
        <f t="shared" si="46"/>
        <v>0</v>
      </c>
      <c r="B1159" s="1589" t="s">
        <v>570</v>
      </c>
      <c r="C1159" s="1328"/>
      <c r="D1159" s="1288"/>
      <c r="E1159" s="1332" t="str">
        <f>VLOOKUP($B1159,DG!A:D,DG!$C$2,)</f>
        <v>Boulon 22x650+ 2 long đền vuông D24-50x50x3/Zn</v>
      </c>
      <c r="F1159" s="1288" t="str">
        <f>VLOOKUP($B1159,DG!A:D,DG!$D$2,)</f>
        <v>bộ</v>
      </c>
      <c r="G1159" s="1330">
        <f>G1158</f>
        <v>0</v>
      </c>
      <c r="H1159" s="1353">
        <f t="shared" si="47"/>
        <v>0</v>
      </c>
      <c r="I1159" s="1332"/>
      <c r="J1159" s="1273"/>
      <c r="K1159" s="1278"/>
      <c r="L1159" s="1125">
        <v>250</v>
      </c>
    </row>
    <row r="1160" spans="1:12" s="1279" customFormat="1" ht="20.100000000000001" customHeight="1">
      <c r="A1160" s="1377">
        <f t="shared" si="46"/>
        <v>0</v>
      </c>
      <c r="B1160" s="1589" t="str">
        <f>IF(chitiet!F5=1,"MDD1",IF(chitiet!F5=2,"MDD2",IF(chitiet!F5=3,"MDD3",IF(chitiet!F5=4,"MDD4"))))</f>
        <v>MDD3</v>
      </c>
      <c r="C1160" s="1328"/>
      <c r="D1160" s="1288" t="str">
        <f>VLOOKUP($B1160,DG!A:D,DG!$B$2,)</f>
        <v>03.1013</v>
      </c>
      <c r="E1160" s="1332" t="str">
        <f>VLOOKUP($B1160,DG!A:D,DG!$C$2,)</f>
        <v>Đào hố móng đất cấp 3 sâu &gt;1m DT&lt;5m2</v>
      </c>
      <c r="F1160" s="1288" t="str">
        <f>VLOOKUP($B1160,DG!A:D,DG!$D$2,)</f>
        <v>m3</v>
      </c>
      <c r="G1160" s="1335">
        <f>0.78*G1158</f>
        <v>0</v>
      </c>
      <c r="H1160" s="1353">
        <f t="shared" si="47"/>
        <v>0</v>
      </c>
      <c r="I1160" s="1334"/>
      <c r="J1160" s="1273"/>
      <c r="K1160" s="1278"/>
      <c r="L1160" s="1125">
        <v>250</v>
      </c>
    </row>
    <row r="1161" spans="1:12" s="1279" customFormat="1" ht="20.100000000000001" customHeight="1">
      <c r="A1161" s="1377">
        <f t="shared" si="46"/>
        <v>0</v>
      </c>
      <c r="B1161" s="1589" t="str">
        <f>IF(chitiet!F5=1,"MDAP1",IF(chitiet!F5=2,"MDAP2",IF(chitiet!F5=3,"MDAP3",IF(chitiet!F5=4,"MDAP4"))))</f>
        <v>MDAP3</v>
      </c>
      <c r="C1161" s="1328"/>
      <c r="D1161" s="1288" t="str">
        <f>VLOOKUP($B1161,DG!A:D,DG!$B$2,)</f>
        <v>03.4113</v>
      </c>
      <c r="E1161" s="1332" t="str">
        <f>VLOOKUP($B1161,DG!A:D,DG!$C$2,)</f>
        <v>Đắp đất hố móng, độ chặt k=0,95</v>
      </c>
      <c r="F1161" s="1288" t="str">
        <f>VLOOKUP($B1161,DG!A:D,DG!$D$2,)</f>
        <v>m3</v>
      </c>
      <c r="G1161" s="1335">
        <f>0.74*G1157</f>
        <v>0</v>
      </c>
      <c r="H1161" s="1353">
        <f t="shared" si="47"/>
        <v>0</v>
      </c>
      <c r="I1161" s="1334"/>
      <c r="J1161" s="1273"/>
      <c r="K1161" s="1278"/>
      <c r="L1161" s="1125">
        <v>250</v>
      </c>
    </row>
    <row r="1162" spans="1:12" s="1279" customFormat="1" ht="20.100000000000001" customHeight="1">
      <c r="A1162" s="1377">
        <f t="shared" si="46"/>
        <v>0</v>
      </c>
      <c r="B1162" s="1582"/>
      <c r="C1162" s="1280">
        <f>IF(G1162&gt;0,C1152+1,C1152)</f>
        <v>0</v>
      </c>
      <c r="D1162" s="1336"/>
      <c r="E1162" s="1324" t="s">
        <v>3813</v>
      </c>
      <c r="F1162" s="1322" t="s">
        <v>2449</v>
      </c>
      <c r="G1162" s="1337">
        <f>G1134*1</f>
        <v>0</v>
      </c>
      <c r="H1162" s="1353">
        <f t="shared" si="47"/>
        <v>0</v>
      </c>
      <c r="I1162" s="1338"/>
      <c r="J1162" s="1338"/>
      <c r="K1162" s="1278"/>
      <c r="L1162" s="1125">
        <v>250</v>
      </c>
    </row>
    <row r="1163" spans="1:12" s="1279" customFormat="1" ht="20.100000000000001" customHeight="1">
      <c r="A1163" s="1377">
        <f>IF(A1162&gt;0,1,0)</f>
        <v>0</v>
      </c>
      <c r="B1163" s="1582"/>
      <c r="C1163" s="1273"/>
      <c r="D1163" s="1339"/>
      <c r="E1163" s="1637" t="s">
        <v>2342</v>
      </c>
      <c r="F1163" s="1286"/>
      <c r="G1163" s="1287"/>
      <c r="H1163" s="1353">
        <f t="shared" si="47"/>
        <v>0</v>
      </c>
      <c r="I1163" s="1340"/>
      <c r="J1163" s="1340"/>
      <c r="K1163" s="1278"/>
      <c r="L1163" s="1125">
        <v>250</v>
      </c>
    </row>
    <row r="1164" spans="1:12" s="1279" customFormat="1" ht="20.100000000000001" customHeight="1">
      <c r="A1164" s="1377">
        <f t="shared" si="46"/>
        <v>0</v>
      </c>
      <c r="B1164" s="1378" t="s">
        <v>1166</v>
      </c>
      <c r="C1164" s="1273"/>
      <c r="D1164" s="1288"/>
      <c r="E1164" s="1275" t="str">
        <f>VLOOKUP($B1164,DG!A:D,DG!$C$2,)&amp;": 2 cái"</f>
        <v>Đà U160x68x5x2800 đỡ MBA: 2 cái</v>
      </c>
      <c r="F1164" s="1274" t="str">
        <f>VLOOKUP($B1164,DG!A:D,DG!$D$2,)</f>
        <v>kg</v>
      </c>
      <c r="G1164" s="1276">
        <f>52.049*G1162*2</f>
        <v>0</v>
      </c>
      <c r="H1164" s="1353">
        <f t="shared" si="47"/>
        <v>0</v>
      </c>
      <c r="I1164" s="1310"/>
      <c r="J1164" s="1310"/>
      <c r="K1164" s="1278"/>
      <c r="L1164" s="1125">
        <v>250</v>
      </c>
    </row>
    <row r="1165" spans="1:12" s="1279" customFormat="1" ht="20.100000000000001" customHeight="1">
      <c r="A1165" s="1377">
        <f t="shared" si="46"/>
        <v>0</v>
      </c>
      <c r="B1165" s="1378" t="s">
        <v>1167</v>
      </c>
      <c r="C1165" s="1273"/>
      <c r="D1165" s="1288"/>
      <c r="E1165" s="1275" t="str">
        <f>VLOOKUP($B1165,DG!A:D,DG!$C$2,)&amp;": 4 cái"</f>
        <v>Đà U100x46x4.5x400 : 4 cái</v>
      </c>
      <c r="F1165" s="1274" t="str">
        <f>VLOOKUP($B1165,DG!A:D,DG!$D$2,)</f>
        <v>kg</v>
      </c>
      <c r="G1165" s="1276">
        <f>G1162*2.713*4</f>
        <v>0</v>
      </c>
      <c r="H1165" s="1353">
        <f t="shared" si="47"/>
        <v>0</v>
      </c>
      <c r="I1165" s="1310"/>
      <c r="J1165" s="1310"/>
      <c r="K1165" s="1278"/>
      <c r="L1165" s="1125">
        <v>250</v>
      </c>
    </row>
    <row r="1166" spans="1:12" s="1279" customFormat="1" ht="20.100000000000001" customHeight="1">
      <c r="A1166" s="1377">
        <f t="shared" si="46"/>
        <v>0</v>
      </c>
      <c r="B1166" s="1378" t="s">
        <v>1168</v>
      </c>
      <c r="C1166" s="1273"/>
      <c r="D1166" s="1288"/>
      <c r="E1166" s="1275" t="str">
        <f>VLOOKUP($B1166,DG!A:D,DG!$C$2,)&amp;": 2 cái"</f>
        <v>Đà U100x46x5x800 : 2 cái</v>
      </c>
      <c r="F1166" s="1274" t="str">
        <f>VLOOKUP($B1166,DG!A:D,DG!$D$2,)</f>
        <v>kg</v>
      </c>
      <c r="G1166" s="1276">
        <f>G1162*5.426*2</f>
        <v>0</v>
      </c>
      <c r="H1166" s="1353">
        <f t="shared" si="47"/>
        <v>0</v>
      </c>
      <c r="I1166" s="1310"/>
      <c r="J1166" s="1310"/>
      <c r="K1166" s="1278"/>
      <c r="L1166" s="1125">
        <v>250</v>
      </c>
    </row>
    <row r="1167" spans="1:12" s="1279" customFormat="1" ht="20.100000000000001" customHeight="1">
      <c r="A1167" s="1377">
        <f t="shared" si="46"/>
        <v>0</v>
      </c>
      <c r="B1167" s="1582" t="s">
        <v>1834</v>
      </c>
      <c r="C1167" s="1273"/>
      <c r="D1167" s="1288">
        <f>VLOOKUP($B1167,DG!A:D,DG!$B$2,)</f>
        <v>0</v>
      </c>
      <c r="E1167" s="1275" t="str">
        <f>VLOOKUP($B1167,DG!A:D,DG!$C$2,)</f>
        <v>Boulon 16x400VRS+ 4 long đền vuông D18-50x50x3/Zn</v>
      </c>
      <c r="F1167" s="1274" t="str">
        <f>VLOOKUP($B1167,DG!A:D,DG!$D$2,)</f>
        <v>bộ</v>
      </c>
      <c r="G1167" s="1287">
        <f>G1162*10</f>
        <v>0</v>
      </c>
      <c r="H1167" s="1353">
        <f t="shared" si="47"/>
        <v>0</v>
      </c>
      <c r="I1167" s="1310"/>
      <c r="J1167" s="1310"/>
      <c r="K1167" s="1278"/>
      <c r="L1167" s="1125">
        <v>250</v>
      </c>
    </row>
    <row r="1168" spans="1:12" s="1279" customFormat="1" ht="20.100000000000001" customHeight="1">
      <c r="A1168" s="1377">
        <f t="shared" si="46"/>
        <v>0</v>
      </c>
      <c r="B1168" s="1582" t="s">
        <v>1113</v>
      </c>
      <c r="C1168" s="1273"/>
      <c r="D1168" s="1288">
        <f>VLOOKUP($B1168,DG!A:D,DG!$B$2,)</f>
        <v>0</v>
      </c>
      <c r="E1168" s="1275" t="str">
        <f>VLOOKUP($B1168,DG!A:D,DG!$C$2,)</f>
        <v>Boulon 16x400+ 2 long đền vuông D18-50x50x3/Zn</v>
      </c>
      <c r="F1168" s="1274" t="str">
        <f>VLOOKUP($B1168,DG!A:D,DG!$D$2,)</f>
        <v>bộ</v>
      </c>
      <c r="G1168" s="1287">
        <f>G1162*2</f>
        <v>0</v>
      </c>
      <c r="H1168" s="1353">
        <f t="shared" si="47"/>
        <v>0</v>
      </c>
      <c r="I1168" s="1310"/>
      <c r="J1168" s="1310"/>
      <c r="K1168" s="1278"/>
      <c r="L1168" s="1125">
        <v>250</v>
      </c>
    </row>
    <row r="1169" spans="1:12" s="1279" customFormat="1" ht="20.100000000000001" customHeight="1">
      <c r="A1169" s="1377">
        <f t="shared" si="46"/>
        <v>0</v>
      </c>
      <c r="B1169" s="1582" t="s">
        <v>1109</v>
      </c>
      <c r="C1169" s="1273"/>
      <c r="D1169" s="1288">
        <f>VLOOKUP($B1169,DG!A:D,DG!$B$2,)</f>
        <v>0</v>
      </c>
      <c r="E1169" s="1275" t="str">
        <f>VLOOKUP($B1169,DG!A:D,DG!$C$2,)</f>
        <v>Boulon 16x350+ 2 long đền vuông D18-50x50x3/Zn</v>
      </c>
      <c r="F1169" s="1274" t="str">
        <f>VLOOKUP($B1169,DG!A:D,DG!$D$2,)</f>
        <v>bộ</v>
      </c>
      <c r="G1169" s="1287">
        <f>G1162*12</f>
        <v>0</v>
      </c>
      <c r="H1169" s="1353">
        <f t="shared" si="47"/>
        <v>0</v>
      </c>
      <c r="I1169" s="1310"/>
      <c r="J1169" s="1310"/>
      <c r="K1169" s="1278"/>
      <c r="L1169" s="1125">
        <v>250</v>
      </c>
    </row>
    <row r="1170" spans="1:12" s="1279" customFormat="1" ht="20.100000000000001" customHeight="1">
      <c r="A1170" s="1377">
        <f t="shared" si="46"/>
        <v>0</v>
      </c>
      <c r="B1170" s="1582" t="s">
        <v>2304</v>
      </c>
      <c r="C1170" s="1273"/>
      <c r="D1170" s="1288" t="str">
        <f>VLOOKUP($B1170,DG!A:D,DG!$B$2,)</f>
        <v>05.6044</v>
      </c>
      <c r="E1170" s="1275" t="str">
        <f>VLOOKUP($B1170,DG!A:D,DG!$C$2,)</f>
        <v>Lắp xà cột Pi loại ≤140kg/xà</v>
      </c>
      <c r="F1170" s="1274" t="str">
        <f>VLOOKUP($B1170,DG!A:D,DG!$D$2,)</f>
        <v>bộ</v>
      </c>
      <c r="G1170" s="1287">
        <f>G1162</f>
        <v>0</v>
      </c>
      <c r="H1170" s="1353">
        <f t="shared" si="47"/>
        <v>0</v>
      </c>
      <c r="I1170" s="1310"/>
      <c r="J1170" s="1310"/>
      <c r="K1170" s="1278"/>
      <c r="L1170" s="1125">
        <v>250</v>
      </c>
    </row>
    <row r="1171" spans="1:12" s="1279" customFormat="1" ht="20.100000000000001" customHeight="1">
      <c r="A1171" s="1377">
        <f t="shared" si="46"/>
        <v>0</v>
      </c>
      <c r="B1171" s="1627"/>
      <c r="C1171" s="1280">
        <f>IF(G1171&gt;0,C1162+1,C1162)</f>
        <v>0</v>
      </c>
      <c r="D1171" s="1281"/>
      <c r="E1171" s="1341" t="s">
        <v>3814</v>
      </c>
      <c r="F1171" s="1280" t="s">
        <v>2449</v>
      </c>
      <c r="G1171" s="1283">
        <f>G1144*0</f>
        <v>0</v>
      </c>
      <c r="H1171" s="1353">
        <f t="shared" si="47"/>
        <v>0</v>
      </c>
      <c r="I1171" s="1342"/>
      <c r="J1171" s="1342"/>
      <c r="K1171" s="1278"/>
      <c r="L1171" s="1125">
        <v>250</v>
      </c>
    </row>
    <row r="1172" spans="1:12" s="1279" customFormat="1" ht="20.100000000000001" customHeight="1">
      <c r="A1172" s="1377">
        <f>IF(A1171&gt;0,1,0)</f>
        <v>0</v>
      </c>
      <c r="B1172" s="1582"/>
      <c r="C1172" s="1273"/>
      <c r="D1172" s="1288"/>
      <c r="E1172" s="1637" t="s">
        <v>2342</v>
      </c>
      <c r="F1172" s="1286"/>
      <c r="G1172" s="1287"/>
      <c r="H1172" s="1353">
        <f t="shared" si="47"/>
        <v>0</v>
      </c>
      <c r="I1172" s="1342"/>
      <c r="J1172" s="1342"/>
      <c r="K1172" s="1278"/>
      <c r="L1172" s="1125">
        <v>250</v>
      </c>
    </row>
    <row r="1173" spans="1:12" s="1279" customFormat="1" ht="20.100000000000001" customHeight="1">
      <c r="A1173" s="1377">
        <f t="shared" si="46"/>
        <v>0</v>
      </c>
      <c r="B1173" s="1589" t="s">
        <v>2075</v>
      </c>
      <c r="C1173" s="1273"/>
      <c r="D1173" s="1288">
        <f>VLOOKUP($B1173,DG!A:D,DG!$B$2,)</f>
        <v>0</v>
      </c>
      <c r="E1173" s="1275" t="str">
        <f>VLOOKUP($B1173,DG!A:D,DG!$C$2,)</f>
        <v>Sắt góc L75 x75 x8</v>
      </c>
      <c r="F1173" s="1288" t="str">
        <f>VLOOKUP($B1173,DG!A:D,DG!$D$2,)</f>
        <v>kg</v>
      </c>
      <c r="G1173" s="1276">
        <f>G1171*9.02*(2.6+3*0.07)*2</f>
        <v>0</v>
      </c>
      <c r="H1173" s="1353">
        <f t="shared" si="47"/>
        <v>0</v>
      </c>
      <c r="I1173" s="1310"/>
      <c r="J1173" s="1310"/>
      <c r="K1173" s="1278"/>
      <c r="L1173" s="1125">
        <v>250</v>
      </c>
    </row>
    <row r="1174" spans="1:12" s="1279" customFormat="1" ht="20.100000000000001" customHeight="1">
      <c r="A1174" s="1377">
        <f t="shared" ref="A1174:A1237" si="49">IF(H1174&gt;0,1,0)</f>
        <v>0</v>
      </c>
      <c r="B1174" s="1582" t="s">
        <v>1837</v>
      </c>
      <c r="C1174" s="1273"/>
      <c r="D1174" s="1288">
        <f>VLOOKUP($B1174,DG!A:D,DG!$B$2,)</f>
        <v>0</v>
      </c>
      <c r="E1174" s="1275" t="str">
        <f>VLOOKUP($B1174,DG!A:D,DG!$C$2,)</f>
        <v>Boulon 16x300VRS+ 4 long đền vuông D18-50x50x3/Zn</v>
      </c>
      <c r="F1174" s="1288" t="str">
        <f>VLOOKUP($B1174,DG!A:D,DG!$D$2,)</f>
        <v>bộ</v>
      </c>
      <c r="G1174" s="1287">
        <f>G1171*2</f>
        <v>0</v>
      </c>
      <c r="H1174" s="1353">
        <f t="shared" si="47"/>
        <v>0</v>
      </c>
      <c r="I1174" s="1310"/>
      <c r="J1174" s="1310"/>
      <c r="K1174" s="1278"/>
      <c r="L1174" s="1125">
        <v>250</v>
      </c>
    </row>
    <row r="1175" spans="1:12" s="1279" customFormat="1" ht="20.100000000000001" customHeight="1">
      <c r="A1175" s="1377">
        <f t="shared" si="49"/>
        <v>0</v>
      </c>
      <c r="B1175" s="1582" t="s">
        <v>1662</v>
      </c>
      <c r="C1175" s="1273"/>
      <c r="D1175" s="1288">
        <f>VLOOKUP($B1175,DG!A:D,DG!$B$2,)</f>
        <v>0</v>
      </c>
      <c r="E1175" s="1275" t="str">
        <f>VLOOKUP($B1175,DG!A:D,DG!$C$2,)</f>
        <v>Boulon 16x300+ 2 long đền vuông D18-50x50x3/Zn</v>
      </c>
      <c r="F1175" s="1288" t="str">
        <f>VLOOKUP($B1175,DG!A:D,DG!$D$2,)</f>
        <v>bộ</v>
      </c>
      <c r="G1175" s="1287">
        <f>G1171*2</f>
        <v>0</v>
      </c>
      <c r="H1175" s="1353">
        <f t="shared" si="47"/>
        <v>0</v>
      </c>
      <c r="I1175" s="1310"/>
      <c r="J1175" s="1310"/>
      <c r="K1175" s="1278"/>
      <c r="L1175" s="1125">
        <v>250</v>
      </c>
    </row>
    <row r="1176" spans="1:12" s="1279" customFormat="1" ht="20.100000000000001" customHeight="1">
      <c r="A1176" s="1377">
        <f t="shared" si="49"/>
        <v>0</v>
      </c>
      <c r="B1176" s="1582" t="s">
        <v>1661</v>
      </c>
      <c r="C1176" s="1273"/>
      <c r="D1176" s="1288">
        <f>VLOOKUP($B1176,DG!A:D,DG!$B$2,)</f>
        <v>0</v>
      </c>
      <c r="E1176" s="1275" t="str">
        <f>VLOOKUP($B1176,DG!A:D,DG!$C$2,)</f>
        <v>Boulon 16x250+ 2 long đền vuông D18-50x50x3/Zn</v>
      </c>
      <c r="F1176" s="1288" t="str">
        <f>VLOOKUP($B1176,DG!A:D,DG!$D$2,)</f>
        <v>bộ</v>
      </c>
      <c r="G1176" s="1287">
        <f>G1175</f>
        <v>0</v>
      </c>
      <c r="H1176" s="1353">
        <f t="shared" si="47"/>
        <v>0</v>
      </c>
      <c r="I1176" s="1310"/>
      <c r="J1176" s="1310"/>
      <c r="K1176" s="1278"/>
      <c r="L1176" s="1125">
        <v>250</v>
      </c>
    </row>
    <row r="1177" spans="1:12" s="1279" customFormat="1" ht="20.100000000000001" customHeight="1">
      <c r="A1177" s="1377">
        <f t="shared" si="49"/>
        <v>0</v>
      </c>
      <c r="B1177" s="1582" t="s">
        <v>2304</v>
      </c>
      <c r="C1177" s="1273"/>
      <c r="D1177" s="1288" t="str">
        <f>VLOOKUP($B1177,DG!A:D,DG!$B$2,)</f>
        <v>05.6044</v>
      </c>
      <c r="E1177" s="1275" t="str">
        <f>VLOOKUP($B1177,DG!A:D,DG!$C$2,)</f>
        <v>Lắp xà cột Pi loại ≤140kg/xà</v>
      </c>
      <c r="F1177" s="1288" t="str">
        <f>VLOOKUP($B1177,DG!A:D,DG!$D$2,)</f>
        <v>bộ</v>
      </c>
      <c r="G1177" s="1287">
        <f>G1171</f>
        <v>0</v>
      </c>
      <c r="H1177" s="1353">
        <f t="shared" si="47"/>
        <v>0</v>
      </c>
      <c r="I1177" s="1310"/>
      <c r="J1177" s="1310"/>
      <c r="K1177" s="1278"/>
      <c r="L1177" s="1125">
        <v>250</v>
      </c>
    </row>
    <row r="1178" spans="1:12" s="1279" customFormat="1" ht="20.100000000000001" customHeight="1">
      <c r="A1178" s="1377">
        <f t="shared" si="49"/>
        <v>0</v>
      </c>
      <c r="B1178" s="1627" t="s">
        <v>2356</v>
      </c>
      <c r="C1178" s="1280">
        <f>IF(G1178&gt;0,C1171+1,C1171)</f>
        <v>0</v>
      </c>
      <c r="D1178" s="1281"/>
      <c r="E1178" s="1238" t="s">
        <v>2496</v>
      </c>
      <c r="F1178" s="1280" t="s">
        <v>2449</v>
      </c>
      <c r="G1178" s="1283"/>
      <c r="H1178" s="1353">
        <f t="shared" si="47"/>
        <v>0</v>
      </c>
      <c r="I1178" s="1342"/>
      <c r="J1178" s="1342"/>
      <c r="K1178" s="1278"/>
      <c r="L1178" s="1125">
        <v>250</v>
      </c>
    </row>
    <row r="1179" spans="1:12" s="1279" customFormat="1" ht="20.100000000000001" customHeight="1">
      <c r="A1179" s="1377">
        <f>IF(A1178&gt;0,1,0)</f>
        <v>0</v>
      </c>
      <c r="B1179" s="1582"/>
      <c r="C1179" s="1273"/>
      <c r="D1179" s="1288"/>
      <c r="E1179" s="1637" t="s">
        <v>2342</v>
      </c>
      <c r="F1179" s="1286"/>
      <c r="G1179" s="1287"/>
      <c r="H1179" s="1353">
        <f t="shared" si="47"/>
        <v>0</v>
      </c>
      <c r="I1179" s="1342"/>
      <c r="J1179" s="1342"/>
      <c r="K1179" s="1278"/>
      <c r="L1179" s="1125">
        <v>250</v>
      </c>
    </row>
    <row r="1180" spans="1:12" s="1279" customFormat="1" ht="20.100000000000001" customHeight="1">
      <c r="A1180" s="1377">
        <f t="shared" si="49"/>
        <v>0</v>
      </c>
      <c r="B1180" s="1378" t="s">
        <v>110</v>
      </c>
      <c r="C1180" s="1273"/>
      <c r="D1180" s="1288">
        <f>VLOOKUP($B1180,DG!A:D,DG!$B$2,)</f>
        <v>0</v>
      </c>
      <c r="E1180" s="1275" t="str">
        <f>VLOOKUP($B1180,DG!A:D,DG!$C$2,)</f>
        <v>Sắt góc L75 x75 x8</v>
      </c>
      <c r="F1180" s="1288" t="str">
        <f>VLOOKUP($B1180,DG!A:D,DG!$D$2,)</f>
        <v>kg</v>
      </c>
      <c r="G1180" s="1276">
        <f>9.42*(2+3*0.07)*G1178</f>
        <v>0</v>
      </c>
      <c r="H1180" s="1353">
        <f t="shared" si="47"/>
        <v>0</v>
      </c>
      <c r="I1180" s="1310"/>
      <c r="J1180" s="1310"/>
      <c r="K1180" s="1278"/>
      <c r="L1180" s="1125">
        <v>250</v>
      </c>
    </row>
    <row r="1181" spans="1:12" s="1279" customFormat="1" ht="20.100000000000001" customHeight="1">
      <c r="A1181" s="1377">
        <f t="shared" si="49"/>
        <v>0</v>
      </c>
      <c r="B1181" s="1378" t="s">
        <v>460</v>
      </c>
      <c r="C1181" s="1273"/>
      <c r="D1181" s="1288">
        <f>VLOOKUP($B1181,DG!A:D,DG!$B$2,)</f>
        <v>0</v>
      </c>
      <c r="E1181" s="1275" t="str">
        <f>VLOOKUP($B1181,DG!A:D,DG!$C$2,)</f>
        <v>Sắt góc L50 x50 x5</v>
      </c>
      <c r="F1181" s="1288" t="str">
        <f>VLOOKUP($B1181,DG!A:D,DG!$D$2,)</f>
        <v>kg</v>
      </c>
      <c r="G1181" s="1276">
        <f>3.77*1.15*G1178</f>
        <v>0</v>
      </c>
      <c r="H1181" s="1353">
        <f t="shared" si="47"/>
        <v>0</v>
      </c>
      <c r="I1181" s="1310"/>
      <c r="J1181" s="1310"/>
      <c r="K1181" s="1278"/>
      <c r="L1181" s="1125">
        <v>250</v>
      </c>
    </row>
    <row r="1182" spans="1:12" s="1279" customFormat="1" ht="20.100000000000001" customHeight="1">
      <c r="A1182" s="1377">
        <f t="shared" si="49"/>
        <v>0</v>
      </c>
      <c r="B1182" s="1378" t="s">
        <v>1661</v>
      </c>
      <c r="C1182" s="1273"/>
      <c r="D1182" s="1288">
        <f>VLOOKUP($B1182,DG!A:D,DG!$B$2,)</f>
        <v>0</v>
      </c>
      <c r="E1182" s="1275" t="str">
        <f>VLOOKUP($B1182,DG!A:D,DG!$C$2,)</f>
        <v>Boulon 16x250+ 2 long đền vuông D18-50x50x3/Zn</v>
      </c>
      <c r="F1182" s="1288" t="str">
        <f>VLOOKUP($B1182,DG!A:D,DG!$D$2,)</f>
        <v>bộ</v>
      </c>
      <c r="G1182" s="1276">
        <f>2*G1178</f>
        <v>0</v>
      </c>
      <c r="H1182" s="1353">
        <f t="shared" si="47"/>
        <v>0</v>
      </c>
      <c r="I1182" s="1310"/>
      <c r="J1182" s="1310"/>
      <c r="K1182" s="1278"/>
      <c r="L1182" s="1125">
        <v>250</v>
      </c>
    </row>
    <row r="1183" spans="1:12" s="1279" customFormat="1" ht="20.100000000000001" customHeight="1">
      <c r="A1183" s="1377">
        <f t="shared" si="49"/>
        <v>0</v>
      </c>
      <c r="B1183" s="1378" t="s">
        <v>1839</v>
      </c>
      <c r="C1183" s="1273"/>
      <c r="D1183" s="1288">
        <f>VLOOKUP($B1183,DG!A:D,DG!$B$2,)</f>
        <v>0</v>
      </c>
      <c r="E1183" s="1275" t="str">
        <f>VLOOKUP($B1183,DG!A:D,DG!$C$2,)</f>
        <v>Boulon 16x50+ 2 long đền vuông D18-50x50x3/Zn</v>
      </c>
      <c r="F1183" s="1288" t="str">
        <f>VLOOKUP($B1183,DG!A:D,DG!$D$2,)</f>
        <v>bộ</v>
      </c>
      <c r="G1183" s="1276">
        <f>1*G1178</f>
        <v>0</v>
      </c>
      <c r="H1183" s="1353">
        <f t="shared" si="47"/>
        <v>0</v>
      </c>
      <c r="I1183" s="1310"/>
      <c r="J1183" s="1310"/>
      <c r="K1183" s="1278"/>
      <c r="L1183" s="1125">
        <v>250</v>
      </c>
    </row>
    <row r="1184" spans="1:12" s="1279" customFormat="1" ht="20.100000000000001" customHeight="1">
      <c r="A1184" s="1377">
        <f t="shared" si="49"/>
        <v>0</v>
      </c>
      <c r="B1184" s="1589" t="s">
        <v>520</v>
      </c>
      <c r="C1184" s="1273"/>
      <c r="D1184" s="1288" t="str">
        <f>VLOOKUP($B1184,DG!A:D,DG!$B$2,)</f>
        <v>05.6203</v>
      </c>
      <c r="E1184" s="1275" t="str">
        <f>VLOOKUP($B1184,DG!A:D,DG!$C$2,)</f>
        <v>Lắp xà néo ≤ 100kg</v>
      </c>
      <c r="F1184" s="1288" t="str">
        <f>VLOOKUP($B1184,DG!A:D,DG!$D$2,)</f>
        <v>bộ</v>
      </c>
      <c r="G1184" s="1276">
        <f>1*G1178</f>
        <v>0</v>
      </c>
      <c r="H1184" s="1353">
        <f t="shared" si="47"/>
        <v>0</v>
      </c>
      <c r="I1184" s="1310"/>
      <c r="J1184" s="1310"/>
      <c r="K1184" s="1278"/>
      <c r="L1184" s="1125">
        <v>250</v>
      </c>
    </row>
    <row r="1185" spans="1:12" s="1279" customFormat="1" ht="20.100000000000001" customHeight="1">
      <c r="A1185" s="1377">
        <f t="shared" si="49"/>
        <v>0</v>
      </c>
      <c r="B1185" s="1582"/>
      <c r="C1185" s="1280">
        <f>IF(G1185&gt;0,C1178+1,C1178)</f>
        <v>0</v>
      </c>
      <c r="D1185" s="1281"/>
      <c r="E1185" s="1341" t="s">
        <v>3834</v>
      </c>
      <c r="F1185" s="1280" t="s">
        <v>2449</v>
      </c>
      <c r="G1185" s="1283"/>
      <c r="H1185" s="1353">
        <f t="shared" si="47"/>
        <v>0</v>
      </c>
      <c r="I1185" s="1342"/>
      <c r="J1185" s="1342"/>
      <c r="K1185" s="1278"/>
      <c r="L1185" s="1125">
        <v>250</v>
      </c>
    </row>
    <row r="1186" spans="1:12" s="1279" customFormat="1" ht="20.100000000000001" customHeight="1">
      <c r="A1186" s="1377">
        <f>IF(A1185&gt;0,1,0)</f>
        <v>0</v>
      </c>
      <c r="B1186" s="1582"/>
      <c r="C1186" s="1273"/>
      <c r="D1186" s="1284"/>
      <c r="E1186" s="1637" t="s">
        <v>2342</v>
      </c>
      <c r="F1186" s="1286"/>
      <c r="G1186" s="1287"/>
      <c r="H1186" s="1353">
        <f t="shared" si="47"/>
        <v>0</v>
      </c>
      <c r="I1186" s="1342"/>
      <c r="J1186" s="1342"/>
      <c r="K1186" s="1278"/>
      <c r="L1186" s="1125">
        <v>250</v>
      </c>
    </row>
    <row r="1187" spans="1:12" s="1279" customFormat="1" ht="20.100000000000001" customHeight="1">
      <c r="A1187" s="1377">
        <f t="shared" si="49"/>
        <v>0</v>
      </c>
      <c r="B1187" s="1613" t="s">
        <v>363</v>
      </c>
      <c r="C1187" s="1273"/>
      <c r="D1187" s="1288">
        <f>VLOOKUP($B1187,DG!A:D,DG!$B$2,)</f>
        <v>0</v>
      </c>
      <c r="E1187" s="1275" t="str">
        <f>VLOOKUP($B1187,DG!A:D,DG!$C$2,)</f>
        <v>Xà composite 110x800x5</v>
      </c>
      <c r="F1187" s="1288" t="str">
        <f>VLOOKUP($B1187,DG!A:D,DG!$D$2,)</f>
        <v>m</v>
      </c>
      <c r="G1187" s="1276">
        <f>2.6*0</f>
        <v>0</v>
      </c>
      <c r="H1187" s="1353">
        <f t="shared" si="47"/>
        <v>0</v>
      </c>
      <c r="I1187" s="1310"/>
      <c r="J1187" s="1310"/>
      <c r="K1187" s="1278"/>
      <c r="L1187" s="1125">
        <v>250</v>
      </c>
    </row>
    <row r="1188" spans="1:12" s="1279" customFormat="1" ht="20.100000000000001" customHeight="1">
      <c r="A1188" s="1377">
        <f t="shared" si="49"/>
        <v>0</v>
      </c>
      <c r="B1188" s="1582" t="s">
        <v>1661</v>
      </c>
      <c r="C1188" s="1273"/>
      <c r="D1188" s="1288">
        <f>VLOOKUP($B1188,DG!A:D,DG!$B$2,)</f>
        <v>0</v>
      </c>
      <c r="E1188" s="1275" t="str">
        <f>VLOOKUP($B1188,DG!A:D,DG!$C$2,)</f>
        <v>Boulon 16x250+ 2 long đền vuông D18-50x50x3/Zn</v>
      </c>
      <c r="F1188" s="1288" t="str">
        <f>VLOOKUP($B1188,DG!A:D,DG!$D$2,)</f>
        <v>bộ</v>
      </c>
      <c r="G1188" s="1287"/>
      <c r="H1188" s="1353">
        <f t="shared" si="47"/>
        <v>0</v>
      </c>
      <c r="I1188" s="1310"/>
      <c r="J1188" s="1310"/>
      <c r="K1188" s="1278"/>
      <c r="L1188" s="1125">
        <v>250</v>
      </c>
    </row>
    <row r="1189" spans="1:12" s="1279" customFormat="1" ht="20.100000000000001" customHeight="1">
      <c r="A1189" s="1377">
        <f t="shared" si="49"/>
        <v>0</v>
      </c>
      <c r="B1189" s="1582" t="s">
        <v>1662</v>
      </c>
      <c r="C1189" s="1273"/>
      <c r="D1189" s="1288">
        <f>VLOOKUP($B1189,DG!A:D,DG!$B$2,)</f>
        <v>0</v>
      </c>
      <c r="E1189" s="1275" t="str">
        <f>VLOOKUP($B1189,DG!A:D,DG!$C$2,)</f>
        <v>Boulon 16x300+ 2 long đền vuông D18-50x50x3/Zn</v>
      </c>
      <c r="F1189" s="1288" t="str">
        <f>VLOOKUP($B1189,DG!A:D,DG!$D$2,)</f>
        <v>bộ</v>
      </c>
      <c r="G1189" s="1287">
        <f>2*0</f>
        <v>0</v>
      </c>
      <c r="H1189" s="1353">
        <f t="shared" si="47"/>
        <v>0</v>
      </c>
      <c r="I1189" s="1310"/>
      <c r="J1189" s="1310"/>
      <c r="K1189" s="1278"/>
      <c r="L1189" s="1125">
        <v>250</v>
      </c>
    </row>
    <row r="1190" spans="1:12" s="1279" customFormat="1" ht="20.100000000000001" customHeight="1">
      <c r="A1190" s="1377">
        <f t="shared" si="49"/>
        <v>0</v>
      </c>
      <c r="B1190" s="1582" t="s">
        <v>30</v>
      </c>
      <c r="C1190" s="1273"/>
      <c r="D1190" s="1288">
        <f>VLOOKUP($B1190,DG!A:D,DG!$B$2,)</f>
        <v>0</v>
      </c>
      <c r="E1190" s="1275" t="str">
        <f>VLOOKUP($B1190,DG!A:D,DG!$C$2,)</f>
        <v>Bass LI bắt FCO</v>
      </c>
      <c r="F1190" s="1288" t="str">
        <f>VLOOKUP($B1190,DG!A:D,DG!$D$2,)</f>
        <v>Bộ</v>
      </c>
      <c r="G1190" s="1287">
        <f>G1185</f>
        <v>0</v>
      </c>
      <c r="H1190" s="1353">
        <f t="shared" si="47"/>
        <v>0</v>
      </c>
      <c r="I1190" s="1310"/>
      <c r="J1190" s="1310"/>
      <c r="K1190" s="1278"/>
      <c r="L1190" s="1125">
        <v>250</v>
      </c>
    </row>
    <row r="1191" spans="1:12" s="1279" customFormat="1" ht="20.100000000000001" customHeight="1">
      <c r="A1191" s="1377">
        <f t="shared" si="49"/>
        <v>0</v>
      </c>
      <c r="B1191" s="1582" t="s">
        <v>2304</v>
      </c>
      <c r="C1191" s="1273"/>
      <c r="D1191" s="1288" t="str">
        <f>VLOOKUP($B1191,DG!A:D,DG!$B$2,)</f>
        <v>05.6044</v>
      </c>
      <c r="E1191" s="1275" t="str">
        <f>VLOOKUP($B1191,DG!A:D,DG!$C$2,)</f>
        <v>Lắp xà cột Pi loại ≤140kg/xà</v>
      </c>
      <c r="F1191" s="1288" t="str">
        <f>VLOOKUP($B1191,DG!A:D,DG!$D$2,)</f>
        <v>bộ</v>
      </c>
      <c r="G1191" s="1287">
        <f>G1185*3</f>
        <v>0</v>
      </c>
      <c r="H1191" s="1353">
        <f t="shared" si="47"/>
        <v>0</v>
      </c>
      <c r="I1191" s="1310"/>
      <c r="J1191" s="1310"/>
      <c r="K1191" s="1278"/>
      <c r="L1191" s="1125">
        <v>250</v>
      </c>
    </row>
    <row r="1192" spans="1:12" s="1279" customFormat="1" ht="20.100000000000001" customHeight="1">
      <c r="A1192" s="1377">
        <f t="shared" si="49"/>
        <v>0</v>
      </c>
      <c r="B1192" s="1378" t="s">
        <v>1839</v>
      </c>
      <c r="C1192" s="1273"/>
      <c r="D1192" s="1288">
        <f>VLOOKUP($B1192,DG!A:D,DG!$B$2,)</f>
        <v>0</v>
      </c>
      <c r="E1192" s="1275" t="str">
        <f>VLOOKUP($B1192,DG!A:D,DG!$C$2,)</f>
        <v>Boulon 16x50+ 2 long đền vuông D18-50x50x3/Zn</v>
      </c>
      <c r="F1192" s="1288" t="str">
        <f>VLOOKUP($B1192,DG!A:D,DG!$D$2,)</f>
        <v>bộ</v>
      </c>
      <c r="G1192" s="1276">
        <f>4*G1185</f>
        <v>0</v>
      </c>
      <c r="H1192" s="1353">
        <f t="shared" si="47"/>
        <v>0</v>
      </c>
      <c r="I1192" s="1310"/>
      <c r="J1192" s="1310"/>
      <c r="K1192" s="1278"/>
      <c r="L1192" s="1125">
        <v>250</v>
      </c>
    </row>
    <row r="1193" spans="1:12" s="1279" customFormat="1" ht="20.100000000000001" customHeight="1">
      <c r="A1193" s="1377">
        <f t="shared" si="49"/>
        <v>0</v>
      </c>
      <c r="B1193" s="1589" t="s">
        <v>1473</v>
      </c>
      <c r="C1193" s="1273"/>
      <c r="D1193" s="1288" t="str">
        <f>VLOOKUP($B1193,DG!A:D,DG!$B$2,)</f>
        <v>05.6102</v>
      </c>
      <c r="E1193" s="1275" t="str">
        <f>VLOOKUP($B1193,DG!A:D,DG!$C$2,)</f>
        <v>Lắp xà đỡ ≤ 50kg</v>
      </c>
      <c r="F1193" s="1288" t="str">
        <f>VLOOKUP($B1193,DG!A:D,DG!$D$2,)</f>
        <v>bộ</v>
      </c>
      <c r="G1193" s="1276">
        <f>1*G1185</f>
        <v>0</v>
      </c>
      <c r="H1193" s="1353">
        <f t="shared" si="47"/>
        <v>0</v>
      </c>
      <c r="I1193" s="1310"/>
      <c r="J1193" s="1310"/>
      <c r="K1193" s="1278"/>
      <c r="L1193" s="1125">
        <v>250</v>
      </c>
    </row>
    <row r="1194" spans="1:12" s="1279" customFormat="1" ht="20.100000000000001" customHeight="1">
      <c r="A1194" s="1377">
        <f t="shared" si="49"/>
        <v>0</v>
      </c>
      <c r="B1194" s="1582"/>
      <c r="C1194" s="1280">
        <f>IF(G1194&gt;0,C1185+1,C1185)</f>
        <v>1</v>
      </c>
      <c r="D1194" s="1281"/>
      <c r="E1194" s="1341" t="s">
        <v>4885</v>
      </c>
      <c r="F1194" s="1280" t="s">
        <v>2449</v>
      </c>
      <c r="G1194" s="1283">
        <v>2</v>
      </c>
      <c r="H1194" s="1353">
        <f t="shared" si="47"/>
        <v>0</v>
      </c>
      <c r="I1194" s="1342"/>
      <c r="J1194" s="1342"/>
      <c r="K1194" s="1278"/>
      <c r="L1194" s="1125">
        <v>250</v>
      </c>
    </row>
    <row r="1195" spans="1:12" s="1279" customFormat="1" ht="20.100000000000001" customHeight="1">
      <c r="A1195" s="1377">
        <f>IF(A1194&gt;0,1,0)</f>
        <v>0</v>
      </c>
      <c r="B1195" s="1582"/>
      <c r="C1195" s="1273"/>
      <c r="D1195" s="1284"/>
      <c r="E1195" s="1637" t="s">
        <v>2342</v>
      </c>
      <c r="F1195" s="1286"/>
      <c r="G1195" s="1287"/>
      <c r="H1195" s="1353">
        <f t="shared" si="47"/>
        <v>0</v>
      </c>
      <c r="I1195" s="1342"/>
      <c r="J1195" s="1342"/>
      <c r="K1195" s="1278"/>
      <c r="L1195" s="1125">
        <v>250</v>
      </c>
    </row>
    <row r="1196" spans="1:12" s="1279" customFormat="1" ht="20.100000000000001" customHeight="1">
      <c r="A1196" s="1377">
        <f t="shared" si="49"/>
        <v>0</v>
      </c>
      <c r="B1196" s="1589" t="s">
        <v>2075</v>
      </c>
      <c r="C1196" s="1273"/>
      <c r="D1196" s="1288">
        <f>VLOOKUP($B1196,DG!A:D,DG!$B$2,)</f>
        <v>0</v>
      </c>
      <c r="E1196" s="1275" t="str">
        <f>VLOOKUP($B1196,DG!A:D,DG!$C$2,)</f>
        <v>Sắt góc L75 x75 x8</v>
      </c>
      <c r="F1196" s="1288" t="str">
        <f>VLOOKUP($B1196,DG!A:D,DG!$D$2,)</f>
        <v>kg</v>
      </c>
      <c r="G1196" s="1276">
        <f>G1194*9.02*(2.6+3*0.07)</f>
        <v>50.692399999999999</v>
      </c>
      <c r="H1196" s="1353">
        <f t="shared" ref="H1196:H1259" si="50">IF(L1196=$L$23,G1196+I1196-J1196,0)</f>
        <v>0</v>
      </c>
      <c r="I1196" s="1310"/>
      <c r="J1196" s="1310"/>
      <c r="K1196" s="1278"/>
      <c r="L1196" s="1125">
        <v>250</v>
      </c>
    </row>
    <row r="1197" spans="1:12" s="1279" customFormat="1" ht="20.100000000000001" customHeight="1">
      <c r="A1197" s="1377">
        <f t="shared" si="49"/>
        <v>0</v>
      </c>
      <c r="B1197" s="1582" t="s">
        <v>1661</v>
      </c>
      <c r="C1197" s="1273"/>
      <c r="D1197" s="1288">
        <f>VLOOKUP($B1197,DG!A:D,DG!$B$2,)</f>
        <v>0</v>
      </c>
      <c r="E1197" s="1275" t="str">
        <f>VLOOKUP($B1197,DG!A:D,DG!$C$2,)</f>
        <v>Boulon 16x250+ 2 long đền vuông D18-50x50x3/Zn</v>
      </c>
      <c r="F1197" s="1288" t="str">
        <f>VLOOKUP($B1197,DG!A:D,DG!$D$2,)</f>
        <v>bộ</v>
      </c>
      <c r="G1197" s="1287">
        <f>G1194</f>
        <v>2</v>
      </c>
      <c r="H1197" s="1353">
        <f t="shared" si="50"/>
        <v>0</v>
      </c>
      <c r="I1197" s="1310"/>
      <c r="J1197" s="1310"/>
      <c r="K1197" s="1278"/>
      <c r="L1197" s="1125">
        <v>250</v>
      </c>
    </row>
    <row r="1198" spans="1:12" s="1279" customFormat="1" ht="20.100000000000001" customHeight="1">
      <c r="A1198" s="1377">
        <f t="shared" si="49"/>
        <v>0</v>
      </c>
      <c r="B1198" s="1582" t="s">
        <v>1662</v>
      </c>
      <c r="C1198" s="1273"/>
      <c r="D1198" s="1288">
        <f>VLOOKUP($B1198,DG!A:D,DG!$B$2,)</f>
        <v>0</v>
      </c>
      <c r="E1198" s="1275" t="str">
        <f>VLOOKUP($B1198,DG!A:D,DG!$C$2,)</f>
        <v>Boulon 16x300+ 2 long đền vuông D18-50x50x3/Zn</v>
      </c>
      <c r="F1198" s="1288" t="str">
        <f>VLOOKUP($B1198,DG!A:D,DG!$D$2,)</f>
        <v>bộ</v>
      </c>
      <c r="G1198" s="1287">
        <f>G1194</f>
        <v>2</v>
      </c>
      <c r="H1198" s="1353">
        <f t="shared" si="50"/>
        <v>0</v>
      </c>
      <c r="I1198" s="1310"/>
      <c r="J1198" s="1310"/>
      <c r="K1198" s="1278"/>
      <c r="L1198" s="1125">
        <v>250</v>
      </c>
    </row>
    <row r="1199" spans="1:12" s="1279" customFormat="1" ht="20.100000000000001" customHeight="1">
      <c r="A1199" s="1377">
        <f t="shared" si="49"/>
        <v>0</v>
      </c>
      <c r="B1199" s="1582" t="s">
        <v>1788</v>
      </c>
      <c r="C1199" s="1273"/>
      <c r="D1199" s="1288">
        <f>VLOOKUP($B1199,DG!A:D,DG!$B$2,)</f>
        <v>0</v>
      </c>
      <c r="E1199" s="1275" t="str">
        <f>VLOOKUP($B1199,DG!A:D,DG!$C$2,)</f>
        <v>Bass LI bắt FCO</v>
      </c>
      <c r="F1199" s="1288" t="str">
        <f>VLOOKUP($B1199,DG!A:D,DG!$D$2,)</f>
        <v>Bộ</v>
      </c>
      <c r="G1199" s="1287">
        <v>3</v>
      </c>
      <c r="H1199" s="1353">
        <f t="shared" si="50"/>
        <v>0</v>
      </c>
      <c r="I1199" s="1310"/>
      <c r="J1199" s="1310"/>
      <c r="K1199" s="1278"/>
      <c r="L1199" s="1125">
        <v>250</v>
      </c>
    </row>
    <row r="1200" spans="1:12" s="1279" customFormat="1" ht="20.100000000000001" customHeight="1">
      <c r="A1200" s="1377">
        <f t="shared" si="49"/>
        <v>0</v>
      </c>
      <c r="B1200" s="1582" t="s">
        <v>2304</v>
      </c>
      <c r="C1200" s="1273"/>
      <c r="D1200" s="1288" t="str">
        <f>VLOOKUP($B1200,DG!A:D,DG!$B$2,)</f>
        <v>05.6044</v>
      </c>
      <c r="E1200" s="1275" t="str">
        <f>VLOOKUP($B1200,DG!A:D,DG!$C$2,)</f>
        <v>Lắp xà cột Pi loại ≤140kg/xà</v>
      </c>
      <c r="F1200" s="1288" t="str">
        <f>VLOOKUP($B1200,DG!A:D,DG!$D$2,)</f>
        <v>bộ</v>
      </c>
      <c r="G1200" s="1287">
        <v>1</v>
      </c>
      <c r="H1200" s="1353">
        <f t="shared" si="50"/>
        <v>0</v>
      </c>
      <c r="I1200" s="1310">
        <v>1</v>
      </c>
      <c r="J1200" s="1310"/>
      <c r="K1200" s="1278"/>
      <c r="L1200" s="1125">
        <v>250</v>
      </c>
    </row>
    <row r="1201" spans="1:12" s="1279" customFormat="1" ht="20.100000000000001" customHeight="1">
      <c r="A1201" s="1377">
        <f t="shared" si="49"/>
        <v>0</v>
      </c>
      <c r="B1201" s="1582"/>
      <c r="C1201" s="1280">
        <f>IF(G1201&gt;0,C1194+1,C1194)</f>
        <v>2</v>
      </c>
      <c r="D1201" s="1281"/>
      <c r="E1201" s="1341" t="s">
        <v>3816</v>
      </c>
      <c r="F1201" s="1280" t="s">
        <v>2449</v>
      </c>
      <c r="G1201" s="1283">
        <v>2</v>
      </c>
      <c r="H1201" s="1353">
        <f t="shared" si="50"/>
        <v>0</v>
      </c>
      <c r="I1201" s="1342"/>
      <c r="J1201" s="1342"/>
      <c r="K1201" s="1278"/>
      <c r="L1201" s="1125">
        <v>250</v>
      </c>
    </row>
    <row r="1202" spans="1:12" s="1279" customFormat="1" ht="20.100000000000001" customHeight="1">
      <c r="A1202" s="1377">
        <f>IF(A1201&gt;0,1,0)</f>
        <v>0</v>
      </c>
      <c r="B1202" s="1582"/>
      <c r="C1202" s="1273"/>
      <c r="D1202" s="1284"/>
      <c r="E1202" s="1637" t="s">
        <v>2342</v>
      </c>
      <c r="F1202" s="1286"/>
      <c r="G1202" s="1287"/>
      <c r="H1202" s="1353">
        <f t="shared" si="50"/>
        <v>0</v>
      </c>
      <c r="I1202" s="1342"/>
      <c r="J1202" s="1342"/>
      <c r="K1202" s="1278"/>
      <c r="L1202" s="1125">
        <v>250</v>
      </c>
    </row>
    <row r="1203" spans="1:12" s="1279" customFormat="1" ht="20.100000000000001" customHeight="1">
      <c r="A1203" s="1377">
        <f t="shared" si="49"/>
        <v>0</v>
      </c>
      <c r="B1203" s="1582" t="s">
        <v>2075</v>
      </c>
      <c r="C1203" s="1273"/>
      <c r="D1203" s="1288">
        <f>VLOOKUP($B1203,DG!A:D,DG!$B$2,)</f>
        <v>0</v>
      </c>
      <c r="E1203" s="1275" t="str">
        <f>VLOOKUP($B1203,DG!A:D,DG!$C$2,)</f>
        <v>Sắt góc L75 x75 x8</v>
      </c>
      <c r="F1203" s="1288" t="str">
        <f>VLOOKUP($B1203,DG!A:D,DG!$D$2,)</f>
        <v>kg</v>
      </c>
      <c r="G1203" s="1276">
        <f>G1201*9.02*2.6</f>
        <v>46.903999999999996</v>
      </c>
      <c r="H1203" s="1353">
        <f t="shared" si="50"/>
        <v>0</v>
      </c>
      <c r="I1203" s="1310"/>
      <c r="J1203" s="1310"/>
      <c r="K1203" s="1278"/>
      <c r="L1203" s="1125">
        <v>250</v>
      </c>
    </row>
    <row r="1204" spans="1:12" s="1279" customFormat="1" ht="20.100000000000001" customHeight="1">
      <c r="A1204" s="1377">
        <f t="shared" si="49"/>
        <v>0</v>
      </c>
      <c r="B1204" s="1582" t="s">
        <v>1113</v>
      </c>
      <c r="C1204" s="1273"/>
      <c r="D1204" s="1288">
        <f>VLOOKUP($B1204,DG!A:D,DG!$B$2,)</f>
        <v>0</v>
      </c>
      <c r="E1204" s="1275" t="str">
        <f>VLOOKUP($B1204,DG!A:D,DG!$C$2,)</f>
        <v>Boulon 16x400+ 2 long đền vuông D18-50x50x3/Zn</v>
      </c>
      <c r="F1204" s="1288" t="str">
        <f>VLOOKUP($B1204,DG!A:D,DG!$D$2,)</f>
        <v>bộ</v>
      </c>
      <c r="G1204" s="1287">
        <f>G1201*2</f>
        <v>4</v>
      </c>
      <c r="H1204" s="1353">
        <f t="shared" si="50"/>
        <v>0</v>
      </c>
      <c r="I1204" s="1310"/>
      <c r="J1204" s="1310"/>
      <c r="K1204" s="1278"/>
      <c r="L1204" s="1125">
        <v>250</v>
      </c>
    </row>
    <row r="1205" spans="1:12" s="1279" customFormat="1" ht="20.100000000000001" customHeight="1">
      <c r="A1205" s="1377">
        <f t="shared" si="49"/>
        <v>0</v>
      </c>
      <c r="B1205" s="1582" t="s">
        <v>139</v>
      </c>
      <c r="C1205" s="1273"/>
      <c r="D1205" s="1288">
        <f>VLOOKUP($B1205,DG!A:D,DG!$B$2,)</f>
        <v>0</v>
      </c>
      <c r="E1205" s="1275" t="str">
        <f>VLOOKUP($B1205,DG!A:D,DG!$C$2,)</f>
        <v>Boulon 12x40+ 2 long đền vuông D14-50x50x3/Zn</v>
      </c>
      <c r="F1205" s="1288" t="str">
        <f>VLOOKUP($B1205,DG!A:D,DG!$D$2,)</f>
        <v>bộ</v>
      </c>
      <c r="G1205" s="1287">
        <f>G1201*2</f>
        <v>4</v>
      </c>
      <c r="H1205" s="1353">
        <f t="shared" si="50"/>
        <v>0</v>
      </c>
      <c r="I1205" s="1310"/>
      <c r="J1205" s="1310"/>
      <c r="K1205" s="1278"/>
      <c r="L1205" s="1125">
        <v>250</v>
      </c>
    </row>
    <row r="1206" spans="1:12" s="1279" customFormat="1" ht="20.100000000000001" customHeight="1">
      <c r="A1206" s="1377">
        <f t="shared" si="49"/>
        <v>0</v>
      </c>
      <c r="B1206" s="1582" t="s">
        <v>2304</v>
      </c>
      <c r="C1206" s="1273"/>
      <c r="D1206" s="1288" t="str">
        <f>VLOOKUP($B1206,DG!A:D,DG!$B$2,)</f>
        <v>05.6044</v>
      </c>
      <c r="E1206" s="1275" t="str">
        <f>VLOOKUP($B1206,DG!A:D,DG!$C$2,)</f>
        <v>Lắp xà cột Pi loại ≤140kg/xà</v>
      </c>
      <c r="F1206" s="1288" t="str">
        <f>VLOOKUP($B1206,DG!A:D,DG!$D$2,)</f>
        <v>bộ</v>
      </c>
      <c r="G1206" s="1287">
        <f>G1201/2</f>
        <v>1</v>
      </c>
      <c r="H1206" s="1353">
        <f t="shared" si="50"/>
        <v>0</v>
      </c>
      <c r="I1206" s="1310"/>
      <c r="J1206" s="1310"/>
      <c r="K1206" s="1278"/>
      <c r="L1206" s="1125">
        <v>250</v>
      </c>
    </row>
    <row r="1207" spans="1:12" s="1279" customFormat="1" ht="20.100000000000001" customHeight="1">
      <c r="A1207" s="1377">
        <f t="shared" si="49"/>
        <v>0</v>
      </c>
      <c r="B1207" s="1582" t="s">
        <v>218</v>
      </c>
      <c r="C1207" s="1273"/>
      <c r="D1207" s="1288" t="str">
        <f>VLOOKUP($B1207,DG!A:D,DG!$B$2,)</f>
        <v>02.1115</v>
      </c>
      <c r="E1207" s="1275" t="str">
        <f>VLOOKUP($B1207,DG!A:D,DG!$C$2,)</f>
        <v>Bốc dỡ xà, thép thanh</v>
      </c>
      <c r="F1207" s="1288" t="str">
        <f>VLOOKUP($B1207,DG!A:D,DG!$D$2,)</f>
        <v>tấn</v>
      </c>
      <c r="G1207" s="1276">
        <f>0.05*0</f>
        <v>0</v>
      </c>
      <c r="H1207" s="1353">
        <f t="shared" si="50"/>
        <v>0</v>
      </c>
      <c r="I1207" s="1310"/>
      <c r="J1207" s="1310"/>
      <c r="K1207" s="1278"/>
      <c r="L1207" s="1125">
        <v>250</v>
      </c>
    </row>
    <row r="1208" spans="1:12" s="1279" customFormat="1" ht="20.100000000000001" customHeight="1">
      <c r="A1208" s="1377">
        <f t="shared" si="49"/>
        <v>0</v>
      </c>
      <c r="B1208" s="1582" t="s">
        <v>1662</v>
      </c>
      <c r="C1208" s="1273"/>
      <c r="D1208" s="1288">
        <f>VLOOKUP($B1208,DG!A:D,DG!$B$2,)</f>
        <v>0</v>
      </c>
      <c r="E1208" s="1275" t="str">
        <f>VLOOKUP($B1208,DG!A:D,DG!$C$2,)</f>
        <v>Boulon 16x300+ 2 long đền vuông D18-50x50x3/Zn</v>
      </c>
      <c r="F1208" s="1274" t="s">
        <v>2503</v>
      </c>
      <c r="G1208" s="1287">
        <f>G1201*2*0</f>
        <v>0</v>
      </c>
      <c r="H1208" s="1353">
        <f t="shared" si="50"/>
        <v>0</v>
      </c>
      <c r="I1208" s="1310"/>
      <c r="J1208" s="1310"/>
      <c r="K1208" s="1278"/>
      <c r="L1208" s="1125">
        <v>250</v>
      </c>
    </row>
    <row r="1209" spans="1:12" s="1279" customFormat="1" ht="20.100000000000001" customHeight="1">
      <c r="A1209" s="1377">
        <f t="shared" si="49"/>
        <v>0</v>
      </c>
      <c r="B1209" s="1582" t="s">
        <v>1661</v>
      </c>
      <c r="C1209" s="1273"/>
      <c r="D1209" s="1288">
        <f>VLOOKUP($B1209,DG!A:D,DG!$B$2,)</f>
        <v>0</v>
      </c>
      <c r="E1209" s="1275" t="str">
        <f>VLOOKUP($B1209,DG!A:D,DG!$C$2,)</f>
        <v>Boulon 16x250+ 2 long đền vuông D18-50x50x3/Zn</v>
      </c>
      <c r="F1209" s="1274" t="s">
        <v>2503</v>
      </c>
      <c r="G1209" s="1287">
        <f>2*G1201*2*0</f>
        <v>0</v>
      </c>
      <c r="H1209" s="1353">
        <f t="shared" si="50"/>
        <v>0</v>
      </c>
      <c r="I1209" s="1310"/>
      <c r="J1209" s="1310"/>
      <c r="K1209" s="1278"/>
      <c r="L1209" s="1125">
        <v>250</v>
      </c>
    </row>
    <row r="1210" spans="1:12" s="1279" customFormat="1" ht="20.100000000000001" customHeight="1" collapsed="1">
      <c r="A1210" s="1377">
        <f t="shared" si="49"/>
        <v>0</v>
      </c>
      <c r="B1210" s="1582"/>
      <c r="C1210" s="1280">
        <f>IF(G1210&gt;0,C1201+1,C1201)</f>
        <v>2</v>
      </c>
      <c r="D1210" s="1281"/>
      <c r="E1210" s="1341" t="s">
        <v>3817</v>
      </c>
      <c r="F1210" s="1280" t="s">
        <v>2449</v>
      </c>
      <c r="G1210" s="1283">
        <f>G1134*0</f>
        <v>0</v>
      </c>
      <c r="H1210" s="1353">
        <f t="shared" si="50"/>
        <v>0</v>
      </c>
      <c r="I1210" s="1277"/>
      <c r="J1210" s="1277"/>
      <c r="K1210" s="1312"/>
      <c r="L1210" s="1125">
        <v>250</v>
      </c>
    </row>
    <row r="1211" spans="1:12" s="1279" customFormat="1" ht="20.100000000000001" customHeight="1">
      <c r="A1211" s="1377">
        <f>IF(A1210&gt;0,1,0)</f>
        <v>0</v>
      </c>
      <c r="B1211" s="1582"/>
      <c r="C1211" s="1273"/>
      <c r="D1211" s="1284"/>
      <c r="E1211" s="1637" t="s">
        <v>2342</v>
      </c>
      <c r="F1211" s="1286"/>
      <c r="G1211" s="1287"/>
      <c r="H1211" s="1353">
        <f t="shared" si="50"/>
        <v>0</v>
      </c>
      <c r="I1211" s="1277"/>
      <c r="J1211" s="1277"/>
      <c r="K1211" s="1312"/>
      <c r="L1211" s="1125">
        <v>250</v>
      </c>
    </row>
    <row r="1212" spans="1:12" s="1279" customFormat="1" ht="20.100000000000001" customHeight="1">
      <c r="A1212" s="1377">
        <f t="shared" si="49"/>
        <v>0</v>
      </c>
      <c r="B1212" s="1582" t="s">
        <v>2075</v>
      </c>
      <c r="C1212" s="1273"/>
      <c r="D1212" s="1288">
        <f>VLOOKUP($B1212,DG!A:D,DG!$B$2,)</f>
        <v>0</v>
      </c>
      <c r="E1212" s="1275" t="str">
        <f>VLOOKUP($B1212,DG!A:D,DG!$C$2,)</f>
        <v>Sắt góc L75 x75 x8</v>
      </c>
      <c r="F1212" s="1274" t="s">
        <v>2310</v>
      </c>
      <c r="G1212" s="1276">
        <f>G1210*9.02*(2.4+4*0.07)*2</f>
        <v>0</v>
      </c>
      <c r="H1212" s="1353">
        <f t="shared" si="50"/>
        <v>0</v>
      </c>
      <c r="I1212" s="1277"/>
      <c r="J1212" s="1277"/>
      <c r="K1212" s="1312"/>
      <c r="L1212" s="1125">
        <v>250</v>
      </c>
    </row>
    <row r="1213" spans="1:12" s="1279" customFormat="1" ht="20.100000000000001" customHeight="1">
      <c r="A1213" s="1377">
        <f t="shared" si="49"/>
        <v>0</v>
      </c>
      <c r="B1213" s="1582" t="s">
        <v>1065</v>
      </c>
      <c r="C1213" s="1273"/>
      <c r="D1213" s="1288">
        <f>VLOOKUP($B1213,DG!A:D,DG!$B$2,)</f>
        <v>0</v>
      </c>
      <c r="E1213" s="1275" t="str">
        <f>VLOOKUP($B1213,DG!A:D,DG!$C$2,)&amp;" (Thanh choáng 810)"</f>
        <v>Sắt góc L50 x50 x5 (Thanh choáng 810)</v>
      </c>
      <c r="F1213" s="1274" t="s">
        <v>2310</v>
      </c>
      <c r="G1213" s="1276">
        <f>G1210*3.77*0.81*4</f>
        <v>0</v>
      </c>
      <c r="H1213" s="1353">
        <f t="shared" si="50"/>
        <v>0</v>
      </c>
      <c r="I1213" s="1277"/>
      <c r="J1213" s="1277"/>
      <c r="K1213" s="1312"/>
      <c r="L1213" s="1125">
        <v>250</v>
      </c>
    </row>
    <row r="1214" spans="1:12" s="1279" customFormat="1" ht="20.100000000000001" customHeight="1">
      <c r="A1214" s="1377">
        <f t="shared" si="49"/>
        <v>0</v>
      </c>
      <c r="B1214" s="1582" t="s">
        <v>1662</v>
      </c>
      <c r="C1214" s="1273"/>
      <c r="D1214" s="1288">
        <f>VLOOKUP($B1214,DG!A:D,DG!$B$2,)</f>
        <v>0</v>
      </c>
      <c r="E1214" s="1275" t="str">
        <f>VLOOKUP($B1214,DG!A:D,DG!$C$2,)</f>
        <v>Boulon 16x300+ 2 long đền vuông D18-50x50x3/Zn</v>
      </c>
      <c r="F1214" s="1274" t="s">
        <v>2503</v>
      </c>
      <c r="G1214" s="1287">
        <f>G1210*2</f>
        <v>0</v>
      </c>
      <c r="H1214" s="1353">
        <f t="shared" si="50"/>
        <v>0</v>
      </c>
      <c r="I1214" s="1277"/>
      <c r="J1214" s="1277"/>
      <c r="K1214" s="1312"/>
      <c r="L1214" s="1125">
        <v>250</v>
      </c>
    </row>
    <row r="1215" spans="1:12" s="1279" customFormat="1" ht="20.100000000000001" customHeight="1">
      <c r="A1215" s="1377">
        <f t="shared" si="49"/>
        <v>0</v>
      </c>
      <c r="B1215" s="1582" t="s">
        <v>1839</v>
      </c>
      <c r="C1215" s="1273"/>
      <c r="D1215" s="1288">
        <f>VLOOKUP($B1215,DG!A:D,DG!$B$2,)</f>
        <v>0</v>
      </c>
      <c r="E1215" s="1275" t="str">
        <f>VLOOKUP($B1215,DG!A:D,DG!$C$2,)</f>
        <v>Boulon 16x50+ 2 long đền vuông D18-50x50x3/Zn</v>
      </c>
      <c r="F1215" s="1274" t="s">
        <v>2503</v>
      </c>
      <c r="G1215" s="1287">
        <f>G1210*4</f>
        <v>0</v>
      </c>
      <c r="H1215" s="1353">
        <f t="shared" si="50"/>
        <v>0</v>
      </c>
      <c r="I1215" s="1277"/>
      <c r="J1215" s="1277"/>
      <c r="K1215" s="1312"/>
      <c r="L1215" s="1125">
        <v>250</v>
      </c>
    </row>
    <row r="1216" spans="1:12" s="1279" customFormat="1" ht="20.100000000000001" customHeight="1">
      <c r="A1216" s="1377">
        <f t="shared" si="49"/>
        <v>0</v>
      </c>
      <c r="B1216" s="1582" t="s">
        <v>1837</v>
      </c>
      <c r="C1216" s="1273"/>
      <c r="D1216" s="1288">
        <f>VLOOKUP($B1216,DG!A:D,DG!$B$2,)</f>
        <v>0</v>
      </c>
      <c r="E1216" s="1275" t="str">
        <f>VLOOKUP($B1216,DG!A:D,DG!$C$2,)</f>
        <v>Boulon 16x300VRS+ 4 long đền vuông D18-50x50x3/Zn</v>
      </c>
      <c r="F1216" s="1274" t="s">
        <v>2503</v>
      </c>
      <c r="G1216" s="1287">
        <f>G1210*4</f>
        <v>0</v>
      </c>
      <c r="H1216" s="1353">
        <f t="shared" si="50"/>
        <v>0</v>
      </c>
      <c r="I1216" s="1277"/>
      <c r="J1216" s="1277"/>
      <c r="K1216" s="1312"/>
      <c r="L1216" s="1125">
        <v>250</v>
      </c>
    </row>
    <row r="1217" spans="1:12" s="1279" customFormat="1" ht="20.100000000000001" customHeight="1">
      <c r="A1217" s="1377">
        <f t="shared" si="49"/>
        <v>0</v>
      </c>
      <c r="B1217" s="1582" t="s">
        <v>520</v>
      </c>
      <c r="C1217" s="1273"/>
      <c r="D1217" s="1288" t="str">
        <f>VLOOKUP($B1217,DG!A:D,DG!$B$2,)</f>
        <v>05.6203</v>
      </c>
      <c r="E1217" s="1275" t="str">
        <f>VLOOKUP($B1217,DG!A:D,DG!$C$2,)</f>
        <v>Lắp xà néo ≤ 100kg</v>
      </c>
      <c r="F1217" s="1274" t="s">
        <v>2503</v>
      </c>
      <c r="G1217" s="1287">
        <f>G1210</f>
        <v>0</v>
      </c>
      <c r="H1217" s="1353">
        <f t="shared" si="50"/>
        <v>0</v>
      </c>
      <c r="I1217" s="1277"/>
      <c r="J1217" s="1277"/>
      <c r="K1217" s="1312"/>
      <c r="L1217" s="1125">
        <v>250</v>
      </c>
    </row>
    <row r="1218" spans="1:12" s="1279" customFormat="1" ht="20.100000000000001" customHeight="1">
      <c r="A1218" s="1377">
        <f t="shared" si="49"/>
        <v>0</v>
      </c>
      <c r="B1218" s="1582"/>
      <c r="C1218" s="1280">
        <f>IF(G1218&gt;0,C1210+1,C1210)</f>
        <v>2</v>
      </c>
      <c r="D1218" s="1281"/>
      <c r="E1218" s="1341" t="s">
        <v>3818</v>
      </c>
      <c r="F1218" s="1280" t="s">
        <v>2449</v>
      </c>
      <c r="G1218" s="1283">
        <f>G1134*1*0</f>
        <v>0</v>
      </c>
      <c r="H1218" s="1353">
        <f t="shared" si="50"/>
        <v>0</v>
      </c>
      <c r="I1218" s="1277"/>
      <c r="J1218" s="1277"/>
      <c r="K1218" s="1312"/>
      <c r="L1218" s="1125">
        <v>250</v>
      </c>
    </row>
    <row r="1219" spans="1:12" s="1279" customFormat="1" ht="20.100000000000001" customHeight="1">
      <c r="A1219" s="1377">
        <f>IF(A1218&gt;0,1,0)</f>
        <v>0</v>
      </c>
      <c r="B1219" s="1582"/>
      <c r="C1219" s="1273"/>
      <c r="D1219" s="1284"/>
      <c r="E1219" s="1637" t="s">
        <v>2342</v>
      </c>
      <c r="F1219" s="1286"/>
      <c r="G1219" s="1287"/>
      <c r="H1219" s="1353">
        <f t="shared" si="50"/>
        <v>0</v>
      </c>
      <c r="I1219" s="1277"/>
      <c r="J1219" s="1277"/>
      <c r="K1219" s="1312"/>
      <c r="L1219" s="1125">
        <v>250</v>
      </c>
    </row>
    <row r="1220" spans="1:12" s="1279" customFormat="1" ht="20.100000000000001" customHeight="1">
      <c r="A1220" s="1377">
        <f t="shared" si="49"/>
        <v>0</v>
      </c>
      <c r="B1220" s="1582" t="s">
        <v>2075</v>
      </c>
      <c r="C1220" s="1273"/>
      <c r="D1220" s="1288">
        <f>VLOOKUP($B1220,DG!A:D,DG!$B$2,)</f>
        <v>0</v>
      </c>
      <c r="E1220" s="1275" t="str">
        <f>VLOOKUP($B1220,DG!A:D,DG!$C$2,)</f>
        <v>Sắt góc L75 x75 x8</v>
      </c>
      <c r="F1220" s="1274" t="s">
        <v>2310</v>
      </c>
      <c r="G1220" s="1276">
        <f>G1218*9.02*(2.4+4*0.07)</f>
        <v>0</v>
      </c>
      <c r="H1220" s="1353">
        <f t="shared" si="50"/>
        <v>0</v>
      </c>
      <c r="I1220" s="1277"/>
      <c r="J1220" s="1277"/>
      <c r="K1220" s="1312"/>
      <c r="L1220" s="1125">
        <v>250</v>
      </c>
    </row>
    <row r="1221" spans="1:12" s="1279" customFormat="1" ht="20.100000000000001" customHeight="1">
      <c r="A1221" s="1377">
        <f t="shared" si="49"/>
        <v>0</v>
      </c>
      <c r="B1221" s="1582" t="s">
        <v>1065</v>
      </c>
      <c r="C1221" s="1273"/>
      <c r="D1221" s="1288">
        <f>VLOOKUP($B1221,DG!A:D,DG!$B$2,)</f>
        <v>0</v>
      </c>
      <c r="E1221" s="1275" t="str">
        <f>VLOOKUP($B1221,DG!A:D,DG!$C$2,)&amp;" (Thanh choáng 810)"</f>
        <v>Sắt góc L50 x50 x5 (Thanh choáng 810)</v>
      </c>
      <c r="F1221" s="1274" t="s">
        <v>2310</v>
      </c>
      <c r="G1221" s="1276">
        <f>G1218*3.77*0.81*2</f>
        <v>0</v>
      </c>
      <c r="H1221" s="1353">
        <f t="shared" si="50"/>
        <v>0</v>
      </c>
      <c r="I1221" s="1277"/>
      <c r="J1221" s="1277"/>
      <c r="K1221" s="1312"/>
      <c r="L1221" s="1125">
        <v>250</v>
      </c>
    </row>
    <row r="1222" spans="1:12" s="1279" customFormat="1" ht="20.100000000000001" customHeight="1">
      <c r="A1222" s="1377">
        <f t="shared" si="49"/>
        <v>0</v>
      </c>
      <c r="B1222" s="1582" t="s">
        <v>1109</v>
      </c>
      <c r="C1222" s="1273"/>
      <c r="D1222" s="1288">
        <f>VLOOKUP($B1222,DG!A:D,DG!$B$2,)</f>
        <v>0</v>
      </c>
      <c r="E1222" s="1275" t="str">
        <f>VLOOKUP($B1222,DG!A:D,DG!$C$2,)</f>
        <v>Boulon 16x350+ 2 long đền vuông D18-50x50x3/Zn</v>
      </c>
      <c r="F1222" s="1274" t="s">
        <v>2503</v>
      </c>
      <c r="G1222" s="1287">
        <f>G1218*2</f>
        <v>0</v>
      </c>
      <c r="H1222" s="1353">
        <f t="shared" si="50"/>
        <v>0</v>
      </c>
      <c r="I1222" s="1277"/>
      <c r="J1222" s="1277"/>
      <c r="K1222" s="1312"/>
      <c r="L1222" s="1125">
        <v>250</v>
      </c>
    </row>
    <row r="1223" spans="1:12" s="1279" customFormat="1" ht="20.100000000000001" customHeight="1">
      <c r="A1223" s="1377">
        <f t="shared" si="49"/>
        <v>0</v>
      </c>
      <c r="B1223" s="1582" t="s">
        <v>1839</v>
      </c>
      <c r="C1223" s="1273"/>
      <c r="D1223" s="1288">
        <f>VLOOKUP($B1223,DG!A:D,DG!$B$2,)</f>
        <v>0</v>
      </c>
      <c r="E1223" s="1275" t="str">
        <f>VLOOKUP($B1223,DG!A:D,DG!$C$2,)</f>
        <v>Boulon 16x50+ 2 long đền vuông D18-50x50x3/Zn</v>
      </c>
      <c r="F1223" s="1274" t="s">
        <v>2503</v>
      </c>
      <c r="G1223" s="1287">
        <f>G1218*2</f>
        <v>0</v>
      </c>
      <c r="H1223" s="1353">
        <f t="shared" si="50"/>
        <v>0</v>
      </c>
      <c r="I1223" s="1277"/>
      <c r="J1223" s="1277"/>
      <c r="K1223" s="1312"/>
      <c r="L1223" s="1125">
        <v>250</v>
      </c>
    </row>
    <row r="1224" spans="1:12" s="1279" customFormat="1" ht="20.100000000000001" customHeight="1">
      <c r="A1224" s="1377">
        <f t="shared" si="49"/>
        <v>0</v>
      </c>
      <c r="B1224" s="1582" t="s">
        <v>1788</v>
      </c>
      <c r="C1224" s="1273"/>
      <c r="D1224" s="1288">
        <f>VLOOKUP($B1224,DG!A:D,DG!$B$2,)</f>
        <v>0</v>
      </c>
      <c r="E1224" s="1275" t="str">
        <f>VLOOKUP($B1224,DG!A:D,DG!$C$2,)</f>
        <v>Bass LI bắt FCO</v>
      </c>
      <c r="F1224" s="1274" t="s">
        <v>2503</v>
      </c>
      <c r="G1224" s="1287">
        <f>IF(G1218&gt;0,3,)</f>
        <v>0</v>
      </c>
      <c r="H1224" s="1353">
        <f t="shared" si="50"/>
        <v>0</v>
      </c>
      <c r="I1224" s="1277"/>
      <c r="J1224" s="1277"/>
      <c r="K1224" s="1312"/>
      <c r="L1224" s="1125">
        <v>250</v>
      </c>
    </row>
    <row r="1225" spans="1:12" s="1279" customFormat="1" ht="20.100000000000001" customHeight="1">
      <c r="A1225" s="1377">
        <f t="shared" si="49"/>
        <v>0</v>
      </c>
      <c r="B1225" s="1582" t="s">
        <v>1018</v>
      </c>
      <c r="C1225" s="1273"/>
      <c r="D1225" s="1288" t="str">
        <f>VLOOKUP($B1225,DG!A:D,DG!$B$2,)</f>
        <v>06.3231</v>
      </c>
      <c r="E1225" s="1275" t="str">
        <f>VLOOKUP($B1225,DG!A:D,DG!$C$2,)</f>
        <v xml:space="preserve">Cổ dê chống lắc 8x80x800 </v>
      </c>
      <c r="F1225" s="1274" t="s">
        <v>2503</v>
      </c>
      <c r="G1225" s="1287">
        <f>G1218*0</f>
        <v>0</v>
      </c>
      <c r="H1225" s="1353">
        <f t="shared" si="50"/>
        <v>0</v>
      </c>
      <c r="I1225" s="1277"/>
      <c r="J1225" s="1277"/>
      <c r="K1225" s="1312"/>
      <c r="L1225" s="1125">
        <v>250</v>
      </c>
    </row>
    <row r="1226" spans="1:12" s="1279" customFormat="1" ht="20.100000000000001" customHeight="1">
      <c r="A1226" s="1377">
        <f t="shared" si="49"/>
        <v>0</v>
      </c>
      <c r="B1226" s="1582" t="s">
        <v>1473</v>
      </c>
      <c r="C1226" s="1273"/>
      <c r="D1226" s="1288" t="str">
        <f>VLOOKUP($B1226,DG!A:D,DG!$B$2,)</f>
        <v>05.6102</v>
      </c>
      <c r="E1226" s="1275" t="str">
        <f>VLOOKUP($B1226,DG!A:D,DG!$C$2,)</f>
        <v>Lắp xà đỡ ≤ 50kg</v>
      </c>
      <c r="F1226" s="1274" t="s">
        <v>2503</v>
      </c>
      <c r="G1226" s="1287">
        <f>G1218</f>
        <v>0</v>
      </c>
      <c r="H1226" s="1353">
        <f t="shared" si="50"/>
        <v>0</v>
      </c>
      <c r="I1226" s="1277"/>
      <c r="J1226" s="1277"/>
      <c r="K1226" s="1312"/>
      <c r="L1226" s="1125">
        <v>250</v>
      </c>
    </row>
    <row r="1227" spans="1:12" s="1279" customFormat="1" ht="20.100000000000001" customHeight="1">
      <c r="A1227" s="1377">
        <f t="shared" si="49"/>
        <v>0</v>
      </c>
      <c r="B1227" s="1582"/>
      <c r="C1227" s="1280">
        <f>IF(G1227&gt;0,C1218+1,C1218)</f>
        <v>2</v>
      </c>
      <c r="D1227" s="1281"/>
      <c r="E1227" s="1341" t="s">
        <v>3819</v>
      </c>
      <c r="F1227" s="1280" t="s">
        <v>2449</v>
      </c>
      <c r="G1227" s="1283">
        <f>G1134</f>
        <v>0</v>
      </c>
      <c r="H1227" s="1353">
        <f t="shared" si="50"/>
        <v>0</v>
      </c>
      <c r="I1227" s="1277"/>
      <c r="J1227" s="1277"/>
      <c r="K1227" s="1312"/>
      <c r="L1227" s="1125">
        <v>250</v>
      </c>
    </row>
    <row r="1228" spans="1:12" s="1279" customFormat="1" ht="20.100000000000001" customHeight="1">
      <c r="A1228" s="1377">
        <f>IF(A1227&gt;0,1,0)</f>
        <v>0</v>
      </c>
      <c r="B1228" s="1624"/>
      <c r="C1228" s="1273"/>
      <c r="D1228" s="1284"/>
      <c r="E1228" s="1637" t="s">
        <v>2342</v>
      </c>
      <c r="F1228" s="1286"/>
      <c r="G1228" s="1287"/>
      <c r="H1228" s="1353">
        <f t="shared" si="50"/>
        <v>0</v>
      </c>
      <c r="I1228" s="1277"/>
      <c r="J1228" s="1277"/>
      <c r="K1228" s="1312"/>
      <c r="L1228" s="1125">
        <v>250</v>
      </c>
    </row>
    <row r="1229" spans="1:12" s="1279" customFormat="1" ht="20.100000000000001" customHeight="1">
      <c r="A1229" s="1377">
        <f t="shared" si="49"/>
        <v>0</v>
      </c>
      <c r="B1229" s="1582" t="s">
        <v>1063</v>
      </c>
      <c r="C1229" s="1273"/>
      <c r="D1229" s="1274">
        <f>VLOOKUP($B1229,DG!A:D,DG!$B$2,)</f>
        <v>0</v>
      </c>
      <c r="E1229" s="1275" t="str">
        <f>VLOOKUP($B1229,DG!A:D,DG!$C$2,)</f>
        <v>Cáp đồng trần M25mm2</v>
      </c>
      <c r="F1229" s="1288" t="str">
        <f>VLOOKUP($B1229,DG!A:D,DG!$D$2,)</f>
        <v>kg</v>
      </c>
      <c r="G1229" s="1396">
        <v>11.42</v>
      </c>
      <c r="H1229" s="1353">
        <f t="shared" si="50"/>
        <v>0</v>
      </c>
      <c r="I1229" s="1277"/>
      <c r="J1229" s="1277"/>
      <c r="K1229" s="1312"/>
      <c r="L1229" s="1125">
        <v>250</v>
      </c>
    </row>
    <row r="1230" spans="1:12" s="1279" customFormat="1" ht="20.100000000000001" customHeight="1">
      <c r="A1230" s="1377">
        <f t="shared" si="49"/>
        <v>0</v>
      </c>
      <c r="B1230" s="1378" t="s">
        <v>1560</v>
      </c>
      <c r="C1230" s="1273"/>
      <c r="D1230" s="1274">
        <f>VLOOKUP($B1230,DG!A:D,DG!$B$2,)</f>
        <v>0</v>
      </c>
      <c r="E1230" s="1275" t="str">
        <f>VLOOKUP($B1230,DG!A:D,DG!$C$2,)</f>
        <v>Cọc tiếp đất Ø 16- 2,4m + kẹp cọc</v>
      </c>
      <c r="F1230" s="1288" t="str">
        <f>VLOOKUP($B1230,DG!A:D,DG!$D$2,)</f>
        <v>bộ</v>
      </c>
      <c r="G1230" s="1312">
        <f>9*G1227</f>
        <v>0</v>
      </c>
      <c r="H1230" s="1353">
        <f t="shared" si="50"/>
        <v>0</v>
      </c>
      <c r="I1230" s="1277"/>
      <c r="J1230" s="1277"/>
      <c r="K1230" s="1312"/>
      <c r="L1230" s="1125">
        <v>250</v>
      </c>
    </row>
    <row r="1231" spans="1:12" s="1279" customFormat="1" ht="20.100000000000001" customHeight="1">
      <c r="A1231" s="1377">
        <f t="shared" si="49"/>
        <v>0</v>
      </c>
      <c r="B1231" s="1613" t="s">
        <v>1439</v>
      </c>
      <c r="C1231" s="1273"/>
      <c r="D1231" s="1274">
        <f>VLOOKUP($B1231,DG!A:D,DG!$B$2,)</f>
        <v>0</v>
      </c>
      <c r="E1231" s="1275" t="str">
        <f>VLOOKUP($B1231,DG!A:D,DG!$C$2,)</f>
        <v>Cáp đồng bọc CV25</v>
      </c>
      <c r="F1231" s="1274" t="str">
        <f>VLOOKUP($B1231,DG!A:D,DG!$D$2,)</f>
        <v>mét</v>
      </c>
      <c r="G1231" s="1312">
        <v>8</v>
      </c>
      <c r="H1231" s="1353">
        <f t="shared" si="50"/>
        <v>0</v>
      </c>
      <c r="I1231" s="1277"/>
      <c r="J1231" s="1277"/>
      <c r="K1231" s="1278"/>
      <c r="L1231" s="1125">
        <v>250</v>
      </c>
    </row>
    <row r="1232" spans="1:12" s="1279" customFormat="1" ht="20.100000000000001" customHeight="1">
      <c r="A1232" s="1377">
        <f t="shared" si="49"/>
        <v>0</v>
      </c>
      <c r="B1232" s="1587" t="s">
        <v>922</v>
      </c>
      <c r="C1232" s="1273"/>
      <c r="D1232" s="1274">
        <f>VLOOKUP($B1232,DG!A:D,DG!$B$2,)</f>
        <v>0</v>
      </c>
      <c r="E1232" s="1275" t="str">
        <f>VLOOKUP($B1232,DG!A:D,DG!$C$2,)&amp;": bắt lưới TĐ"</f>
        <v>Kẹp ép WR cỡ dây 50mm2: bắt lưới TĐ</v>
      </c>
      <c r="F1232" s="1288" t="str">
        <f>VLOOKUP($B1232,DG!A:D,DG!$D$2,)</f>
        <v>cái</v>
      </c>
      <c r="G1232" s="1312">
        <v>4</v>
      </c>
      <c r="H1232" s="1353">
        <f t="shared" si="50"/>
        <v>0</v>
      </c>
      <c r="I1232" s="1277"/>
      <c r="J1232" s="1277"/>
      <c r="K1232" s="1312"/>
      <c r="L1232" s="1125">
        <v>250</v>
      </c>
    </row>
    <row r="1233" spans="1:15" s="1279" customFormat="1" ht="20.100000000000001" customHeight="1">
      <c r="A1233" s="1377">
        <f t="shared" si="49"/>
        <v>0</v>
      </c>
      <c r="B1233" s="1587" t="s">
        <v>824</v>
      </c>
      <c r="C1233" s="1343"/>
      <c r="D1233" s="1274" t="str">
        <f>VLOOKUP($B1233,DG!A:D,DG!$B$2,)</f>
        <v>04.3107</v>
      </c>
      <c r="E1233" s="1275" t="str">
        <f>VLOOKUP($B1233,DG!A:D,DG!$C$2,)</f>
        <v>Ốc xiết cáp cỡ 25mm2</v>
      </c>
      <c r="F1233" s="1288" t="str">
        <f>VLOOKUP($B1233,DG!A:D,DG!$D$2,)</f>
        <v>cái</v>
      </c>
      <c r="G1233" s="1312">
        <v>6</v>
      </c>
      <c r="H1233" s="1353">
        <f t="shared" si="50"/>
        <v>0</v>
      </c>
      <c r="I1233" s="1277"/>
      <c r="J1233" s="1277"/>
      <c r="K1233" s="1312"/>
      <c r="L1233" s="1125">
        <v>250</v>
      </c>
    </row>
    <row r="1234" spans="1:15" s="1279" customFormat="1" ht="20.100000000000001" customHeight="1">
      <c r="A1234" s="1377">
        <f t="shared" si="49"/>
        <v>0</v>
      </c>
      <c r="B1234" s="1587" t="s">
        <v>1336</v>
      </c>
      <c r="C1234" s="1273"/>
      <c r="D1234" s="1274" t="str">
        <f>VLOOKUP($B1234,DG!A:D,DG!$B$2,)</f>
        <v>03.4003</v>
      </c>
      <c r="E1234" s="1275" t="str">
        <f>VLOOKUP($B1234,DG!A:D,DG!$C$2,)</f>
        <v>Đầu cosse ép Cu 70mm2</v>
      </c>
      <c r="F1234" s="1288" t="str">
        <f>VLOOKUP($B1234,DG!A:D,DG!$D$2,)</f>
        <v>cái</v>
      </c>
      <c r="G1234" s="1312"/>
      <c r="H1234" s="1353">
        <f t="shared" si="50"/>
        <v>0</v>
      </c>
      <c r="I1234" s="1277"/>
      <c r="J1234" s="1277"/>
      <c r="K1234" s="1312"/>
      <c r="L1234" s="1125">
        <v>250</v>
      </c>
    </row>
    <row r="1235" spans="1:15" s="1279" customFormat="1" ht="20.100000000000001" customHeight="1">
      <c r="A1235" s="1377">
        <f t="shared" si="49"/>
        <v>0</v>
      </c>
      <c r="B1235" s="1587" t="s">
        <v>1335</v>
      </c>
      <c r="C1235" s="1273"/>
      <c r="D1235" s="1274" t="str">
        <f>VLOOKUP($B1235,DG!A:D,DG!$B$2,)</f>
        <v>03.4002</v>
      </c>
      <c r="E1235" s="1275" t="str">
        <f>VLOOKUP($B1235,DG!A:D,DG!$C$2,)</f>
        <v>Đầu cosse ép Cu 50mm2</v>
      </c>
      <c r="F1235" s="1288" t="str">
        <f>VLOOKUP($B1235,DG!A:D,DG!$D$2,)</f>
        <v>cái</v>
      </c>
      <c r="G1235" s="1312"/>
      <c r="H1235" s="1353">
        <f t="shared" si="50"/>
        <v>0</v>
      </c>
      <c r="I1235" s="1277"/>
      <c r="J1235" s="1277"/>
      <c r="K1235" s="1312"/>
      <c r="L1235" s="1125">
        <v>250</v>
      </c>
    </row>
    <row r="1236" spans="1:15" s="1279" customFormat="1" ht="20.100000000000001" customHeight="1">
      <c r="A1236" s="1377">
        <f t="shared" si="49"/>
        <v>0</v>
      </c>
      <c r="B1236" s="1378" t="s">
        <v>1644</v>
      </c>
      <c r="C1236" s="1273"/>
      <c r="D1236" s="1274" t="str">
        <f>VLOOKUP($B1236,DG!A:D,DG!$B$2,)</f>
        <v>06.3231</v>
      </c>
      <c r="E1236" s="1275" t="str">
        <f>VLOOKUP($B1236,DG!A:D,DG!$C$2,)&amp;": CD-250"</f>
        <v>Cổ dê kẹp ống PVC  21: CD-250</v>
      </c>
      <c r="F1236" s="1274" t="str">
        <f>VLOOKUP($B1236,DG!A:D,DG!$D$2,)</f>
        <v>bộ</v>
      </c>
      <c r="G1236" s="1312"/>
      <c r="H1236" s="1353">
        <f t="shared" si="50"/>
        <v>0</v>
      </c>
      <c r="I1236" s="1277"/>
      <c r="J1236" s="1277"/>
      <c r="K1236" s="1278"/>
      <c r="L1236" s="1125">
        <v>250</v>
      </c>
    </row>
    <row r="1237" spans="1:15" s="1279" customFormat="1" ht="20.100000000000001" customHeight="1">
      <c r="A1237" s="1377">
        <f t="shared" si="49"/>
        <v>0</v>
      </c>
      <c r="B1237" s="1378" t="s">
        <v>1383</v>
      </c>
      <c r="C1237" s="1273"/>
      <c r="D1237" s="1274">
        <f>VLOOKUP($B1237,DG!A:D,DG!$B$2,)</f>
        <v>0</v>
      </c>
      <c r="E1237" s="1275" t="s">
        <v>829</v>
      </c>
      <c r="F1237" s="1274" t="str">
        <f>VLOOKUP($B1237,DG!A:D,DG!$D$2,)</f>
        <v>bộ</v>
      </c>
      <c r="G1237" s="1276"/>
      <c r="H1237" s="1353">
        <f t="shared" si="50"/>
        <v>0</v>
      </c>
      <c r="I1237" s="1277"/>
      <c r="J1237" s="1277"/>
      <c r="K1237" s="1278"/>
      <c r="L1237" s="1125">
        <v>250</v>
      </c>
    </row>
    <row r="1238" spans="1:15" s="1279" customFormat="1" ht="20.100000000000001" customHeight="1">
      <c r="A1238" s="1377">
        <f t="shared" ref="A1238:A1301" si="51">IF(H1238&gt;0,1,0)</f>
        <v>0</v>
      </c>
      <c r="B1238" s="1587" t="s">
        <v>2245</v>
      </c>
      <c r="C1238" s="1273"/>
      <c r="D1238" s="1274" t="str">
        <f>VLOOKUP($B1238,DG!A:D,DG!$B$2,)</f>
        <v>04.7002</v>
      </c>
      <c r="E1238" s="1275" t="str">
        <f>VLOOKUP($B1238,DG!A:D,DG!$C$2,)</f>
        <v>Kéo dây tiếp địa trong TBA</v>
      </c>
      <c r="F1238" s="1274" t="str">
        <f>VLOOKUP($B1238,DG!A:D,DG!$D$2,)</f>
        <v>mét</v>
      </c>
      <c r="G1238" s="1312">
        <f>G1227*H3</f>
        <v>0</v>
      </c>
      <c r="H1238" s="1353">
        <f t="shared" si="50"/>
        <v>0</v>
      </c>
      <c r="I1238" s="1277"/>
      <c r="J1238" s="1277"/>
      <c r="K1238" s="1278"/>
      <c r="L1238" s="1125">
        <v>250</v>
      </c>
    </row>
    <row r="1239" spans="1:15" s="1279" customFormat="1" ht="20.100000000000001" customHeight="1">
      <c r="A1239" s="1377">
        <f t="shared" si="51"/>
        <v>0</v>
      </c>
      <c r="B1239" s="1378" t="s">
        <v>919</v>
      </c>
      <c r="C1239" s="1273"/>
      <c r="D1239" s="1274" t="str">
        <f>VLOOKUP($B1239,DG!A:D,DG!$B$2,)</f>
        <v>04.7001</v>
      </c>
      <c r="E1239" s="1275" t="str">
        <f>VLOOKUP($B1239,DG!A:D,DG!$C$2,)</f>
        <v>Đóng cọc tiếp địa trong TBA</v>
      </c>
      <c r="F1239" s="1274" t="str">
        <f>VLOOKUP($B1239,DG!A:D,DG!$D$2,)</f>
        <v>cọc</v>
      </c>
      <c r="G1239" s="1312">
        <f>G1230</f>
        <v>0</v>
      </c>
      <c r="H1239" s="1353">
        <f t="shared" si="50"/>
        <v>0</v>
      </c>
      <c r="I1239" s="1277"/>
      <c r="J1239" s="1277"/>
      <c r="K1239" s="1278"/>
      <c r="L1239" s="1125">
        <v>250</v>
      </c>
    </row>
    <row r="1240" spans="1:15" s="1279" customFormat="1" ht="20.100000000000001" customHeight="1">
      <c r="A1240" s="1377">
        <f t="shared" si="51"/>
        <v>0</v>
      </c>
      <c r="B1240" s="1587" t="str">
        <f>"dtd"&amp;chitiet!F5</f>
        <v>dtd3</v>
      </c>
      <c r="C1240" s="1273"/>
      <c r="D1240" s="1274" t="str">
        <f>VLOOKUP($B1240,DG!A:D,DG!$B$2,)</f>
        <v>03.3123</v>
      </c>
      <c r="E1240" s="1275" t="str">
        <f>VLOOKUP($B1240,DG!A:D,DG!$C$2,)</f>
        <v>Đào rãnh tiếp địa đất cấp 3</v>
      </c>
      <c r="F1240" s="1274" t="str">
        <f>VLOOKUP($B1240,DG!A:D,DG!$D$2,)</f>
        <v>m3</v>
      </c>
      <c r="G1240" s="1312">
        <v>3</v>
      </c>
      <c r="H1240" s="1353">
        <f t="shared" si="50"/>
        <v>0</v>
      </c>
      <c r="I1240" s="1277"/>
      <c r="J1240" s="1277"/>
      <c r="K1240" s="1278"/>
      <c r="L1240" s="1125">
        <v>250</v>
      </c>
    </row>
    <row r="1241" spans="1:15" s="1279" customFormat="1" ht="20.100000000000001" customHeight="1">
      <c r="A1241" s="1377">
        <f t="shared" si="51"/>
        <v>0</v>
      </c>
      <c r="B1241" s="1378" t="str">
        <f>"datd"&amp;chitiet!F5</f>
        <v>datd3</v>
      </c>
      <c r="C1241" s="1273"/>
      <c r="D1241" s="1274" t="str">
        <f>VLOOKUP($B1241,DG!A:D,DG!$B$2,)</f>
        <v>03.4123</v>
      </c>
      <c r="E1241" s="1275" t="str">
        <f>VLOOKUP($B1241,DG!A:D,DG!$C$2,)</f>
        <v>Đắp đất rãnh tiếp độ chặt k=0,95</v>
      </c>
      <c r="F1241" s="1274" t="str">
        <f>VLOOKUP($B1241,DG!A:D,DG!$D$2,)</f>
        <v>m3</v>
      </c>
      <c r="G1241" s="1312">
        <f>G1240</f>
        <v>3</v>
      </c>
      <c r="H1241" s="1353">
        <f t="shared" si="50"/>
        <v>0</v>
      </c>
      <c r="I1241" s="1277"/>
      <c r="J1241" s="1277"/>
      <c r="K1241" s="1278"/>
      <c r="L1241" s="1125">
        <v>250</v>
      </c>
    </row>
    <row r="1242" spans="1:15" s="1279" customFormat="1" ht="20.100000000000001" customHeight="1">
      <c r="A1242" s="1377">
        <f t="shared" si="51"/>
        <v>0</v>
      </c>
      <c r="B1242" s="1582"/>
      <c r="C1242" s="1280">
        <f>IF(G1242&gt;0,C1227+1,C1227)</f>
        <v>2</v>
      </c>
      <c r="D1242" s="1281"/>
      <c r="E1242" s="1282" t="s">
        <v>3820</v>
      </c>
      <c r="F1242" s="1280" t="s">
        <v>2449</v>
      </c>
      <c r="G1242" s="1283"/>
      <c r="H1242" s="1353">
        <f t="shared" si="50"/>
        <v>0</v>
      </c>
      <c r="I1242" s="1277"/>
      <c r="J1242" s="1277"/>
      <c r="K1242" s="1278"/>
      <c r="L1242" s="1125">
        <v>250</v>
      </c>
    </row>
    <row r="1243" spans="1:15" s="1279" customFormat="1" ht="20.100000000000001" customHeight="1">
      <c r="A1243" s="1377">
        <f>IF(A1242&gt;0,1,0)</f>
        <v>0</v>
      </c>
      <c r="B1243" s="1582"/>
      <c r="C1243" s="1273"/>
      <c r="D1243" s="1284"/>
      <c r="E1243" s="1637" t="s">
        <v>2342</v>
      </c>
      <c r="F1243" s="1286"/>
      <c r="G1243" s="1287"/>
      <c r="H1243" s="1353">
        <f t="shared" si="50"/>
        <v>0</v>
      </c>
      <c r="I1243" s="1277"/>
      <c r="J1243" s="1277"/>
      <c r="K1243" s="1278"/>
      <c r="L1243" s="1125">
        <v>250</v>
      </c>
    </row>
    <row r="1244" spans="1:15" s="1279" customFormat="1" ht="20.100000000000001" customHeight="1">
      <c r="A1244" s="1377">
        <f t="shared" si="51"/>
        <v>0</v>
      </c>
      <c r="B1244" s="1582" t="s">
        <v>658</v>
      </c>
      <c r="C1244" s="1286"/>
      <c r="D1244" s="1288">
        <f>VLOOKUP($B1244,DG!A:D,DG!$B$2,)</f>
        <v>0</v>
      </c>
      <c r="E1244" s="1289" t="str">
        <f>VLOOKUP($B1244,DG!A:D,DG!$C$2,)</f>
        <v xml:space="preserve">Ximăng </v>
      </c>
      <c r="F1244" s="1288" t="str">
        <f>VLOOKUP($B1244,DG!A:D,DG!$D$2,)</f>
        <v>kg</v>
      </c>
      <c r="G1244" s="1276">
        <f>G1242*L1247</f>
        <v>0</v>
      </c>
      <c r="H1244" s="1353">
        <f t="shared" si="50"/>
        <v>0</v>
      </c>
      <c r="I1244" s="1277"/>
      <c r="J1244" s="1277"/>
      <c r="K1244" s="1278"/>
      <c r="L1244" s="1125">
        <v>250</v>
      </c>
    </row>
    <row r="1245" spans="1:15" s="1279" customFormat="1" ht="20.100000000000001" customHeight="1">
      <c r="A1245" s="1377">
        <f t="shared" si="51"/>
        <v>0</v>
      </c>
      <c r="B1245" s="1582" t="s">
        <v>4654</v>
      </c>
      <c r="C1245" s="1273"/>
      <c r="D1245" s="1288">
        <f>VLOOKUP($B1245,DG!A:D,DG!$B$2,)</f>
        <v>0</v>
      </c>
      <c r="E1245" s="1289" t="str">
        <f>VLOOKUP($B1245,DG!A:D,DG!$C$2,)</f>
        <v>Cát vàng</v>
      </c>
      <c r="F1245" s="1288" t="str">
        <f>VLOOKUP($B1245,DG!A:D,DG!$D$2,)</f>
        <v>m3</v>
      </c>
      <c r="G1245" s="1276">
        <f>G1242*M1247</f>
        <v>0</v>
      </c>
      <c r="H1245" s="1353">
        <f t="shared" si="50"/>
        <v>0</v>
      </c>
      <c r="I1245" s="1277"/>
      <c r="J1245" s="1277"/>
      <c r="K1245" s="1278"/>
      <c r="L1245" s="1125">
        <v>250</v>
      </c>
    </row>
    <row r="1246" spans="1:15" s="1279" customFormat="1" ht="20.100000000000001" customHeight="1">
      <c r="A1246" s="1377">
        <f t="shared" si="51"/>
        <v>0</v>
      </c>
      <c r="B1246" s="1582" t="s">
        <v>217</v>
      </c>
      <c r="C1246" s="1273"/>
      <c r="D1246" s="1288">
        <f>VLOOKUP($B1246,DG!A:D,DG!$B$2,)</f>
        <v>0</v>
      </c>
      <c r="E1246" s="1289" t="str">
        <f>VLOOKUP($B1246,DG!A:D,DG!$C$2,)</f>
        <v>Đá 1x2</v>
      </c>
      <c r="F1246" s="1288" t="str">
        <f>VLOOKUP($B1246,DG!A:D,DG!$D$2,)</f>
        <v>m3</v>
      </c>
      <c r="G1246" s="1276">
        <f>G1242*N1247</f>
        <v>0</v>
      </c>
      <c r="H1246" s="1353">
        <f t="shared" si="50"/>
        <v>0</v>
      </c>
      <c r="I1246" s="1277"/>
      <c r="J1246" s="1277"/>
      <c r="K1246" s="1278"/>
      <c r="L1246" s="1125">
        <v>250</v>
      </c>
    </row>
    <row r="1247" spans="1:15" s="1279" customFormat="1" ht="20.100000000000001" customHeight="1">
      <c r="A1247" s="1377">
        <f t="shared" si="51"/>
        <v>0</v>
      </c>
      <c r="B1247" s="1582" t="s">
        <v>659</v>
      </c>
      <c r="C1247" s="1286"/>
      <c r="D1247" s="1288" t="str">
        <f>VLOOKUP($B1247,DG!A:D,DG!$B$2,)</f>
        <v>04.1203c</v>
      </c>
      <c r="E1247" s="1289" t="str">
        <f>VLOOKUP($B1247,DG!A:D,DG!$C$2,)</f>
        <v>Đổ bê tông móng trụ &lt;=250cm-M200 đá 1x2</v>
      </c>
      <c r="F1247" s="1288" t="str">
        <f>VLOOKUP($B1247,DG!A:D,DG!$D$2,)</f>
        <v>m3</v>
      </c>
      <c r="G1247" s="1276">
        <f>G1242*(0.4*3*1-2*3.14*0.15^2*0.4)*1.025</f>
        <v>0</v>
      </c>
      <c r="H1247" s="1353">
        <f t="shared" si="50"/>
        <v>0</v>
      </c>
      <c r="I1247" s="1277"/>
      <c r="J1247" s="1277"/>
      <c r="K1247" s="1278"/>
      <c r="L1247" s="1125">
        <v>250</v>
      </c>
      <c r="M1247" s="1291">
        <f>1.025*0.45</f>
        <v>0.46124999999999999</v>
      </c>
      <c r="N1247" s="1291">
        <f>1.025*0.866</f>
        <v>0.88764999999999994</v>
      </c>
      <c r="O1247" s="1466"/>
    </row>
    <row r="1248" spans="1:15" s="1279" customFormat="1" ht="20.100000000000001" customHeight="1">
      <c r="A1248" s="1377">
        <f t="shared" si="51"/>
        <v>0</v>
      </c>
      <c r="B1248" s="1582"/>
      <c r="C1248" s="1280">
        <f>IF(G1248&gt;0,C1242+1,C1242)</f>
        <v>2</v>
      </c>
      <c r="D1248" s="1281"/>
      <c r="E1248" s="1282" t="s">
        <v>3821</v>
      </c>
      <c r="F1248" s="1280" t="s">
        <v>2449</v>
      </c>
      <c r="G1248" s="1283"/>
      <c r="H1248" s="1353">
        <f t="shared" si="50"/>
        <v>0</v>
      </c>
      <c r="I1248" s="1277"/>
      <c r="J1248" s="1277"/>
      <c r="K1248" s="1278"/>
      <c r="L1248" s="1125">
        <v>250</v>
      </c>
    </row>
    <row r="1249" spans="1:15" s="1279" customFormat="1" ht="20.100000000000001" customHeight="1">
      <c r="A1249" s="1377">
        <f>IF(A1248&gt;0,1,0)</f>
        <v>0</v>
      </c>
      <c r="B1249" s="1582"/>
      <c r="C1249" s="1273"/>
      <c r="D1249" s="1284"/>
      <c r="E1249" s="1637" t="s">
        <v>2342</v>
      </c>
      <c r="F1249" s="1286"/>
      <c r="G1249" s="1287"/>
      <c r="H1249" s="1353">
        <f t="shared" si="50"/>
        <v>0</v>
      </c>
      <c r="I1249" s="1277"/>
      <c r="J1249" s="1277"/>
      <c r="K1249" s="1278"/>
      <c r="L1249" s="1125">
        <v>250</v>
      </c>
    </row>
    <row r="1250" spans="1:15" s="1279" customFormat="1" ht="20.100000000000001" customHeight="1">
      <c r="A1250" s="1377">
        <f t="shared" si="51"/>
        <v>0</v>
      </c>
      <c r="B1250" s="1582" t="s">
        <v>658</v>
      </c>
      <c r="C1250" s="1286"/>
      <c r="D1250" s="1288">
        <f>VLOOKUP($B1250,DG!A:D,DG!$B$2,)</f>
        <v>0</v>
      </c>
      <c r="E1250" s="1289" t="str">
        <f>VLOOKUP($B1250,DG!A:D,DG!$C$2,)</f>
        <v xml:space="preserve">Ximăng </v>
      </c>
      <c r="F1250" s="1288" t="str">
        <f>VLOOKUP($B1250,DG!A:D,DG!$D$2,)</f>
        <v>kg</v>
      </c>
      <c r="G1250" s="1276">
        <f>G1253*L1253</f>
        <v>0</v>
      </c>
      <c r="H1250" s="1353">
        <f t="shared" si="50"/>
        <v>0</v>
      </c>
      <c r="I1250" s="1277"/>
      <c r="J1250" s="1277"/>
      <c r="K1250" s="1278"/>
      <c r="L1250" s="1125">
        <v>250</v>
      </c>
    </row>
    <row r="1251" spans="1:15" s="1279" customFormat="1" ht="20.100000000000001" customHeight="1">
      <c r="A1251" s="1377">
        <f t="shared" si="51"/>
        <v>0</v>
      </c>
      <c r="B1251" s="1582" t="s">
        <v>4654</v>
      </c>
      <c r="C1251" s="1273"/>
      <c r="D1251" s="1288">
        <f>VLOOKUP($B1251,DG!A:D,DG!$B$2,)</f>
        <v>0</v>
      </c>
      <c r="E1251" s="1289" t="str">
        <f>VLOOKUP($B1251,DG!A:D,DG!$C$2,)</f>
        <v>Cát vàng</v>
      </c>
      <c r="F1251" s="1288" t="str">
        <f>VLOOKUP($B1251,DG!A:D,DG!$D$2,)</f>
        <v>m3</v>
      </c>
      <c r="G1251" s="1290">
        <f>G1253*M1253</f>
        <v>0</v>
      </c>
      <c r="H1251" s="1353">
        <f t="shared" si="50"/>
        <v>0</v>
      </c>
      <c r="I1251" s="1277"/>
      <c r="J1251" s="1277"/>
      <c r="K1251" s="1278"/>
      <c r="L1251" s="1125">
        <v>250</v>
      </c>
    </row>
    <row r="1252" spans="1:15" s="1279" customFormat="1" ht="20.100000000000001" customHeight="1">
      <c r="A1252" s="1377">
        <f t="shared" si="51"/>
        <v>0</v>
      </c>
      <c r="B1252" s="1582" t="s">
        <v>217</v>
      </c>
      <c r="C1252" s="1273"/>
      <c r="D1252" s="1288">
        <f>VLOOKUP($B1252,DG!A:D,DG!$B$2,)</f>
        <v>0</v>
      </c>
      <c r="E1252" s="1289" t="str">
        <f>VLOOKUP($B1252,DG!A:D,DG!$C$2,)</f>
        <v>Đá 1x2</v>
      </c>
      <c r="F1252" s="1288" t="str">
        <f>VLOOKUP($B1252,DG!A:D,DG!$D$2,)</f>
        <v>m3</v>
      </c>
      <c r="G1252" s="1290">
        <f>G1253*N1253</f>
        <v>0</v>
      </c>
      <c r="H1252" s="1353">
        <f t="shared" si="50"/>
        <v>0</v>
      </c>
      <c r="I1252" s="1277"/>
      <c r="J1252" s="1277"/>
      <c r="K1252" s="1278"/>
      <c r="L1252" s="1125">
        <v>250</v>
      </c>
    </row>
    <row r="1253" spans="1:15" s="1279" customFormat="1" ht="20.100000000000001" customHeight="1">
      <c r="A1253" s="1377">
        <f t="shared" si="51"/>
        <v>0</v>
      </c>
      <c r="B1253" s="1582" t="s">
        <v>659</v>
      </c>
      <c r="C1253" s="1286"/>
      <c r="D1253" s="1288" t="str">
        <f>VLOOKUP($B1253,DG!A:D,DG!$B$2,)</f>
        <v>04.1203c</v>
      </c>
      <c r="E1253" s="1289" t="str">
        <f>VLOOKUP($B1253,DG!A:D,DG!$C$2,)</f>
        <v>Đổ bê tông móng trụ &lt;=250cm-M200 đá 1x2</v>
      </c>
      <c r="F1253" s="1288" t="str">
        <f>VLOOKUP($B1253,DG!A:D,DG!$D$2,)</f>
        <v>m3</v>
      </c>
      <c r="G1253" s="1276">
        <f>G1248*0.2*0.2*(0.2+0.2+0.8+0.8+2*4)</f>
        <v>0</v>
      </c>
      <c r="H1253" s="1353">
        <f t="shared" si="50"/>
        <v>0</v>
      </c>
      <c r="I1253" s="1277"/>
      <c r="J1253" s="1277"/>
      <c r="K1253" s="1278"/>
      <c r="L1253" s="1125">
        <v>250</v>
      </c>
      <c r="M1253" s="1291">
        <f>1.025*0.45</f>
        <v>0.46124999999999999</v>
      </c>
      <c r="N1253" s="1291">
        <f>1.025*0.866</f>
        <v>0.88764999999999994</v>
      </c>
      <c r="O1253" s="1466"/>
    </row>
    <row r="1254" spans="1:15" s="1279" customFormat="1" ht="20.100000000000001" customHeight="1">
      <c r="A1254" s="1377">
        <f t="shared" si="51"/>
        <v>0</v>
      </c>
      <c r="B1254" s="1582"/>
      <c r="C1254" s="1280">
        <f>IF(G1254&gt;0,C1248+1,C1248)</f>
        <v>3</v>
      </c>
      <c r="D1254" s="1281"/>
      <c r="E1254" s="1282" t="s">
        <v>3838</v>
      </c>
      <c r="F1254" s="1280" t="s">
        <v>2449</v>
      </c>
      <c r="G1254" s="1283">
        <v>1</v>
      </c>
      <c r="H1254" s="1353">
        <f t="shared" si="50"/>
        <v>0</v>
      </c>
      <c r="I1254" s="1277"/>
      <c r="J1254" s="1277"/>
      <c r="K1254" s="1312"/>
      <c r="L1254" s="1125">
        <v>250</v>
      </c>
    </row>
    <row r="1255" spans="1:15" s="1279" customFormat="1" ht="20.100000000000001" customHeight="1">
      <c r="A1255" s="1377">
        <f>IF(A1254&gt;0,1,0)</f>
        <v>0</v>
      </c>
      <c r="B1255" s="1582"/>
      <c r="C1255" s="1273"/>
      <c r="D1255" s="1284"/>
      <c r="E1255" s="1637" t="s">
        <v>2342</v>
      </c>
      <c r="F1255" s="1286"/>
      <c r="G1255" s="1287"/>
      <c r="H1255" s="1353">
        <f t="shared" si="50"/>
        <v>0</v>
      </c>
      <c r="I1255" s="1277"/>
      <c r="J1255" s="1277"/>
      <c r="K1255" s="1312"/>
      <c r="L1255" s="1125">
        <v>250</v>
      </c>
    </row>
    <row r="1256" spans="1:15" s="1279" customFormat="1" ht="20.100000000000001" customHeight="1">
      <c r="A1256" s="1377">
        <f t="shared" si="51"/>
        <v>0</v>
      </c>
      <c r="B1256" s="83" t="s">
        <v>1556</v>
      </c>
      <c r="C1256" s="1286"/>
      <c r="D1256" s="1288" t="str">
        <f>VLOOKUP($B1256,DG!A:D,DG!$B$2,)</f>
        <v>05.1002</v>
      </c>
      <c r="E1256" s="1289" t="str">
        <f>VLOOKUP($B1256,DG!A:D,DG!$C$2,)</f>
        <v>Vỏ tủ trạm giàn 2 ngăn + khóa tủ</v>
      </c>
      <c r="F1256" s="1288" t="str">
        <f>VLOOKUP($B1256,DG!A:D,DG!$D$2,)</f>
        <v>cái</v>
      </c>
      <c r="G1256" s="1287">
        <f>G1254</f>
        <v>1</v>
      </c>
      <c r="H1256" s="1353">
        <f t="shared" si="50"/>
        <v>0</v>
      </c>
      <c r="I1256" s="1277"/>
      <c r="J1256" s="1277"/>
      <c r="K1256" s="1312"/>
      <c r="L1256" s="1125">
        <v>250</v>
      </c>
    </row>
    <row r="1257" spans="1:15" s="1279" customFormat="1" ht="20.100000000000001" customHeight="1">
      <c r="A1257" s="1377">
        <f t="shared" si="51"/>
        <v>0</v>
      </c>
      <c r="B1257" s="117" t="s">
        <v>1839</v>
      </c>
      <c r="C1257" s="1286"/>
      <c r="D1257" s="1288">
        <f>VLOOKUP($B1257,DG!A:D,DG!$B$2,)</f>
        <v>0</v>
      </c>
      <c r="E1257" s="1289" t="str">
        <f>VLOOKUP($B1257,DG!A:D,DG!$C$2,)</f>
        <v>Boulon 16x50+ 2 long đền vuông D18-50x50x3/Zn</v>
      </c>
      <c r="F1257" s="1288" t="str">
        <f>VLOOKUP($B1257,DG!A:D,DG!$D$2,)</f>
        <v>bộ</v>
      </c>
      <c r="G1257" s="1287">
        <v>12</v>
      </c>
      <c r="H1257" s="1353">
        <f t="shared" si="50"/>
        <v>0</v>
      </c>
      <c r="I1257" s="1277"/>
      <c r="J1257" s="1277"/>
      <c r="K1257" s="1312"/>
      <c r="L1257" s="1125">
        <v>250</v>
      </c>
    </row>
    <row r="1258" spans="1:15" s="1279" customFormat="1" ht="20.100000000000001" customHeight="1">
      <c r="A1258" s="1377">
        <f t="shared" si="51"/>
        <v>0</v>
      </c>
      <c r="B1258" s="1582" t="s">
        <v>897</v>
      </c>
      <c r="C1258" s="1273"/>
      <c r="D1258" s="1288">
        <f>VLOOKUP($B1258,DG!A:D,DG!$B$2,)</f>
        <v>0</v>
      </c>
      <c r="E1258" s="1289" t="str">
        <f>VLOOKUP($B1258,DG!A:D,DG!$C$2,)</f>
        <v xml:space="preserve">Bakelit 550x450 dầy 10mm </v>
      </c>
      <c r="F1258" s="1288" t="str">
        <f>VLOOKUP($B1258,DG!A:D,DG!$D$2,)</f>
        <v>cái</v>
      </c>
      <c r="G1258" s="1287">
        <v>3</v>
      </c>
      <c r="H1258" s="1353">
        <f t="shared" si="50"/>
        <v>0</v>
      </c>
      <c r="I1258" s="1277"/>
      <c r="J1258" s="1277"/>
      <c r="K1258" s="1312"/>
      <c r="L1258" s="1125">
        <v>250</v>
      </c>
    </row>
    <row r="1259" spans="1:15" s="1279" customFormat="1" ht="20.100000000000001" customHeight="1">
      <c r="A1259" s="1377">
        <f t="shared" si="51"/>
        <v>0</v>
      </c>
      <c r="B1259" s="1582" t="s">
        <v>290</v>
      </c>
      <c r="C1259" s="1286"/>
      <c r="D1259" s="1288" t="str">
        <f>VLOOKUP($B1259,DG!A:D,DG!$B$2,)</f>
        <v>06.3191</v>
      </c>
      <c r="E1259" s="1289" t="str">
        <f>VLOOKUP($B1259,DG!A:D,DG!$C$2,)</f>
        <v>Bảng tên trạm, bảng báo nguy hiểm + đinh vít</v>
      </c>
      <c r="F1259" s="1288" t="str">
        <f>VLOOKUP($B1259,DG!A:D,DG!$D$2,)</f>
        <v>bộ</v>
      </c>
      <c r="G1259" s="1287"/>
      <c r="H1259" s="1353">
        <f t="shared" si="50"/>
        <v>0</v>
      </c>
      <c r="I1259" s="1277"/>
      <c r="J1259" s="1277"/>
      <c r="K1259" s="1312"/>
      <c r="L1259" s="1125">
        <v>250</v>
      </c>
    </row>
    <row r="1260" spans="1:15" s="1279" customFormat="1" ht="20.100000000000001" customHeight="1">
      <c r="A1260" s="1377">
        <f t="shared" si="51"/>
        <v>0</v>
      </c>
      <c r="B1260" s="1582"/>
      <c r="C1260" s="1280">
        <f>IF(G1260&gt;0,C1254+1,C1254)</f>
        <v>3</v>
      </c>
      <c r="D1260" s="1281"/>
      <c r="E1260" s="1282" t="s">
        <v>3823</v>
      </c>
      <c r="F1260" s="1280" t="s">
        <v>2596</v>
      </c>
      <c r="G1260" s="1347">
        <f>G1134*0</f>
        <v>0</v>
      </c>
      <c r="H1260" s="1353">
        <f t="shared" ref="H1260:H1323" si="52">IF(L1260=$L$23,G1260+I1260-J1260,0)</f>
        <v>0</v>
      </c>
      <c r="I1260" s="1277"/>
      <c r="J1260" s="1277"/>
      <c r="K1260" s="1278"/>
      <c r="L1260" s="1125">
        <v>250</v>
      </c>
    </row>
    <row r="1261" spans="1:15" s="1279" customFormat="1" ht="20.100000000000001" customHeight="1">
      <c r="A1261" s="1377">
        <f>IF(A1260&gt;0,1,0)</f>
        <v>0</v>
      </c>
      <c r="B1261" s="1582"/>
      <c r="C1261" s="1273"/>
      <c r="D1261" s="1284"/>
      <c r="E1261" s="1637" t="s">
        <v>2342</v>
      </c>
      <c r="F1261" s="1286"/>
      <c r="G1261" s="1348"/>
      <c r="H1261" s="1353">
        <f t="shared" si="52"/>
        <v>0</v>
      </c>
      <c r="I1261" s="1277"/>
      <c r="J1261" s="1277"/>
      <c r="K1261" s="1278"/>
      <c r="L1261" s="1125">
        <v>250</v>
      </c>
    </row>
    <row r="1262" spans="1:15" s="1279" customFormat="1" ht="20.100000000000001" customHeight="1">
      <c r="A1262" s="1377">
        <f t="shared" si="51"/>
        <v>0</v>
      </c>
      <c r="B1262" s="1582" t="s">
        <v>4654</v>
      </c>
      <c r="C1262" s="1286"/>
      <c r="D1262" s="1288">
        <f>VLOOKUP($B1262,DG!A:D,DG!$B$2,)</f>
        <v>0</v>
      </c>
      <c r="E1262" s="1310" t="str">
        <f>VLOOKUP($B1262,DG!A:D,DG!$C$2,)&amp;": 0,315m3/m"</f>
        <v>Cát vàng: 0,315m3/m</v>
      </c>
      <c r="F1262" s="1288" t="str">
        <f>VLOOKUP($B1262,DG!A:D,DG!$D$2,)</f>
        <v>m3</v>
      </c>
      <c r="G1262" s="1276">
        <f>G1260*0.315</f>
        <v>0</v>
      </c>
      <c r="H1262" s="1353">
        <f t="shared" si="52"/>
        <v>0</v>
      </c>
      <c r="I1262" s="1277"/>
      <c r="J1262" s="1277"/>
      <c r="K1262" s="1278"/>
      <c r="L1262" s="1125">
        <v>250</v>
      </c>
    </row>
    <row r="1263" spans="1:15" s="1279" customFormat="1" ht="20.100000000000001" customHeight="1">
      <c r="A1263" s="1377">
        <f t="shared" si="51"/>
        <v>0</v>
      </c>
      <c r="B1263" s="1584" t="s">
        <v>523</v>
      </c>
      <c r="C1263" s="1286"/>
      <c r="D1263" s="1288">
        <f>VLOOKUP($B1263,DG!A:D,DG!$B$2,)</f>
        <v>0</v>
      </c>
      <c r="E1263" s="1310" t="str">
        <f>VLOOKUP($B1263,DG!A:D,DG!$C$2,)&amp;": 0,092m3/m"</f>
        <v>Đá 2x4: 0,092m3/m</v>
      </c>
      <c r="F1263" s="1288" t="str">
        <f>VLOOKUP($B1263,DG!A:D,DG!$D$2,)</f>
        <v>m3</v>
      </c>
      <c r="G1263" s="1276">
        <f>0.092*G1260</f>
        <v>0</v>
      </c>
      <c r="H1263" s="1353">
        <f t="shared" si="52"/>
        <v>0</v>
      </c>
      <c r="I1263" s="1277"/>
      <c r="J1263" s="1277"/>
      <c r="K1263" s="1278"/>
      <c r="L1263" s="1125">
        <v>250</v>
      </c>
    </row>
    <row r="1264" spans="1:15" s="1279" customFormat="1" ht="20.100000000000001" customHeight="1">
      <c r="A1264" s="1377">
        <f t="shared" si="51"/>
        <v>0</v>
      </c>
      <c r="B1264" s="1584" t="s">
        <v>1728</v>
      </c>
      <c r="C1264" s="1286"/>
      <c r="D1264" s="1288">
        <f>VLOOKUP($B1264,DG!A:D,DG!$B$2,)</f>
        <v>0</v>
      </c>
      <c r="E1264" s="1310" t="str">
        <f>VLOOKUP($B1264,DG!A:D,DG!$C$2,)&amp;": 3,3vieân/m"</f>
        <v>Gạch tàu: 3,3vieân/m</v>
      </c>
      <c r="F1264" s="1288" t="str">
        <f>VLOOKUP($B1264,DG!A:D,DG!$D$2,)</f>
        <v>viên</v>
      </c>
      <c r="G1264" s="1276">
        <f>3.3*G1260</f>
        <v>0</v>
      </c>
      <c r="H1264" s="1353">
        <f t="shared" si="52"/>
        <v>0</v>
      </c>
      <c r="I1264" s="1277"/>
      <c r="J1264" s="1277"/>
      <c r="K1264" s="1278"/>
      <c r="L1264" s="1125">
        <v>250</v>
      </c>
    </row>
    <row r="1265" spans="1:13" s="1279" customFormat="1" ht="20.100000000000001" customHeight="1">
      <c r="A1265" s="1377">
        <f t="shared" si="51"/>
        <v>0</v>
      </c>
      <c r="B1265" s="1584" t="s">
        <v>1729</v>
      </c>
      <c r="C1265" s="1286"/>
      <c r="D1265" s="1288">
        <f>VLOOKUP($B1265,DG!A:D,DG!$B$2,)</f>
        <v>0</v>
      </c>
      <c r="E1265" s="1310" t="str">
        <f>VLOOKUP($B1265,DG!A:D,DG!$C$2,)&amp;": 0,4m2/m"</f>
        <v>Tấm nilông màu cảnh báo: 0,4m2/m</v>
      </c>
      <c r="F1265" s="1288" t="str">
        <f>VLOOKUP($B1265,DG!A:D,DG!$D$2,)</f>
        <v>m2</v>
      </c>
      <c r="G1265" s="1276">
        <f>0.4*G1260</f>
        <v>0</v>
      </c>
      <c r="H1265" s="1353">
        <f t="shared" si="52"/>
        <v>0</v>
      </c>
      <c r="I1265" s="1277"/>
      <c r="J1265" s="1277"/>
      <c r="K1265" s="1278"/>
      <c r="L1265" s="1125">
        <v>250</v>
      </c>
    </row>
    <row r="1266" spans="1:13" s="1279" customFormat="1" ht="20.100000000000001" customHeight="1">
      <c r="A1266" s="1377">
        <f t="shared" si="51"/>
        <v>0</v>
      </c>
      <c r="B1266" s="1584" t="s">
        <v>1570</v>
      </c>
      <c r="C1266" s="1273"/>
      <c r="D1266" s="1288">
        <f>VLOOKUP($B1266,DG!A:D,DG!$B$2,)</f>
        <v>0</v>
      </c>
      <c r="E1266" s="1310" t="str">
        <f>VLOOKUP($B1266,DG!A:D,DG!$C$2,)</f>
        <v>Ống PVC D140x6,7mm</v>
      </c>
      <c r="F1266" s="1288" t="str">
        <f>VLOOKUP($B1266,DG!A:D,DG!$D$2,)</f>
        <v>m</v>
      </c>
      <c r="G1266" s="1276">
        <f>1*G1260</f>
        <v>0</v>
      </c>
      <c r="H1266" s="1353">
        <f t="shared" si="52"/>
        <v>0</v>
      </c>
      <c r="I1266" s="1277"/>
      <c r="J1266" s="1277"/>
      <c r="K1266" s="1278"/>
      <c r="L1266" s="1125">
        <v>250</v>
      </c>
    </row>
    <row r="1267" spans="1:13" s="1279" customFormat="1" ht="20.100000000000001" customHeight="1">
      <c r="A1267" s="1377">
        <f t="shared" si="51"/>
        <v>0</v>
      </c>
      <c r="B1267" s="1584" t="s">
        <v>1731</v>
      </c>
      <c r="C1267" s="1286"/>
      <c r="D1267" s="1288" t="str">
        <f>VLOOKUP($B1267,DG!A:D,DG!$B$2,)</f>
        <v>03.7000</v>
      </c>
      <c r="E1267" s="1310" t="str">
        <f>VLOOKUP($B1267,DG!A:D,DG!$C$2,)&amp;" + ñaép ñaù"</f>
        <v>Đắp cát  + ñaép ñaù</v>
      </c>
      <c r="F1267" s="1288" t="str">
        <f>VLOOKUP($B1267,DG!A:D,DG!$D$2,)</f>
        <v>m3</v>
      </c>
      <c r="G1267" s="1276">
        <f>G1262+G1263</f>
        <v>0</v>
      </c>
      <c r="H1267" s="1353">
        <f t="shared" si="52"/>
        <v>0</v>
      </c>
      <c r="I1267" s="1277"/>
      <c r="J1267" s="1277"/>
      <c r="K1267" s="1278"/>
      <c r="L1267" s="1125">
        <v>250</v>
      </c>
    </row>
    <row r="1268" spans="1:13" s="1279" customFormat="1" ht="20.100000000000001" customHeight="1">
      <c r="A1268" s="1377">
        <f t="shared" si="51"/>
        <v>0</v>
      </c>
      <c r="B1268" s="1584" t="s">
        <v>145</v>
      </c>
      <c r="C1268" s="1286"/>
      <c r="D1268" s="1288" t="str">
        <f>VLOOKUP($B1268,DG!A:D,DG!$B$2,)</f>
        <v>03.3103</v>
      </c>
      <c r="E1268" s="1310" t="str">
        <f>VLOOKUP($B1268,DG!A:D,DG!$C$2,)&amp;" : 0,48m3/m"</f>
        <v>Đào mương cáp ngầm đất cấp 3 : 0,48m3/m</v>
      </c>
      <c r="F1268" s="1288" t="str">
        <f>VLOOKUP($B1268,DG!A:D,DG!$D$2,)</f>
        <v>m3</v>
      </c>
      <c r="G1268" s="1276">
        <f>G1260*0.48</f>
        <v>0</v>
      </c>
      <c r="H1268" s="1353">
        <f t="shared" si="52"/>
        <v>0</v>
      </c>
      <c r="I1268" s="1277"/>
      <c r="J1268" s="1277"/>
      <c r="K1268" s="1278"/>
      <c r="L1268" s="1125">
        <v>250</v>
      </c>
    </row>
    <row r="1269" spans="1:13" s="1279" customFormat="1" ht="20.100000000000001" customHeight="1">
      <c r="A1269" s="1377">
        <f t="shared" si="51"/>
        <v>0</v>
      </c>
      <c r="B1269" s="1584" t="s">
        <v>532</v>
      </c>
      <c r="C1269" s="1286"/>
      <c r="D1269" s="1288" t="str">
        <f>VLOOKUP($B1269,DG!A:D,DG!$B$2,)</f>
        <v>03.3203</v>
      </c>
      <c r="E1269" s="1310" t="str">
        <f>VLOOKUP($B1269,DG!A:D,DG!$C$2,)&amp;" : 0,073m3/m"</f>
        <v>Đắp đất mương cáp ngầm, đất cấp 3 : 0,073m3/m</v>
      </c>
      <c r="F1269" s="1288" t="str">
        <f>VLOOKUP($B1269,DG!A:D,DG!$D$2,)</f>
        <v>m3</v>
      </c>
      <c r="G1269" s="1276">
        <f>G1260*0.073</f>
        <v>0</v>
      </c>
      <c r="H1269" s="1353">
        <f t="shared" si="52"/>
        <v>0</v>
      </c>
      <c r="I1269" s="1277"/>
      <c r="J1269" s="1277"/>
      <c r="K1269" s="1278"/>
      <c r="L1269" s="1125">
        <v>250</v>
      </c>
      <c r="M1269" s="1349">
        <v>0.47499999999999998</v>
      </c>
    </row>
    <row r="1270" spans="1:13" s="1279" customFormat="1" ht="20.100000000000001" customHeight="1">
      <c r="A1270" s="1377">
        <f t="shared" si="51"/>
        <v>0</v>
      </c>
      <c r="B1270" s="1582"/>
      <c r="C1270" s="1280">
        <f>IF(G1270&gt;0,C1260+1,C1260)</f>
        <v>3</v>
      </c>
      <c r="D1270" s="1281"/>
      <c r="E1270" s="1282" t="s">
        <v>3824</v>
      </c>
      <c r="F1270" s="1280" t="s">
        <v>2449</v>
      </c>
      <c r="G1270" s="1283">
        <f>G1279</f>
        <v>0</v>
      </c>
      <c r="H1270" s="1353">
        <f t="shared" si="52"/>
        <v>0</v>
      </c>
      <c r="I1270" s="1277"/>
      <c r="J1270" s="1277"/>
      <c r="K1270" s="1278"/>
      <c r="L1270" s="1125">
        <v>250</v>
      </c>
      <c r="M1270" s="1349">
        <v>0.88100000000000001</v>
      </c>
    </row>
    <row r="1271" spans="1:13" s="1279" customFormat="1" ht="20.100000000000001" customHeight="1">
      <c r="A1271" s="1377">
        <f>IF(A1270&gt;0,1,0)</f>
        <v>0</v>
      </c>
      <c r="B1271" s="1582"/>
      <c r="C1271" s="1273"/>
      <c r="D1271" s="1284"/>
      <c r="E1271" s="1637" t="s">
        <v>2342</v>
      </c>
      <c r="F1271" s="1286"/>
      <c r="G1271" s="1348"/>
      <c r="H1271" s="1353">
        <f t="shared" si="52"/>
        <v>0</v>
      </c>
      <c r="I1271" s="1277"/>
      <c r="J1271" s="1277"/>
      <c r="K1271" s="1278"/>
      <c r="L1271" s="1125">
        <v>250</v>
      </c>
    </row>
    <row r="1272" spans="1:13" s="1279" customFormat="1" ht="20.100000000000001" customHeight="1">
      <c r="A1272" s="1377">
        <f t="shared" si="51"/>
        <v>0</v>
      </c>
      <c r="B1272" s="1582" t="s">
        <v>628</v>
      </c>
      <c r="C1272" s="1286"/>
      <c r="D1272" s="1288" t="str">
        <f>VLOOKUP($B1272,DG!A:D,DG!$B$2,)</f>
        <v>07.2204</v>
      </c>
      <c r="E1272" s="1289" t="str">
        <f>VLOOKUP($B1272,DG!A:D,DG!$C$2,)</f>
        <v>ÔÁng sắt tráng kẽm D140</v>
      </c>
      <c r="F1272" s="1288" t="str">
        <f>VLOOKUP($B1272,DG!A:D,DG!$D$2,)</f>
        <v>mét</v>
      </c>
      <c r="G1272" s="1276">
        <f>G1270*5*0</f>
        <v>0</v>
      </c>
      <c r="H1272" s="1353">
        <f t="shared" si="52"/>
        <v>0</v>
      </c>
      <c r="I1272" s="1277"/>
      <c r="J1272" s="1277"/>
      <c r="K1272" s="1278"/>
      <c r="L1272" s="1125">
        <v>250</v>
      </c>
    </row>
    <row r="1273" spans="1:13" s="1279" customFormat="1" ht="20.100000000000001" customHeight="1">
      <c r="A1273" s="1377">
        <f t="shared" si="51"/>
        <v>0</v>
      </c>
      <c r="B1273" s="1584" t="s">
        <v>476</v>
      </c>
      <c r="C1273" s="1273"/>
      <c r="D1273" s="1288">
        <f>VLOOKUP($B1273,DG!A:D,DG!$B$2,)</f>
        <v>0</v>
      </c>
      <c r="E1273" s="1289" t="str">
        <f>VLOOKUP($B1273,DG!A:D,DG!$C$2,)</f>
        <v>Co sừng 90 độ PVC 140</v>
      </c>
      <c r="F1273" s="1288" t="str">
        <f>VLOOKUP($B1273,DG!A:D,DG!$D$2,)</f>
        <v>cái</v>
      </c>
      <c r="G1273" s="1276">
        <f>G1270*0</f>
        <v>0</v>
      </c>
      <c r="H1273" s="1353">
        <f t="shared" si="52"/>
        <v>0</v>
      </c>
      <c r="I1273" s="1277"/>
      <c r="J1273" s="1277"/>
      <c r="K1273" s="1278"/>
      <c r="L1273" s="1125">
        <v>250</v>
      </c>
    </row>
    <row r="1274" spans="1:13" s="1279" customFormat="1" ht="20.100000000000001" customHeight="1">
      <c r="A1274" s="1377">
        <f t="shared" si="51"/>
        <v>0</v>
      </c>
      <c r="B1274" s="1582" t="s">
        <v>121</v>
      </c>
      <c r="C1274" s="1286"/>
      <c r="D1274" s="1288" t="str">
        <f>VLOOKUP($B1274,DG!A:D,DG!$B$2,)</f>
        <v>06.3231</v>
      </c>
      <c r="E1274" s="1289" t="str">
        <f>VLOOKUP($B1274,DG!A:D,DG!$C$2,)</f>
        <v>Cổ dê giữ ống STK D140 vào tường+Boulon+long đền+tắc ke sắt</v>
      </c>
      <c r="F1274" s="1288" t="str">
        <f>VLOOKUP($B1274,DG!A:D,DG!$D$2,)</f>
        <v>bộ</v>
      </c>
      <c r="G1274" s="1276">
        <f>G1270*2*0</f>
        <v>0</v>
      </c>
      <c r="H1274" s="1353">
        <f t="shared" si="52"/>
        <v>0</v>
      </c>
      <c r="I1274" s="1277"/>
      <c r="J1274" s="1277"/>
      <c r="K1274" s="1278"/>
      <c r="L1274" s="1125">
        <v>250</v>
      </c>
    </row>
    <row r="1275" spans="1:13" s="1279" customFormat="1" ht="20.100000000000001" customHeight="1">
      <c r="A1275" s="1377">
        <f t="shared" si="51"/>
        <v>0</v>
      </c>
      <c r="B1275" s="1378" t="s">
        <v>1442</v>
      </c>
      <c r="C1275" s="1286"/>
      <c r="D1275" s="1288">
        <f>VLOOKUP($B1275,DG!A:D,DG!$B$2,)</f>
        <v>0</v>
      </c>
      <c r="E1275" s="1289" t="str">
        <f>VLOOKUP($B1275,DG!A:D,DG!$C$2,)</f>
        <v>Giá đỡ cáp ngầm (V63x6)</v>
      </c>
      <c r="F1275" s="1288" t="str">
        <f>VLOOKUP($B1275,DG!A:D,DG!$D$2,)</f>
        <v>bộ</v>
      </c>
      <c r="G1275" s="1276">
        <f>G1270*0</f>
        <v>0</v>
      </c>
      <c r="H1275" s="1353">
        <f t="shared" si="52"/>
        <v>0</v>
      </c>
      <c r="I1275" s="1277"/>
      <c r="J1275" s="1277"/>
      <c r="K1275" s="1278"/>
      <c r="L1275" s="1125">
        <v>250</v>
      </c>
    </row>
    <row r="1276" spans="1:13" s="1279" customFormat="1" ht="20.100000000000001" customHeight="1">
      <c r="A1276" s="1377">
        <f t="shared" si="51"/>
        <v>0</v>
      </c>
      <c r="B1276" s="1378" t="s">
        <v>2200</v>
      </c>
      <c r="C1276" s="1286"/>
      <c r="D1276" s="1288">
        <f>VLOOKUP($B1276,DG!A:D,DG!$B$2,)</f>
        <v>0</v>
      </c>
      <c r="E1276" s="1289" t="str">
        <f>VLOOKUP($B1276,DG!A:D,DG!$C$2,)</f>
        <v>Giá đỡ cáp trung hạ thế</v>
      </c>
      <c r="F1276" s="1288" t="str">
        <f>VLOOKUP($B1276,DG!A:D,DG!$D$2,)</f>
        <v>bộ</v>
      </c>
      <c r="G1276" s="1276">
        <f>G1270</f>
        <v>0</v>
      </c>
      <c r="H1276" s="1353">
        <f t="shared" si="52"/>
        <v>0</v>
      </c>
      <c r="I1276" s="1277"/>
      <c r="J1276" s="1277"/>
      <c r="K1276" s="1278"/>
      <c r="L1276" s="1125">
        <v>250</v>
      </c>
    </row>
    <row r="1277" spans="1:13" s="1279" customFormat="1" ht="20.100000000000001" customHeight="1">
      <c r="A1277" s="1377">
        <f t="shared" si="51"/>
        <v>0</v>
      </c>
      <c r="B1277" s="1582" t="s">
        <v>1443</v>
      </c>
      <c r="C1277" s="1273"/>
      <c r="D1277" s="1288" t="str">
        <f>VLOOKUP($B1277,DG!A:D,DG!$B$2,)</f>
        <v>05.6101</v>
      </c>
      <c r="E1277" s="1289" t="str">
        <f>VLOOKUP($B1277,DG!A:D,DG!$C$2,)</f>
        <v>Lắp Giá đỡ cáp</v>
      </c>
      <c r="F1277" s="1288" t="str">
        <f>VLOOKUP($B1277,DG!A:D,DG!$D$2,)</f>
        <v>bộ</v>
      </c>
      <c r="G1277" s="1276">
        <f>G1275+G1276</f>
        <v>0</v>
      </c>
      <c r="H1277" s="1353">
        <f t="shared" si="52"/>
        <v>0</v>
      </c>
      <c r="I1277" s="1277"/>
      <c r="J1277" s="1277"/>
      <c r="K1277" s="1278"/>
      <c r="L1277" s="1125">
        <v>250</v>
      </c>
    </row>
    <row r="1278" spans="1:13" s="1279" customFormat="1" ht="20.100000000000001" customHeight="1">
      <c r="A1278" s="1377">
        <f t="shared" si="51"/>
        <v>0</v>
      </c>
      <c r="B1278" s="1582" t="s">
        <v>290</v>
      </c>
      <c r="C1278" s="1286"/>
      <c r="D1278" s="1288" t="str">
        <f>VLOOKUP($B1278,DG!A:D,DG!$B$2,)</f>
        <v>06.3191</v>
      </c>
      <c r="E1278" s="1289" t="str">
        <f>VLOOKUP($B1278,DG!A:D,DG!$C$2,)</f>
        <v>Bảng tên trạm, bảng báo nguy hiểm + đinh vít</v>
      </c>
      <c r="F1278" s="1288" t="str">
        <f>VLOOKUP($B1278,DG!A:D,DG!$D$2,)</f>
        <v>bộ</v>
      </c>
      <c r="G1278" s="1276">
        <f>G1270*0</f>
        <v>0</v>
      </c>
      <c r="H1278" s="1353">
        <f t="shared" si="52"/>
        <v>0</v>
      </c>
      <c r="I1278" s="1277"/>
      <c r="J1278" s="1277"/>
      <c r="K1278" s="1278"/>
      <c r="L1278" s="1125">
        <v>250</v>
      </c>
    </row>
    <row r="1279" spans="1:13" s="1279" customFormat="1" ht="20.100000000000001" customHeight="1">
      <c r="A1279" s="1377">
        <f t="shared" si="51"/>
        <v>0</v>
      </c>
      <c r="B1279" s="1582"/>
      <c r="C1279" s="1280">
        <f>IF(G1279&gt;0,C1270+1,C1270)</f>
        <v>3</v>
      </c>
      <c r="D1279" s="1281"/>
      <c r="E1279" s="1292" t="s">
        <v>3825</v>
      </c>
      <c r="F1279" s="1280" t="s">
        <v>2449</v>
      </c>
      <c r="G1279" s="1283">
        <f>G1134*0</f>
        <v>0</v>
      </c>
      <c r="H1279" s="1353">
        <f t="shared" si="52"/>
        <v>0</v>
      </c>
      <c r="I1279" s="1277"/>
      <c r="J1279" s="1277"/>
      <c r="K1279" s="1278"/>
      <c r="L1279" s="1125">
        <v>250</v>
      </c>
    </row>
    <row r="1280" spans="1:13" s="1279" customFormat="1" ht="20.100000000000001" customHeight="1">
      <c r="A1280" s="1377">
        <f>IF(A1279&gt;0,1,0)</f>
        <v>0</v>
      </c>
      <c r="B1280" s="1582"/>
      <c r="C1280" s="1273"/>
      <c r="D1280" s="1284"/>
      <c r="E1280" s="1638" t="s">
        <v>2342</v>
      </c>
      <c r="F1280" s="1273"/>
      <c r="G1280" s="1293"/>
      <c r="H1280" s="1353">
        <f t="shared" si="52"/>
        <v>0</v>
      </c>
      <c r="I1280" s="1277"/>
      <c r="J1280" s="1277"/>
      <c r="K1280" s="1278"/>
      <c r="L1280" s="1125">
        <v>250</v>
      </c>
    </row>
    <row r="1281" spans="1:12" s="1279" customFormat="1" ht="20.100000000000001" customHeight="1">
      <c r="A1281" s="1377">
        <f t="shared" si="51"/>
        <v>0</v>
      </c>
      <c r="B1281" s="1378" t="s">
        <v>473</v>
      </c>
      <c r="C1281" s="1286"/>
      <c r="D1281" s="1274">
        <f>VLOOKUP($B1281,DG!A:D,DG!$B$2,)</f>
        <v>0</v>
      </c>
      <c r="E1281" s="1275" t="str">
        <f>VLOOKUP($B1281,DG!A:D,DG!$C$2,)&amp;": trong möông vaø leân MBA"</f>
        <v>Cáp 24kV C/XLPE/DSTA/PVC3x50: trong möông vaø leân MBA</v>
      </c>
      <c r="F1281" s="1274" t="str">
        <f>VLOOKUP($B1281,DG!A:D,DG!$D$2,)</f>
        <v>mét</v>
      </c>
      <c r="G1281" s="1276">
        <f>G1260+G1279*8</f>
        <v>0</v>
      </c>
      <c r="H1281" s="1353">
        <f t="shared" si="52"/>
        <v>0</v>
      </c>
      <c r="I1281" s="1277"/>
      <c r="J1281" s="1277"/>
      <c r="K1281" s="1278"/>
      <c r="L1281" s="1125">
        <v>250</v>
      </c>
    </row>
    <row r="1282" spans="1:12" s="1279" customFormat="1" ht="20.100000000000001" customHeight="1">
      <c r="A1282" s="1377">
        <f t="shared" si="51"/>
        <v>0</v>
      </c>
      <c r="B1282" s="1378" t="s">
        <v>272</v>
      </c>
      <c r="C1282" s="1286"/>
      <c r="D1282" s="1274">
        <f>VLOOKUP($B1282,DG!A:D,DG!$B$2,)</f>
        <v>0</v>
      </c>
      <c r="E1282" s="1275" t="str">
        <f>VLOOKUP($B1282,DG!A:D,DG!$C$2,)&amp;": trung tính"</f>
        <v>Cáp 24KV C/XLPE/PVC 50mm2: trung tính</v>
      </c>
      <c r="F1282" s="1274" t="str">
        <f>VLOOKUP($B1282,DG!A:D,DG!$D$2,)</f>
        <v>mét</v>
      </c>
      <c r="G1282" s="1276">
        <f>G1281</f>
        <v>0</v>
      </c>
      <c r="H1282" s="1353">
        <f t="shared" si="52"/>
        <v>0</v>
      </c>
      <c r="I1282" s="1277"/>
      <c r="J1282" s="1277"/>
      <c r="K1282" s="1278"/>
      <c r="L1282" s="1125">
        <v>250</v>
      </c>
    </row>
    <row r="1283" spans="1:12" s="1279" customFormat="1" ht="20.100000000000001" customHeight="1">
      <c r="A1283" s="1377">
        <f t="shared" si="51"/>
        <v>0</v>
      </c>
      <c r="B1283" s="1378" t="s">
        <v>272</v>
      </c>
      <c r="C1283" s="1286"/>
      <c r="D1283" s="1274">
        <f>VLOOKUP($B1283,DG!A:D,DG!$B$2,)</f>
        <v>0</v>
      </c>
      <c r="E1283" s="1275" t="str">
        <f>VLOOKUP($B1283,DG!A:D,DG!$C$2,)&amp;": 0,5m/pha töø FCO xuoáng MBA"</f>
        <v>Cáp 24KV C/XLPE/PVC 50mm2: 0,5m/pha töø FCO xuoáng MBA</v>
      </c>
      <c r="F1283" s="1274" t="str">
        <f>VLOOKUP($B1283,DG!A:D,DG!$D$2,)</f>
        <v>mét</v>
      </c>
      <c r="G1283" s="1276">
        <f>G1279*0.5*3*0</f>
        <v>0</v>
      </c>
      <c r="H1283" s="1353">
        <f t="shared" si="52"/>
        <v>0</v>
      </c>
      <c r="I1283" s="1277"/>
      <c r="J1283" s="1277"/>
      <c r="K1283" s="1278"/>
      <c r="L1283" s="1125">
        <v>250</v>
      </c>
    </row>
    <row r="1284" spans="1:12" s="1279" customFormat="1" ht="20.100000000000001" customHeight="1">
      <c r="A1284" s="1377">
        <f t="shared" si="51"/>
        <v>0</v>
      </c>
      <c r="B1284" s="1378" t="s">
        <v>1385</v>
      </c>
      <c r="C1284" s="1286"/>
      <c r="D1284" s="1274">
        <f>VLOOKUP($B1284,DG!A:D,DG!$B$2,)</f>
        <v>0</v>
      </c>
      <c r="E1284" s="1275" t="str">
        <f>VLOOKUP($B1284,DG!A:D,DG!$C$2,)</f>
        <v>Đầu cáp ngầm 24KV 3x50mm2 outdoor</v>
      </c>
      <c r="F1284" s="1274" t="str">
        <f>VLOOKUP($B1284,DG!A:D,DG!$D$2,)</f>
        <v>cái</v>
      </c>
      <c r="G1284" s="1276">
        <f>G1279</f>
        <v>0</v>
      </c>
      <c r="H1284" s="1353">
        <f t="shared" si="52"/>
        <v>0</v>
      </c>
      <c r="I1284" s="1277"/>
      <c r="J1284" s="1277"/>
      <c r="K1284" s="1278"/>
      <c r="L1284" s="1125">
        <v>250</v>
      </c>
    </row>
    <row r="1285" spans="1:12" s="1279" customFormat="1" ht="20.100000000000001" customHeight="1">
      <c r="A1285" s="1377">
        <f t="shared" si="51"/>
        <v>0</v>
      </c>
      <c r="B1285" s="1378" t="s">
        <v>473</v>
      </c>
      <c r="C1285" s="1286"/>
      <c r="D1285" s="1274">
        <f>VLOOKUP($B1285,DG!A:D,DG!$B$2,)</f>
        <v>0</v>
      </c>
      <c r="E1285" s="1275" t="str">
        <f>VLOOKUP($B1285,DG!A:D,DG!$C$2,)&amp;": töø tuû LBS ñeán MBA"</f>
        <v>Cáp 24kV C/XLPE/DSTA/PVC3x50: töø tuû LBS ñeán MBA</v>
      </c>
      <c r="F1285" s="1274" t="str">
        <f>VLOOKUP($B1285,DG!A:D,DG!$D$2,)</f>
        <v>mét</v>
      </c>
      <c r="G1285" s="1276">
        <f>(1.2+2.4)*G1279*0</f>
        <v>0</v>
      </c>
      <c r="H1285" s="1353">
        <f t="shared" si="52"/>
        <v>0</v>
      </c>
      <c r="I1285" s="1277"/>
      <c r="J1285" s="1277"/>
      <c r="K1285" s="1278"/>
      <c r="L1285" s="1125">
        <v>250</v>
      </c>
    </row>
    <row r="1286" spans="1:12" s="1279" customFormat="1" ht="20.100000000000001" customHeight="1">
      <c r="A1286" s="1377">
        <f t="shared" si="51"/>
        <v>0</v>
      </c>
      <c r="B1286" s="1378" t="s">
        <v>272</v>
      </c>
      <c r="C1286" s="1286"/>
      <c r="D1286" s="1274">
        <f>VLOOKUP($B1286,DG!A:D,DG!$B$2,)</f>
        <v>0</v>
      </c>
      <c r="E1286" s="1275" t="str">
        <f>VLOOKUP($B1286,DG!A:D,DG!$C$2,)&amp;": töø tuû LBS ñeán MBA"</f>
        <v>Cáp 24KV C/XLPE/PVC 50mm2: töø tuû LBS ñeán MBA</v>
      </c>
      <c r="F1286" s="1274" t="str">
        <f>VLOOKUP($B1286,DG!A:D,DG!$D$2,)</f>
        <v>mét</v>
      </c>
      <c r="G1286" s="1276">
        <f>G1279*1.2*0</f>
        <v>0</v>
      </c>
      <c r="H1286" s="1353">
        <f t="shared" si="52"/>
        <v>0</v>
      </c>
      <c r="I1286" s="1277"/>
      <c r="J1286" s="1277"/>
      <c r="K1286" s="1278"/>
      <c r="L1286" s="1125">
        <v>250</v>
      </c>
    </row>
    <row r="1287" spans="1:12" s="1279" customFormat="1" ht="20.100000000000001" customHeight="1">
      <c r="A1287" s="1377">
        <f t="shared" si="51"/>
        <v>0</v>
      </c>
      <c r="B1287" s="1378" t="s">
        <v>1386</v>
      </c>
      <c r="C1287" s="1286"/>
      <c r="D1287" s="1274">
        <f>VLOOKUP($B1287,DG!A:D,DG!$B$2,)</f>
        <v>0</v>
      </c>
      <c r="E1287" s="1275" t="str">
        <f>VLOOKUP($B1287,DG!A:D,DG!$C$2,)</f>
        <v>Đầu cáp ngầm 24KV 3x50mm2 indoor</v>
      </c>
      <c r="F1287" s="1274" t="str">
        <f>VLOOKUP($B1287,DG!A:D,DG!$D$2,)</f>
        <v>cái</v>
      </c>
      <c r="G1287" s="1276">
        <f>G1279</f>
        <v>0</v>
      </c>
      <c r="H1287" s="1353">
        <f t="shared" si="52"/>
        <v>0</v>
      </c>
      <c r="I1287" s="1277"/>
      <c r="J1287" s="1277"/>
      <c r="K1287" s="1278"/>
      <c r="L1287" s="1125">
        <v>250</v>
      </c>
    </row>
    <row r="1288" spans="1:12" s="1279" customFormat="1" ht="20.100000000000001" customHeight="1">
      <c r="A1288" s="1377">
        <f t="shared" si="51"/>
        <v>0</v>
      </c>
      <c r="B1288" s="1378" t="s">
        <v>1727</v>
      </c>
      <c r="C1288" s="1286"/>
      <c r="D1288" s="1274" t="str">
        <f>VLOOKUP($B1288,DG!A:D,DG!$B$2,)</f>
        <v>07.4312</v>
      </c>
      <c r="E1288" s="1275" t="str">
        <f>VLOOKUP($B1288,DG!A:D,DG!$C$2,)</f>
        <v>Lắp đầu cáp trung thế 3x50mm2, 70mm2</v>
      </c>
      <c r="F1288" s="1274" t="str">
        <f>VLOOKUP($B1288,DG!A:D,DG!$D$2,)</f>
        <v>cái</v>
      </c>
      <c r="G1288" s="1276">
        <f>G1284+G1287</f>
        <v>0</v>
      </c>
      <c r="H1288" s="1353">
        <f t="shared" si="52"/>
        <v>0</v>
      </c>
      <c r="I1288" s="1277"/>
      <c r="J1288" s="1277"/>
      <c r="K1288" s="1278"/>
      <c r="L1288" s="1125">
        <v>250</v>
      </c>
    </row>
    <row r="1289" spans="1:12" s="1279" customFormat="1" ht="20.100000000000001" customHeight="1">
      <c r="A1289" s="1377">
        <f t="shared" si="51"/>
        <v>0</v>
      </c>
      <c r="B1289" s="1378" t="s">
        <v>1234</v>
      </c>
      <c r="C1289" s="1286"/>
      <c r="D1289" s="1274" t="str">
        <f>VLOOKUP($B1289,DG!A:D,DG!$B$2,)</f>
        <v>03.1405</v>
      </c>
      <c r="E1289" s="1275" t="str">
        <f>VLOOKUP($B1289,DG!A:D,DG!$C$2,)</f>
        <v>Lắp cáp trong ống bảo vệ trong TBA loại &lt;=6kg</v>
      </c>
      <c r="F1289" s="1274" t="str">
        <f>VLOOKUP($B1289,DG!A:D,DG!$D$2,)</f>
        <v>mét</v>
      </c>
      <c r="G1289" s="1276">
        <f>G1281+G1285</f>
        <v>0</v>
      </c>
      <c r="H1289" s="1353">
        <f t="shared" si="52"/>
        <v>0</v>
      </c>
      <c r="I1289" s="1277"/>
      <c r="J1289" s="1277"/>
      <c r="K1289" s="1278"/>
      <c r="L1289" s="1125">
        <v>250</v>
      </c>
    </row>
    <row r="1290" spans="1:12" s="1279" customFormat="1" ht="20.100000000000001" customHeight="1">
      <c r="A1290" s="1377">
        <f t="shared" si="51"/>
        <v>0</v>
      </c>
      <c r="B1290" s="1378" t="s">
        <v>1231</v>
      </c>
      <c r="C1290" s="1286"/>
      <c r="D1290" s="1274" t="str">
        <f>VLOOKUP($B1290,DG!A:D,DG!$B$2,)</f>
        <v>03.1402</v>
      </c>
      <c r="E1290" s="1275" t="str">
        <f>VLOOKUP($B1290,DG!A:D,DG!$C$2,)</f>
        <v>Lắp cáp trong ống bảo vệ trong TBA loại &lt;=2kg</v>
      </c>
      <c r="F1290" s="1274" t="str">
        <f>VLOOKUP($B1290,DG!A:D,DG!$D$2,)</f>
        <v>mét</v>
      </c>
      <c r="G1290" s="1276">
        <f>G1282+G1286</f>
        <v>0</v>
      </c>
      <c r="H1290" s="1353">
        <f t="shared" si="52"/>
        <v>0</v>
      </c>
      <c r="I1290" s="1277"/>
      <c r="J1290" s="1277"/>
      <c r="K1290" s="1278"/>
      <c r="L1290" s="1125">
        <v>250</v>
      </c>
    </row>
    <row r="1291" spans="1:12" s="1279" customFormat="1" ht="20.100000000000001" customHeight="1">
      <c r="A1291" s="1377">
        <f t="shared" si="51"/>
        <v>0</v>
      </c>
      <c r="B1291" s="1378" t="s">
        <v>1577</v>
      </c>
      <c r="C1291" s="1286"/>
      <c r="D1291" s="1274" t="str">
        <f>VLOOKUP($B1291,DG!A:D,DG!$B$2,)</f>
        <v>04.4201</v>
      </c>
      <c r="E1291" s="1275" t="str">
        <f>VLOOKUP($B1291,DG!A:D,DG!$C$2,)</f>
        <v>Lắp cáp đồng xuống thiết bị D ≤ 95mm2</v>
      </c>
      <c r="F1291" s="1274" t="str">
        <f>VLOOKUP($B1291,DG!A:D,DG!$D$2,)</f>
        <v>m</v>
      </c>
      <c r="G1291" s="1276">
        <f>G1283</f>
        <v>0</v>
      </c>
      <c r="H1291" s="1353">
        <f t="shared" si="52"/>
        <v>0</v>
      </c>
      <c r="I1291" s="1277"/>
      <c r="J1291" s="1277"/>
      <c r="K1291" s="1278"/>
      <c r="L1291" s="1125">
        <v>250</v>
      </c>
    </row>
    <row r="1292" spans="1:12" s="1279" customFormat="1" ht="20.100000000000001" customHeight="1">
      <c r="A1292" s="1377">
        <f t="shared" si="51"/>
        <v>0</v>
      </c>
      <c r="B1292" s="1378" t="s">
        <v>1382</v>
      </c>
      <c r="C1292" s="1286"/>
      <c r="D1292" s="1274">
        <f>VLOOKUP($B1292,DG!A:D,DG!$B$2,)</f>
        <v>0</v>
      </c>
      <c r="E1292" s="1275" t="str">
        <f>VLOOKUP($B1292,DG!A:D,DG!$C$2,)</f>
        <v>Dây rút cáp</v>
      </c>
      <c r="F1292" s="1274" t="str">
        <f>VLOOKUP($B1292,DG!A:D,DG!$D$2,)</f>
        <v>bọc</v>
      </c>
      <c r="G1292" s="1276">
        <f>G1279*2</f>
        <v>0</v>
      </c>
      <c r="H1292" s="1353">
        <f t="shared" si="52"/>
        <v>0</v>
      </c>
      <c r="I1292" s="1277"/>
      <c r="J1292" s="1277"/>
      <c r="K1292" s="1278"/>
      <c r="L1292" s="1125">
        <v>250</v>
      </c>
    </row>
    <row r="1293" spans="1:12" s="1279" customFormat="1" ht="20.100000000000001" customHeight="1">
      <c r="A1293" s="1377">
        <f t="shared" si="51"/>
        <v>0</v>
      </c>
      <c r="B1293" s="1582"/>
      <c r="C1293" s="1280">
        <f>IF(G1293&gt;0,C1279+1,C1279)</f>
        <v>3</v>
      </c>
      <c r="D1293" s="1281"/>
      <c r="E1293" s="1292" t="s">
        <v>3835</v>
      </c>
      <c r="F1293" s="1280" t="s">
        <v>2449</v>
      </c>
      <c r="G1293" s="1283">
        <f>G1134</f>
        <v>0</v>
      </c>
      <c r="H1293" s="1353">
        <f t="shared" si="52"/>
        <v>0</v>
      </c>
      <c r="I1293" s="1277"/>
      <c r="J1293" s="1277"/>
      <c r="K1293" s="1312"/>
      <c r="L1293" s="1125">
        <v>250</v>
      </c>
    </row>
    <row r="1294" spans="1:12" s="1279" customFormat="1" ht="20.100000000000001" customHeight="1">
      <c r="A1294" s="1377">
        <f>IF(A1293&gt;0,1,0)</f>
        <v>0</v>
      </c>
      <c r="B1294" s="1582"/>
      <c r="C1294" s="1273"/>
      <c r="D1294" s="1284"/>
      <c r="E1294" s="1638" t="s">
        <v>2342</v>
      </c>
      <c r="F1294" s="1273"/>
      <c r="G1294" s="1293"/>
      <c r="H1294" s="1353">
        <f t="shared" si="52"/>
        <v>0</v>
      </c>
      <c r="I1294" s="1277"/>
      <c r="J1294" s="1277"/>
      <c r="K1294" s="1312"/>
      <c r="L1294" s="1125">
        <v>250</v>
      </c>
    </row>
    <row r="1295" spans="1:12" s="1279" customFormat="1" ht="20.100000000000001" customHeight="1">
      <c r="A1295" s="1377">
        <f t="shared" si="51"/>
        <v>0</v>
      </c>
      <c r="B1295" s="1378" t="s">
        <v>704</v>
      </c>
      <c r="C1295" s="1286"/>
      <c r="D1295" s="1274">
        <f>VLOOKUP($B1295,DG!A:D,DG!$B$2,)</f>
        <v>0</v>
      </c>
      <c r="E1295" s="1275" t="str">
        <f>VLOOKUP($B1295,DG!A:D,DG!$C$2,)</f>
        <v>Cáp 24KV C/XLPE/PVC 25mm2</v>
      </c>
      <c r="F1295" s="1274" t="str">
        <f>VLOOKUP($B1295,DG!A:D,DG!$D$2,)</f>
        <v>mét</v>
      </c>
      <c r="G1295" s="1287">
        <f>G1293*27</f>
        <v>0</v>
      </c>
      <c r="H1295" s="1353">
        <f t="shared" si="52"/>
        <v>0</v>
      </c>
      <c r="I1295" s="1277"/>
      <c r="J1295" s="1277"/>
      <c r="K1295" s="1312"/>
      <c r="L1295" s="1125">
        <v>250</v>
      </c>
    </row>
    <row r="1296" spans="1:12" s="1279" customFormat="1" ht="20.100000000000001" customHeight="1">
      <c r="A1296" s="1377">
        <f t="shared" si="51"/>
        <v>0</v>
      </c>
      <c r="B1296" s="1378" t="s">
        <v>1893</v>
      </c>
      <c r="C1296" s="1286"/>
      <c r="D1296" s="1274">
        <f>VLOOKUP($B1296,DG!A:D,DG!$B$2,)</f>
        <v>0</v>
      </c>
      <c r="E1296" s="1275" t="str">
        <f>VLOOKUP($B1296,DG!A:D,DG!$C$2,)</f>
        <v>Bass LL bắt FCO và LA</v>
      </c>
      <c r="F1296" s="1274" t="str">
        <f>VLOOKUP($B1296,DG!A:D,DG!$D$2,)</f>
        <v>bộ</v>
      </c>
      <c r="G1296" s="1344"/>
      <c r="H1296" s="1353">
        <f t="shared" si="52"/>
        <v>0</v>
      </c>
      <c r="I1296" s="1277"/>
      <c r="J1296" s="1277"/>
      <c r="K1296" s="1278"/>
      <c r="L1296" s="1125">
        <v>250</v>
      </c>
    </row>
    <row r="1297" spans="1:12" s="1279" customFormat="1" ht="20.100000000000001" customHeight="1">
      <c r="A1297" s="1377">
        <f t="shared" si="51"/>
        <v>0</v>
      </c>
      <c r="B1297" s="1378" t="s">
        <v>1531</v>
      </c>
      <c r="C1297" s="1286"/>
      <c r="D1297" s="1274" t="str">
        <f>VLOOKUP($B1297,DG!A:D,DG!$B$2,)</f>
        <v>04.3007</v>
      </c>
      <c r="E1297" s="1275" t="str">
        <f>VLOOKUP($B1297,DG!A:D,DG!$C$2,)</f>
        <v>Kẹp quai 2/0</v>
      </c>
      <c r="F1297" s="1274" t="str">
        <f>VLOOKUP($B1297,DG!A:D,DG!$D$2,)</f>
        <v>cái</v>
      </c>
      <c r="G1297" s="1344">
        <f>G1293*3</f>
        <v>0</v>
      </c>
      <c r="H1297" s="1353">
        <f t="shared" si="52"/>
        <v>0</v>
      </c>
      <c r="I1297" s="1277"/>
      <c r="J1297" s="1277"/>
      <c r="K1297" s="1312"/>
      <c r="L1297" s="1125">
        <v>250</v>
      </c>
    </row>
    <row r="1298" spans="1:12" s="1279" customFormat="1" ht="20.100000000000001" customHeight="1">
      <c r="A1298" s="1377">
        <f t="shared" si="51"/>
        <v>0</v>
      </c>
      <c r="B1298" s="1378" t="s">
        <v>1529</v>
      </c>
      <c r="C1298" s="1286"/>
      <c r="D1298" s="1274" t="str">
        <f>VLOOKUP($B1298,DG!A:D,DG!$B$2,)</f>
        <v>04.3007</v>
      </c>
      <c r="E1298" s="1275" t="str">
        <f>VLOOKUP($B1298,DG!A:D,DG!$C$2,)&amp;": "</f>
        <v xml:space="preserve">Kẹp hotline 2/0: </v>
      </c>
      <c r="F1298" s="1274" t="str">
        <f>VLOOKUP($B1298,DG!A:D,DG!$D$2,)</f>
        <v>cái</v>
      </c>
      <c r="G1298" s="1287">
        <f>G1297</f>
        <v>0</v>
      </c>
      <c r="H1298" s="1353">
        <f t="shared" si="52"/>
        <v>0</v>
      </c>
      <c r="I1298" s="1277"/>
      <c r="J1298" s="1277"/>
      <c r="K1298" s="1312"/>
      <c r="L1298" s="1125">
        <v>250</v>
      </c>
    </row>
    <row r="1299" spans="1:12" s="1279" customFormat="1" ht="20.100000000000001" customHeight="1">
      <c r="A1299" s="1377">
        <f t="shared" si="51"/>
        <v>0</v>
      </c>
      <c r="B1299" s="1112" t="s">
        <v>4834</v>
      </c>
      <c r="C1299" s="1312"/>
      <c r="D1299" s="1274">
        <f>VLOOKUP($B1299,DG!A:D,DG!$B$2,)</f>
        <v>0</v>
      </c>
      <c r="E1299" s="1275" t="str">
        <f>VLOOKUP($B1299,DG!A:D,DG!$C$2,)</f>
        <v>Chụp cách điện kẹp quai</v>
      </c>
      <c r="F1299" s="1274" t="str">
        <f>VLOOKUP($B1299,DG!A:D,DG!$D$2,)</f>
        <v>cái</v>
      </c>
      <c r="G1299" s="1287">
        <v>3</v>
      </c>
      <c r="H1299" s="1353">
        <f t="shared" si="52"/>
        <v>0</v>
      </c>
      <c r="I1299" s="1277"/>
      <c r="J1299" s="1277"/>
      <c r="K1299" s="1312"/>
      <c r="L1299" s="1125">
        <v>250</v>
      </c>
    </row>
    <row r="1300" spans="1:12" s="1279" customFormat="1" ht="20.100000000000001" customHeight="1">
      <c r="A1300" s="1377">
        <f t="shared" si="51"/>
        <v>0</v>
      </c>
      <c r="B1300" s="1378" t="s">
        <v>4888</v>
      </c>
      <c r="C1300" s="1286"/>
      <c r="D1300" s="1274">
        <f>VLOOKUP($B1300,DG!A:D,DG!$B$2,)</f>
        <v>0</v>
      </c>
      <c r="E1300" s="1275" t="str">
        <f>VLOOKUP($B1300,DG!A:D,DG!$C$2,)</f>
        <v xml:space="preserve">Sứ đứng 24KV </v>
      </c>
      <c r="F1300" s="1274" t="str">
        <f>VLOOKUP($B1300,DG!A:D,DG!$D$2,)</f>
        <v>cái</v>
      </c>
      <c r="G1300" s="1287">
        <v>6</v>
      </c>
      <c r="H1300" s="1353">
        <f t="shared" si="52"/>
        <v>0</v>
      </c>
      <c r="I1300" s="1277"/>
      <c r="J1300" s="1277"/>
      <c r="K1300" s="1312"/>
      <c r="L1300" s="1125">
        <v>250</v>
      </c>
    </row>
    <row r="1301" spans="1:12" s="1279" customFormat="1" ht="20.100000000000001" customHeight="1">
      <c r="A1301" s="1377">
        <f t="shared" si="51"/>
        <v>0</v>
      </c>
      <c r="B1301" s="1112" t="s">
        <v>4889</v>
      </c>
      <c r="C1301" s="1286"/>
      <c r="D1301" s="1274">
        <f>VLOOKUP($B1301,DG!A:D,DG!$B$2,)</f>
        <v>0</v>
      </c>
      <c r="E1301" s="1275" t="str">
        <f>VLOOKUP($B1301,DG!A:D,DG!$C$2,)</f>
        <v>Chân sứ đứng D20</v>
      </c>
      <c r="F1301" s="1274" t="str">
        <f>VLOOKUP($B1301,DG!A:D,DG!$D$2,)</f>
        <v>cái</v>
      </c>
      <c r="G1301" s="1287">
        <f>G1300</f>
        <v>6</v>
      </c>
      <c r="H1301" s="1353">
        <f t="shared" si="52"/>
        <v>0</v>
      </c>
      <c r="I1301" s="1277"/>
      <c r="J1301" s="1277"/>
      <c r="K1301" s="1312"/>
      <c r="L1301" s="1125">
        <v>250</v>
      </c>
    </row>
    <row r="1302" spans="1:12" s="1279" customFormat="1" ht="20.100000000000001" customHeight="1">
      <c r="A1302" s="1377">
        <f t="shared" ref="A1302:A1367" si="53">IF(H1302&gt;0,1,0)</f>
        <v>0</v>
      </c>
      <c r="B1302" s="1378" t="s">
        <v>1617</v>
      </c>
      <c r="C1302" s="1286"/>
      <c r="D1302" s="1274" t="str">
        <f>VLOOKUP($B1302,DG!A:D,DG!$B$2,)</f>
        <v>06.1115</v>
      </c>
      <c r="E1302" s="1275" t="str">
        <f>VLOOKUP($B1302,DG!A:D,DG!$C$2,)</f>
        <v>Lắp sứ đứng 24KV</v>
      </c>
      <c r="F1302" s="1274" t="str">
        <f>VLOOKUP($B1302,DG!A:D,DG!$D$2,)</f>
        <v>bộ</v>
      </c>
      <c r="G1302" s="1344">
        <f>G1300</f>
        <v>6</v>
      </c>
      <c r="H1302" s="1353">
        <f t="shared" si="52"/>
        <v>0</v>
      </c>
      <c r="I1302" s="1277"/>
      <c r="J1302" s="1277"/>
      <c r="K1302" s="1312"/>
      <c r="L1302" s="1125">
        <v>250</v>
      </c>
    </row>
    <row r="1303" spans="1:12" s="1279" customFormat="1" ht="20.100000000000001" customHeight="1">
      <c r="A1303" s="1377">
        <f t="shared" si="53"/>
        <v>0</v>
      </c>
      <c r="B1303" s="1378" t="s">
        <v>1962</v>
      </c>
      <c r="C1303" s="1286"/>
      <c r="D1303" s="1274">
        <f>VLOOKUP($B1303,DG!A:D,DG!$B$2,)</f>
        <v>0</v>
      </c>
      <c r="E1303" s="1275" t="str">
        <f>VLOOKUP($B1303,DG!A:D,DG!$C$2,)</f>
        <v>Uclevis</v>
      </c>
      <c r="F1303" s="1274" t="str">
        <f>VLOOKUP($B1303,DG!A:D,DG!$D$2,)</f>
        <v>bộ</v>
      </c>
      <c r="G1303" s="1344"/>
      <c r="H1303" s="1353">
        <f t="shared" si="52"/>
        <v>0</v>
      </c>
      <c r="I1303" s="1277"/>
      <c r="J1303" s="1277"/>
      <c r="K1303" s="1312"/>
      <c r="L1303" s="1125">
        <v>250</v>
      </c>
    </row>
    <row r="1304" spans="1:12" s="1279" customFormat="1" ht="20.100000000000001" customHeight="1">
      <c r="A1304" s="1377">
        <f t="shared" si="53"/>
        <v>0</v>
      </c>
      <c r="B1304" s="1378" t="s">
        <v>1662</v>
      </c>
      <c r="C1304" s="1286"/>
      <c r="D1304" s="1274">
        <f>VLOOKUP($B1304,DG!A:D,DG!$B$2,)</f>
        <v>0</v>
      </c>
      <c r="E1304" s="1275" t="str">
        <f>VLOOKUP($B1304,DG!A:D,DG!$C$2,)</f>
        <v>Boulon 16x300+ 2 long đền vuông D18-50x50x3/Zn</v>
      </c>
      <c r="F1304" s="1274" t="str">
        <f>VLOOKUP($B1304,DG!A:D,DG!$D$2,)</f>
        <v>bộ</v>
      </c>
      <c r="G1304" s="1344">
        <f>G1303</f>
        <v>0</v>
      </c>
      <c r="H1304" s="1353">
        <f t="shared" si="52"/>
        <v>0</v>
      </c>
      <c r="I1304" s="1277"/>
      <c r="J1304" s="1277"/>
      <c r="K1304" s="1312"/>
      <c r="L1304" s="1125">
        <v>250</v>
      </c>
    </row>
    <row r="1305" spans="1:12" s="1279" customFormat="1" ht="20.100000000000001" customHeight="1">
      <c r="A1305" s="1377">
        <f t="shared" si="53"/>
        <v>0</v>
      </c>
      <c r="B1305" s="1378" t="s">
        <v>1558</v>
      </c>
      <c r="C1305" s="1286"/>
      <c r="D1305" s="1274">
        <f>VLOOKUP($B1305,DG!A:D,DG!$B$2,)</f>
        <v>0</v>
      </c>
      <c r="E1305" s="1275" t="str">
        <f>VLOOKUP($B1305,DG!A:D,DG!$C$2,)</f>
        <v>Sứ treo polymer</v>
      </c>
      <c r="F1305" s="1274" t="str">
        <f>VLOOKUP($B1305,DG!A:D,DG!$D$2,)</f>
        <v>chuỗi</v>
      </c>
      <c r="G1305" s="1344">
        <f>G1293*0</f>
        <v>0</v>
      </c>
      <c r="H1305" s="1353">
        <f t="shared" si="52"/>
        <v>0</v>
      </c>
      <c r="I1305" s="1277"/>
      <c r="J1305" s="1277"/>
      <c r="K1305" s="1312"/>
      <c r="L1305" s="1125">
        <v>250</v>
      </c>
    </row>
    <row r="1306" spans="1:12" s="1279" customFormat="1" ht="20.100000000000001" customHeight="1">
      <c r="A1306" s="1377">
        <f t="shared" si="53"/>
        <v>0</v>
      </c>
      <c r="B1306" s="1378" t="s">
        <v>1538</v>
      </c>
      <c r="C1306" s="1286"/>
      <c r="D1306" s="1274">
        <f>VLOOKUP($B1306,DG!A:D,DG!$B$2,)</f>
        <v>0</v>
      </c>
      <c r="E1306" s="1275" t="str">
        <f>VLOOKUP($B1306,DG!A:D,DG!$C$2,)</f>
        <v xml:space="preserve">Móc treo chữ U </v>
      </c>
      <c r="F1306" s="1274" t="str">
        <f>VLOOKUP($B1306,DG!A:D,DG!$D$2,)</f>
        <v>cái</v>
      </c>
      <c r="G1306" s="1344">
        <f>G1305*0</f>
        <v>0</v>
      </c>
      <c r="H1306" s="1353">
        <f t="shared" si="52"/>
        <v>0</v>
      </c>
      <c r="I1306" s="1277"/>
      <c r="J1306" s="1277"/>
      <c r="K1306" s="1312"/>
      <c r="L1306" s="1125">
        <v>250</v>
      </c>
    </row>
    <row r="1307" spans="1:12" s="1279" customFormat="1" ht="20.100000000000001" customHeight="1">
      <c r="A1307" s="1377">
        <f t="shared" si="53"/>
        <v>0</v>
      </c>
      <c r="B1307" s="1378" t="s">
        <v>1795</v>
      </c>
      <c r="C1307" s="1286"/>
      <c r="D1307" s="1274">
        <f>VLOOKUP($B1307,DG!A:D,DG!$B$2,)</f>
        <v>0</v>
      </c>
      <c r="E1307" s="1275" t="str">
        <f>VLOOKUP($B1307,DG!A:D,DG!$C$2,)</f>
        <v>Khóa néo dây cỡ dây 185</v>
      </c>
      <c r="F1307" s="1274" t="str">
        <f>VLOOKUP($B1307,DG!A:D,DG!$D$2,)</f>
        <v>cái</v>
      </c>
      <c r="G1307" s="1344">
        <f>G1305*0</f>
        <v>0</v>
      </c>
      <c r="H1307" s="1353">
        <f t="shared" si="52"/>
        <v>0</v>
      </c>
      <c r="I1307" s="1277"/>
      <c r="J1307" s="1277"/>
      <c r="K1307" s="1312"/>
      <c r="L1307" s="1125">
        <v>250</v>
      </c>
    </row>
    <row r="1308" spans="1:12" s="1279" customFormat="1" ht="20.100000000000001" customHeight="1">
      <c r="A1308" s="1377">
        <f t="shared" si="53"/>
        <v>0</v>
      </c>
      <c r="B1308" s="1378" t="s">
        <v>482</v>
      </c>
      <c r="C1308" s="1286"/>
      <c r="D1308" s="1274">
        <f>VLOOKUP($B1308,DG!A:D,DG!$B$2,)</f>
        <v>0</v>
      </c>
      <c r="E1308" s="1275" t="str">
        <f>VLOOKUP($B1308,DG!A:D,DG!$C$2,)</f>
        <v>Khóa néo dây cỡ dây 35</v>
      </c>
      <c r="F1308" s="1274" t="str">
        <f>VLOOKUP($B1308,DG!A:D,DG!$D$2,)</f>
        <v>cái</v>
      </c>
      <c r="G1308" s="1344">
        <f>G1293*2*0</f>
        <v>0</v>
      </c>
      <c r="H1308" s="1353">
        <f t="shared" si="52"/>
        <v>0</v>
      </c>
      <c r="I1308" s="1277"/>
      <c r="J1308" s="1277"/>
      <c r="K1308" s="1312"/>
      <c r="L1308" s="1125">
        <v>250</v>
      </c>
    </row>
    <row r="1309" spans="1:12" s="1279" customFormat="1" ht="20.100000000000001" customHeight="1">
      <c r="A1309" s="1377">
        <f t="shared" si="53"/>
        <v>0</v>
      </c>
      <c r="B1309" s="1628" t="s">
        <v>786</v>
      </c>
      <c r="C1309" s="1286"/>
      <c r="D1309" s="1274">
        <f>VLOOKUP($B1309,DG!A:D,DG!$B$2,)</f>
        <v>0</v>
      </c>
      <c r="E1309" s="1275" t="str">
        <f>VLOOKUP($B1309,DG!A:D,DG!$C$2,)</f>
        <v>Kẹp 2 rãnh (APC) cỡ dây 185mm2</v>
      </c>
      <c r="F1309" s="1274" t="str">
        <f>VLOOKUP($B1309,DG!A:D,DG!$D$2,)</f>
        <v>cái</v>
      </c>
      <c r="G1309" s="1344">
        <f>G1293*6*0</f>
        <v>0</v>
      </c>
      <c r="H1309" s="1353">
        <f t="shared" si="52"/>
        <v>0</v>
      </c>
      <c r="I1309" s="1277"/>
      <c r="J1309" s="1277"/>
      <c r="K1309" s="1312"/>
      <c r="L1309" s="1125">
        <v>250</v>
      </c>
    </row>
    <row r="1310" spans="1:12" s="1279" customFormat="1" ht="20.100000000000001" customHeight="1">
      <c r="A1310" s="1377">
        <f t="shared" si="53"/>
        <v>0</v>
      </c>
      <c r="B1310" s="1378" t="s">
        <v>1091</v>
      </c>
      <c r="C1310" s="1286"/>
      <c r="D1310" s="1274">
        <f>VLOOKUP($B1310,DG!A:D,DG!$B$2,)</f>
        <v>0</v>
      </c>
      <c r="E1310" s="1275" t="str">
        <f>VLOOKUP($B1310,DG!A:D,DG!$C$2,)</f>
        <v>Boulon mắt 16x250+ 2 long đền vuông D18-50x50x3/Zn</v>
      </c>
      <c r="F1310" s="1274" t="str">
        <f>VLOOKUP($B1310,DG!A:D,DG!$D$2,)</f>
        <v>bộ</v>
      </c>
      <c r="G1310" s="1344">
        <f>G1293*3*0</f>
        <v>0</v>
      </c>
      <c r="H1310" s="1353">
        <f t="shared" si="52"/>
        <v>0</v>
      </c>
      <c r="I1310" s="1277"/>
      <c r="J1310" s="1277"/>
      <c r="K1310" s="1312"/>
      <c r="L1310" s="1125">
        <v>250</v>
      </c>
    </row>
    <row r="1311" spans="1:12" s="1279" customFormat="1" ht="20.100000000000001" customHeight="1">
      <c r="A1311" s="1377">
        <f t="shared" si="53"/>
        <v>0</v>
      </c>
      <c r="B1311" s="1378" t="s">
        <v>420</v>
      </c>
      <c r="C1311" s="1286"/>
      <c r="D1311" s="1274">
        <f>VLOOKUP($B1311,DG!A:D,DG!$B$2,)</f>
        <v>0</v>
      </c>
      <c r="E1311" s="1275" t="str">
        <f>VLOOKUP($B1311,DG!A:D,DG!$C$2,)</f>
        <v>Boulon mắt 16x300+ 2 long đền vuông D18-50x50x3/Zn</v>
      </c>
      <c r="F1311" s="1274" t="str">
        <f>VLOOKUP($B1311,DG!A:D,DG!$D$2,)</f>
        <v>bộ</v>
      </c>
      <c r="G1311" s="1344">
        <f>G1308*3*0</f>
        <v>0</v>
      </c>
      <c r="H1311" s="1353">
        <f t="shared" si="52"/>
        <v>0</v>
      </c>
      <c r="I1311" s="1277"/>
      <c r="J1311" s="1277"/>
      <c r="K1311" s="1312"/>
      <c r="L1311" s="1125">
        <v>250</v>
      </c>
    </row>
    <row r="1312" spans="1:12" s="1279" customFormat="1" ht="20.100000000000001" customHeight="1">
      <c r="A1312" s="1377">
        <f t="shared" si="53"/>
        <v>0</v>
      </c>
      <c r="B1312" s="1378" t="s">
        <v>1632</v>
      </c>
      <c r="C1312" s="1286"/>
      <c r="D1312" s="1274">
        <f>VLOOKUP($B1312,DG!A:D,DG!$B$2,)</f>
        <v>0</v>
      </c>
      <c r="E1312" s="1275" t="str">
        <f>VLOOKUP($B1312,DG!A:D,DG!$C$2,)</f>
        <v>Kẹp ép WR cỡ dây 70mm2</v>
      </c>
      <c r="F1312" s="1274" t="str">
        <f>VLOOKUP($B1312,DG!A:D,DG!$D$2,)</f>
        <v>cái</v>
      </c>
      <c r="G1312" s="1344">
        <f>G1308*0</f>
        <v>0</v>
      </c>
      <c r="H1312" s="1353">
        <f t="shared" si="52"/>
        <v>0</v>
      </c>
      <c r="I1312" s="1277"/>
      <c r="J1312" s="1277"/>
      <c r="K1312" s="1312"/>
      <c r="L1312" s="1125">
        <v>250</v>
      </c>
    </row>
    <row r="1313" spans="1:12" s="1279" customFormat="1" ht="20.100000000000001" customHeight="1">
      <c r="A1313" s="1377">
        <f t="shared" si="53"/>
        <v>0</v>
      </c>
      <c r="B1313" s="1378" t="s">
        <v>1559</v>
      </c>
      <c r="C1313" s="1286"/>
      <c r="D1313" s="1274" t="str">
        <f>VLOOKUP($B1313,DG!A:D,DG!$B$2,)</f>
        <v>06.2201</v>
      </c>
      <c r="E1313" s="1275" t="str">
        <f>VLOOKUP($B1313,DG!A:D,DG!$C$2,)</f>
        <v>Lắp chuỗi sứ néo Polymer</v>
      </c>
      <c r="F1313" s="1274" t="str">
        <f>VLOOKUP($B1313,DG!A:D,DG!$D$2,)</f>
        <v>chuỗi</v>
      </c>
      <c r="G1313" s="1287">
        <f>G1305*0</f>
        <v>0</v>
      </c>
      <c r="H1313" s="1353">
        <f t="shared" si="52"/>
        <v>0</v>
      </c>
      <c r="I1313" s="1277"/>
      <c r="J1313" s="1277"/>
      <c r="K1313" s="1312"/>
      <c r="L1313" s="1125">
        <v>250</v>
      </c>
    </row>
    <row r="1314" spans="1:12" s="1279" customFormat="1" ht="20.100000000000001" customHeight="1">
      <c r="A1314" s="1377">
        <f t="shared" si="53"/>
        <v>0</v>
      </c>
      <c r="B1314" s="1378" t="s">
        <v>1577</v>
      </c>
      <c r="C1314" s="1286"/>
      <c r="D1314" s="1274" t="str">
        <f>VLOOKUP($B1314,DG!A:D,DG!$B$2,)</f>
        <v>04.4201</v>
      </c>
      <c r="E1314" s="1275" t="str">
        <f>VLOOKUP($B1314,DG!A:D,DG!$C$2,)</f>
        <v>Lắp cáp đồng xuống thiết bị D ≤ 95mm2</v>
      </c>
      <c r="F1314" s="1274" t="str">
        <f>VLOOKUP($B1314,DG!A:D,DG!$D$2,)</f>
        <v>m</v>
      </c>
      <c r="G1314" s="1287">
        <f>G1295</f>
        <v>0</v>
      </c>
      <c r="H1314" s="1353">
        <f t="shared" si="52"/>
        <v>0</v>
      </c>
      <c r="I1314" s="1277"/>
      <c r="J1314" s="1277"/>
      <c r="K1314" s="1312"/>
      <c r="L1314" s="1125">
        <v>250</v>
      </c>
    </row>
    <row r="1315" spans="1:12" s="1279" customFormat="1" ht="20.100000000000001" customHeight="1">
      <c r="A1315" s="1377">
        <f t="shared" si="53"/>
        <v>0</v>
      </c>
      <c r="B1315" s="1582"/>
      <c r="C1315" s="1280">
        <f>IF(G1315&gt;0,C1293+1,C1293)</f>
        <v>3</v>
      </c>
      <c r="D1315" s="1281"/>
      <c r="E1315" s="1292" t="s">
        <v>3807</v>
      </c>
      <c r="F1315" s="1280" t="s">
        <v>2449</v>
      </c>
      <c r="G1315" s="1283"/>
      <c r="H1315" s="1353">
        <f t="shared" si="52"/>
        <v>0</v>
      </c>
      <c r="I1315" s="1277"/>
      <c r="J1315" s="1277"/>
      <c r="K1315" s="1278"/>
      <c r="L1315" s="1125">
        <v>250</v>
      </c>
    </row>
    <row r="1316" spans="1:12" s="1279" customFormat="1" ht="20.100000000000001" customHeight="1">
      <c r="A1316" s="1377">
        <f>IF(A1315&gt;0,1,0)</f>
        <v>0</v>
      </c>
      <c r="B1316" s="1582"/>
      <c r="C1316" s="1273"/>
      <c r="D1316" s="1284"/>
      <c r="E1316" s="1638" t="s">
        <v>2342</v>
      </c>
      <c r="F1316" s="1273"/>
      <c r="G1316" s="1293"/>
      <c r="H1316" s="1353">
        <f t="shared" si="52"/>
        <v>0</v>
      </c>
      <c r="I1316" s="1277"/>
      <c r="J1316" s="1277"/>
      <c r="K1316" s="1278"/>
      <c r="L1316" s="1125">
        <v>250</v>
      </c>
    </row>
    <row r="1317" spans="1:12" s="1279" customFormat="1" ht="20.100000000000001" customHeight="1">
      <c r="A1317" s="1377">
        <f t="shared" si="53"/>
        <v>0</v>
      </c>
      <c r="B1317" s="1582" t="s">
        <v>1541</v>
      </c>
      <c r="C1317" s="1286"/>
      <c r="D1317" s="1274" t="str">
        <f>VLOOKUP($B1317,DG!A:D,DG!$B$2,)</f>
        <v>04.8003</v>
      </c>
      <c r="E1317" s="1275" t="str">
        <f>VLOOKUP($B1317,DG!A:D,DG!$C$2,)</f>
        <v xml:space="preserve">Ống PVC D90x3,8mm </v>
      </c>
      <c r="F1317" s="1274" t="str">
        <f>VLOOKUP($B1317,DG!A:D,DG!$D$2,)</f>
        <v>m</v>
      </c>
      <c r="G1317" s="1287">
        <f>G1315*2</f>
        <v>0</v>
      </c>
      <c r="H1317" s="1353">
        <f t="shared" si="52"/>
        <v>0</v>
      </c>
      <c r="I1317" s="1277"/>
      <c r="J1317" s="1277"/>
      <c r="K1317" s="1278"/>
      <c r="L1317" s="1125">
        <v>250</v>
      </c>
    </row>
    <row r="1318" spans="1:12" s="1279" customFormat="1" ht="20.100000000000001" customHeight="1">
      <c r="A1318" s="1377">
        <f t="shared" si="53"/>
        <v>0</v>
      </c>
      <c r="B1318" s="1582" t="s">
        <v>86</v>
      </c>
      <c r="C1318" s="1286"/>
      <c r="D1318" s="1274">
        <f>VLOOKUP($B1318,DG!A:D,DG!$B$2,)</f>
        <v>0</v>
      </c>
      <c r="E1318" s="1275" t="str">
        <f>VLOOKUP($B1318,DG!A:D,DG!$C$2,)</f>
        <v>Co  90 độ PVC 90</v>
      </c>
      <c r="F1318" s="1274" t="str">
        <f>VLOOKUP($B1318,DG!A:D,DG!$D$2,)</f>
        <v>cái</v>
      </c>
      <c r="G1318" s="1287">
        <f>G1315*2</f>
        <v>0</v>
      </c>
      <c r="H1318" s="1353">
        <f t="shared" si="52"/>
        <v>0</v>
      </c>
      <c r="I1318" s="1277"/>
      <c r="J1318" s="1277"/>
      <c r="K1318" s="1278"/>
      <c r="L1318" s="1125">
        <v>250</v>
      </c>
    </row>
    <row r="1319" spans="1:12" s="1279" customFormat="1" ht="20.100000000000001" customHeight="1">
      <c r="A1319" s="1377">
        <f t="shared" si="53"/>
        <v>0</v>
      </c>
      <c r="B1319" s="1615" t="s">
        <v>277</v>
      </c>
      <c r="C1319" s="1286"/>
      <c r="D1319" s="1274" t="str">
        <f>VLOOKUP($B1319,DG!A:D,DG!$B$2,)</f>
        <v>06.3231</v>
      </c>
      <c r="E1319" s="1275" t="str">
        <f>VLOOKUP($B1319,DG!A:D,DG!$C$2,)&amp;": 1 bộ"</f>
        <v>Cổ dê kẹp ống PVC Ø 90: 1 bộ</v>
      </c>
      <c r="F1319" s="1274" t="str">
        <f>VLOOKUP($B1319,DG!A:D,DG!$D$2,)</f>
        <v>bộ</v>
      </c>
      <c r="G1319" s="1276">
        <f>G1315*1.21*0</f>
        <v>0</v>
      </c>
      <c r="H1319" s="1353">
        <f t="shared" si="52"/>
        <v>0</v>
      </c>
      <c r="I1319" s="1277"/>
      <c r="J1319" s="1277"/>
      <c r="K1319" s="1278"/>
      <c r="L1319" s="1125">
        <v>250</v>
      </c>
    </row>
    <row r="1320" spans="1:12" s="1279" customFormat="1" ht="20.100000000000001" customHeight="1">
      <c r="A1320" s="1377">
        <f t="shared" si="53"/>
        <v>0</v>
      </c>
      <c r="B1320" s="1615" t="s">
        <v>86</v>
      </c>
      <c r="C1320" s="1286"/>
      <c r="D1320" s="1274">
        <f>VLOOKUP($B1320,DG!A:D,DG!$B$2,)</f>
        <v>0</v>
      </c>
      <c r="E1320" s="1275" t="str">
        <f>VLOOKUP($B1320,DG!A:D,DG!$C$2,)</f>
        <v>Co  90 độ PVC 90</v>
      </c>
      <c r="F1320" s="1274" t="str">
        <f>VLOOKUP($B1320,DG!A:D,DG!$D$2,)</f>
        <v>cái</v>
      </c>
      <c r="G1320" s="1287">
        <f>G1315*3*0</f>
        <v>0</v>
      </c>
      <c r="H1320" s="1353">
        <f t="shared" si="52"/>
        <v>0</v>
      </c>
      <c r="I1320" s="1277"/>
      <c r="J1320" s="1277"/>
      <c r="K1320" s="1278"/>
      <c r="L1320" s="1125">
        <v>250</v>
      </c>
    </row>
    <row r="1321" spans="1:12" s="1279" customFormat="1" ht="20.100000000000001" customHeight="1">
      <c r="A1321" s="1377">
        <f t="shared" si="53"/>
        <v>0</v>
      </c>
      <c r="B1321" s="1615" t="s">
        <v>139</v>
      </c>
      <c r="C1321" s="1286"/>
      <c r="D1321" s="1274">
        <f>VLOOKUP($B1321,DG!A:D,DG!$B$2,)</f>
        <v>0</v>
      </c>
      <c r="E1321" s="1275" t="str">
        <f>VLOOKUP($B1321,DG!A:D,DG!$C$2,)</f>
        <v>Boulon 12x40+ 2 long đền vuông D14-50x50x3/Zn</v>
      </c>
      <c r="F1321" s="1274" t="str">
        <f>VLOOKUP($B1321,DG!A:D,DG!$D$2,)</f>
        <v>bộ</v>
      </c>
      <c r="G1321" s="1287">
        <f>G1315*2*0</f>
        <v>0</v>
      </c>
      <c r="H1321" s="1353">
        <f t="shared" si="52"/>
        <v>0</v>
      </c>
      <c r="I1321" s="1277"/>
      <c r="J1321" s="1277"/>
      <c r="K1321" s="1278"/>
      <c r="L1321" s="1125">
        <v>250</v>
      </c>
    </row>
    <row r="1322" spans="1:12" s="1279" customFormat="1" ht="20.100000000000001" customHeight="1">
      <c r="A1322" s="1377">
        <f t="shared" si="53"/>
        <v>0</v>
      </c>
      <c r="B1322" s="1615" t="s">
        <v>2038</v>
      </c>
      <c r="C1322" s="1286"/>
      <c r="D1322" s="1274">
        <f>VLOOKUP($B1322,DG!A:D,DG!$B$2,)</f>
        <v>0</v>
      </c>
      <c r="E1322" s="1275" t="str">
        <f>VLOOKUP($B1322,DG!A:D,DG!$C$2,)</f>
        <v>Boulon 12x60+ 2 long đền vuông D14-50x50x3/Zn</v>
      </c>
      <c r="F1322" s="1274" t="str">
        <f>VLOOKUP($B1322,DG!A:D,DG!$D$2,)</f>
        <v>bộ</v>
      </c>
      <c r="G1322" s="1287">
        <f>G1321</f>
        <v>0</v>
      </c>
      <c r="H1322" s="1353">
        <f t="shared" si="52"/>
        <v>0</v>
      </c>
      <c r="I1322" s="1277"/>
      <c r="J1322" s="1277"/>
      <c r="K1322" s="1278"/>
      <c r="L1322" s="1125">
        <v>250</v>
      </c>
    </row>
    <row r="1323" spans="1:12" s="1279" customFormat="1" ht="20.100000000000001" customHeight="1">
      <c r="A1323" s="1377">
        <f t="shared" si="53"/>
        <v>0</v>
      </c>
      <c r="B1323" s="1582" t="s">
        <v>948</v>
      </c>
      <c r="C1323" s="1286"/>
      <c r="D1323" s="1274">
        <f>VLOOKUP($B1323,DG!A:D,DG!$B$2,)</f>
        <v>0</v>
      </c>
      <c r="E1323" s="1275" t="str">
        <f>VLOOKUP($B1323,DG!A:D,DG!$C$2,)</f>
        <v>Khâu ven răng trong D90</v>
      </c>
      <c r="F1323" s="1274" t="str">
        <f>VLOOKUP($B1323,DG!A:D,DG!$D$2,)</f>
        <v>cái</v>
      </c>
      <c r="G1323" s="1287">
        <f>G1315*2*0</f>
        <v>0</v>
      </c>
      <c r="H1323" s="1353">
        <f t="shared" si="52"/>
        <v>0</v>
      </c>
      <c r="I1323" s="1277"/>
      <c r="J1323" s="1277"/>
      <c r="K1323" s="1278"/>
      <c r="L1323" s="1125">
        <v>250</v>
      </c>
    </row>
    <row r="1324" spans="1:12" s="1279" customFormat="1" ht="20.100000000000001" customHeight="1">
      <c r="A1324" s="1377">
        <f t="shared" si="53"/>
        <v>0</v>
      </c>
      <c r="B1324" s="1582" t="s">
        <v>947</v>
      </c>
      <c r="C1324" s="1286"/>
      <c r="D1324" s="1274">
        <f>VLOOKUP($B1324,DG!A:D,DG!$B$2,)</f>
        <v>0</v>
      </c>
      <c r="E1324" s="1275" t="str">
        <f>VLOOKUP($B1324,DG!A:D,DG!$C$2,)</f>
        <v>Khâu ven răng ngoài D90</v>
      </c>
      <c r="F1324" s="1274" t="str">
        <f>VLOOKUP($B1324,DG!A:D,DG!$D$2,)</f>
        <v>cái</v>
      </c>
      <c r="G1324" s="1287">
        <f>G1323</f>
        <v>0</v>
      </c>
      <c r="H1324" s="1353">
        <f t="shared" ref="H1324:H1389" si="54">IF(L1324=$L$23,G1324+I1324-J1324,0)</f>
        <v>0</v>
      </c>
      <c r="I1324" s="1277"/>
      <c r="J1324" s="1277"/>
      <c r="K1324" s="1278"/>
      <c r="L1324" s="1125">
        <v>250</v>
      </c>
    </row>
    <row r="1325" spans="1:12" s="1279" customFormat="1" ht="20.100000000000001" customHeight="1">
      <c r="A1325" s="1377">
        <f t="shared" si="53"/>
        <v>0</v>
      </c>
      <c r="B1325" s="1378"/>
      <c r="C1325" s="1280">
        <f>IF(G1325&gt;0,C1315+1,C1315)</f>
        <v>4</v>
      </c>
      <c r="D1325" s="1281"/>
      <c r="E1325" s="1292" t="s">
        <v>3827</v>
      </c>
      <c r="F1325" s="1280" t="s">
        <v>2449</v>
      </c>
      <c r="G1325" s="1351">
        <f>G1254</f>
        <v>1</v>
      </c>
      <c r="H1325" s="1353">
        <f t="shared" si="54"/>
        <v>0</v>
      </c>
      <c r="I1325" s="1277"/>
      <c r="J1325" s="1277"/>
      <c r="K1325" s="1312"/>
      <c r="L1325" s="1125">
        <v>250</v>
      </c>
    </row>
    <row r="1326" spans="1:12" s="1279" customFormat="1" ht="20.100000000000001" customHeight="1">
      <c r="A1326" s="1377">
        <f>IF(A1325&gt;0,1,0)</f>
        <v>0</v>
      </c>
      <c r="B1326" s="1378"/>
      <c r="C1326" s="1273"/>
      <c r="D1326" s="1284"/>
      <c r="E1326" s="1638" t="s">
        <v>2342</v>
      </c>
      <c r="F1326" s="1273"/>
      <c r="G1326" s="1287"/>
      <c r="H1326" s="1353">
        <f t="shared" si="54"/>
        <v>0</v>
      </c>
      <c r="I1326" s="1277"/>
      <c r="J1326" s="1277"/>
      <c r="K1326" s="1312"/>
      <c r="L1326" s="1125">
        <v>250</v>
      </c>
    </row>
    <row r="1327" spans="1:12" s="1279" customFormat="1" ht="20.100000000000001" customHeight="1">
      <c r="A1327" s="1377">
        <f t="shared" si="53"/>
        <v>0</v>
      </c>
      <c r="B1327" s="1625" t="s">
        <v>1043</v>
      </c>
      <c r="C1327" s="1286"/>
      <c r="D1327" s="1274">
        <f>VLOOKUP($B1327,DG!A:D,DG!$B$2,)</f>
        <v>0</v>
      </c>
      <c r="E1327" s="1275" t="str">
        <f>VLOOKUP($B1327,DG!A:D,DG!$C$2,)</f>
        <v>Cáp đồng bọc CV185</v>
      </c>
      <c r="F1327" s="1274" t="str">
        <f>VLOOKUP($B1327,DG!A:D,DG!$D$2,)</f>
        <v>mét</v>
      </c>
      <c r="G1327" s="1287">
        <f>+G1325*8*3</f>
        <v>24</v>
      </c>
      <c r="H1327" s="1353">
        <f t="shared" si="54"/>
        <v>0</v>
      </c>
      <c r="I1327" s="1277"/>
      <c r="J1327" s="1277"/>
      <c r="K1327" s="1312"/>
      <c r="L1327" s="1125">
        <v>250</v>
      </c>
    </row>
    <row r="1328" spans="1:12" s="1279" customFormat="1" ht="20.100000000000001" customHeight="1">
      <c r="A1328" s="1377">
        <f t="shared" si="53"/>
        <v>0</v>
      </c>
      <c r="B1328" s="1625" t="s">
        <v>32</v>
      </c>
      <c r="C1328" s="1286"/>
      <c r="D1328" s="1274">
        <f>VLOOKUP($B1328,DG!A:D,DG!$B$2,)</f>
        <v>0</v>
      </c>
      <c r="E1328" s="1275" t="str">
        <f>VLOOKUP($B1328,DG!A:D,DG!$C$2,)</f>
        <v>Cáp đồng bọc CV120</v>
      </c>
      <c r="F1328" s="1274" t="str">
        <f>VLOOKUP($B1328,DG!A:D,DG!$D$2,)</f>
        <v>mét</v>
      </c>
      <c r="G1328" s="1287">
        <f>+G1325*9</f>
        <v>9</v>
      </c>
      <c r="H1328" s="1353">
        <f t="shared" si="54"/>
        <v>0</v>
      </c>
      <c r="I1328" s="1277"/>
      <c r="J1328" s="1277"/>
      <c r="K1328" s="1312"/>
      <c r="L1328" s="1125">
        <v>250</v>
      </c>
    </row>
    <row r="1329" spans="1:12" s="1279" customFormat="1" ht="20.100000000000001" customHeight="1">
      <c r="A1329" s="1377">
        <f t="shared" si="53"/>
        <v>0</v>
      </c>
      <c r="B1329" s="1582" t="s">
        <v>152</v>
      </c>
      <c r="C1329" s="1286"/>
      <c r="D1329" s="1274" t="str">
        <f>VLOOKUP($B1329,DG!A:D,DG!$B$2,)</f>
        <v>03.4007</v>
      </c>
      <c r="E1329" s="1275" t="str">
        <f>VLOOKUP($B1329,DG!A:D,DG!$C$2,)</f>
        <v>Đầu cosse ép Cu 185mm2</v>
      </c>
      <c r="F1329" s="1274" t="str">
        <f>VLOOKUP($B1329,DG!A:D,DG!$D$2,)</f>
        <v>cái</v>
      </c>
      <c r="G1329" s="1287">
        <f>G1325*6</f>
        <v>6</v>
      </c>
      <c r="H1329" s="1353">
        <f t="shared" si="54"/>
        <v>0</v>
      </c>
      <c r="I1329" s="1277"/>
      <c r="J1329" s="1277"/>
      <c r="K1329" s="1312"/>
      <c r="L1329" s="1125">
        <v>250</v>
      </c>
    </row>
    <row r="1330" spans="1:12" s="1279" customFormat="1" ht="20.100000000000001" customHeight="1">
      <c r="A1330" s="1377">
        <f t="shared" si="53"/>
        <v>0</v>
      </c>
      <c r="B1330" s="1582" t="s">
        <v>1338</v>
      </c>
      <c r="C1330" s="1286"/>
      <c r="D1330" s="1274" t="str">
        <f>VLOOKUP($B1330,DG!A:D,DG!$B$2,)</f>
        <v>03.4005</v>
      </c>
      <c r="E1330" s="1275" t="str">
        <f>VLOOKUP($B1330,DG!A:D,DG!$C$2,)</f>
        <v>Đầu cosse ép Cu 120mm2</v>
      </c>
      <c r="F1330" s="1274" t="str">
        <f>VLOOKUP($B1330,DG!A:D,DG!$D$2,)</f>
        <v>cái</v>
      </c>
      <c r="G1330" s="1287">
        <f>G1325*2</f>
        <v>2</v>
      </c>
      <c r="H1330" s="1353">
        <f t="shared" si="54"/>
        <v>0</v>
      </c>
      <c r="I1330" s="1277"/>
      <c r="J1330" s="1277"/>
      <c r="K1330" s="1312"/>
      <c r="L1330" s="1125">
        <v>250</v>
      </c>
    </row>
    <row r="1331" spans="1:12" s="1279" customFormat="1" ht="20.100000000000001" customHeight="1">
      <c r="A1331" s="1377">
        <f t="shared" si="53"/>
        <v>0</v>
      </c>
      <c r="B1331" s="1582" t="s">
        <v>151</v>
      </c>
      <c r="C1331" s="1286"/>
      <c r="D1331" s="1274">
        <f>VLOOKUP($B1331,DG!A:D,DG!$B$2,)</f>
        <v>0</v>
      </c>
      <c r="E1331" s="1275" t="str">
        <f>VLOOKUP($B1331,DG!A:D,DG!$C$2,)</f>
        <v>Chụp đầu cosse  185mm2</v>
      </c>
      <c r="F1331" s="1274" t="str">
        <f>VLOOKUP($B1331,DG!A:D,DG!$D$2,)</f>
        <v>cái</v>
      </c>
      <c r="G1331" s="1287">
        <f>G1329</f>
        <v>6</v>
      </c>
      <c r="H1331" s="1353">
        <f t="shared" si="54"/>
        <v>0</v>
      </c>
      <c r="I1331" s="1277"/>
      <c r="J1331" s="1277"/>
      <c r="K1331" s="1312"/>
      <c r="L1331" s="1125">
        <v>250</v>
      </c>
    </row>
    <row r="1332" spans="1:12" s="1279" customFormat="1" ht="20.100000000000001" customHeight="1">
      <c r="A1332" s="1377">
        <f t="shared" si="53"/>
        <v>0</v>
      </c>
      <c r="B1332" s="1582" t="s">
        <v>93</v>
      </c>
      <c r="C1332" s="1286"/>
      <c r="D1332" s="1274">
        <f>VLOOKUP($B1332,DG!A:D,DG!$B$2,)</f>
        <v>0</v>
      </c>
      <c r="E1332" s="1275" t="str">
        <f>VLOOKUP($B1332,DG!A:D,DG!$C$2,)</f>
        <v>Chụp đầu cosse  120mm2</v>
      </c>
      <c r="F1332" s="1274" t="str">
        <f>VLOOKUP($B1332,DG!A:D,DG!$D$2,)</f>
        <v>cái</v>
      </c>
      <c r="G1332" s="1287">
        <f>G1330</f>
        <v>2</v>
      </c>
      <c r="H1332" s="1353">
        <f t="shared" si="54"/>
        <v>0</v>
      </c>
      <c r="I1332" s="1277"/>
      <c r="J1332" s="1277"/>
      <c r="K1332" s="1312"/>
      <c r="L1332" s="1125">
        <v>250</v>
      </c>
    </row>
    <row r="1333" spans="1:12" s="1279" customFormat="1" ht="20.100000000000001" customHeight="1">
      <c r="A1333" s="1377">
        <f t="shared" si="53"/>
        <v>0</v>
      </c>
      <c r="B1333" s="1582" t="s">
        <v>283</v>
      </c>
      <c r="C1333" s="1286"/>
      <c r="D1333" s="1274" t="str">
        <f>VLOOKUP($B1333,DG!A:D,DG!$B$2,)</f>
        <v>04.8003</v>
      </c>
      <c r="E1333" s="1275" t="str">
        <f>VLOOKUP($B1333,DG!A:D,DG!$C$2,)</f>
        <v xml:space="preserve">Ống PVC D90x3,8mm </v>
      </c>
      <c r="F1333" s="1274" t="str">
        <f>VLOOKUP($B1333,DG!A:D,DG!$D$2,)</f>
        <v>m</v>
      </c>
      <c r="G1333" s="1287">
        <f>+G1325*6</f>
        <v>6</v>
      </c>
      <c r="H1333" s="1353">
        <f t="shared" si="54"/>
        <v>0</v>
      </c>
      <c r="I1333" s="1277"/>
      <c r="J1333" s="1277"/>
      <c r="K1333" s="1312"/>
      <c r="L1333" s="1125">
        <v>250</v>
      </c>
    </row>
    <row r="1334" spans="1:12" s="1279" customFormat="1" ht="20.100000000000001" customHeight="1">
      <c r="A1334" s="1377">
        <f t="shared" si="53"/>
        <v>0</v>
      </c>
      <c r="B1334" s="1615" t="s">
        <v>86</v>
      </c>
      <c r="C1334" s="1286"/>
      <c r="D1334" s="1274">
        <f>VLOOKUP($B1334,DG!A:D,DG!$B$2,)</f>
        <v>0</v>
      </c>
      <c r="E1334" s="1275" t="str">
        <f>VLOOKUP($B1334,DG!A:D,DG!$C$2,)</f>
        <v>Co  90 độ PVC 90</v>
      </c>
      <c r="F1334" s="1274" t="str">
        <f>VLOOKUP($B1334,DG!A:D,DG!$D$2,)</f>
        <v>cái</v>
      </c>
      <c r="G1334" s="1287">
        <v>1</v>
      </c>
      <c r="H1334" s="1353">
        <f t="shared" si="54"/>
        <v>0</v>
      </c>
      <c r="I1334" s="1277"/>
      <c r="J1334" s="1277"/>
      <c r="K1334" s="1312"/>
      <c r="L1334" s="1125">
        <v>250</v>
      </c>
    </row>
    <row r="1335" spans="1:12" s="1279" customFormat="1" ht="20.100000000000001" customHeight="1">
      <c r="A1335" s="1377">
        <f t="shared" si="53"/>
        <v>0</v>
      </c>
      <c r="B1335" s="85" t="s">
        <v>1245</v>
      </c>
      <c r="C1335" s="1286"/>
      <c r="D1335" s="1274">
        <f>VLOOKUP($B1335,DG!A:D,DG!$B$2,)</f>
        <v>0</v>
      </c>
      <c r="E1335" s="1275" t="str">
        <f>VLOOKUP($B1335,DG!A:D,DG!$C$2,)</f>
        <v>Co 135 độ PVC 90</v>
      </c>
      <c r="F1335" s="1274" t="str">
        <f>VLOOKUP($B1335,DG!A:D,DG!$D$2,)</f>
        <v>cái</v>
      </c>
      <c r="G1335" s="1287">
        <v>1</v>
      </c>
      <c r="H1335" s="1353">
        <f t="shared" si="54"/>
        <v>0</v>
      </c>
      <c r="I1335" s="1277"/>
      <c r="J1335" s="1277"/>
      <c r="K1335" s="1312"/>
      <c r="L1335" s="1125">
        <v>250</v>
      </c>
    </row>
    <row r="1336" spans="1:12" s="1279" customFormat="1" ht="20.100000000000001" customHeight="1">
      <c r="A1336" s="1377">
        <f t="shared" si="53"/>
        <v>0</v>
      </c>
      <c r="B1336" s="1378" t="s">
        <v>1541</v>
      </c>
      <c r="C1336" s="1286"/>
      <c r="D1336" s="1274" t="str">
        <f>VLOOKUP($B1336,DG!A:D,DG!$B$2,)</f>
        <v>04.8003</v>
      </c>
      <c r="E1336" s="1275" t="str">
        <f>VLOOKUP($B1336,DG!A:D,DG!$C$2,)</f>
        <v xml:space="preserve">Ống PVC D90x3,8mm </v>
      </c>
      <c r="F1336" s="1274" t="str">
        <f>VLOOKUP($B1336,DG!A:D,DG!$D$2,)</f>
        <v>m</v>
      </c>
      <c r="G1336" s="1287">
        <f>+G1325*12</f>
        <v>12</v>
      </c>
      <c r="H1336" s="1353">
        <f t="shared" si="54"/>
        <v>0</v>
      </c>
      <c r="I1336" s="1277"/>
      <c r="J1336" s="1277"/>
      <c r="K1336" s="1312"/>
      <c r="L1336" s="1125">
        <v>250</v>
      </c>
    </row>
    <row r="1337" spans="1:12" s="1279" customFormat="1" ht="20.100000000000001" customHeight="1">
      <c r="A1337" s="1377">
        <f t="shared" si="53"/>
        <v>0</v>
      </c>
      <c r="B1337" s="1615" t="s">
        <v>277</v>
      </c>
      <c r="C1337" s="1286"/>
      <c r="D1337" s="1274" t="str">
        <f>VLOOKUP($B1337,DG!A:D,DG!$B$2,)</f>
        <v>06.3231</v>
      </c>
      <c r="E1337" s="1275" t="str">
        <f>VLOOKUP($B1337,DG!A:D,DG!$C$2,)</f>
        <v>Cổ dê kẹp ống PVC Ø 90</v>
      </c>
      <c r="F1337" s="1274" t="str">
        <f>VLOOKUP($B1337,DG!A:D,DG!$D$2,)</f>
        <v>bộ</v>
      </c>
      <c r="G1337" s="1287">
        <v>3</v>
      </c>
      <c r="H1337" s="1353">
        <f t="shared" si="54"/>
        <v>0</v>
      </c>
      <c r="I1337" s="1277"/>
      <c r="J1337" s="1277"/>
      <c r="K1337" s="1312"/>
      <c r="L1337" s="1125">
        <v>250</v>
      </c>
    </row>
    <row r="1338" spans="1:12" s="1279" customFormat="1" ht="20.100000000000001" customHeight="1">
      <c r="A1338" s="1377">
        <f t="shared" si="53"/>
        <v>0</v>
      </c>
      <c r="B1338" s="1378" t="s">
        <v>1161</v>
      </c>
      <c r="C1338" s="1286"/>
      <c r="D1338" s="1274" t="str">
        <f>VLOOKUP($B1338,DG!A:D,DG!$B$2,)</f>
        <v>06.2110</v>
      </c>
      <c r="E1338" s="1275" t="str">
        <f>VLOOKUP($B1338,DG!A:D,DG!$C$2,)</f>
        <v>Lắp cổ dề</v>
      </c>
      <c r="F1338" s="1274" t="str">
        <f>VLOOKUP($B1338,DG!A:D,DG!$D$2,)</f>
        <v>bộ</v>
      </c>
      <c r="G1338" s="1287">
        <f>+G1337</f>
        <v>3</v>
      </c>
      <c r="H1338" s="1353">
        <f t="shared" si="54"/>
        <v>0</v>
      </c>
      <c r="I1338" s="1277"/>
      <c r="J1338" s="1277"/>
      <c r="K1338" s="1312"/>
      <c r="L1338" s="1125">
        <v>250</v>
      </c>
    </row>
    <row r="1339" spans="1:12" s="1279" customFormat="1" ht="20.100000000000001" customHeight="1">
      <c r="A1339" s="1377">
        <f t="shared" si="53"/>
        <v>0</v>
      </c>
      <c r="B1339" s="1615" t="s">
        <v>86</v>
      </c>
      <c r="C1339" s="1286"/>
      <c r="D1339" s="1274">
        <f>VLOOKUP($B1339,DG!A:D,DG!$B$2,)</f>
        <v>0</v>
      </c>
      <c r="E1339" s="1275" t="str">
        <f>VLOOKUP($B1339,DG!A:D,DG!$C$2,)</f>
        <v>Co  90 độ PVC 90</v>
      </c>
      <c r="F1339" s="1274" t="str">
        <f>VLOOKUP($B1339,DG!A:D,DG!$D$2,)</f>
        <v>cái</v>
      </c>
      <c r="G1339" s="1287"/>
      <c r="H1339" s="1353">
        <f t="shared" si="54"/>
        <v>0</v>
      </c>
      <c r="I1339" s="1277"/>
      <c r="J1339" s="1277"/>
      <c r="K1339" s="1312"/>
      <c r="L1339" s="1125">
        <v>250</v>
      </c>
    </row>
    <row r="1340" spans="1:12" s="1279" customFormat="1" ht="20.100000000000001" customHeight="1">
      <c r="A1340" s="1377">
        <f t="shared" si="53"/>
        <v>0</v>
      </c>
      <c r="B1340" s="1112" t="s">
        <v>4550</v>
      </c>
      <c r="C1340" s="1286"/>
      <c r="D1340" s="1274">
        <f>VLOOKUP($B1340,DG!A:D,DG!$B$2,)</f>
        <v>0</v>
      </c>
      <c r="E1340" s="1275" t="str">
        <f>VLOOKUP($B1340,DG!A:D,DG!$C$2,)</f>
        <v>Chụp cách điện đầu cực MBA</v>
      </c>
      <c r="F1340" s="1274" t="str">
        <f>VLOOKUP($B1340,DG!A:D,DG!$D$2,)</f>
        <v>cái</v>
      </c>
      <c r="G1340" s="1287">
        <v>3</v>
      </c>
      <c r="H1340" s="1353">
        <f t="shared" si="54"/>
        <v>0</v>
      </c>
      <c r="I1340" s="1277"/>
      <c r="J1340" s="1277"/>
      <c r="K1340" s="1312"/>
      <c r="L1340" s="1125">
        <v>250</v>
      </c>
    </row>
    <row r="1341" spans="1:12" s="1279" customFormat="1" ht="20.100000000000001" customHeight="1">
      <c r="A1341" s="1377">
        <f t="shared" si="53"/>
        <v>0</v>
      </c>
      <c r="B1341" s="1112" t="s">
        <v>4552</v>
      </c>
      <c r="C1341" s="1286"/>
      <c r="D1341" s="1274">
        <f>VLOOKUP($B1341,DG!A:D,DG!$B$2,)</f>
        <v>0</v>
      </c>
      <c r="E1341" s="1275" t="str">
        <f>VLOOKUP($B1341,DG!A:D,DG!$C$2,)</f>
        <v>Chụp cách điện đầu cực LA</v>
      </c>
      <c r="F1341" s="1274" t="str">
        <f>VLOOKUP($B1341,DG!A:D,DG!$D$2,)</f>
        <v>cái</v>
      </c>
      <c r="G1341" s="1287">
        <v>3</v>
      </c>
      <c r="H1341" s="1353">
        <f t="shared" si="54"/>
        <v>0</v>
      </c>
      <c r="I1341" s="1277"/>
      <c r="J1341" s="1277"/>
      <c r="K1341" s="1312"/>
      <c r="L1341" s="1125">
        <v>250</v>
      </c>
    </row>
    <row r="1342" spans="1:12" s="1279" customFormat="1" ht="20.100000000000001" customHeight="1">
      <c r="A1342" s="1377">
        <f t="shared" si="53"/>
        <v>0</v>
      </c>
      <c r="B1342" s="1582" t="s">
        <v>2229</v>
      </c>
      <c r="C1342" s="1286"/>
      <c r="D1342" s="1274">
        <f>VLOOKUP($B1342,DG!A:D,DG!$B$2,)</f>
        <v>0</v>
      </c>
      <c r="E1342" s="1275" t="str">
        <f>VLOOKUP($B1342,DG!A:D,DG!$C$2,)</f>
        <v>Khâu ven răng trong D114</v>
      </c>
      <c r="F1342" s="1274" t="str">
        <f>VLOOKUP($B1342,DG!A:D,DG!$D$2,)</f>
        <v>cái</v>
      </c>
      <c r="G1342" s="1287"/>
      <c r="H1342" s="1353">
        <f t="shared" si="54"/>
        <v>0</v>
      </c>
      <c r="I1342" s="1277"/>
      <c r="J1342" s="1277"/>
      <c r="K1342" s="1312"/>
      <c r="L1342" s="1125">
        <v>250</v>
      </c>
    </row>
    <row r="1343" spans="1:12" s="1279" customFormat="1" ht="20.100000000000001" customHeight="1">
      <c r="A1343" s="1377">
        <f t="shared" si="53"/>
        <v>0</v>
      </c>
      <c r="B1343" s="1582" t="s">
        <v>2230</v>
      </c>
      <c r="C1343" s="1286"/>
      <c r="D1343" s="1274">
        <f>VLOOKUP($B1343,DG!A:D,DG!$B$2,)</f>
        <v>0</v>
      </c>
      <c r="E1343" s="1275" t="str">
        <f>VLOOKUP($B1343,DG!A:D,DG!$C$2,)&amp;": "</f>
        <v xml:space="preserve">Khâu ven răng ngoài D114: </v>
      </c>
      <c r="F1343" s="1274" t="str">
        <f>VLOOKUP($B1343,DG!A:D,DG!$D$2,)</f>
        <v>cái</v>
      </c>
      <c r="G1343" s="1287"/>
      <c r="H1343" s="1353">
        <f t="shared" si="54"/>
        <v>0</v>
      </c>
      <c r="I1343" s="1277"/>
      <c r="J1343" s="1277"/>
      <c r="K1343" s="1312"/>
      <c r="L1343" s="1125">
        <v>250</v>
      </c>
    </row>
    <row r="1344" spans="1:12" s="1279" customFormat="1" ht="20.100000000000001" customHeight="1">
      <c r="A1344" s="1377">
        <f t="shared" si="53"/>
        <v>0</v>
      </c>
      <c r="B1344" s="1582" t="s">
        <v>2136</v>
      </c>
      <c r="C1344" s="1286"/>
      <c r="D1344" s="1274">
        <f>VLOOKUP($B1344,DG!A:D,DG!$B$2,)</f>
        <v>0</v>
      </c>
      <c r="E1344" s="1275" t="str">
        <f>VLOOKUP($B1344,DG!A:D,DG!$C$2,)&amp;": "</f>
        <v xml:space="preserve">Keo dán ống PVC (100gr): </v>
      </c>
      <c r="F1344" s="1274" t="str">
        <f>VLOOKUP($B1344,DG!A:D,DG!$D$2,)</f>
        <v>tuýp</v>
      </c>
      <c r="G1344" s="1287">
        <v>1</v>
      </c>
      <c r="H1344" s="1353">
        <f t="shared" si="54"/>
        <v>0</v>
      </c>
      <c r="I1344" s="1277"/>
      <c r="J1344" s="1277"/>
      <c r="K1344" s="1312"/>
      <c r="L1344" s="1125">
        <v>250</v>
      </c>
    </row>
    <row r="1345" spans="1:12" s="1279" customFormat="1" ht="20.100000000000001" customHeight="1">
      <c r="A1345" s="1377">
        <f t="shared" si="53"/>
        <v>0</v>
      </c>
      <c r="B1345" s="1378" t="s">
        <v>6</v>
      </c>
      <c r="C1345" s="1286"/>
      <c r="D1345" s="1274"/>
      <c r="E1345" s="1275" t="str">
        <f>VLOOKUP($B1345,DG!A:D,DG!$C$2,)&amp;":"</f>
        <v>Keo silicon bít miệng ống:</v>
      </c>
      <c r="F1345" s="1274" t="str">
        <f>VLOOKUP($B1345,DG!A:D,DG!$D$2,)</f>
        <v>ống</v>
      </c>
      <c r="G1345" s="1287">
        <f>G1325</f>
        <v>1</v>
      </c>
      <c r="H1345" s="1353">
        <f t="shared" si="54"/>
        <v>0</v>
      </c>
      <c r="I1345" s="1277"/>
      <c r="J1345" s="1277"/>
      <c r="K1345" s="1278"/>
      <c r="L1345" s="1125">
        <v>250</v>
      </c>
    </row>
    <row r="1346" spans="1:12" s="1279" customFormat="1" ht="20.100000000000001" customHeight="1">
      <c r="A1346" s="1377">
        <f t="shared" si="53"/>
        <v>0</v>
      </c>
      <c r="B1346" s="1582" t="s">
        <v>2338</v>
      </c>
      <c r="C1346" s="1286"/>
      <c r="D1346" s="1274" t="str">
        <f>VLOOKUP($B1346,DG!A:D,DG!$B$2,)</f>
        <v>03.1401</v>
      </c>
      <c r="E1346" s="1275" t="str">
        <f>VLOOKUP($B1346,DG!A:D,DG!$C$2,)</f>
        <v xml:space="preserve">Cáp CVV 4x4mm2  </v>
      </c>
      <c r="F1346" s="1274" t="str">
        <f>VLOOKUP($B1346,DG!A:D,DG!$D$2,)</f>
        <v>mét</v>
      </c>
      <c r="G1346" s="1287">
        <v>2</v>
      </c>
      <c r="H1346" s="1353">
        <f t="shared" si="54"/>
        <v>0</v>
      </c>
      <c r="I1346" s="1277"/>
      <c r="J1346" s="1277"/>
      <c r="K1346" s="1278"/>
      <c r="L1346" s="1125">
        <v>250</v>
      </c>
    </row>
    <row r="1347" spans="1:12" s="1279" customFormat="1" ht="20.100000000000001" customHeight="1">
      <c r="A1347" s="1377">
        <f t="shared" si="53"/>
        <v>0</v>
      </c>
      <c r="B1347" s="1378" t="s">
        <v>677</v>
      </c>
      <c r="C1347" s="1286"/>
      <c r="D1347" s="1274">
        <f>VLOOKUP($B1347,DG!A:D,DG!$B$2,)</f>
        <v>0</v>
      </c>
      <c r="E1347" s="1275" t="str">
        <f>VLOOKUP($B1347,DG!A:D,DG!$C$2,)&amp;":"</f>
        <v>Băng keo cách điện:</v>
      </c>
      <c r="F1347" s="1274" t="str">
        <f>VLOOKUP($B1347,DG!A:D,DG!$D$2,)</f>
        <v>cuộn</v>
      </c>
      <c r="G1347" s="1287">
        <v>2</v>
      </c>
      <c r="H1347" s="1353">
        <f t="shared" si="54"/>
        <v>0</v>
      </c>
      <c r="I1347" s="1277"/>
      <c r="J1347" s="1277"/>
      <c r="K1347" s="1312"/>
      <c r="L1347" s="1125">
        <v>250</v>
      </c>
    </row>
    <row r="1348" spans="1:12" s="1279" customFormat="1" ht="20.100000000000001" customHeight="1">
      <c r="A1348" s="1377">
        <f>IF(H1348&gt;0,1,0)</f>
        <v>0</v>
      </c>
      <c r="B1348" s="1378" t="s">
        <v>248</v>
      </c>
      <c r="C1348" s="1286"/>
      <c r="D1348" s="1274" t="str">
        <f>VLOOKUP($B1348,DG!A:D,DG!$B$2,)</f>
        <v>04.4203</v>
      </c>
      <c r="E1348" s="1275" t="str">
        <f>VLOOKUP($B1348,DG!A:D,DG!$C$2,)&amp;":"</f>
        <v>Lắp cáp đồng xuống thiết bị D &gt; 150mm2:</v>
      </c>
      <c r="F1348" s="1274" t="str">
        <f>VLOOKUP($B1348,DG!A:D,DG!$D$2,)</f>
        <v>m</v>
      </c>
      <c r="G1348" s="1287">
        <f>G1326+G1327</f>
        <v>24</v>
      </c>
      <c r="H1348" s="1353">
        <f>IF(L1348=$L$23,G1348+I1348-J1348,0)</f>
        <v>0</v>
      </c>
      <c r="I1348" s="1277"/>
      <c r="J1348" s="1277"/>
      <c r="K1348" s="1312"/>
      <c r="L1348" s="1125">
        <v>250</v>
      </c>
    </row>
    <row r="1349" spans="1:12" s="1279" customFormat="1" ht="20.100000000000001" customHeight="1">
      <c r="A1349" s="1377">
        <f>IF(H1349&gt;0,1,0)</f>
        <v>0</v>
      </c>
      <c r="B1349" s="1378" t="s">
        <v>2059</v>
      </c>
      <c r="C1349" s="1286"/>
      <c r="D1349" s="1274" t="str">
        <f>VLOOKUP($B1349,DG!A:D,DG!$B$2,)</f>
        <v>04.4202</v>
      </c>
      <c r="E1349" s="1275" t="str">
        <f>VLOOKUP($B1349,DG!A:D,DG!$C$2,)&amp;":"</f>
        <v>Lắp cáp đồng xuống thiết bị D ≤ 150mm2:</v>
      </c>
      <c r="F1349" s="1274" t="str">
        <f>VLOOKUP($B1349,DG!A:D,DG!$D$2,)</f>
        <v>m</v>
      </c>
      <c r="G1349" s="1287">
        <f>G1328</f>
        <v>9</v>
      </c>
      <c r="H1349" s="1353">
        <f>IF(L1349=$L$23,G1349+I1349-J1349,0)</f>
        <v>0</v>
      </c>
      <c r="I1349" s="1277"/>
      <c r="J1349" s="1277"/>
      <c r="K1349" s="1312"/>
      <c r="L1349" s="1125">
        <v>250</v>
      </c>
    </row>
    <row r="1350" spans="1:12" s="1279" customFormat="1" ht="20.100000000000001" customHeight="1">
      <c r="A1350" s="1377">
        <f t="shared" si="53"/>
        <v>0</v>
      </c>
      <c r="B1350" s="1378" t="s">
        <v>1249</v>
      </c>
      <c r="C1350" s="1286"/>
      <c r="D1350" s="1274" t="str">
        <f>VLOOKUP($B1350,DG!A:D,DG!$B$2,)</f>
        <v>06.3191</v>
      </c>
      <c r="E1350" s="1275" t="str">
        <f>VLOOKUP($B1350,DG!A:D,DG!$C$2,)&amp;":"</f>
        <v>Bảng tên trạm, bảng báo nguy hiểm + đinh vít:</v>
      </c>
      <c r="F1350" s="1274" t="str">
        <f>VLOOKUP($B1350,DG!A:D,DG!$D$2,)</f>
        <v>bộ</v>
      </c>
      <c r="G1350" s="1287">
        <v>1</v>
      </c>
      <c r="H1350" s="1353">
        <f t="shared" si="54"/>
        <v>0</v>
      </c>
      <c r="I1350" s="1277"/>
      <c r="J1350" s="1277"/>
      <c r="K1350" s="1312"/>
      <c r="L1350" s="1125">
        <v>250</v>
      </c>
    </row>
    <row r="1351" spans="1:12" s="1279" customFormat="1" ht="20.100000000000001" customHeight="1">
      <c r="A1351" s="1377">
        <f t="shared" si="53"/>
        <v>0</v>
      </c>
      <c r="B1351" s="1378"/>
      <c r="C1351" s="1280">
        <f>IF(G1351&gt;0,C1325+1,C1325)</f>
        <v>4</v>
      </c>
      <c r="D1351" s="1281"/>
      <c r="E1351" s="1292" t="s">
        <v>3828</v>
      </c>
      <c r="F1351" s="1280" t="s">
        <v>2449</v>
      </c>
      <c r="G1351" s="1351"/>
      <c r="H1351" s="1353">
        <f t="shared" si="54"/>
        <v>0</v>
      </c>
      <c r="I1351" s="1277"/>
      <c r="J1351" s="1277"/>
      <c r="K1351" s="1312"/>
      <c r="L1351" s="1125">
        <v>250</v>
      </c>
    </row>
    <row r="1352" spans="1:12" s="1352" customFormat="1" ht="20.100000000000001" customHeight="1">
      <c r="A1352" s="1377">
        <f>IF(A1351&gt;0,1,0)</f>
        <v>0</v>
      </c>
      <c r="B1352" s="1626"/>
      <c r="C1352" s="1273"/>
      <c r="D1352" s="1284"/>
      <c r="E1352" s="1638" t="s">
        <v>2342</v>
      </c>
      <c r="F1352" s="1273"/>
      <c r="G1352" s="1293"/>
      <c r="H1352" s="1353">
        <f t="shared" si="54"/>
        <v>0</v>
      </c>
      <c r="I1352" s="1277"/>
      <c r="J1352" s="1277"/>
      <c r="K1352" s="1312"/>
      <c r="L1352" s="1125">
        <v>250</v>
      </c>
    </row>
    <row r="1353" spans="1:12" s="1279" customFormat="1" ht="20.100000000000001" customHeight="1">
      <c r="A1353" s="1377">
        <f t="shared" si="53"/>
        <v>0</v>
      </c>
      <c r="B1353" s="1582" t="s">
        <v>1875</v>
      </c>
      <c r="C1353" s="1312"/>
      <c r="D1353" s="1274" t="str">
        <f>VLOOKUP($B1353,DG!A:D,DG!$B$2,)</f>
        <v>03.1401</v>
      </c>
      <c r="E1353" s="1310" t="str">
        <f>VLOOKUP($B1353,DG!A:D,DG!$C$2,)</f>
        <v xml:space="preserve">Cáp CVV 4x2,5mm2  </v>
      </c>
      <c r="F1353" s="1353" t="str">
        <f>VLOOKUP($B1353,DG!A:D,DG!$D$2,)</f>
        <v>mét</v>
      </c>
      <c r="G1353" s="1287">
        <f>G1351*26</f>
        <v>0</v>
      </c>
      <c r="H1353" s="1353">
        <f t="shared" si="54"/>
        <v>0</v>
      </c>
      <c r="I1353" s="1342"/>
      <c r="J1353" s="1342"/>
      <c r="K1353" s="1312"/>
      <c r="L1353" s="1125">
        <v>250</v>
      </c>
    </row>
    <row r="1354" spans="1:12" s="1279" customFormat="1" ht="20.100000000000001" customHeight="1">
      <c r="A1354" s="1377">
        <f t="shared" si="53"/>
        <v>0</v>
      </c>
      <c r="B1354" s="1582" t="s">
        <v>247</v>
      </c>
      <c r="C1354" s="1312"/>
      <c r="D1354" s="1274" t="str">
        <f>VLOOKUP($B1354,DG!A:D,DG!$B$2,)</f>
        <v>05.6101</v>
      </c>
      <c r="E1354" s="1310" t="str">
        <f>VLOOKUP($B1354,DG!A:D,DG!$C$2,)</f>
        <v>Xà kẹp TU, TI U50x32x4 350</v>
      </c>
      <c r="F1354" s="1353" t="str">
        <f>VLOOKUP($B1354,DG!A:D,DG!$D$2,)</f>
        <v>Bộ</v>
      </c>
      <c r="G1354" s="1287">
        <f>G1351*24</f>
        <v>0</v>
      </c>
      <c r="H1354" s="1353">
        <f t="shared" si="54"/>
        <v>0</v>
      </c>
      <c r="I1354" s="1342"/>
      <c r="J1354" s="1342"/>
      <c r="K1354" s="1312"/>
      <c r="L1354" s="1125">
        <v>250</v>
      </c>
    </row>
    <row r="1355" spans="1:12" s="1279" customFormat="1" ht="20.100000000000001" customHeight="1">
      <c r="A1355" s="1377">
        <f t="shared" si="53"/>
        <v>0</v>
      </c>
      <c r="B1355" s="1582" t="s">
        <v>1918</v>
      </c>
      <c r="C1355" s="1286"/>
      <c r="D1355" s="1274" t="str">
        <f>VLOOKUP($B1355,DG!A:D,DG!$B$2,)</f>
        <v>03.4001</v>
      </c>
      <c r="E1355" s="1310" t="str">
        <f>VLOOKUP($B1355,DG!A:D,DG!$C$2,)</f>
        <v xml:space="preserve">Đầu cosse ép Cu 2,5mm2 + bao PVC </v>
      </c>
      <c r="F1355" s="1353" t="str">
        <f>VLOOKUP($B1355,DG!A:D,DG!$D$2,)</f>
        <v>cái</v>
      </c>
      <c r="G1355" s="1287">
        <f>G1351*16</f>
        <v>0</v>
      </c>
      <c r="H1355" s="1353">
        <f t="shared" si="54"/>
        <v>0</v>
      </c>
      <c r="I1355" s="1342"/>
      <c r="J1355" s="1342"/>
      <c r="K1355" s="1312"/>
      <c r="L1355" s="1125">
        <v>250</v>
      </c>
    </row>
    <row r="1356" spans="1:12" s="1279" customFormat="1" ht="20.100000000000001" customHeight="1">
      <c r="A1356" s="1377">
        <f t="shared" si="53"/>
        <v>0</v>
      </c>
      <c r="B1356" s="1582" t="s">
        <v>1562</v>
      </c>
      <c r="C1356" s="1286"/>
      <c r="D1356" s="1274">
        <f>VLOOKUP($B1356,DG!A:D,DG!$B$2,)</f>
        <v>0</v>
      </c>
      <c r="E1356" s="1310" t="str">
        <f>VLOOKUP($B1356,DG!A:D,DG!$C$2,)</f>
        <v>Dây điện đôi 16/10</v>
      </c>
      <c r="F1356" s="1353" t="str">
        <f>VLOOKUP($B1356,DG!A:D,DG!$D$2,)</f>
        <v>mét</v>
      </c>
      <c r="G1356" s="1287">
        <f>2*G1351</f>
        <v>0</v>
      </c>
      <c r="H1356" s="1353">
        <f t="shared" si="54"/>
        <v>0</v>
      </c>
      <c r="I1356" s="1342"/>
      <c r="J1356" s="1342"/>
      <c r="K1356" s="1312"/>
      <c r="L1356" s="1125">
        <v>250</v>
      </c>
    </row>
    <row r="1357" spans="1:12" s="1279" customFormat="1" ht="20.100000000000001" customHeight="1">
      <c r="A1357" s="1377">
        <f t="shared" si="53"/>
        <v>0</v>
      </c>
      <c r="B1357" s="1582" t="s">
        <v>1144</v>
      </c>
      <c r="C1357" s="1286"/>
      <c r="D1357" s="1274">
        <f>VLOOKUP($B1357,DG!A:D,DG!$B$2,)</f>
        <v>0</v>
      </c>
      <c r="E1357" s="1310" t="str">
        <f>VLOOKUP($B1357,DG!A:D,DG!$C$2,)&amp;" (ñaáu TU )"</f>
        <v>Kẹp ép cỡ dây 25mm2 (ñaáu TU )</v>
      </c>
      <c r="F1357" s="1353" t="str">
        <f>VLOOKUP($B1357,DG!A:D,DG!$D$2,)</f>
        <v>cái</v>
      </c>
      <c r="G1357" s="1287">
        <f>+G1351*3</f>
        <v>0</v>
      </c>
      <c r="H1357" s="1353">
        <f t="shared" si="54"/>
        <v>0</v>
      </c>
      <c r="I1357" s="1342"/>
      <c r="J1357" s="1342"/>
      <c r="K1357" s="1312"/>
      <c r="L1357" s="1125">
        <v>250</v>
      </c>
    </row>
    <row r="1358" spans="1:12" s="1279" customFormat="1" ht="20.100000000000001" customHeight="1">
      <c r="A1358" s="1377">
        <f t="shared" si="53"/>
        <v>0</v>
      </c>
      <c r="B1358" s="1582" t="s">
        <v>2203</v>
      </c>
      <c r="C1358" s="1286"/>
      <c r="D1358" s="1274" t="str">
        <f>VLOOKUP($B1358,DG!A:D,DG!$B$2,)</f>
        <v>07.2403</v>
      </c>
      <c r="E1358" s="1310" t="str">
        <f>VLOOKUP($B1358,DG!A:D,DG!$C$2,)</f>
        <v>Ống PVC D42x2,1mm</v>
      </c>
      <c r="F1358" s="1353" t="str">
        <f>VLOOKUP($B1358,DG!A:D,DG!$D$2,)</f>
        <v>m</v>
      </c>
      <c r="G1358" s="1287">
        <f>G1351*16</f>
        <v>0</v>
      </c>
      <c r="H1358" s="1353">
        <f t="shared" si="54"/>
        <v>0</v>
      </c>
      <c r="I1358" s="1342"/>
      <c r="J1358" s="1342"/>
      <c r="K1358" s="1312"/>
      <c r="L1358" s="1125">
        <v>250</v>
      </c>
    </row>
    <row r="1359" spans="1:12" s="1279" customFormat="1" ht="20.100000000000001" customHeight="1">
      <c r="A1359" s="1377">
        <f t="shared" si="53"/>
        <v>0</v>
      </c>
      <c r="B1359" s="1378" t="s">
        <v>205</v>
      </c>
      <c r="C1359" s="1286"/>
      <c r="D1359" s="1274" t="str">
        <f>VLOOKUP($B1359,DG!A:D,DG!$B$2,)</f>
        <v>06.3231</v>
      </c>
      <c r="E1359" s="1310" t="str">
        <f>VLOOKUP($B1359,DG!A:D,DG!$C$2,)</f>
        <v>Cổ dê giữ ống PVC D42</v>
      </c>
      <c r="F1359" s="1353" t="str">
        <f>VLOOKUP($B1359,DG!A:D,DG!$D$2,)</f>
        <v>bộ</v>
      </c>
      <c r="G1359" s="1287">
        <f>G1351*4</f>
        <v>0</v>
      </c>
      <c r="H1359" s="1353">
        <f t="shared" si="54"/>
        <v>0</v>
      </c>
      <c r="I1359" s="1342"/>
      <c r="J1359" s="1342"/>
      <c r="K1359" s="1312"/>
      <c r="L1359" s="1125">
        <v>250</v>
      </c>
    </row>
    <row r="1360" spans="1:12" s="1279" customFormat="1" ht="20.100000000000001" customHeight="1">
      <c r="A1360" s="1377">
        <f t="shared" si="53"/>
        <v>0</v>
      </c>
      <c r="B1360" s="1582" t="s">
        <v>1668</v>
      </c>
      <c r="C1360" s="1286"/>
      <c r="D1360" s="1274">
        <f>VLOOKUP($B1360,DG!A:D,DG!$B$2,)</f>
        <v>0</v>
      </c>
      <c r="E1360" s="1310" t="str">
        <f>VLOOKUP($B1360,DG!A:D,DG!$C$2,)</f>
        <v>Co 90 độ PVC 42</v>
      </c>
      <c r="F1360" s="1353" t="str">
        <f>VLOOKUP($B1360,DG!A:D,DG!$D$2,)</f>
        <v>cái</v>
      </c>
      <c r="G1360" s="1287">
        <f>G1351*5</f>
        <v>0</v>
      </c>
      <c r="H1360" s="1353">
        <f t="shared" si="54"/>
        <v>0</v>
      </c>
      <c r="I1360" s="1342"/>
      <c r="J1360" s="1342"/>
      <c r="K1360" s="1312"/>
      <c r="L1360" s="1125">
        <v>250</v>
      </c>
    </row>
    <row r="1361" spans="1:12" s="1279" customFormat="1" ht="20.100000000000001" customHeight="1">
      <c r="A1361" s="1377">
        <f t="shared" si="53"/>
        <v>0</v>
      </c>
      <c r="B1361" s="1582" t="s">
        <v>1080</v>
      </c>
      <c r="C1361" s="1286"/>
      <c r="D1361" s="1274">
        <f>VLOOKUP($B1361,DG!A:D,DG!$B$2,)</f>
        <v>0</v>
      </c>
      <c r="E1361" s="1310" t="str">
        <f>VLOOKUP($B1361,DG!A:D,DG!$C$2,)</f>
        <v>Co chữ T ống PVC 42</v>
      </c>
      <c r="F1361" s="1353" t="str">
        <f>VLOOKUP($B1361,DG!A:D,DG!$D$2,)</f>
        <v>cái</v>
      </c>
      <c r="G1361" s="1287">
        <f>G1351*5</f>
        <v>0</v>
      </c>
      <c r="H1361" s="1353">
        <f t="shared" si="54"/>
        <v>0</v>
      </c>
      <c r="I1361" s="1342"/>
      <c r="J1361" s="1342"/>
      <c r="K1361" s="1312"/>
      <c r="L1361" s="1125">
        <v>250</v>
      </c>
    </row>
    <row r="1362" spans="1:12" s="1279" customFormat="1" ht="20.100000000000001" customHeight="1">
      <c r="A1362" s="1377">
        <f t="shared" si="53"/>
        <v>0</v>
      </c>
      <c r="B1362" s="1582" t="s">
        <v>1966</v>
      </c>
      <c r="C1362" s="1286"/>
      <c r="D1362" s="1274">
        <f>VLOOKUP($B1362,DG!A:D,DG!$B$2,)</f>
        <v>0</v>
      </c>
      <c r="E1362" s="1310" t="str">
        <f>VLOOKUP($B1362,DG!A:D,DG!$C$2,)</f>
        <v>Nối thẳng ống PVC 42</v>
      </c>
      <c r="F1362" s="1353" t="str">
        <f>VLOOKUP($B1362,DG!A:D,DG!$D$2,)</f>
        <v>cái</v>
      </c>
      <c r="G1362" s="1287">
        <f>G1351</f>
        <v>0</v>
      </c>
      <c r="H1362" s="1353">
        <f t="shared" si="54"/>
        <v>0</v>
      </c>
      <c r="I1362" s="1342"/>
      <c r="J1362" s="1342"/>
      <c r="K1362" s="1312"/>
      <c r="L1362" s="1125">
        <v>250</v>
      </c>
    </row>
    <row r="1363" spans="1:12" s="1279" customFormat="1" ht="20.100000000000001" customHeight="1">
      <c r="A1363" s="1377">
        <f t="shared" si="53"/>
        <v>0</v>
      </c>
      <c r="B1363" s="1582" t="s">
        <v>704</v>
      </c>
      <c r="C1363" s="1286"/>
      <c r="D1363" s="1274">
        <f>VLOOKUP($B1363,DG!A:D,DG!$B$2,)</f>
        <v>0</v>
      </c>
      <c r="E1363" s="1310" t="str">
        <f>VLOOKUP($B1363,DG!A:D,DG!$C$2,)&amp;" ñaáu TU"</f>
        <v>Cáp 24KV C/XLPE/PVC 25mm2 ñaáu TU</v>
      </c>
      <c r="F1363" s="1353" t="str">
        <f>VLOOKUP($B1363,DG!A:D,DG!$D$2,)</f>
        <v>mét</v>
      </c>
      <c r="G1363" s="1348">
        <f>G1351*2.5*3*0</f>
        <v>0</v>
      </c>
      <c r="H1363" s="1353">
        <f t="shared" si="54"/>
        <v>0</v>
      </c>
      <c r="I1363" s="1342"/>
      <c r="J1363" s="1342"/>
      <c r="K1363" s="1312"/>
      <c r="L1363" s="1125">
        <v>250</v>
      </c>
    </row>
    <row r="1364" spans="1:12" s="1279" customFormat="1" ht="20.100000000000001" customHeight="1">
      <c r="A1364" s="1377">
        <f t="shared" si="53"/>
        <v>0</v>
      </c>
      <c r="B1364" s="1582" t="s">
        <v>734</v>
      </c>
      <c r="C1364" s="1286"/>
      <c r="D1364" s="1274">
        <f>VLOOKUP($B1364,DG!A:D,DG!$B$2,)</f>
        <v>0</v>
      </c>
      <c r="E1364" s="1310" t="str">
        <f>VLOOKUP($B1364,DG!A:D,DG!$C$2,)</f>
        <v>Keo dán ống PVC (500gr)</v>
      </c>
      <c r="F1364" s="1353" t="str">
        <f>VLOOKUP($B1364,DG!A:D,DG!$D$2,)</f>
        <v>lon</v>
      </c>
      <c r="G1364" s="1287">
        <f>G1351</f>
        <v>0</v>
      </c>
      <c r="H1364" s="1353">
        <f t="shared" si="54"/>
        <v>0</v>
      </c>
      <c r="I1364" s="1342"/>
      <c r="J1364" s="1342"/>
      <c r="K1364" s="1312"/>
      <c r="L1364" s="1125">
        <v>250</v>
      </c>
    </row>
    <row r="1365" spans="1:12" s="1279" customFormat="1" ht="20.100000000000001" customHeight="1">
      <c r="A1365" s="1377">
        <f t="shared" si="53"/>
        <v>0</v>
      </c>
      <c r="B1365" s="1378" t="s">
        <v>677</v>
      </c>
      <c r="C1365" s="1286"/>
      <c r="D1365" s="1274">
        <f>VLOOKUP($B1365,DG!A:D,DG!$B$2,)</f>
        <v>0</v>
      </c>
      <c r="E1365" s="1310" t="str">
        <f>VLOOKUP($B1365,DG!A:D,DG!$C$2,)</f>
        <v>Băng keo cách điện</v>
      </c>
      <c r="F1365" s="1353" t="str">
        <f>VLOOKUP($B1365,DG!A:D,DG!$D$2,)</f>
        <v>cuộn</v>
      </c>
      <c r="G1365" s="1287">
        <f>G1351</f>
        <v>0</v>
      </c>
      <c r="H1365" s="1353">
        <f t="shared" si="54"/>
        <v>0</v>
      </c>
      <c r="I1365" s="1277"/>
      <c r="J1365" s="1277"/>
      <c r="K1365" s="1312"/>
      <c r="L1365" s="1125">
        <v>250</v>
      </c>
    </row>
    <row r="1366" spans="1:12" s="1279" customFormat="1" ht="20.100000000000001" customHeight="1">
      <c r="A1366" s="1377">
        <f t="shared" si="53"/>
        <v>0</v>
      </c>
      <c r="B1366" s="1582" t="s">
        <v>2182</v>
      </c>
      <c r="C1366" s="1286"/>
      <c r="D1366" s="1274">
        <f>VLOOKUP($B1366,DG!A:D,DG!$B$2,)</f>
        <v>0</v>
      </c>
      <c r="E1366" s="1310" t="str">
        <f>VLOOKUP($B1366,DG!A:D,DG!$C$2,)</f>
        <v>Khâu ven răng trong D42</v>
      </c>
      <c r="F1366" s="1353" t="str">
        <f>VLOOKUP($B1366,DG!A:D,DG!$D$2,)</f>
        <v>cái</v>
      </c>
      <c r="G1366" s="1287">
        <f>G1351</f>
        <v>0</v>
      </c>
      <c r="H1366" s="1353">
        <f t="shared" si="54"/>
        <v>0</v>
      </c>
      <c r="I1366" s="1277"/>
      <c r="J1366" s="1277"/>
      <c r="K1366" s="1312"/>
      <c r="L1366" s="1125">
        <v>250</v>
      </c>
    </row>
    <row r="1367" spans="1:12" s="1279" customFormat="1" ht="20.100000000000001" customHeight="1">
      <c r="A1367" s="1377">
        <f t="shared" si="53"/>
        <v>0</v>
      </c>
      <c r="B1367" s="1378" t="s">
        <v>989</v>
      </c>
      <c r="C1367" s="1286"/>
      <c r="D1367" s="1274">
        <f>VLOOKUP($B1367,DG!A:D,DG!$B$2,)</f>
        <v>0</v>
      </c>
      <c r="E1367" s="1310" t="str">
        <f>VLOOKUP($B1367,DG!A:D,DG!$C$2,)</f>
        <v>Khâu ven răng ngoài D42</v>
      </c>
      <c r="F1367" s="1353" t="str">
        <f>VLOOKUP($B1367,DG!A:D,DG!$D$2,)</f>
        <v>cái</v>
      </c>
      <c r="G1367" s="1287">
        <f>G1351</f>
        <v>0</v>
      </c>
      <c r="H1367" s="1353">
        <f t="shared" si="54"/>
        <v>0</v>
      </c>
      <c r="I1367" s="1277"/>
      <c r="J1367" s="1277"/>
      <c r="K1367" s="1312"/>
      <c r="L1367" s="1125">
        <v>250</v>
      </c>
    </row>
    <row r="1368" spans="1:12" s="1279" customFormat="1" ht="20.100000000000001" customHeight="1">
      <c r="A1368" s="1377">
        <f t="shared" ref="A1368:A1429" si="55">IF(H1368&gt;0,1,0)</f>
        <v>0</v>
      </c>
      <c r="B1368" s="1378" t="s">
        <v>320</v>
      </c>
      <c r="C1368" s="1286"/>
      <c r="D1368" s="1274" t="str">
        <f>VLOOKUP($B1368,DG!A:D,DG!$B$2,)</f>
        <v>06.3231</v>
      </c>
      <c r="E1368" s="1310" t="str">
        <f>VLOOKUP($B1368,DG!A:D,DG!$C$2,)</f>
        <v>Cổ dê CDĐKĐT( bắt thùng điện kế)</v>
      </c>
      <c r="F1368" s="1353" t="str">
        <f>VLOOKUP($B1368,DG!A:D,DG!$D$2,)</f>
        <v>bộ</v>
      </c>
      <c r="G1368" s="1344">
        <f>G1351*2*0</f>
        <v>0</v>
      </c>
      <c r="H1368" s="1353">
        <f t="shared" si="54"/>
        <v>0</v>
      </c>
      <c r="I1368" s="1277"/>
      <c r="J1368" s="1277"/>
      <c r="K1368" s="1278"/>
      <c r="L1368" s="1125">
        <v>250</v>
      </c>
    </row>
    <row r="1369" spans="1:12" s="1279" customFormat="1" ht="20.100000000000001" customHeight="1">
      <c r="A1369" s="1377">
        <f t="shared" si="55"/>
        <v>0</v>
      </c>
      <c r="B1369" s="1378" t="s">
        <v>1968</v>
      </c>
      <c r="C1369" s="1286"/>
      <c r="D1369" s="1274" t="str">
        <f>VLOOKUP($B1369,DG!A:D,DG!$B$2,)</f>
        <v>05.1101</v>
      </c>
      <c r="E1369" s="1310" t="str">
        <f>VLOOKUP($B1369,DG!A:D,DG!$C$2,)</f>
        <v>Thùng điện kế 450x300x200mm đo đếm trung thế</v>
      </c>
      <c r="F1369" s="1353" t="str">
        <f>VLOOKUP($B1369,DG!A:D,DG!$D$2,)</f>
        <v>cái</v>
      </c>
      <c r="G1369" s="1287">
        <f>G1351*0</f>
        <v>0</v>
      </c>
      <c r="H1369" s="1353">
        <f t="shared" si="54"/>
        <v>0</v>
      </c>
      <c r="I1369" s="1277"/>
      <c r="J1369" s="1277"/>
      <c r="K1369" s="1312"/>
      <c r="L1369" s="1125">
        <v>250</v>
      </c>
    </row>
    <row r="1370" spans="1:12" s="1279" customFormat="1" ht="20.100000000000001" customHeight="1">
      <c r="A1370" s="1377">
        <f t="shared" si="55"/>
        <v>0</v>
      </c>
      <c r="B1370" s="1378" t="s">
        <v>6</v>
      </c>
      <c r="C1370" s="1286"/>
      <c r="D1370" s="1274">
        <f>VLOOKUP($B1370,DG!A:D,DG!$B$2,)</f>
        <v>0</v>
      </c>
      <c r="E1370" s="1310" t="str">
        <f>VLOOKUP($B1370,DG!A:D,DG!$C$2,)</f>
        <v>Keo silicon bít miệng ống</v>
      </c>
      <c r="F1370" s="1353" t="str">
        <f>VLOOKUP($B1370,DG!A:D,DG!$D$2,)</f>
        <v>ống</v>
      </c>
      <c r="G1370" s="1287">
        <f>G1351</f>
        <v>0</v>
      </c>
      <c r="H1370" s="1353">
        <f t="shared" si="54"/>
        <v>0</v>
      </c>
      <c r="I1370" s="1277"/>
      <c r="J1370" s="1277"/>
      <c r="K1370" s="1312"/>
      <c r="L1370" s="1125">
        <v>250</v>
      </c>
    </row>
    <row r="1371" spans="1:12" s="1279" customFormat="1" ht="20.100000000000001" customHeight="1">
      <c r="A1371" s="1377">
        <f t="shared" si="55"/>
        <v>0</v>
      </c>
      <c r="B1371" s="1378" t="s">
        <v>2201</v>
      </c>
      <c r="C1371" s="1286"/>
      <c r="D1371" s="1274">
        <f>VLOOKUP($B1371,DG!A:D,DG!$B$2,)</f>
        <v>0</v>
      </c>
      <c r="E1371" s="1310" t="str">
        <f>VLOOKUP($B1371,DG!A:D,DG!$C$2,)</f>
        <v>Dây đồng trần mềm dẹt</v>
      </c>
      <c r="F1371" s="1353" t="str">
        <f>VLOOKUP($B1371,DG!A:D,DG!$D$2,)</f>
        <v>mét</v>
      </c>
      <c r="G1371" s="1287">
        <f>G1351*4</f>
        <v>0</v>
      </c>
      <c r="H1371" s="1353">
        <f t="shared" si="54"/>
        <v>0</v>
      </c>
      <c r="I1371" s="1277"/>
      <c r="J1371" s="1277"/>
      <c r="K1371" s="1312"/>
      <c r="L1371" s="1125">
        <v>250</v>
      </c>
    </row>
    <row r="1372" spans="1:12" s="1279" customFormat="1" ht="20.100000000000001" customHeight="1">
      <c r="A1372" s="1377">
        <f t="shared" si="55"/>
        <v>0</v>
      </c>
      <c r="B1372" s="1378" t="s">
        <v>1249</v>
      </c>
      <c r="C1372" s="1286"/>
      <c r="D1372" s="1274" t="str">
        <f>VLOOKUP($B1372,DG!A:D,DG!$B$2,)</f>
        <v>06.3191</v>
      </c>
      <c r="E1372" s="1310" t="str">
        <f>VLOOKUP($B1372,DG!A:D,DG!$C$2,)</f>
        <v>Bảng tên trạm, bảng báo nguy hiểm + đinh vít</v>
      </c>
      <c r="F1372" s="1353" t="str">
        <f>VLOOKUP($B1372,DG!A:D,DG!$D$2,)</f>
        <v>bộ</v>
      </c>
      <c r="G1372" s="1276">
        <f>G1351</f>
        <v>0</v>
      </c>
      <c r="H1372" s="1353">
        <f t="shared" si="54"/>
        <v>0</v>
      </c>
      <c r="I1372" s="1277"/>
      <c r="J1372" s="1277"/>
      <c r="K1372" s="1312"/>
      <c r="L1372" s="1125">
        <v>250</v>
      </c>
    </row>
    <row r="1373" spans="1:12" s="1279" customFormat="1" ht="20.100000000000001" customHeight="1">
      <c r="A1373" s="1377">
        <f t="shared" si="55"/>
        <v>0</v>
      </c>
      <c r="B1373" s="1378" t="s">
        <v>1383</v>
      </c>
      <c r="C1373" s="1286"/>
      <c r="D1373" s="1274">
        <f>VLOOKUP($B1373,DG!A:D,DG!$B$2,)</f>
        <v>0</v>
      </c>
      <c r="E1373" s="1310" t="str">
        <f>VLOOKUP($B1373,DG!A:D,DG!$C$2,)&amp;" baét thuøng ÑKÑT"</f>
        <v>Boulon 12x60+ 2 long đền vuông D14-50x50x3/Zn baét thuøng ÑKÑT</v>
      </c>
      <c r="F1373" s="1353" t="str">
        <f>VLOOKUP($B1373,DG!A:D,DG!$D$2,)</f>
        <v>bộ</v>
      </c>
      <c r="G1373" s="1287">
        <f>4*G1351*0</f>
        <v>0</v>
      </c>
      <c r="H1373" s="1353">
        <f t="shared" si="54"/>
        <v>0</v>
      </c>
      <c r="I1373" s="1277"/>
      <c r="J1373" s="1277"/>
      <c r="K1373" s="1312"/>
      <c r="L1373" s="1125">
        <v>250</v>
      </c>
    </row>
    <row r="1374" spans="1:12" s="1279" customFormat="1" ht="20.100000000000001" customHeight="1">
      <c r="A1374" s="1377">
        <f t="shared" si="55"/>
        <v>0</v>
      </c>
      <c r="B1374" s="1378"/>
      <c r="C1374" s="1319"/>
      <c r="D1374" s="1320"/>
      <c r="E1374" s="1306" t="s">
        <v>3829</v>
      </c>
      <c r="F1374" s="1306"/>
      <c r="G1374" s="1321"/>
      <c r="H1374" s="1353">
        <f t="shared" si="54"/>
        <v>0</v>
      </c>
      <c r="I1374" s="1306"/>
      <c r="J1374" s="1306"/>
      <c r="K1374" s="1354"/>
      <c r="L1374" s="1125">
        <v>250</v>
      </c>
    </row>
    <row r="1375" spans="1:12" s="1279" customFormat="1" ht="20.100000000000001" customHeight="1">
      <c r="A1375" s="1377">
        <f t="shared" si="55"/>
        <v>0</v>
      </c>
      <c r="B1375" s="1378" t="s">
        <v>996</v>
      </c>
      <c r="C1375" s="1286"/>
      <c r="D1375" s="1274" t="str">
        <f>VLOOKUP($B1375,DG!A:D,DG!$B$2,)</f>
        <v>02.5114</v>
      </c>
      <c r="E1375" s="1310" t="s">
        <v>3830</v>
      </c>
      <c r="F1375" s="1353" t="str">
        <f>VLOOKUP($B1375,DG!A:D,DG!$D$2,)</f>
        <v>cái</v>
      </c>
      <c r="G1375" s="1287"/>
      <c r="H1375" s="1353">
        <f t="shared" si="54"/>
        <v>0</v>
      </c>
      <c r="I1375" s="1277"/>
      <c r="J1375" s="1277"/>
      <c r="K1375" s="1312" t="s">
        <v>3831</v>
      </c>
      <c r="L1375" s="1125">
        <v>250</v>
      </c>
    </row>
    <row r="1376" spans="1:12" s="1279" customFormat="1" ht="20.100000000000001" customHeight="1">
      <c r="A1376" s="1377">
        <f t="shared" si="55"/>
        <v>0</v>
      </c>
      <c r="B1376" s="1378" t="s">
        <v>1959</v>
      </c>
      <c r="C1376" s="1286"/>
      <c r="D1376" s="1274" t="str">
        <f>VLOOKUP($B1376,DG!A:D,DG!$B$2,)</f>
        <v>05.6011</v>
      </c>
      <c r="E1376" s="1310" t="s">
        <v>2525</v>
      </c>
      <c r="F1376" s="1353" t="str">
        <f>VLOOKUP($B1376,DG!A:D,DG!$D$2,)</f>
        <v>bộ</v>
      </c>
      <c r="G1376" s="1287"/>
      <c r="H1376" s="1353">
        <f t="shared" si="54"/>
        <v>0</v>
      </c>
      <c r="I1376" s="1277"/>
      <c r="J1376" s="1277"/>
      <c r="K1376" s="1278"/>
      <c r="L1376" s="1125">
        <v>250</v>
      </c>
    </row>
    <row r="1377" spans="1:12" s="1279" customFormat="1" ht="20.100000000000001" customHeight="1">
      <c r="A1377" s="1377">
        <f t="shared" si="55"/>
        <v>0</v>
      </c>
      <c r="B1377" s="1378"/>
      <c r="C1377" s="1355"/>
      <c r="D1377" s="1356"/>
      <c r="E1377" s="1306"/>
      <c r="F1377" s="1357"/>
      <c r="G1377" s="1358"/>
      <c r="H1377" s="1353">
        <f t="shared" si="54"/>
        <v>0</v>
      </c>
      <c r="I1377" s="1359"/>
      <c r="J1377" s="1360"/>
      <c r="K1377" s="1309"/>
      <c r="L1377" s="1125"/>
    </row>
    <row r="1378" spans="1:12" s="1279" customFormat="1" ht="20.100000000000001" customHeight="1">
      <c r="A1378" s="1377">
        <f t="shared" si="55"/>
        <v>0</v>
      </c>
      <c r="B1378" s="1378"/>
      <c r="C1378" s="1361"/>
      <c r="E1378" s="1362"/>
      <c r="G1378" s="1363"/>
      <c r="H1378" s="1353">
        <f t="shared" si="54"/>
        <v>0</v>
      </c>
      <c r="L1378" s="1125"/>
    </row>
    <row r="1379" spans="1:12" s="1279" customFormat="1" ht="20.100000000000001" customHeight="1">
      <c r="A1379" s="1377">
        <f t="shared" si="55"/>
        <v>0</v>
      </c>
      <c r="B1379" s="1619"/>
      <c r="C1379" s="1131" t="e">
        <f>"BAÛNG TOÅNG HÔÏP VAÄT LIEÄU, NHAÂN COÂNG, MAÙY THI COÂNG : "&amp;#REF!&amp;" TRAÏM 3P_320KVA ÑO ÑEÁM TRUNG THEÁ"</f>
        <v>#REF!</v>
      </c>
      <c r="D1379" s="1131"/>
      <c r="E1379" s="1131"/>
      <c r="F1379" s="1131"/>
      <c r="G1379" s="1131"/>
      <c r="H1379" s="1353">
        <f t="shared" si="54"/>
        <v>0</v>
      </c>
      <c r="I1379" s="1364"/>
      <c r="J1379" s="1364"/>
      <c r="K1379" s="1365"/>
      <c r="L1379" s="1125"/>
    </row>
    <row r="1380" spans="1:12" s="1279" customFormat="1" ht="20.100000000000001" customHeight="1">
      <c r="A1380" s="1377">
        <f t="shared" si="55"/>
        <v>0</v>
      </c>
      <c r="B1380" s="1582"/>
      <c r="C1380" s="1304"/>
      <c r="D1380" s="1305"/>
      <c r="E1380" s="1306" t="s">
        <v>3771</v>
      </c>
      <c r="F1380" s="1307"/>
      <c r="G1380" s="1308"/>
      <c r="H1380" s="1353">
        <f t="shared" si="54"/>
        <v>0</v>
      </c>
      <c r="I1380" s="1307"/>
      <c r="J1380" s="1307"/>
      <c r="K1380" s="1309"/>
      <c r="L1380" s="1125">
        <v>320</v>
      </c>
    </row>
    <row r="1381" spans="1:12" s="1279" customFormat="1" ht="20.100000000000001" customHeight="1">
      <c r="A1381" s="1377">
        <f t="shared" si="55"/>
        <v>0</v>
      </c>
      <c r="B1381" s="1583" t="s">
        <v>1894</v>
      </c>
      <c r="C1381" s="1286">
        <f>IF(G1381&gt;0,1,0)</f>
        <v>0</v>
      </c>
      <c r="D1381" s="1274" t="str">
        <f>VLOOKUP($B1381,DG!A:D,DG!$B$2,)</f>
        <v>01.1145</v>
      </c>
      <c r="E1381" s="1275" t="str">
        <f>VLOOKUP($B1381,DG!A:D,DG!$C$2,)&amp;"-MBA siêu giảm tổn thất"</f>
        <v>Máy biến áp 22/0,4kV- 320kVA-MBA siêu giảm tổn thất</v>
      </c>
      <c r="F1381" s="1274" t="str">
        <f>VLOOKUP($B1381,DG!A:D,DG!$D$2,)</f>
        <v>máy</v>
      </c>
      <c r="G1381" s="1286">
        <f>K12</f>
        <v>0</v>
      </c>
      <c r="H1381" s="1353">
        <f t="shared" si="54"/>
        <v>0</v>
      </c>
      <c r="I1381" s="1310"/>
      <c r="J1381" s="1310"/>
      <c r="K1381" s="1311"/>
      <c r="L1381" s="1125">
        <v>320</v>
      </c>
    </row>
    <row r="1382" spans="1:12" s="1279" customFormat="1" ht="20.100000000000001" customHeight="1">
      <c r="A1382" s="1377">
        <f t="shared" si="55"/>
        <v>0</v>
      </c>
      <c r="B1382" s="1583" t="s">
        <v>1704</v>
      </c>
      <c r="C1382" s="1286">
        <f>IF(G1382&gt;0,C1381+1,C1381)</f>
        <v>0</v>
      </c>
      <c r="D1382" s="1274" t="str">
        <f>VLOOKUP($B1382,DG!A:D,DG!$B$2,)</f>
        <v>02.3155</v>
      </c>
      <c r="E1382" s="1275" t="str">
        <f>VLOOKUP($B1382,DG!A:D,DG!$C$2,)</f>
        <v>FCO 24kV - 100A</v>
      </c>
      <c r="F1382" s="1274" t="str">
        <f>VLOOKUP($B1382,DG!A:D,DG!$D$2,)</f>
        <v>cái</v>
      </c>
      <c r="G1382" s="1287">
        <f>G1381*3</f>
        <v>0</v>
      </c>
      <c r="H1382" s="1353">
        <f t="shared" si="54"/>
        <v>0</v>
      </c>
      <c r="I1382" s="1277"/>
      <c r="J1382" s="1277"/>
      <c r="K1382" s="1312"/>
      <c r="L1382" s="1125">
        <v>320</v>
      </c>
    </row>
    <row r="1383" spans="1:12" s="1279" customFormat="1" ht="20.100000000000001" customHeight="1">
      <c r="A1383" s="1377">
        <f t="shared" si="55"/>
        <v>0</v>
      </c>
      <c r="B1383" s="1583" t="s">
        <v>4779</v>
      </c>
      <c r="C1383" s="1286">
        <f t="shared" ref="C1383:C1389" si="56">IF(G1383&gt;0,C1382+1,C1382)</f>
        <v>0</v>
      </c>
      <c r="D1383" s="1274">
        <f>VLOOKUP($B1383,DG!A:D,DG!$B$2,)</f>
        <v>0</v>
      </c>
      <c r="E1383" s="1275" t="str">
        <f>VLOOKUP($B1383,DG!A:D,DG!$C$2,)</f>
        <v>Dây chảy 10K</v>
      </c>
      <c r="F1383" s="1274" t="str">
        <f>VLOOKUP($B1383,DG!A:D,DG!$D$2,)</f>
        <v>Sợi</v>
      </c>
      <c r="G1383" s="1287">
        <f>G1382</f>
        <v>0</v>
      </c>
      <c r="H1383" s="1353">
        <f t="shared" si="54"/>
        <v>0</v>
      </c>
      <c r="I1383" s="1277"/>
      <c r="J1383" s="1277"/>
      <c r="K1383" s="1312"/>
      <c r="L1383" s="1125">
        <v>320</v>
      </c>
    </row>
    <row r="1384" spans="1:12" s="1279" customFormat="1" ht="20.100000000000001" customHeight="1">
      <c r="A1384" s="1377">
        <f t="shared" si="55"/>
        <v>0</v>
      </c>
      <c r="B1384" s="1582" t="s">
        <v>1406</v>
      </c>
      <c r="C1384" s="1286">
        <f t="shared" si="56"/>
        <v>0</v>
      </c>
      <c r="D1384" s="1274" t="str">
        <f>VLOOKUP($B1384,DG!A:D,DG!$B$2,)</f>
        <v>02.5114</v>
      </c>
      <c r="E1384" s="1275" t="str">
        <f>VLOOKUP($B1384,DG!A:D,DG!$C$2,)</f>
        <v>LA 18kV 10kA</v>
      </c>
      <c r="F1384" s="1274" t="str">
        <f>VLOOKUP($B1384,DG!A:D,DG!$D$2,)</f>
        <v>cái</v>
      </c>
      <c r="G1384" s="1287">
        <f>G1382</f>
        <v>0</v>
      </c>
      <c r="H1384" s="1353">
        <f t="shared" si="54"/>
        <v>0</v>
      </c>
      <c r="I1384" s="1277"/>
      <c r="J1384" s="1277"/>
      <c r="K1384" s="1312"/>
      <c r="L1384" s="1125">
        <v>320</v>
      </c>
    </row>
    <row r="1385" spans="1:12" s="1279" customFormat="1" ht="20.100000000000001" customHeight="1">
      <c r="A1385" s="1377">
        <f t="shared" si="55"/>
        <v>0</v>
      </c>
      <c r="B1385" s="1583" t="s">
        <v>1511</v>
      </c>
      <c r="C1385" s="1286">
        <f t="shared" si="56"/>
        <v>0</v>
      </c>
      <c r="D1385" s="1274" t="str">
        <f>VLOOKUP($B1385,DG!A:D,DG!$B$2,)</f>
        <v>02.8403</v>
      </c>
      <c r="E1385" s="1275" t="str">
        <f>VLOOKUP($B1385,DG!A:D,DG!$C$2,)</f>
        <v>MCCB 3 cực 400V -500A - 35KA</v>
      </c>
      <c r="F1385" s="1274" t="str">
        <f>VLOOKUP($B1385,DG!A:D,DG!$D$2,)</f>
        <v>cái</v>
      </c>
      <c r="G1385" s="1287">
        <f>G1381</f>
        <v>0</v>
      </c>
      <c r="H1385" s="1353">
        <f t="shared" si="54"/>
        <v>0</v>
      </c>
      <c r="I1385" s="1277"/>
      <c r="J1385" s="1277"/>
      <c r="K1385" s="1312"/>
      <c r="L1385" s="1125">
        <v>320</v>
      </c>
    </row>
    <row r="1386" spans="1:12" s="1279" customFormat="1" ht="20.100000000000001" customHeight="1">
      <c r="A1386" s="1377">
        <f t="shared" si="55"/>
        <v>0</v>
      </c>
      <c r="B1386" s="1583" t="s">
        <v>1510</v>
      </c>
      <c r="C1386" s="1286">
        <f t="shared" si="56"/>
        <v>1</v>
      </c>
      <c r="D1386" s="1274" t="str">
        <f>VLOOKUP($B1386,DG!A:D,DG!$B$2,)</f>
        <v>02.8534</v>
      </c>
      <c r="E1386" s="1275" t="str">
        <f>VLOOKUP($B1386,DG!A:D,DG!$C$2,)</f>
        <v>Tủ tụ bù hạ thế 135kVAr</v>
      </c>
      <c r="F1386" s="1274" t="str">
        <f>VLOOKUP($B1386,DG!A:D,DG!$D$2,)</f>
        <v>tủ</v>
      </c>
      <c r="G1386" s="1287">
        <v>1</v>
      </c>
      <c r="H1386" s="1353">
        <f t="shared" si="54"/>
        <v>0</v>
      </c>
      <c r="I1386" s="1277"/>
      <c r="J1386" s="1277"/>
      <c r="K1386" s="1312"/>
      <c r="L1386" s="1125">
        <v>320</v>
      </c>
    </row>
    <row r="1387" spans="1:12" s="1279" customFormat="1" ht="20.100000000000001" customHeight="1">
      <c r="A1387" s="1377">
        <f t="shared" si="55"/>
        <v>0</v>
      </c>
      <c r="B1387" s="1378" t="s">
        <v>2337</v>
      </c>
      <c r="C1387" s="1286">
        <f t="shared" si="56"/>
        <v>1</v>
      </c>
      <c r="D1387" s="1274">
        <f>VLOOKUP($B1387,DG!A:D,DG!$B$2,)</f>
        <v>0</v>
      </c>
      <c r="E1387" s="1275" t="str">
        <f>VLOOKUP($B1387,DG!A:D,DG!$C$2,)</f>
        <v>Biến dòng 600V - 500/5A</v>
      </c>
      <c r="F1387" s="1274" t="str">
        <f>VLOOKUP($B1387,DG!A:D,DG!$D$2,)</f>
        <v>cái</v>
      </c>
      <c r="G1387" s="1313">
        <f>G1381*3</f>
        <v>0</v>
      </c>
      <c r="H1387" s="1353">
        <f t="shared" si="54"/>
        <v>0</v>
      </c>
      <c r="I1387" s="1277"/>
      <c r="J1387" s="1277"/>
      <c r="K1387" s="1314" t="s">
        <v>2666</v>
      </c>
      <c r="L1387" s="1125">
        <v>320</v>
      </c>
    </row>
    <row r="1388" spans="1:12" s="1279" customFormat="1" ht="20.100000000000001" customHeight="1">
      <c r="A1388" s="1377">
        <f t="shared" si="55"/>
        <v>0</v>
      </c>
      <c r="B1388" s="1583" t="s">
        <v>2249</v>
      </c>
      <c r="C1388" s="1286">
        <f t="shared" si="56"/>
        <v>1</v>
      </c>
      <c r="D1388" s="1274" t="str">
        <f>VLOOKUP($B1388,DG!A:D,DG!$B$2,)</f>
        <v>02.1114</v>
      </c>
      <c r="E1388" s="1275" t="str">
        <f>VLOOKUP($B1388,DG!A:D,DG!$C$2,)</f>
        <v>Biến điện áp 12000/120(60)V</v>
      </c>
      <c r="F1388" s="1274" t="str">
        <f>VLOOKUP($B1388,DG!A:D,DG!$D$2,)</f>
        <v>cái</v>
      </c>
      <c r="G1388" s="1313"/>
      <c r="H1388" s="1353">
        <f t="shared" si="54"/>
        <v>0</v>
      </c>
      <c r="I1388" s="1277"/>
      <c r="J1388" s="1277"/>
      <c r="K1388" s="1314" t="s">
        <v>2666</v>
      </c>
      <c r="L1388" s="1125">
        <v>320</v>
      </c>
    </row>
    <row r="1389" spans="1:12" s="1279" customFormat="1" ht="20.100000000000001" customHeight="1">
      <c r="A1389" s="1377">
        <f t="shared" si="55"/>
        <v>0</v>
      </c>
      <c r="B1389" s="1621" t="s">
        <v>1890</v>
      </c>
      <c r="C1389" s="1286">
        <f t="shared" si="56"/>
        <v>1</v>
      </c>
      <c r="D1389" s="1274">
        <f>VLOOKUP($B1389,DG!A:D,DG!$B$2,)</f>
        <v>0</v>
      </c>
      <c r="E1389" s="1275" t="str">
        <f>VLOOKUP($B1389,DG!A:D,DG!$C$2,)</f>
        <v>Điện kế 3 pha điện tử 600V-5A</v>
      </c>
      <c r="F1389" s="1274" t="str">
        <f>VLOOKUP($B1389,DG!A:D,DG!$D$2,)</f>
        <v>cái</v>
      </c>
      <c r="G1389" s="1313">
        <f>G1381</f>
        <v>0</v>
      </c>
      <c r="H1389" s="1353">
        <f t="shared" si="54"/>
        <v>0</v>
      </c>
      <c r="I1389" s="1277"/>
      <c r="J1389" s="1277"/>
      <c r="K1389" s="1315" t="s">
        <v>2666</v>
      </c>
      <c r="L1389" s="1125">
        <v>320</v>
      </c>
    </row>
    <row r="1390" spans="1:12" s="1279" customFormat="1" ht="20.100000000000001" customHeight="1">
      <c r="A1390" s="1377">
        <f t="shared" si="55"/>
        <v>0</v>
      </c>
      <c r="B1390" s="1582"/>
      <c r="C1390" s="1316"/>
      <c r="D1390" s="1317"/>
      <c r="E1390" s="1271"/>
      <c r="F1390" s="1316"/>
      <c r="G1390" s="1318"/>
      <c r="H1390" s="2003">
        <f>IF(L1390=$L$23,1,0)</f>
        <v>0</v>
      </c>
      <c r="I1390" s="1271"/>
      <c r="J1390" s="1316"/>
      <c r="K1390" s="1309"/>
      <c r="L1390" s="1125">
        <v>320</v>
      </c>
    </row>
    <row r="1391" spans="1:12" s="1279" customFormat="1" ht="20.100000000000001" customHeight="1">
      <c r="A1391" s="1377">
        <f t="shared" si="55"/>
        <v>0</v>
      </c>
      <c r="B1391" s="1582"/>
      <c r="C1391" s="1319"/>
      <c r="D1391" s="1320"/>
      <c r="E1391" s="1306" t="s">
        <v>3772</v>
      </c>
      <c r="F1391" s="1306"/>
      <c r="G1391" s="1321"/>
      <c r="H1391" s="2003">
        <f>IF(L1391=$L$23,1,0)</f>
        <v>0</v>
      </c>
      <c r="I1391" s="1306"/>
      <c r="J1391" s="1306"/>
      <c r="K1391" s="1309"/>
      <c r="L1391" s="1125">
        <v>320</v>
      </c>
    </row>
    <row r="1392" spans="1:12" s="1279" customFormat="1" ht="20.100000000000001" customHeight="1">
      <c r="A1392" s="1377">
        <f t="shared" si="55"/>
        <v>0</v>
      </c>
      <c r="B1392" s="1622"/>
      <c r="C1392" s="1322">
        <f>IF(G1392&gt;0,1,0)</f>
        <v>0</v>
      </c>
      <c r="D1392" s="1323"/>
      <c r="E1392" s="1324" t="s">
        <v>3832</v>
      </c>
      <c r="F1392" s="1325" t="s">
        <v>2340</v>
      </c>
      <c r="G1392" s="1326">
        <f>G1381*2*0</f>
        <v>0</v>
      </c>
      <c r="H1392" s="1353">
        <f t="shared" ref="H1392:H1453" si="57">IF(L1392=$L$23,G1392+I1392-J1392,0)</f>
        <v>0</v>
      </c>
      <c r="I1392" s="1327"/>
      <c r="J1392" s="1327"/>
      <c r="K1392" s="1312"/>
      <c r="L1392" s="1125">
        <v>320</v>
      </c>
    </row>
    <row r="1393" spans="1:12" s="1279" customFormat="1" ht="20.100000000000001" customHeight="1">
      <c r="A1393" s="1377">
        <f t="shared" si="55"/>
        <v>0</v>
      </c>
      <c r="B1393" s="1378" t="s">
        <v>116</v>
      </c>
      <c r="C1393" s="1328"/>
      <c r="D1393" s="1274"/>
      <c r="E1393" s="1329" t="str">
        <f>VLOOKUP($B1393,DG!A:D,DG!$C$2,)</f>
        <v>Trụ BTLT 12m F350 dự ứng lực</v>
      </c>
      <c r="F1393" s="1274" t="str">
        <f>VLOOKUP($B1393,DG!A:D,DG!$D$2,)</f>
        <v>trụ</v>
      </c>
      <c r="G1393" s="1330">
        <f>G1392</f>
        <v>0</v>
      </c>
      <c r="H1393" s="1353">
        <f t="shared" si="57"/>
        <v>0</v>
      </c>
      <c r="I1393" s="1310"/>
      <c r="J1393" s="1273"/>
      <c r="K1393" s="1312"/>
      <c r="L1393" s="1125">
        <v>320</v>
      </c>
    </row>
    <row r="1394" spans="1:12" s="1279" customFormat="1" ht="20.100000000000001" customHeight="1">
      <c r="A1394" s="1377">
        <f t="shared" si="55"/>
        <v>0</v>
      </c>
      <c r="B1394" s="1378" t="s">
        <v>1867</v>
      </c>
      <c r="C1394" s="1328"/>
      <c r="D1394" s="1274"/>
      <c r="E1394" s="1329" t="str">
        <f>VLOOKUP($B1394,DG!A:D,DG!$C$2,)</f>
        <v>Vật liệu dựng trụ</v>
      </c>
      <c r="F1394" s="1274" t="str">
        <f>VLOOKUP($B1394,DG!A:D,DG!$D$2,)</f>
        <v>trụ</v>
      </c>
      <c r="G1394" s="1330">
        <f>G1393</f>
        <v>0</v>
      </c>
      <c r="H1394" s="1353">
        <f t="shared" si="57"/>
        <v>0</v>
      </c>
      <c r="I1394" s="1273"/>
      <c r="J1394" s="1273"/>
      <c r="K1394" s="1312"/>
      <c r="L1394" s="1125">
        <v>320</v>
      </c>
    </row>
    <row r="1395" spans="1:12" s="1279" customFormat="1" ht="20.100000000000001" customHeight="1">
      <c r="A1395" s="1377">
        <f t="shared" si="55"/>
        <v>0</v>
      </c>
      <c r="B1395" s="1378" t="s">
        <v>648</v>
      </c>
      <c r="C1395" s="1328"/>
      <c r="D1395" s="1274" t="str">
        <f>VLOOKUP($B1395,DG!A:D,DG!$B$2,)</f>
        <v>04.9203</v>
      </c>
      <c r="E1395" s="1329" t="str">
        <f>VLOOKUP($B1395,DG!A:D,DG!$C$2,)</f>
        <v>Dựng trụ BTLT 12m trong TBA bằng thủ công + cơ giới</v>
      </c>
      <c r="F1395" s="1274" t="str">
        <f>VLOOKUP($B1395,DG!A:D,DG!$D$2,)</f>
        <v>trụ</v>
      </c>
      <c r="G1395" s="1330">
        <f>G1393</f>
        <v>0</v>
      </c>
      <c r="H1395" s="1353">
        <f t="shared" si="57"/>
        <v>0</v>
      </c>
      <c r="I1395" s="1310"/>
      <c r="J1395" s="1310"/>
      <c r="K1395" s="1312"/>
      <c r="L1395" s="1125">
        <v>320</v>
      </c>
    </row>
    <row r="1396" spans="1:12" s="1279" customFormat="1" ht="20.100000000000001" customHeight="1">
      <c r="A1396" s="1377">
        <f t="shared" si="55"/>
        <v>0</v>
      </c>
      <c r="B1396" s="1622"/>
      <c r="C1396" s="1322">
        <f>IF(G1396&gt;0,1,0)</f>
        <v>0</v>
      </c>
      <c r="D1396" s="1323"/>
      <c r="E1396" s="1324" t="s">
        <v>3811</v>
      </c>
      <c r="F1396" s="1325" t="s">
        <v>2340</v>
      </c>
      <c r="G1396" s="1326">
        <f>G1381*2*0</f>
        <v>0</v>
      </c>
      <c r="H1396" s="1353">
        <f t="shared" si="57"/>
        <v>0</v>
      </c>
      <c r="I1396" s="1327"/>
      <c r="J1396" s="1327"/>
      <c r="K1396" s="1278"/>
      <c r="L1396" s="1125">
        <v>320</v>
      </c>
    </row>
    <row r="1397" spans="1:12" s="1279" customFormat="1" ht="20.100000000000001" customHeight="1">
      <c r="A1397" s="1377">
        <f t="shared" si="55"/>
        <v>0</v>
      </c>
      <c r="B1397" s="1378" t="s">
        <v>115</v>
      </c>
      <c r="C1397" s="1328"/>
      <c r="D1397" s="1274"/>
      <c r="E1397" s="1329" t="str">
        <f>VLOOKUP($B1397,DG!A:D,DG!$C$2,)</f>
        <v>Trụ BTLT 10,5m F350 dự ứng lực</v>
      </c>
      <c r="F1397" s="1274" t="str">
        <f>VLOOKUP($B1397,DG!A:D,DG!$D$2,)</f>
        <v>trụ</v>
      </c>
      <c r="G1397" s="1330">
        <f>G1396</f>
        <v>0</v>
      </c>
      <c r="H1397" s="1353">
        <f t="shared" si="57"/>
        <v>0</v>
      </c>
      <c r="I1397" s="1310"/>
      <c r="J1397" s="1273"/>
      <c r="K1397" s="1278"/>
      <c r="L1397" s="1125">
        <v>320</v>
      </c>
    </row>
    <row r="1398" spans="1:12" s="1279" customFormat="1" ht="20.100000000000001" customHeight="1">
      <c r="A1398" s="1377">
        <f t="shared" si="55"/>
        <v>0</v>
      </c>
      <c r="B1398" s="1378" t="s">
        <v>1867</v>
      </c>
      <c r="C1398" s="1328"/>
      <c r="D1398" s="1274"/>
      <c r="E1398" s="1329" t="str">
        <f>VLOOKUP($B1398,DG!A:D,DG!$C$2,)</f>
        <v>Vật liệu dựng trụ</v>
      </c>
      <c r="F1398" s="1274" t="str">
        <f>VLOOKUP($B1398,DG!A:D,DG!$D$2,)</f>
        <v>trụ</v>
      </c>
      <c r="G1398" s="1330">
        <f>G1397</f>
        <v>0</v>
      </c>
      <c r="H1398" s="1353">
        <f t="shared" si="57"/>
        <v>0</v>
      </c>
      <c r="I1398" s="1273"/>
      <c r="J1398" s="1273"/>
      <c r="K1398" s="1278"/>
      <c r="L1398" s="1125">
        <v>320</v>
      </c>
    </row>
    <row r="1399" spans="1:12" s="1279" customFormat="1" ht="20.100000000000001" customHeight="1">
      <c r="A1399" s="1377">
        <f t="shared" si="55"/>
        <v>0</v>
      </c>
      <c r="B1399" s="1378" t="s">
        <v>649</v>
      </c>
      <c r="C1399" s="1328"/>
      <c r="D1399" s="1274" t="str">
        <f>VLOOKUP($B1399,DG!A:D,DG!$B$2,)</f>
        <v>04.9203</v>
      </c>
      <c r="E1399" s="1329" t="str">
        <f>VLOOKUP($B1399,DG!A:D,DG!$C$2,)</f>
        <v>Dựng trụ BTLT 10,5m trong TBA bằng thủ công + cơ giới</v>
      </c>
      <c r="F1399" s="1274" t="str">
        <f>VLOOKUP($B1399,DG!A:D,DG!$D$2,)</f>
        <v>trụ</v>
      </c>
      <c r="G1399" s="1330">
        <f>G1397</f>
        <v>0</v>
      </c>
      <c r="H1399" s="1353">
        <f t="shared" si="57"/>
        <v>0</v>
      </c>
      <c r="I1399" s="1310"/>
      <c r="J1399" s="1310"/>
      <c r="K1399" s="1278"/>
      <c r="L1399" s="1125">
        <v>320</v>
      </c>
    </row>
    <row r="1400" spans="1:12" s="1279" customFormat="1" ht="20.100000000000001" customHeight="1">
      <c r="A1400" s="1377">
        <f t="shared" si="55"/>
        <v>0</v>
      </c>
      <c r="B1400" s="1623"/>
      <c r="C1400" s="1280">
        <f>IF(G1400&gt;0,C1392+1,C1392)</f>
        <v>0</v>
      </c>
      <c r="D1400" s="1323"/>
      <c r="E1400" s="1324" t="s">
        <v>2416</v>
      </c>
      <c r="F1400" s="1325" t="s">
        <v>2391</v>
      </c>
      <c r="G1400" s="1331">
        <f>G1392</f>
        <v>0</v>
      </c>
      <c r="H1400" s="1353">
        <f t="shared" si="57"/>
        <v>0</v>
      </c>
      <c r="I1400" s="1273"/>
      <c r="J1400" s="1273"/>
      <c r="K1400" s="1312"/>
      <c r="L1400" s="1125">
        <v>320</v>
      </c>
    </row>
    <row r="1401" spans="1:12" s="1279" customFormat="1" ht="20.100000000000001" customHeight="1">
      <c r="A1401" s="1377">
        <f t="shared" si="55"/>
        <v>0</v>
      </c>
      <c r="B1401" s="1589" t="s">
        <v>641</v>
      </c>
      <c r="C1401" s="1328"/>
      <c r="D1401" s="1274" t="str">
        <f>VLOOKUP($B1401,DG!A:D,DG!$B$2,)</f>
        <v>04.4001</v>
      </c>
      <c r="E1401" s="1332" t="str">
        <f>VLOOKUP($B1401,DG!A:D,DG!$C$2,)</f>
        <v>Đà cản BTCT 1,2m</v>
      </c>
      <c r="F1401" s="1288" t="str">
        <f>VLOOKUP($B1401,DG!A:D,DG!$D$2,)</f>
        <v>cái</v>
      </c>
      <c r="G1401" s="1330">
        <f>G1400</f>
        <v>0</v>
      </c>
      <c r="H1401" s="1353">
        <f t="shared" si="57"/>
        <v>0</v>
      </c>
      <c r="I1401" s="1310"/>
      <c r="J1401" s="1273"/>
      <c r="K1401" s="1312"/>
      <c r="L1401" s="1125">
        <v>320</v>
      </c>
    </row>
    <row r="1402" spans="1:12" s="1279" customFormat="1" ht="20.100000000000001" customHeight="1">
      <c r="A1402" s="1377">
        <f t="shared" si="55"/>
        <v>0</v>
      </c>
      <c r="B1402" s="1589" t="s">
        <v>570</v>
      </c>
      <c r="C1402" s="1328"/>
      <c r="D1402" s="1288"/>
      <c r="E1402" s="1332" t="str">
        <f>VLOOKUP($B1402,DG!A:D,DG!$C$2,)</f>
        <v>Boulon 22x650+ 2 long đền vuông D24-50x50x3/Zn</v>
      </c>
      <c r="F1402" s="1288" t="str">
        <f>VLOOKUP($B1402,DG!A:D,DG!$D$2,)</f>
        <v>bộ</v>
      </c>
      <c r="G1402" s="1330">
        <f>G1401</f>
        <v>0</v>
      </c>
      <c r="H1402" s="1353">
        <f t="shared" si="57"/>
        <v>0</v>
      </c>
      <c r="I1402" s="1332"/>
      <c r="J1402" s="1273"/>
      <c r="K1402" s="1312"/>
      <c r="L1402" s="1125">
        <v>320</v>
      </c>
    </row>
    <row r="1403" spans="1:12" s="1279" customFormat="1" ht="20.100000000000001" customHeight="1">
      <c r="A1403" s="1377">
        <f t="shared" si="55"/>
        <v>0</v>
      </c>
      <c r="B1403" s="1589" t="str">
        <f>IF(chitiet!F5=1,"MDD1",IF(chitiet!F5=2,"MDD2",IF(chitiet!F5=3,"MDD3",IF(chitiet!F5=4,"MDD4"))))</f>
        <v>MDD3</v>
      </c>
      <c r="C1403" s="1328"/>
      <c r="D1403" s="1288" t="str">
        <f>VLOOKUP($B1403,DG!A:D,DG!$B$2,)</f>
        <v>03.1013</v>
      </c>
      <c r="E1403" s="1332" t="str">
        <f>VLOOKUP($B1403,DG!A:D,DG!$C$2,)</f>
        <v>Đào hố móng đất cấp 3 sâu &gt;1m DT&lt;5m2</v>
      </c>
      <c r="F1403" s="1288" t="str">
        <f>VLOOKUP($B1403,DG!A:D,DG!$D$2,)</f>
        <v>m3</v>
      </c>
      <c r="G1403" s="1333">
        <f>0.87*G1400</f>
        <v>0</v>
      </c>
      <c r="H1403" s="1353">
        <f t="shared" si="57"/>
        <v>0</v>
      </c>
      <c r="I1403" s="1334"/>
      <c r="J1403" s="1273"/>
      <c r="K1403" s="1312"/>
      <c r="L1403" s="1125">
        <v>320</v>
      </c>
    </row>
    <row r="1404" spans="1:12" s="1279" customFormat="1" ht="20.100000000000001" customHeight="1">
      <c r="A1404" s="1377">
        <f t="shared" si="55"/>
        <v>0</v>
      </c>
      <c r="B1404" s="1589" t="str">
        <f>IF(chitiet!F5=1,"MDAP1",IF(chitiet!F5=2,"MDAP2",IF(chitiet!F5=3,"MDAP3",IF(chitiet!F5=4,"MDAP4"))))</f>
        <v>MDAP3</v>
      </c>
      <c r="C1404" s="1328"/>
      <c r="D1404" s="1288" t="str">
        <f>VLOOKUP($B1404,DG!A:D,DG!$B$2,)</f>
        <v>03.4113</v>
      </c>
      <c r="E1404" s="1332" t="str">
        <f>VLOOKUP($B1404,DG!A:D,DG!$C$2,)</f>
        <v>Đắp đất hố móng, độ chặt k=0,95</v>
      </c>
      <c r="F1404" s="1288" t="str">
        <f>VLOOKUP($B1404,DG!A:D,DG!$D$2,)</f>
        <v>m3</v>
      </c>
      <c r="G1404" s="1335">
        <f>0.79*G1400</f>
        <v>0</v>
      </c>
      <c r="H1404" s="1353">
        <f t="shared" si="57"/>
        <v>0</v>
      </c>
      <c r="I1404" s="1334"/>
      <c r="J1404" s="1273"/>
      <c r="K1404" s="1312"/>
      <c r="L1404" s="1125">
        <v>320</v>
      </c>
    </row>
    <row r="1405" spans="1:12" s="1279" customFormat="1" ht="20.100000000000001" customHeight="1">
      <c r="A1405" s="1377">
        <f t="shared" si="55"/>
        <v>0</v>
      </c>
      <c r="B1405" s="1623"/>
      <c r="C1405" s="1280">
        <f>IF(G1405&gt;0,C1397+1,C1397)</f>
        <v>0</v>
      </c>
      <c r="D1405" s="1323"/>
      <c r="E1405" s="1324" t="s">
        <v>3812</v>
      </c>
      <c r="F1405" s="1325" t="s">
        <v>2391</v>
      </c>
      <c r="G1405" s="1331">
        <f>G1396*0</f>
        <v>0</v>
      </c>
      <c r="H1405" s="1353">
        <f t="shared" si="57"/>
        <v>0</v>
      </c>
      <c r="I1405" s="1273"/>
      <c r="J1405" s="1273"/>
      <c r="K1405" s="1278"/>
      <c r="L1405" s="1125">
        <v>320</v>
      </c>
    </row>
    <row r="1406" spans="1:12" s="1279" customFormat="1" ht="20.100000000000001" customHeight="1">
      <c r="A1406" s="1377">
        <f t="shared" si="55"/>
        <v>0</v>
      </c>
      <c r="B1406" s="1589" t="s">
        <v>641</v>
      </c>
      <c r="C1406" s="1328"/>
      <c r="D1406" s="1274" t="str">
        <f>VLOOKUP($B1406,DG!A:D,DG!$B$2,)</f>
        <v>04.4001</v>
      </c>
      <c r="E1406" s="1332" t="str">
        <f>VLOOKUP($B1406,DG!A:D,DG!$C$2,)</f>
        <v>Đà cản BTCT 1,2m</v>
      </c>
      <c r="F1406" s="1288" t="str">
        <f>VLOOKUP($B1406,DG!A:D,DG!$D$2,)</f>
        <v>cái</v>
      </c>
      <c r="G1406" s="1330">
        <f>G1405</f>
        <v>0</v>
      </c>
      <c r="H1406" s="1353">
        <f t="shared" si="57"/>
        <v>0</v>
      </c>
      <c r="I1406" s="1310"/>
      <c r="J1406" s="1273"/>
      <c r="K1406" s="1278"/>
      <c r="L1406" s="1125">
        <v>320</v>
      </c>
    </row>
    <row r="1407" spans="1:12" s="1279" customFormat="1" ht="20.100000000000001" customHeight="1">
      <c r="A1407" s="1377">
        <f t="shared" si="55"/>
        <v>0</v>
      </c>
      <c r="B1407" s="1589" t="s">
        <v>570</v>
      </c>
      <c r="C1407" s="1328"/>
      <c r="D1407" s="1288"/>
      <c r="E1407" s="1332" t="str">
        <f>VLOOKUP($B1407,DG!A:D,DG!$C$2,)</f>
        <v>Boulon 22x650+ 2 long đền vuông D24-50x50x3/Zn</v>
      </c>
      <c r="F1407" s="1288" t="str">
        <f>VLOOKUP($B1407,DG!A:D,DG!$D$2,)</f>
        <v>bộ</v>
      </c>
      <c r="G1407" s="1330">
        <f>G1406</f>
        <v>0</v>
      </c>
      <c r="H1407" s="1353">
        <f t="shared" si="57"/>
        <v>0</v>
      </c>
      <c r="I1407" s="1332"/>
      <c r="J1407" s="1273"/>
      <c r="K1407" s="1278"/>
      <c r="L1407" s="1125">
        <v>320</v>
      </c>
    </row>
    <row r="1408" spans="1:12" s="1279" customFormat="1" ht="20.100000000000001" customHeight="1">
      <c r="A1408" s="1377">
        <f t="shared" si="55"/>
        <v>0</v>
      </c>
      <c r="B1408" s="1589" t="str">
        <f>IF(chitiet!F5=1,"MDD1",IF(chitiet!F5=2,"MDD2",IF(chitiet!F5=3,"MDD3",IF(chitiet!F5=4,"MDD4"))))</f>
        <v>MDD3</v>
      </c>
      <c r="C1408" s="1328"/>
      <c r="D1408" s="1288" t="str">
        <f>VLOOKUP($B1408,DG!A:D,DG!$B$2,)</f>
        <v>03.1013</v>
      </c>
      <c r="E1408" s="1332" t="str">
        <f>VLOOKUP($B1408,DG!A:D,DG!$C$2,)</f>
        <v>Đào hố móng đất cấp 3 sâu &gt;1m DT&lt;5m2</v>
      </c>
      <c r="F1408" s="1288" t="str">
        <f>VLOOKUP($B1408,DG!A:D,DG!$D$2,)</f>
        <v>m3</v>
      </c>
      <c r="G1408" s="1335">
        <f>1.48*G1406</f>
        <v>0</v>
      </c>
      <c r="H1408" s="1353">
        <f t="shared" si="57"/>
        <v>0</v>
      </c>
      <c r="I1408" s="1334"/>
      <c r="J1408" s="1273"/>
      <c r="K1408" s="1278"/>
      <c r="L1408" s="1125">
        <v>320</v>
      </c>
    </row>
    <row r="1409" spans="1:12" s="1279" customFormat="1" ht="20.100000000000001" customHeight="1">
      <c r="A1409" s="1377">
        <f t="shared" si="55"/>
        <v>0</v>
      </c>
      <c r="B1409" s="1589" t="str">
        <f>IF(chitiet!F5=1,"MDAP1",IF(chitiet!F5=2,"MDAP2",IF(chitiet!F5=3,"MDAP3",IF(chitiet!F5=4,"MDAP4"))))</f>
        <v>MDAP3</v>
      </c>
      <c r="C1409" s="1328"/>
      <c r="D1409" s="1288" t="str">
        <f>VLOOKUP($B1409,DG!A:D,DG!$B$2,)</f>
        <v>03.4113</v>
      </c>
      <c r="E1409" s="1332" t="str">
        <f>VLOOKUP($B1409,DG!A:D,DG!$C$2,)</f>
        <v>Đắp đất hố móng, độ chặt k=0,95</v>
      </c>
      <c r="F1409" s="1288" t="str">
        <f>VLOOKUP($B1409,DG!A:D,DG!$D$2,)</f>
        <v>m3</v>
      </c>
      <c r="G1409" s="1335">
        <f>1.39*G1405</f>
        <v>0</v>
      </c>
      <c r="H1409" s="1353">
        <f t="shared" si="57"/>
        <v>0</v>
      </c>
      <c r="I1409" s="1334"/>
      <c r="J1409" s="1273"/>
      <c r="K1409" s="1278"/>
      <c r="L1409" s="1125">
        <v>320</v>
      </c>
    </row>
    <row r="1410" spans="1:12" s="1279" customFormat="1" ht="20.100000000000001" customHeight="1">
      <c r="A1410" s="1377">
        <f t="shared" si="55"/>
        <v>0</v>
      </c>
      <c r="B1410" s="1582"/>
      <c r="C1410" s="1280">
        <f>IF(G1410&gt;0,C1400+1,C1400)</f>
        <v>0</v>
      </c>
      <c r="D1410" s="1336"/>
      <c r="E1410" s="1324" t="s">
        <v>3813</v>
      </c>
      <c r="F1410" s="1322" t="s">
        <v>2449</v>
      </c>
      <c r="G1410" s="1337">
        <f>G1381*1</f>
        <v>0</v>
      </c>
      <c r="H1410" s="1353">
        <f t="shared" si="57"/>
        <v>0</v>
      </c>
      <c r="I1410" s="1338"/>
      <c r="J1410" s="1338"/>
      <c r="K1410" s="1278"/>
      <c r="L1410" s="1125">
        <v>320</v>
      </c>
    </row>
    <row r="1411" spans="1:12" s="1279" customFormat="1" ht="20.100000000000001" customHeight="1">
      <c r="A1411" s="1377">
        <f>IF(A1410&gt;0,1,0)</f>
        <v>0</v>
      </c>
      <c r="B1411" s="1582"/>
      <c r="C1411" s="1273"/>
      <c r="D1411" s="1339"/>
      <c r="E1411" s="1637" t="s">
        <v>2342</v>
      </c>
      <c r="F1411" s="1286"/>
      <c r="G1411" s="1287"/>
      <c r="H1411" s="1353">
        <f t="shared" si="57"/>
        <v>0</v>
      </c>
      <c r="I1411" s="1340"/>
      <c r="J1411" s="1340"/>
      <c r="K1411" s="1278"/>
      <c r="L1411" s="1125">
        <v>320</v>
      </c>
    </row>
    <row r="1412" spans="1:12" s="1279" customFormat="1" ht="20.100000000000001" customHeight="1">
      <c r="A1412" s="1377">
        <f t="shared" si="55"/>
        <v>0</v>
      </c>
      <c r="B1412" s="1378" t="s">
        <v>1166</v>
      </c>
      <c r="C1412" s="1273"/>
      <c r="D1412" s="1288" t="str">
        <f>VLOOKUP($B1412,DG!A:D,DG!$B$2,)</f>
        <v>05.6105</v>
      </c>
      <c r="E1412" s="1275" t="str">
        <f>VLOOKUP($B1412,DG!A:D,DG!$C$2,)&amp;": 2 cái"</f>
        <v>Đà U160x68x5x2800 đỡ MBA: 2 cái</v>
      </c>
      <c r="F1412" s="1274" t="str">
        <f>VLOOKUP($B1412,DG!A:D,DG!$D$2,)</f>
        <v>kg</v>
      </c>
      <c r="G1412" s="1348">
        <f>52.049*G1410*2</f>
        <v>0</v>
      </c>
      <c r="H1412" s="1848">
        <f t="shared" si="57"/>
        <v>0</v>
      </c>
      <c r="I1412" s="1310"/>
      <c r="J1412" s="1310"/>
      <c r="K1412" s="1278"/>
      <c r="L1412" s="1125">
        <v>320</v>
      </c>
    </row>
    <row r="1413" spans="1:12" s="1279" customFormat="1" ht="20.100000000000001" customHeight="1">
      <c r="A1413" s="1377">
        <f t="shared" si="55"/>
        <v>0</v>
      </c>
      <c r="B1413" s="1378" t="s">
        <v>1167</v>
      </c>
      <c r="C1413" s="1273"/>
      <c r="D1413" s="1288" t="str">
        <f>VLOOKUP($B1413,DG!A:D,DG!$B$2,)</f>
        <v>05.6101</v>
      </c>
      <c r="E1413" s="1275" t="str">
        <f>VLOOKUP($B1413,DG!A:D,DG!$C$2,)&amp;": 4 cái"</f>
        <v>Đà U100x46x4.5x400 : 4 cái</v>
      </c>
      <c r="F1413" s="1274" t="str">
        <f>VLOOKUP($B1413,DG!A:D,DG!$D$2,)</f>
        <v>kg</v>
      </c>
      <c r="G1413" s="1276">
        <f>G1410*2.713*4</f>
        <v>0</v>
      </c>
      <c r="H1413" s="1661">
        <f t="shared" si="57"/>
        <v>0</v>
      </c>
      <c r="I1413" s="1310"/>
      <c r="J1413" s="1310"/>
      <c r="K1413" s="1278"/>
      <c r="L1413" s="1125">
        <v>320</v>
      </c>
    </row>
    <row r="1414" spans="1:12" s="1279" customFormat="1" ht="20.100000000000001" customHeight="1">
      <c r="A1414" s="1377">
        <f t="shared" si="55"/>
        <v>0</v>
      </c>
      <c r="B1414" s="1378" t="s">
        <v>1168</v>
      </c>
      <c r="C1414" s="1273"/>
      <c r="D1414" s="1288" t="str">
        <f>VLOOKUP($B1414,DG!A:D,DG!$B$2,)</f>
        <v>05.6101</v>
      </c>
      <c r="E1414" s="1275" t="str">
        <f>VLOOKUP($B1414,DG!A:D,DG!$C$2,)&amp;": 2 cái"</f>
        <v>Đà U100x46x5x800 : 2 cái</v>
      </c>
      <c r="F1414" s="1274" t="str">
        <f>VLOOKUP($B1414,DG!A:D,DG!$D$2,)</f>
        <v>kg</v>
      </c>
      <c r="G1414" s="1276">
        <f>G1410*5.426*2</f>
        <v>0</v>
      </c>
      <c r="H1414" s="1661">
        <f t="shared" si="57"/>
        <v>0</v>
      </c>
      <c r="I1414" s="1310"/>
      <c r="J1414" s="1310"/>
      <c r="K1414" s="1278"/>
      <c r="L1414" s="1125">
        <v>320</v>
      </c>
    </row>
    <row r="1415" spans="1:12" s="1279" customFormat="1" ht="20.100000000000001" customHeight="1">
      <c r="A1415" s="1377">
        <f t="shared" si="55"/>
        <v>0</v>
      </c>
      <c r="B1415" s="1582" t="s">
        <v>1834</v>
      </c>
      <c r="C1415" s="1273"/>
      <c r="D1415" s="1288">
        <f>VLOOKUP($B1415,DG!A:D,DG!$B$2,)</f>
        <v>0</v>
      </c>
      <c r="E1415" s="1275" t="str">
        <f>VLOOKUP($B1415,DG!A:D,DG!$C$2,)</f>
        <v>Boulon 16x400VRS+ 4 long đền vuông D18-50x50x3/Zn</v>
      </c>
      <c r="F1415" s="1274" t="str">
        <f>VLOOKUP($B1415,DG!A:D,DG!$D$2,)</f>
        <v>bộ</v>
      </c>
      <c r="G1415" s="1287">
        <f>G1410*10</f>
        <v>0</v>
      </c>
      <c r="H1415" s="1353">
        <f t="shared" si="57"/>
        <v>0</v>
      </c>
      <c r="I1415" s="1310"/>
      <c r="J1415" s="1310"/>
      <c r="K1415" s="1278"/>
      <c r="L1415" s="1125">
        <v>320</v>
      </c>
    </row>
    <row r="1416" spans="1:12" s="1279" customFormat="1" ht="20.100000000000001" customHeight="1">
      <c r="A1416" s="1377">
        <f t="shared" si="55"/>
        <v>0</v>
      </c>
      <c r="B1416" s="1582" t="s">
        <v>1113</v>
      </c>
      <c r="C1416" s="1273"/>
      <c r="D1416" s="1288">
        <f>VLOOKUP($B1416,DG!A:D,DG!$B$2,)</f>
        <v>0</v>
      </c>
      <c r="E1416" s="1275" t="str">
        <f>VLOOKUP($B1416,DG!A:D,DG!$C$2,)</f>
        <v>Boulon 16x400+ 2 long đền vuông D18-50x50x3/Zn</v>
      </c>
      <c r="F1416" s="1274" t="str">
        <f>VLOOKUP($B1416,DG!A:D,DG!$D$2,)</f>
        <v>bộ</v>
      </c>
      <c r="G1416" s="1287">
        <f>G1410*2</f>
        <v>0</v>
      </c>
      <c r="H1416" s="1353">
        <f t="shared" si="57"/>
        <v>0</v>
      </c>
      <c r="I1416" s="1310"/>
      <c r="J1416" s="1310"/>
      <c r="K1416" s="1278"/>
      <c r="L1416" s="1125">
        <v>320</v>
      </c>
    </row>
    <row r="1417" spans="1:12" s="1279" customFormat="1" ht="20.100000000000001" customHeight="1">
      <c r="A1417" s="1377">
        <f t="shared" si="55"/>
        <v>0</v>
      </c>
      <c r="B1417" s="1582" t="s">
        <v>1109</v>
      </c>
      <c r="C1417" s="1273"/>
      <c r="D1417" s="1288">
        <f>VLOOKUP($B1417,DG!A:D,DG!$B$2,)</f>
        <v>0</v>
      </c>
      <c r="E1417" s="1275" t="str">
        <f>VLOOKUP($B1417,DG!A:D,DG!$C$2,)</f>
        <v>Boulon 16x350+ 2 long đền vuông D18-50x50x3/Zn</v>
      </c>
      <c r="F1417" s="1274" t="str">
        <f>VLOOKUP($B1417,DG!A:D,DG!$D$2,)</f>
        <v>bộ</v>
      </c>
      <c r="G1417" s="1287">
        <f>G1410*12</f>
        <v>0</v>
      </c>
      <c r="H1417" s="1353">
        <f t="shared" si="57"/>
        <v>0</v>
      </c>
      <c r="I1417" s="1310"/>
      <c r="J1417" s="1310"/>
      <c r="K1417" s="1278"/>
      <c r="L1417" s="1125">
        <v>320</v>
      </c>
    </row>
    <row r="1418" spans="1:12" s="1279" customFormat="1" ht="20.100000000000001" customHeight="1">
      <c r="A1418" s="1377">
        <f t="shared" si="55"/>
        <v>0</v>
      </c>
      <c r="B1418" s="1582" t="s">
        <v>2304</v>
      </c>
      <c r="C1418" s="1273"/>
      <c r="D1418" s="1288" t="str">
        <f>VLOOKUP($B1418,DG!A:D,DG!$B$2,)</f>
        <v>05.6044</v>
      </c>
      <c r="E1418" s="1275" t="str">
        <f>VLOOKUP($B1418,DG!A:D,DG!$C$2,)</f>
        <v>Lắp xà cột Pi loại ≤140kg/xà</v>
      </c>
      <c r="F1418" s="1274" t="str">
        <f>VLOOKUP($B1418,DG!A:D,DG!$D$2,)</f>
        <v>bộ</v>
      </c>
      <c r="G1418" s="1287">
        <f>G1410</f>
        <v>0</v>
      </c>
      <c r="H1418" s="1353">
        <f t="shared" si="57"/>
        <v>0</v>
      </c>
      <c r="I1418" s="1310"/>
      <c r="J1418" s="1310"/>
      <c r="K1418" s="1278"/>
      <c r="L1418" s="1125">
        <v>320</v>
      </c>
    </row>
    <row r="1419" spans="1:12" s="1279" customFormat="1" ht="20.100000000000001" customHeight="1">
      <c r="A1419" s="1377">
        <f t="shared" si="55"/>
        <v>0</v>
      </c>
      <c r="B1419" s="1582"/>
      <c r="C1419" s="1280">
        <f>IF(G1419&gt;0,C1410+1,C1410)</f>
        <v>0</v>
      </c>
      <c r="D1419" s="1281"/>
      <c r="E1419" s="1341" t="s">
        <v>4822</v>
      </c>
      <c r="F1419" s="1280" t="s">
        <v>2449</v>
      </c>
      <c r="G1419" s="1283">
        <f>G1410*2</f>
        <v>0</v>
      </c>
      <c r="H1419" s="1353">
        <f t="shared" si="57"/>
        <v>0</v>
      </c>
      <c r="I1419" s="1342"/>
      <c r="J1419" s="1342"/>
      <c r="K1419" s="1278"/>
      <c r="L1419" s="1125">
        <v>320</v>
      </c>
    </row>
    <row r="1420" spans="1:12" s="1279" customFormat="1" ht="20.100000000000001" customHeight="1">
      <c r="A1420" s="1377">
        <f>IF(A1419&gt;0,1,0)</f>
        <v>0</v>
      </c>
      <c r="B1420" s="1582"/>
      <c r="C1420" s="1273"/>
      <c r="D1420" s="1288"/>
      <c r="E1420" s="1637" t="s">
        <v>2342</v>
      </c>
      <c r="F1420" s="1286"/>
      <c r="G1420" s="2004">
        <f>G1419</f>
        <v>0</v>
      </c>
      <c r="H1420" s="2002">
        <f t="shared" si="57"/>
        <v>0</v>
      </c>
      <c r="I1420" s="1342"/>
      <c r="J1420" s="1342"/>
      <c r="K1420" s="1278"/>
      <c r="L1420" s="1125">
        <v>320</v>
      </c>
    </row>
    <row r="1421" spans="1:12" s="1279" customFormat="1" ht="20.100000000000001" customHeight="1">
      <c r="A1421" s="1377">
        <f t="shared" si="55"/>
        <v>0</v>
      </c>
      <c r="B1421" s="1589" t="s">
        <v>2075</v>
      </c>
      <c r="C1421" s="1273"/>
      <c r="D1421" s="1288">
        <f>VLOOKUP($B1421,DG!A:D,DG!$B$2,)</f>
        <v>0</v>
      </c>
      <c r="E1421" s="1275" t="str">
        <f>VLOOKUP($B1421,DG!A:D,DG!$C$2,)</f>
        <v>Sắt góc L75 x75 x8</v>
      </c>
      <c r="F1421" s="1288" t="str">
        <f>VLOOKUP($B1421,DG!A:D,DG!$D$2,)</f>
        <v>kg</v>
      </c>
      <c r="G1421" s="1276">
        <f>G1419*9.42*(2.6+3*0.07)</f>
        <v>0</v>
      </c>
      <c r="H1421" s="1353">
        <f t="shared" si="57"/>
        <v>0</v>
      </c>
      <c r="I1421" s="1310"/>
      <c r="J1421" s="1310"/>
      <c r="K1421" s="1278"/>
      <c r="L1421" s="1125">
        <v>320</v>
      </c>
    </row>
    <row r="1422" spans="1:12" s="1279" customFormat="1" ht="20.100000000000001" customHeight="1">
      <c r="A1422" s="1377">
        <f t="shared" si="55"/>
        <v>0</v>
      </c>
      <c r="B1422" s="1582" t="s">
        <v>1837</v>
      </c>
      <c r="C1422" s="1273"/>
      <c r="D1422" s="1288">
        <f>VLOOKUP($B1422,DG!A:D,DG!$B$2,)</f>
        <v>0</v>
      </c>
      <c r="E1422" s="1275" t="str">
        <f>VLOOKUP($B1422,DG!A:D,DG!$C$2,)</f>
        <v>Boulon 16x300VRS+ 4 long đền vuông D18-50x50x3/Zn</v>
      </c>
      <c r="F1422" s="1288" t="str">
        <f>VLOOKUP($B1422,DG!A:D,DG!$D$2,)</f>
        <v>bộ</v>
      </c>
      <c r="G1422" s="1287"/>
      <c r="H1422" s="1353">
        <f t="shared" si="57"/>
        <v>0</v>
      </c>
      <c r="I1422" s="1310"/>
      <c r="J1422" s="1310"/>
      <c r="K1422" s="1278"/>
      <c r="L1422" s="1125">
        <v>320</v>
      </c>
    </row>
    <row r="1423" spans="1:12" s="1279" customFormat="1" ht="20.100000000000001" customHeight="1">
      <c r="A1423" s="1377">
        <f t="shared" si="55"/>
        <v>0</v>
      </c>
      <c r="B1423" s="1582" t="s">
        <v>1662</v>
      </c>
      <c r="C1423" s="1273"/>
      <c r="D1423" s="1288">
        <f>VLOOKUP($B1423,DG!A:D,DG!$B$2,)</f>
        <v>0</v>
      </c>
      <c r="E1423" s="1275" t="str">
        <f>VLOOKUP($B1423,DG!A:D,DG!$C$2,)</f>
        <v>Boulon 16x300+ 2 long đền vuông D18-50x50x3/Zn</v>
      </c>
      <c r="F1423" s="1288" t="str">
        <f>VLOOKUP($B1423,DG!A:D,DG!$D$2,)</f>
        <v>bộ</v>
      </c>
      <c r="G1423" s="1287">
        <f>G1419*2</f>
        <v>0</v>
      </c>
      <c r="H1423" s="1353">
        <f t="shared" si="57"/>
        <v>0</v>
      </c>
      <c r="I1423" s="1310"/>
      <c r="J1423" s="1310"/>
      <c r="K1423" s="1278"/>
      <c r="L1423" s="1125">
        <v>320</v>
      </c>
    </row>
    <row r="1424" spans="1:12" s="1279" customFormat="1" ht="20.100000000000001" customHeight="1">
      <c r="A1424" s="1377">
        <f t="shared" si="55"/>
        <v>0</v>
      </c>
      <c r="B1424" s="1582" t="s">
        <v>1661</v>
      </c>
      <c r="C1424" s="1273"/>
      <c r="D1424" s="1288">
        <f>VLOOKUP($B1424,DG!A:D,DG!$B$2,)</f>
        <v>0</v>
      </c>
      <c r="E1424" s="1275" t="str">
        <f>VLOOKUP($B1424,DG!A:D,DG!$C$2,)</f>
        <v>Boulon 16x250+ 2 long đền vuông D18-50x50x3/Zn</v>
      </c>
      <c r="F1424" s="1288" t="str">
        <f>VLOOKUP($B1424,DG!A:D,DG!$D$2,)</f>
        <v>bộ</v>
      </c>
      <c r="G1424" s="1287"/>
      <c r="H1424" s="1353">
        <f t="shared" si="57"/>
        <v>0</v>
      </c>
      <c r="I1424" s="1310"/>
      <c r="J1424" s="1310"/>
      <c r="K1424" s="1278"/>
      <c r="L1424" s="1125">
        <v>320</v>
      </c>
    </row>
    <row r="1425" spans="1:12" s="1279" customFormat="1" ht="20.100000000000001" customHeight="1">
      <c r="A1425" s="1377">
        <f t="shared" si="55"/>
        <v>0</v>
      </c>
      <c r="B1425" s="1582" t="s">
        <v>2304</v>
      </c>
      <c r="C1425" s="1273"/>
      <c r="D1425" s="1288" t="str">
        <f>VLOOKUP($B1425,DG!A:D,DG!$B$2,)</f>
        <v>05.6044</v>
      </c>
      <c r="E1425" s="1275" t="str">
        <f>VLOOKUP($B1425,DG!A:D,DG!$C$2,)</f>
        <v>Lắp xà cột Pi loại ≤140kg/xà</v>
      </c>
      <c r="F1425" s="1288" t="str">
        <f>VLOOKUP($B1425,DG!A:D,DG!$D$2,)</f>
        <v>bộ</v>
      </c>
      <c r="G1425" s="1287">
        <f>G1419</f>
        <v>0</v>
      </c>
      <c r="H1425" s="1353">
        <f t="shared" si="57"/>
        <v>0</v>
      </c>
      <c r="I1425" s="1310"/>
      <c r="J1425" s="1310"/>
      <c r="K1425" s="1278"/>
      <c r="L1425" s="1125">
        <v>320</v>
      </c>
    </row>
    <row r="1426" spans="1:12" s="1279" customFormat="1" ht="20.100000000000001" customHeight="1">
      <c r="A1426" s="1377">
        <f t="shared" si="55"/>
        <v>0</v>
      </c>
      <c r="B1426" s="1582"/>
      <c r="C1426" s="1280">
        <f>IF(G1426&gt;0,C1419+1,C1419)</f>
        <v>0</v>
      </c>
      <c r="D1426" s="1281"/>
      <c r="E1426" s="1341" t="s">
        <v>3834</v>
      </c>
      <c r="F1426" s="1280" t="s">
        <v>2449</v>
      </c>
      <c r="G1426" s="1283">
        <f>G1381</f>
        <v>0</v>
      </c>
      <c r="H1426" s="1353">
        <f t="shared" si="57"/>
        <v>0</v>
      </c>
      <c r="I1426" s="1342"/>
      <c r="J1426" s="1342"/>
      <c r="K1426" s="1278"/>
      <c r="L1426" s="1125">
        <v>320</v>
      </c>
    </row>
    <row r="1427" spans="1:12" s="1279" customFormat="1" ht="20.100000000000001" customHeight="1">
      <c r="A1427" s="1377">
        <f>IF(A1426&gt;0,1,0)</f>
        <v>0</v>
      </c>
      <c r="B1427" s="1582"/>
      <c r="C1427" s="1273"/>
      <c r="D1427" s="1284"/>
      <c r="E1427" s="1637" t="s">
        <v>2342</v>
      </c>
      <c r="F1427" s="1286"/>
      <c r="G1427" s="1287"/>
      <c r="H1427" s="1353">
        <f t="shared" si="57"/>
        <v>0</v>
      </c>
      <c r="I1427" s="1342"/>
      <c r="J1427" s="1342"/>
      <c r="K1427" s="1278"/>
      <c r="L1427" s="1125">
        <v>320</v>
      </c>
    </row>
    <row r="1428" spans="1:12" s="1279" customFormat="1" ht="20.100000000000001" customHeight="1">
      <c r="A1428" s="1377">
        <f t="shared" si="55"/>
        <v>0</v>
      </c>
      <c r="B1428" s="1613" t="s">
        <v>363</v>
      </c>
      <c r="C1428" s="1273"/>
      <c r="D1428" s="1288">
        <f>VLOOKUP($B1428,DG!A:D,DG!$B$2,)</f>
        <v>0</v>
      </c>
      <c r="E1428" s="1275" t="str">
        <f>VLOOKUP($B1428,DG!A:D,DG!$C$2,)</f>
        <v>Xà composite 110x800x5</v>
      </c>
      <c r="F1428" s="1288" t="str">
        <f>VLOOKUP($B1428,DG!A:D,DG!$D$2,)</f>
        <v>m</v>
      </c>
      <c r="G1428" s="1348">
        <v>2.4</v>
      </c>
      <c r="H1428" s="1848">
        <f t="shared" si="57"/>
        <v>0</v>
      </c>
      <c r="I1428" s="1310"/>
      <c r="J1428" s="1310"/>
      <c r="K1428" s="1278"/>
      <c r="L1428" s="1125">
        <v>320</v>
      </c>
    </row>
    <row r="1429" spans="1:12" s="1279" customFormat="1" ht="20.100000000000001" customHeight="1">
      <c r="A1429" s="1377">
        <f t="shared" si="55"/>
        <v>0</v>
      </c>
      <c r="B1429" s="1582" t="s">
        <v>1661</v>
      </c>
      <c r="C1429" s="1273"/>
      <c r="D1429" s="1288">
        <f>VLOOKUP($B1429,DG!A:D,DG!$B$2,)</f>
        <v>0</v>
      </c>
      <c r="E1429" s="1275" t="str">
        <f>VLOOKUP($B1429,DG!A:D,DG!$C$2,)</f>
        <v>Boulon 16x250+ 2 long đền vuông D18-50x50x3/Zn</v>
      </c>
      <c r="F1429" s="1288" t="str">
        <f>VLOOKUP($B1429,DG!A:D,DG!$D$2,)</f>
        <v>bộ</v>
      </c>
      <c r="G1429" s="1287"/>
      <c r="H1429" s="1353">
        <f t="shared" si="57"/>
        <v>0</v>
      </c>
      <c r="I1429" s="1310"/>
      <c r="J1429" s="1310"/>
      <c r="K1429" s="1278"/>
      <c r="L1429" s="1125">
        <v>320</v>
      </c>
    </row>
    <row r="1430" spans="1:12" s="1279" customFormat="1" ht="20.100000000000001" customHeight="1">
      <c r="A1430" s="1377">
        <f t="shared" ref="A1430:A1492" si="58">IF(H1430&gt;0,1,0)</f>
        <v>0</v>
      </c>
      <c r="B1430" s="1582" t="s">
        <v>1662</v>
      </c>
      <c r="C1430" s="1273"/>
      <c r="D1430" s="1288">
        <f>VLOOKUP($B1430,DG!A:D,DG!$B$2,)</f>
        <v>0</v>
      </c>
      <c r="E1430" s="1275" t="str">
        <f>VLOOKUP($B1430,DG!A:D,DG!$C$2,)</f>
        <v>Boulon 16x300+ 2 long đền vuông D18-50x50x3/Zn</v>
      </c>
      <c r="F1430" s="1288" t="str">
        <f>VLOOKUP($B1430,DG!A:D,DG!$D$2,)</f>
        <v>bộ</v>
      </c>
      <c r="G1430" s="1287">
        <v>2</v>
      </c>
      <c r="H1430" s="1353">
        <f t="shared" si="57"/>
        <v>0</v>
      </c>
      <c r="I1430" s="1310"/>
      <c r="J1430" s="1310"/>
      <c r="K1430" s="1278"/>
      <c r="L1430" s="1125">
        <v>320</v>
      </c>
    </row>
    <row r="1431" spans="1:12" s="1279" customFormat="1" ht="20.100000000000001" customHeight="1">
      <c r="A1431" s="1377">
        <f t="shared" si="58"/>
        <v>0</v>
      </c>
      <c r="B1431" s="1582" t="s">
        <v>30</v>
      </c>
      <c r="C1431" s="1273"/>
      <c r="D1431" s="1288">
        <f>VLOOKUP($B1431,DG!A:D,DG!$B$2,)</f>
        <v>0</v>
      </c>
      <c r="E1431" s="1275" t="str">
        <f>VLOOKUP($B1431,DG!A:D,DG!$C$2,)</f>
        <v>Bass LI bắt FCO</v>
      </c>
      <c r="F1431" s="1288" t="str">
        <f>VLOOKUP($B1431,DG!A:D,DG!$D$2,)</f>
        <v>Bộ</v>
      </c>
      <c r="G1431" s="1287">
        <f>G1382</f>
        <v>0</v>
      </c>
      <c r="H1431" s="1353">
        <f t="shared" si="57"/>
        <v>0</v>
      </c>
      <c r="I1431" s="1310"/>
      <c r="J1431" s="1310"/>
      <c r="K1431" s="1278"/>
      <c r="L1431" s="1125">
        <v>320</v>
      </c>
    </row>
    <row r="1432" spans="1:12" s="1279" customFormat="1" ht="20.100000000000001" customHeight="1">
      <c r="A1432" s="1377">
        <f t="shared" si="58"/>
        <v>0</v>
      </c>
      <c r="B1432" s="1582" t="s">
        <v>2304</v>
      </c>
      <c r="C1432" s="1273"/>
      <c r="D1432" s="1288" t="str">
        <f>VLOOKUP($B1432,DG!A:D,DG!$B$2,)</f>
        <v>05.6044</v>
      </c>
      <c r="E1432" s="1275" t="str">
        <f>VLOOKUP($B1432,DG!A:D,DG!$C$2,)</f>
        <v>Lắp xà cột Pi loại ≤140kg/xà</v>
      </c>
      <c r="F1432" s="1288" t="str">
        <f>VLOOKUP($B1432,DG!A:D,DG!$D$2,)</f>
        <v>bộ</v>
      </c>
      <c r="G1432" s="1287">
        <f>G1381</f>
        <v>0</v>
      </c>
      <c r="H1432" s="1353">
        <f t="shared" si="57"/>
        <v>0</v>
      </c>
      <c r="I1432" s="1366"/>
      <c r="J1432" s="1310"/>
      <c r="K1432" s="1278"/>
      <c r="L1432" s="1125">
        <v>320</v>
      </c>
    </row>
    <row r="1433" spans="1:12" s="1279" customFormat="1" ht="20.100000000000001" customHeight="1">
      <c r="A1433" s="1377">
        <f t="shared" si="58"/>
        <v>0</v>
      </c>
      <c r="B1433" s="1582"/>
      <c r="C1433" s="1280">
        <f>IF(G1433&gt;0,C1426+1,C1426)</f>
        <v>0</v>
      </c>
      <c r="D1433" s="1281"/>
      <c r="E1433" s="1341" t="s">
        <v>3816</v>
      </c>
      <c r="F1433" s="1280" t="s">
        <v>2449</v>
      </c>
      <c r="G1433" s="1283">
        <f>G1381*2</f>
        <v>0</v>
      </c>
      <c r="H1433" s="1353">
        <f t="shared" si="57"/>
        <v>0</v>
      </c>
      <c r="I1433" s="1342"/>
      <c r="J1433" s="1342"/>
      <c r="K1433" s="1278"/>
      <c r="L1433" s="1125">
        <v>320</v>
      </c>
    </row>
    <row r="1434" spans="1:12" s="1279" customFormat="1" ht="20.100000000000001" customHeight="1">
      <c r="A1434" s="1377">
        <f>IF(A1433&gt;0,1,0)</f>
        <v>0</v>
      </c>
      <c r="B1434" s="1582"/>
      <c r="C1434" s="1273"/>
      <c r="D1434" s="1284"/>
      <c r="E1434" s="1637" t="s">
        <v>2342</v>
      </c>
      <c r="F1434" s="1286"/>
      <c r="G1434" s="1287"/>
      <c r="H1434" s="1353">
        <f t="shared" si="57"/>
        <v>0</v>
      </c>
      <c r="I1434" s="1342"/>
      <c r="J1434" s="1342"/>
      <c r="K1434" s="1278"/>
      <c r="L1434" s="1125">
        <v>320</v>
      </c>
    </row>
    <row r="1435" spans="1:12" s="1279" customFormat="1" ht="20.100000000000001" customHeight="1">
      <c r="A1435" s="1377">
        <f t="shared" si="58"/>
        <v>0</v>
      </c>
      <c r="B1435" s="1582" t="s">
        <v>2075</v>
      </c>
      <c r="C1435" s="1273"/>
      <c r="D1435" s="1288">
        <f>VLOOKUP($B1435,DG!A:D,DG!$B$2,)</f>
        <v>0</v>
      </c>
      <c r="E1435" s="1275" t="str">
        <f>VLOOKUP($B1435,DG!A:D,DG!$C$2,)</f>
        <v>Sắt góc L75 x75 x8</v>
      </c>
      <c r="F1435" s="1288" t="str">
        <f>VLOOKUP($B1435,DG!A:D,DG!$D$2,)</f>
        <v>kg</v>
      </c>
      <c r="G1435" s="1276">
        <f>G1433*9.42*2.6</f>
        <v>0</v>
      </c>
      <c r="H1435" s="1353">
        <f t="shared" si="57"/>
        <v>0</v>
      </c>
      <c r="I1435" s="1310"/>
      <c r="J1435" s="1310"/>
      <c r="K1435" s="1278"/>
      <c r="L1435" s="1125">
        <v>320</v>
      </c>
    </row>
    <row r="1436" spans="1:12" s="1279" customFormat="1" ht="20.100000000000001" customHeight="1">
      <c r="A1436" s="1377">
        <f t="shared" si="58"/>
        <v>0</v>
      </c>
      <c r="B1436" s="1582" t="s">
        <v>1113</v>
      </c>
      <c r="C1436" s="1273"/>
      <c r="D1436" s="1288">
        <f>VLOOKUP($B1436,DG!A:D,DG!$B$2,)</f>
        <v>0</v>
      </c>
      <c r="E1436" s="1275" t="str">
        <f>VLOOKUP($B1436,DG!A:D,DG!$C$2,)</f>
        <v>Boulon 16x400+ 2 long đền vuông D18-50x50x3/Zn</v>
      </c>
      <c r="F1436" s="1288" t="str">
        <f>VLOOKUP($B1436,DG!A:D,DG!$D$2,)</f>
        <v>bộ</v>
      </c>
      <c r="G1436" s="1287">
        <f>G1433*2</f>
        <v>0</v>
      </c>
      <c r="H1436" s="1353">
        <f t="shared" si="57"/>
        <v>0</v>
      </c>
      <c r="I1436" s="1310"/>
      <c r="J1436" s="1310"/>
      <c r="K1436" s="1278"/>
      <c r="L1436" s="1125">
        <v>320</v>
      </c>
    </row>
    <row r="1437" spans="1:12" s="1279" customFormat="1" ht="20.100000000000001" customHeight="1">
      <c r="A1437" s="1377">
        <f t="shared" si="58"/>
        <v>0</v>
      </c>
      <c r="B1437" s="1582" t="s">
        <v>139</v>
      </c>
      <c r="C1437" s="1273"/>
      <c r="D1437" s="1288">
        <f>VLOOKUP($B1437,DG!A:D,DG!$B$2,)</f>
        <v>0</v>
      </c>
      <c r="E1437" s="1275" t="str">
        <f>VLOOKUP($B1437,DG!A:D,DG!$C$2,)</f>
        <v>Boulon 12x40+ 2 long đền vuông D14-50x50x3/Zn</v>
      </c>
      <c r="F1437" s="1288" t="str">
        <f>VLOOKUP($B1437,DG!A:D,DG!$D$2,)</f>
        <v>bộ</v>
      </c>
      <c r="G1437" s="1287">
        <f>G1433*2</f>
        <v>0</v>
      </c>
      <c r="H1437" s="1353">
        <f t="shared" si="57"/>
        <v>0</v>
      </c>
      <c r="I1437" s="1310"/>
      <c r="J1437" s="1310"/>
      <c r="K1437" s="1278"/>
      <c r="L1437" s="1125">
        <v>320</v>
      </c>
    </row>
    <row r="1438" spans="1:12" s="1279" customFormat="1" ht="20.100000000000001" customHeight="1">
      <c r="A1438" s="1377">
        <f t="shared" si="58"/>
        <v>0</v>
      </c>
      <c r="B1438" s="1582" t="s">
        <v>2304</v>
      </c>
      <c r="C1438" s="1273"/>
      <c r="D1438" s="1288" t="str">
        <f>VLOOKUP($B1438,DG!A:D,DG!$B$2,)</f>
        <v>05.6044</v>
      </c>
      <c r="E1438" s="1275" t="str">
        <f>VLOOKUP($B1438,DG!A:D,DG!$C$2,)</f>
        <v>Lắp xà cột Pi loại ≤140kg/xà</v>
      </c>
      <c r="F1438" s="1288" t="str">
        <f>VLOOKUP($B1438,DG!A:D,DG!$D$2,)</f>
        <v>bộ</v>
      </c>
      <c r="G1438" s="1287">
        <f>G1433/2</f>
        <v>0</v>
      </c>
      <c r="H1438" s="1353">
        <f t="shared" si="57"/>
        <v>0</v>
      </c>
      <c r="I1438" s="1366"/>
      <c r="J1438" s="1310"/>
      <c r="K1438" s="1278"/>
      <c r="L1438" s="1125">
        <v>320</v>
      </c>
    </row>
    <row r="1439" spans="1:12" s="1279" customFormat="1" ht="20.100000000000001" customHeight="1">
      <c r="A1439" s="1377">
        <f t="shared" si="58"/>
        <v>0</v>
      </c>
      <c r="B1439" s="1582" t="s">
        <v>218</v>
      </c>
      <c r="C1439" s="1273"/>
      <c r="D1439" s="1288" t="str">
        <f>VLOOKUP($B1439,DG!A:D,DG!$B$2,)</f>
        <v>02.1115</v>
      </c>
      <c r="E1439" s="1275" t="str">
        <f>VLOOKUP($B1439,DG!A:D,DG!$C$2,)</f>
        <v>Bốc dỡ xà, thép thanh</v>
      </c>
      <c r="F1439" s="1288" t="str">
        <f>VLOOKUP($B1439,DG!A:D,DG!$D$2,)</f>
        <v>tấn</v>
      </c>
      <c r="G1439" s="1276">
        <f>0.05*0</f>
        <v>0</v>
      </c>
      <c r="H1439" s="1353">
        <f t="shared" si="57"/>
        <v>0</v>
      </c>
      <c r="I1439" s="1310"/>
      <c r="J1439" s="1310"/>
      <c r="K1439" s="1278"/>
      <c r="L1439" s="1125">
        <v>320</v>
      </c>
    </row>
    <row r="1440" spans="1:12" s="1279" customFormat="1" ht="20.100000000000001" customHeight="1">
      <c r="A1440" s="1377">
        <f t="shared" si="58"/>
        <v>0</v>
      </c>
      <c r="B1440" s="1582" t="s">
        <v>1662</v>
      </c>
      <c r="C1440" s="1273"/>
      <c r="D1440" s="1288">
        <f>VLOOKUP($B1440,DG!A:D,DG!$B$2,)</f>
        <v>0</v>
      </c>
      <c r="E1440" s="1275" t="str">
        <f>VLOOKUP($B1440,DG!A:D,DG!$C$2,)</f>
        <v>Boulon 16x300+ 2 long đền vuông D18-50x50x3/Zn</v>
      </c>
      <c r="F1440" s="1274" t="s">
        <v>2503</v>
      </c>
      <c r="G1440" s="1287">
        <f>G1433*2*0</f>
        <v>0</v>
      </c>
      <c r="H1440" s="1353">
        <f t="shared" si="57"/>
        <v>0</v>
      </c>
      <c r="I1440" s="1310"/>
      <c r="J1440" s="1310"/>
      <c r="K1440" s="1278"/>
      <c r="L1440" s="1125">
        <v>320</v>
      </c>
    </row>
    <row r="1441" spans="1:12" s="1279" customFormat="1" ht="20.100000000000001" customHeight="1">
      <c r="A1441" s="1377">
        <f t="shared" si="58"/>
        <v>0</v>
      </c>
      <c r="B1441" s="1582" t="s">
        <v>1661</v>
      </c>
      <c r="C1441" s="1273"/>
      <c r="D1441" s="1288">
        <f>VLOOKUP($B1441,DG!A:D,DG!$B$2,)</f>
        <v>0</v>
      </c>
      <c r="E1441" s="1275" t="str">
        <f>VLOOKUP($B1441,DG!A:D,DG!$C$2,)</f>
        <v>Boulon 16x250+ 2 long đền vuông D18-50x50x3/Zn</v>
      </c>
      <c r="F1441" s="1274" t="s">
        <v>2503</v>
      </c>
      <c r="G1441" s="1287">
        <f>2*G1433*2*0</f>
        <v>0</v>
      </c>
      <c r="H1441" s="1353">
        <f t="shared" si="57"/>
        <v>0</v>
      </c>
      <c r="I1441" s="1310"/>
      <c r="J1441" s="1310"/>
      <c r="K1441" s="1278"/>
      <c r="L1441" s="1125">
        <v>320</v>
      </c>
    </row>
    <row r="1442" spans="1:12" s="1279" customFormat="1" ht="20.100000000000001" customHeight="1" collapsed="1">
      <c r="A1442" s="1377">
        <f t="shared" si="58"/>
        <v>0</v>
      </c>
      <c r="B1442" s="1582"/>
      <c r="C1442" s="1280">
        <f>IF(G1442&gt;0,C1433+1,C1433)</f>
        <v>0</v>
      </c>
      <c r="D1442" s="1281"/>
      <c r="E1442" s="1341" t="s">
        <v>3836</v>
      </c>
      <c r="F1442" s="1280" t="s">
        <v>2449</v>
      </c>
      <c r="G1442" s="1283">
        <f>G1381*0</f>
        <v>0</v>
      </c>
      <c r="H1442" s="1353">
        <f t="shared" si="57"/>
        <v>0</v>
      </c>
      <c r="I1442" s="1277"/>
      <c r="J1442" s="1277"/>
      <c r="K1442" s="1312"/>
      <c r="L1442" s="1125">
        <v>320</v>
      </c>
    </row>
    <row r="1443" spans="1:12" s="1279" customFormat="1" ht="20.100000000000001" customHeight="1">
      <c r="A1443" s="1377">
        <f>IF(A1442&gt;0,1,0)</f>
        <v>0</v>
      </c>
      <c r="B1443" s="1582"/>
      <c r="C1443" s="1273"/>
      <c r="D1443" s="1284"/>
      <c r="E1443" s="1637" t="s">
        <v>2342</v>
      </c>
      <c r="F1443" s="1286"/>
      <c r="G1443" s="1287"/>
      <c r="H1443" s="1353">
        <f t="shared" si="57"/>
        <v>0</v>
      </c>
      <c r="I1443" s="1277"/>
      <c r="J1443" s="1277"/>
      <c r="K1443" s="1312"/>
      <c r="L1443" s="1125">
        <v>320</v>
      </c>
    </row>
    <row r="1444" spans="1:12" s="1279" customFormat="1" ht="20.100000000000001" customHeight="1">
      <c r="A1444" s="1377">
        <f t="shared" si="58"/>
        <v>0</v>
      </c>
      <c r="B1444" s="1582" t="s">
        <v>2075</v>
      </c>
      <c r="C1444" s="1273"/>
      <c r="D1444" s="1288">
        <f>VLOOKUP($B1444,DG!A:D,DG!$B$2,)</f>
        <v>0</v>
      </c>
      <c r="E1444" s="1275" t="str">
        <f>VLOOKUP($B1444,DG!A:D,DG!$C$2,)</f>
        <v>Sắt góc L75 x75 x8</v>
      </c>
      <c r="F1444" s="1274" t="s">
        <v>2310</v>
      </c>
      <c r="G1444" s="1276">
        <f>G1442*9.02*(2.4+4*0.07)*2</f>
        <v>0</v>
      </c>
      <c r="H1444" s="1353">
        <f t="shared" si="57"/>
        <v>0</v>
      </c>
      <c r="I1444" s="1277"/>
      <c r="J1444" s="1277"/>
      <c r="K1444" s="1312"/>
      <c r="L1444" s="1125">
        <v>320</v>
      </c>
    </row>
    <row r="1445" spans="1:12" s="1279" customFormat="1" ht="20.100000000000001" customHeight="1">
      <c r="A1445" s="1377">
        <f t="shared" si="58"/>
        <v>0</v>
      </c>
      <c r="B1445" s="1582" t="s">
        <v>1065</v>
      </c>
      <c r="C1445" s="1273"/>
      <c r="D1445" s="1288">
        <f>VLOOKUP($B1445,DG!A:D,DG!$B$2,)</f>
        <v>0</v>
      </c>
      <c r="E1445" s="1275" t="str">
        <f>VLOOKUP($B1445,DG!A:D,DG!$C$2,)&amp;" (Thanh choáng 810)"</f>
        <v>Sắt góc L50 x50 x5 (Thanh choáng 810)</v>
      </c>
      <c r="F1445" s="1274" t="s">
        <v>2310</v>
      </c>
      <c r="G1445" s="1276">
        <f>G1442*3.77*0.81*4</f>
        <v>0</v>
      </c>
      <c r="H1445" s="1353">
        <f t="shared" si="57"/>
        <v>0</v>
      </c>
      <c r="I1445" s="1277"/>
      <c r="J1445" s="1277"/>
      <c r="K1445" s="1312"/>
      <c r="L1445" s="1125">
        <v>320</v>
      </c>
    </row>
    <row r="1446" spans="1:12" s="1279" customFormat="1" ht="20.100000000000001" customHeight="1">
      <c r="A1446" s="1377">
        <f t="shared" si="58"/>
        <v>0</v>
      </c>
      <c r="B1446" s="1582" t="s">
        <v>1662</v>
      </c>
      <c r="C1446" s="1273"/>
      <c r="D1446" s="1288">
        <f>VLOOKUP($B1446,DG!A:D,DG!$B$2,)</f>
        <v>0</v>
      </c>
      <c r="E1446" s="1275" t="str">
        <f>VLOOKUP($B1446,DG!A:D,DG!$C$2,)</f>
        <v>Boulon 16x300+ 2 long đền vuông D18-50x50x3/Zn</v>
      </c>
      <c r="F1446" s="1274" t="s">
        <v>2503</v>
      </c>
      <c r="G1446" s="1287">
        <f>G1442*2</f>
        <v>0</v>
      </c>
      <c r="H1446" s="1353">
        <f t="shared" si="57"/>
        <v>0</v>
      </c>
      <c r="I1446" s="1277"/>
      <c r="J1446" s="1277"/>
      <c r="K1446" s="1312"/>
      <c r="L1446" s="1125">
        <v>320</v>
      </c>
    </row>
    <row r="1447" spans="1:12" s="1279" customFormat="1" ht="20.100000000000001" customHeight="1">
      <c r="A1447" s="1377">
        <f t="shared" si="58"/>
        <v>0</v>
      </c>
      <c r="B1447" s="1582" t="s">
        <v>1839</v>
      </c>
      <c r="C1447" s="1273"/>
      <c r="D1447" s="1288">
        <f>VLOOKUP($B1447,DG!A:D,DG!$B$2,)</f>
        <v>0</v>
      </c>
      <c r="E1447" s="1275" t="str">
        <f>VLOOKUP($B1447,DG!A:D,DG!$C$2,)</f>
        <v>Boulon 16x50+ 2 long đền vuông D18-50x50x3/Zn</v>
      </c>
      <c r="F1447" s="1274" t="s">
        <v>2503</v>
      </c>
      <c r="G1447" s="1287">
        <f>G1442*4</f>
        <v>0</v>
      </c>
      <c r="H1447" s="1353">
        <f t="shared" si="57"/>
        <v>0</v>
      </c>
      <c r="I1447" s="1277"/>
      <c r="J1447" s="1277"/>
      <c r="K1447" s="1312"/>
      <c r="L1447" s="1125">
        <v>320</v>
      </c>
    </row>
    <row r="1448" spans="1:12" s="1279" customFormat="1" ht="20.100000000000001" customHeight="1">
      <c r="A1448" s="1377">
        <f t="shared" si="58"/>
        <v>0</v>
      </c>
      <c r="B1448" s="1582" t="s">
        <v>1837</v>
      </c>
      <c r="C1448" s="1273"/>
      <c r="D1448" s="1288">
        <f>VLOOKUP($B1448,DG!A:D,DG!$B$2,)</f>
        <v>0</v>
      </c>
      <c r="E1448" s="1275" t="str">
        <f>VLOOKUP($B1448,DG!A:D,DG!$C$2,)</f>
        <v>Boulon 16x300VRS+ 4 long đền vuông D18-50x50x3/Zn</v>
      </c>
      <c r="F1448" s="1274" t="s">
        <v>2503</v>
      </c>
      <c r="G1448" s="1287">
        <f>G1442*4</f>
        <v>0</v>
      </c>
      <c r="H1448" s="1353">
        <f t="shared" si="57"/>
        <v>0</v>
      </c>
      <c r="I1448" s="1277"/>
      <c r="J1448" s="1277"/>
      <c r="K1448" s="1312"/>
      <c r="L1448" s="1125">
        <v>320</v>
      </c>
    </row>
    <row r="1449" spans="1:12" s="1279" customFormat="1" ht="20.100000000000001" customHeight="1">
      <c r="A1449" s="1377">
        <f t="shared" si="58"/>
        <v>0</v>
      </c>
      <c r="B1449" s="1582" t="s">
        <v>520</v>
      </c>
      <c r="C1449" s="1273"/>
      <c r="D1449" s="1288" t="str">
        <f>VLOOKUP($B1449,DG!A:D,DG!$B$2,)</f>
        <v>05.6203</v>
      </c>
      <c r="E1449" s="1275" t="str">
        <f>VLOOKUP($B1449,DG!A:D,DG!$C$2,)</f>
        <v>Lắp xà néo ≤ 100kg</v>
      </c>
      <c r="F1449" s="1274" t="s">
        <v>2503</v>
      </c>
      <c r="G1449" s="1287">
        <f>G1442</f>
        <v>0</v>
      </c>
      <c r="H1449" s="1353">
        <f t="shared" si="57"/>
        <v>0</v>
      </c>
      <c r="I1449" s="1277"/>
      <c r="J1449" s="1277"/>
      <c r="K1449" s="1312"/>
      <c r="L1449" s="1125">
        <v>320</v>
      </c>
    </row>
    <row r="1450" spans="1:12" s="1279" customFormat="1" ht="20.100000000000001" customHeight="1">
      <c r="A1450" s="1377">
        <f t="shared" si="58"/>
        <v>0</v>
      </c>
      <c r="B1450" s="1582"/>
      <c r="C1450" s="1280">
        <f>IF(G1450&gt;0,C1442+1,C1442)</f>
        <v>0</v>
      </c>
      <c r="D1450" s="1281"/>
      <c r="E1450" s="1341" t="s">
        <v>3837</v>
      </c>
      <c r="F1450" s="1280" t="s">
        <v>2449</v>
      </c>
      <c r="G1450" s="1283">
        <f>G1381*0</f>
        <v>0</v>
      </c>
      <c r="H1450" s="1353">
        <f t="shared" si="57"/>
        <v>0</v>
      </c>
      <c r="I1450" s="1277"/>
      <c r="J1450" s="1277"/>
      <c r="K1450" s="1312"/>
      <c r="L1450" s="1125">
        <v>320</v>
      </c>
    </row>
    <row r="1451" spans="1:12" s="1279" customFormat="1" ht="20.100000000000001" customHeight="1">
      <c r="A1451" s="1377">
        <f>IF(A1450&gt;0,1,0)</f>
        <v>0</v>
      </c>
      <c r="B1451" s="1582"/>
      <c r="C1451" s="1273"/>
      <c r="D1451" s="1284"/>
      <c r="E1451" s="1637" t="s">
        <v>2342</v>
      </c>
      <c r="F1451" s="1286"/>
      <c r="G1451" s="1287"/>
      <c r="H1451" s="1353">
        <f t="shared" si="57"/>
        <v>0</v>
      </c>
      <c r="I1451" s="1277"/>
      <c r="J1451" s="1277"/>
      <c r="K1451" s="1312"/>
      <c r="L1451" s="1125">
        <v>320</v>
      </c>
    </row>
    <row r="1452" spans="1:12" s="1279" customFormat="1" ht="20.100000000000001" customHeight="1">
      <c r="A1452" s="1377">
        <f t="shared" si="58"/>
        <v>0</v>
      </c>
      <c r="B1452" s="1582" t="s">
        <v>2075</v>
      </c>
      <c r="C1452" s="1273"/>
      <c r="D1452" s="1288">
        <f>VLOOKUP($B1452,DG!A:D,DG!$B$2,)</f>
        <v>0</v>
      </c>
      <c r="E1452" s="1275" t="str">
        <f>VLOOKUP($B1452,DG!A:D,DG!$C$2,)</f>
        <v>Sắt góc L75 x75 x8</v>
      </c>
      <c r="F1452" s="1274" t="s">
        <v>2310</v>
      </c>
      <c r="G1452" s="1276">
        <f>G1450*9.42*(2.2+4*0.07)</f>
        <v>0</v>
      </c>
      <c r="H1452" s="1353">
        <f t="shared" si="57"/>
        <v>0</v>
      </c>
      <c r="I1452" s="1277"/>
      <c r="J1452" s="1277"/>
      <c r="K1452" s="1312"/>
      <c r="L1452" s="1125">
        <v>320</v>
      </c>
    </row>
    <row r="1453" spans="1:12" s="1279" customFormat="1" ht="20.100000000000001" customHeight="1">
      <c r="A1453" s="1377">
        <f t="shared" si="58"/>
        <v>0</v>
      </c>
      <c r="B1453" s="1582" t="s">
        <v>1065</v>
      </c>
      <c r="C1453" s="1273"/>
      <c r="D1453" s="1288">
        <f>VLOOKUP($B1453,DG!A:D,DG!$B$2,)</f>
        <v>0</v>
      </c>
      <c r="E1453" s="1275" t="str">
        <f>VLOOKUP($B1453,DG!A:D,DG!$C$2,)&amp;" (Thanh choáng 810)"</f>
        <v>Sắt góc L50 x50 x5 (Thanh choáng 810)</v>
      </c>
      <c r="F1453" s="1274" t="s">
        <v>2310</v>
      </c>
      <c r="G1453" s="1276">
        <f>G1450*3.77*0.81*2</f>
        <v>0</v>
      </c>
      <c r="H1453" s="1353">
        <f t="shared" si="57"/>
        <v>0</v>
      </c>
      <c r="I1453" s="1277"/>
      <c r="J1453" s="1277"/>
      <c r="K1453" s="1312"/>
      <c r="L1453" s="1125">
        <v>320</v>
      </c>
    </row>
    <row r="1454" spans="1:12" s="1279" customFormat="1" ht="20.100000000000001" customHeight="1">
      <c r="A1454" s="1377">
        <f t="shared" si="58"/>
        <v>0</v>
      </c>
      <c r="B1454" s="1582" t="s">
        <v>1109</v>
      </c>
      <c r="C1454" s="1273"/>
      <c r="D1454" s="1288">
        <f>VLOOKUP($B1454,DG!A:D,DG!$B$2,)</f>
        <v>0</v>
      </c>
      <c r="E1454" s="1275" t="str">
        <f>VLOOKUP($B1454,DG!A:D,DG!$C$2,)</f>
        <v>Boulon 16x350+ 2 long đền vuông D18-50x50x3/Zn</v>
      </c>
      <c r="F1454" s="1274" t="s">
        <v>2503</v>
      </c>
      <c r="G1454" s="1287">
        <f>G1450*2</f>
        <v>0</v>
      </c>
      <c r="H1454" s="1353">
        <f t="shared" ref="H1454:H1517" si="59">IF(L1454=$L$23,G1454+I1454-J1454,0)</f>
        <v>0</v>
      </c>
      <c r="I1454" s="1277"/>
      <c r="J1454" s="1277"/>
      <c r="K1454" s="1312"/>
      <c r="L1454" s="1125">
        <v>320</v>
      </c>
    </row>
    <row r="1455" spans="1:12" s="1279" customFormat="1" ht="20.100000000000001" customHeight="1">
      <c r="A1455" s="1377">
        <f t="shared" si="58"/>
        <v>0</v>
      </c>
      <c r="B1455" s="1582" t="s">
        <v>1839</v>
      </c>
      <c r="C1455" s="1273"/>
      <c r="D1455" s="1288">
        <f>VLOOKUP($B1455,DG!A:D,DG!$B$2,)</f>
        <v>0</v>
      </c>
      <c r="E1455" s="1275" t="str">
        <f>VLOOKUP($B1455,DG!A:D,DG!$C$2,)</f>
        <v>Boulon 16x50+ 2 long đền vuông D18-50x50x3/Zn</v>
      </c>
      <c r="F1455" s="1274" t="s">
        <v>2503</v>
      </c>
      <c r="G1455" s="1287">
        <f>G1450*2</f>
        <v>0</v>
      </c>
      <c r="H1455" s="1353">
        <f t="shared" si="59"/>
        <v>0</v>
      </c>
      <c r="I1455" s="1277"/>
      <c r="J1455" s="1277"/>
      <c r="K1455" s="1312"/>
      <c r="L1455" s="1125">
        <v>320</v>
      </c>
    </row>
    <row r="1456" spans="1:12" s="1279" customFormat="1" ht="20.100000000000001" customHeight="1">
      <c r="A1456" s="1377">
        <f t="shared" si="58"/>
        <v>0</v>
      </c>
      <c r="B1456" s="1582" t="s">
        <v>1788</v>
      </c>
      <c r="C1456" s="1273"/>
      <c r="D1456" s="1288">
        <f>VLOOKUP($B1456,DG!A:D,DG!$B$2,)</f>
        <v>0</v>
      </c>
      <c r="E1456" s="1275" t="str">
        <f>VLOOKUP($B1456,DG!A:D,DG!$C$2,)</f>
        <v>Bass LI bắt FCO</v>
      </c>
      <c r="F1456" s="1274" t="s">
        <v>2503</v>
      </c>
      <c r="G1456" s="1287">
        <f>IF(G1450&gt;0,3,)*0</f>
        <v>0</v>
      </c>
      <c r="H1456" s="1353">
        <f t="shared" si="59"/>
        <v>0</v>
      </c>
      <c r="I1456" s="1277"/>
      <c r="J1456" s="1277"/>
      <c r="K1456" s="1312"/>
      <c r="L1456" s="1125">
        <v>320</v>
      </c>
    </row>
    <row r="1457" spans="1:12" s="1279" customFormat="1" ht="20.100000000000001" customHeight="1">
      <c r="A1457" s="1377">
        <f t="shared" si="58"/>
        <v>0</v>
      </c>
      <c r="B1457" s="1582" t="s">
        <v>1018</v>
      </c>
      <c r="C1457" s="1273"/>
      <c r="D1457" s="1288" t="str">
        <f>VLOOKUP($B1457,DG!A:D,DG!$B$2,)</f>
        <v>06.3231</v>
      </c>
      <c r="E1457" s="1275" t="str">
        <f>VLOOKUP($B1457,DG!A:D,DG!$C$2,)</f>
        <v xml:space="preserve">Cổ dê chống lắc 8x80x800 </v>
      </c>
      <c r="F1457" s="1274" t="s">
        <v>2503</v>
      </c>
      <c r="G1457" s="1287">
        <f>G1450*0</f>
        <v>0</v>
      </c>
      <c r="H1457" s="1353">
        <f t="shared" si="59"/>
        <v>0</v>
      </c>
      <c r="I1457" s="1277"/>
      <c r="J1457" s="1277"/>
      <c r="K1457" s="1312"/>
      <c r="L1457" s="1125">
        <v>320</v>
      </c>
    </row>
    <row r="1458" spans="1:12" s="1279" customFormat="1" ht="20.100000000000001" customHeight="1">
      <c r="A1458" s="1377">
        <f t="shared" si="58"/>
        <v>0</v>
      </c>
      <c r="B1458" s="1582" t="s">
        <v>1473</v>
      </c>
      <c r="C1458" s="1273"/>
      <c r="D1458" s="1288" t="str">
        <f>VLOOKUP($B1458,DG!A:D,DG!$B$2,)</f>
        <v>05.6102</v>
      </c>
      <c r="E1458" s="1275" t="str">
        <f>VLOOKUP($B1458,DG!A:D,DG!$C$2,)</f>
        <v>Lắp xà đỡ ≤ 50kg</v>
      </c>
      <c r="F1458" s="1274" t="s">
        <v>2503</v>
      </c>
      <c r="G1458" s="1287">
        <f>G1450</f>
        <v>0</v>
      </c>
      <c r="H1458" s="1353">
        <f t="shared" si="59"/>
        <v>0</v>
      </c>
      <c r="I1458" s="1277"/>
      <c r="J1458" s="1277"/>
      <c r="K1458" s="1312"/>
      <c r="L1458" s="1125">
        <v>320</v>
      </c>
    </row>
    <row r="1459" spans="1:12" s="1279" customFormat="1" ht="20.100000000000001" customHeight="1">
      <c r="A1459" s="1377">
        <f t="shared" si="58"/>
        <v>0</v>
      </c>
      <c r="B1459" s="1582"/>
      <c r="C1459" s="1280">
        <f>IF(G1459&gt;0,C1450+1,C1450)</f>
        <v>0</v>
      </c>
      <c r="D1459" s="1281"/>
      <c r="E1459" s="1341" t="s">
        <v>3819</v>
      </c>
      <c r="F1459" s="1280" t="s">
        <v>2449</v>
      </c>
      <c r="G1459" s="1283">
        <f>G1381</f>
        <v>0</v>
      </c>
      <c r="H1459" s="1353">
        <f t="shared" si="59"/>
        <v>0</v>
      </c>
      <c r="I1459" s="1277"/>
      <c r="J1459" s="1277"/>
      <c r="K1459" s="1312"/>
      <c r="L1459" s="1125">
        <v>320</v>
      </c>
    </row>
    <row r="1460" spans="1:12" s="1279" customFormat="1" ht="20.100000000000001" customHeight="1">
      <c r="A1460" s="1377">
        <f>IF(A1459&gt;0,1,0)</f>
        <v>0</v>
      </c>
      <c r="B1460" s="1624"/>
      <c r="C1460" s="1273"/>
      <c r="D1460" s="1284"/>
      <c r="E1460" s="1637" t="s">
        <v>2342</v>
      </c>
      <c r="F1460" s="1286"/>
      <c r="G1460" s="1287"/>
      <c r="H1460" s="1353">
        <f t="shared" si="59"/>
        <v>0</v>
      </c>
      <c r="I1460" s="1277"/>
      <c r="J1460" s="1277"/>
      <c r="K1460" s="1312"/>
      <c r="L1460" s="1125">
        <v>320</v>
      </c>
    </row>
    <row r="1461" spans="1:12" s="1279" customFormat="1" ht="20.100000000000001" customHeight="1">
      <c r="A1461" s="1377">
        <f t="shared" si="58"/>
        <v>0</v>
      </c>
      <c r="B1461" s="1582" t="s">
        <v>1063</v>
      </c>
      <c r="C1461" s="1273"/>
      <c r="D1461" s="1274">
        <f>VLOOKUP($B1461,DG!A:D,DG!$B$2,)</f>
        <v>0</v>
      </c>
      <c r="E1461" s="1275" t="str">
        <f>VLOOKUP($B1461,DG!A:D,DG!$C$2,)</f>
        <v>Cáp đồng trần M25mm2</v>
      </c>
      <c r="F1461" s="1288" t="str">
        <f>VLOOKUP($B1461,DG!A:D,DG!$D$2,)</f>
        <v>kg</v>
      </c>
      <c r="G1461" s="1276">
        <f>54*0.224*G1459</f>
        <v>0</v>
      </c>
      <c r="H1461" s="1353">
        <f t="shared" si="59"/>
        <v>0</v>
      </c>
      <c r="I1461" s="1277"/>
      <c r="J1461" s="1277"/>
      <c r="K1461" s="1312"/>
      <c r="L1461" s="1125">
        <v>320</v>
      </c>
    </row>
    <row r="1462" spans="1:12" s="1279" customFormat="1" ht="20.100000000000001" customHeight="1">
      <c r="A1462" s="1377">
        <f t="shared" si="58"/>
        <v>0</v>
      </c>
      <c r="B1462" s="1582" t="s">
        <v>1063</v>
      </c>
      <c r="C1462" s="1273"/>
      <c r="D1462" s="1274">
        <f>VLOOKUP($B1462,DG!A:D,DG!$B$2,)</f>
        <v>0</v>
      </c>
      <c r="E1462" s="1275" t="str">
        <f>VLOOKUP($B1462,DG!A:D,DG!$C$2,)</f>
        <v>Cáp đồng trần M25mm2</v>
      </c>
      <c r="F1462" s="1274" t="str">
        <f>VLOOKUP($B1462,DG!A:D,DG!$D$2,)</f>
        <v>kg</v>
      </c>
      <c r="G1462" s="1276">
        <f>17*0.224*G1459*0</f>
        <v>0</v>
      </c>
      <c r="H1462" s="1353">
        <f t="shared" si="59"/>
        <v>0</v>
      </c>
      <c r="I1462" s="1277"/>
      <c r="J1462" s="1277"/>
      <c r="K1462" s="1312"/>
      <c r="L1462" s="1125">
        <v>320</v>
      </c>
    </row>
    <row r="1463" spans="1:12" s="1279" customFormat="1" ht="20.100000000000001" customHeight="1">
      <c r="A1463" s="1377">
        <f t="shared" si="58"/>
        <v>0</v>
      </c>
      <c r="B1463" s="1378" t="s">
        <v>1560</v>
      </c>
      <c r="C1463" s="1273"/>
      <c r="D1463" s="1274">
        <f>VLOOKUP($B1463,DG!A:D,DG!$B$2,)</f>
        <v>0</v>
      </c>
      <c r="E1463" s="1275" t="str">
        <f>VLOOKUP($B1463,DG!A:D,DG!$C$2,)</f>
        <v>Cọc tiếp đất Ø 16- 2,4m + kẹp cọc</v>
      </c>
      <c r="F1463" s="1288" t="str">
        <f>VLOOKUP($B1463,DG!A:D,DG!$D$2,)</f>
        <v>bộ</v>
      </c>
      <c r="G1463" s="1287">
        <f>H2</f>
        <v>0</v>
      </c>
      <c r="H1463" s="1353">
        <f t="shared" si="59"/>
        <v>0</v>
      </c>
      <c r="I1463" s="1277"/>
      <c r="J1463" s="1277"/>
      <c r="K1463" s="1312"/>
      <c r="L1463" s="1125">
        <v>320</v>
      </c>
    </row>
    <row r="1464" spans="1:12" s="1279" customFormat="1" ht="20.100000000000001" customHeight="1">
      <c r="A1464" s="1377">
        <f t="shared" si="58"/>
        <v>0</v>
      </c>
      <c r="B1464" s="1378" t="s">
        <v>1542</v>
      </c>
      <c r="C1464" s="1273"/>
      <c r="D1464" s="1274" t="str">
        <f>VLOOKUP($B1464,DG!A:D,DG!$B$2,)</f>
        <v>07.2403</v>
      </c>
      <c r="E1464" s="1275" t="str">
        <f>VLOOKUP($B1464,DG!A:D,DG!$C$2,)&amp;": 02 trụ"</f>
        <v>Ống PVC D21x1,6mm : 02 trụ</v>
      </c>
      <c r="F1464" s="1274" t="str">
        <f>VLOOKUP($B1464,DG!A:D,DG!$D$2,)</f>
        <v>m</v>
      </c>
      <c r="G1464" s="1287">
        <v>8</v>
      </c>
      <c r="H1464" s="1353">
        <f t="shared" si="59"/>
        <v>0</v>
      </c>
      <c r="I1464" s="1277"/>
      <c r="J1464" s="1277"/>
      <c r="K1464" s="1278"/>
      <c r="L1464" s="1125">
        <v>320</v>
      </c>
    </row>
    <row r="1465" spans="1:12" s="1279" customFormat="1" ht="20.100000000000001" customHeight="1">
      <c r="A1465" s="1377">
        <f t="shared" si="58"/>
        <v>0</v>
      </c>
      <c r="B1465" s="1587" t="s">
        <v>1631</v>
      </c>
      <c r="C1465" s="1273"/>
      <c r="D1465" s="1274">
        <f>VLOOKUP($B1465,DG!A:D,DG!$B$2,)</f>
        <v>0</v>
      </c>
      <c r="E1465" s="1275" t="str">
        <f>VLOOKUP($B1465,DG!A:D,DG!$C$2,)&amp; " bắt dây trung tính "</f>
        <v xml:space="preserve">Kẹp ép WR cỡ dây 50mm2 bắt dây trung tính </v>
      </c>
      <c r="F1465" s="1288" t="str">
        <f>VLOOKUP($B1465,DG!A:D,DG!$D$2,)</f>
        <v>cái</v>
      </c>
      <c r="G1465" s="1287">
        <f>2*G1459</f>
        <v>0</v>
      </c>
      <c r="H1465" s="1353">
        <f t="shared" si="59"/>
        <v>0</v>
      </c>
      <c r="I1465" s="1277"/>
      <c r="J1465" s="1277"/>
      <c r="K1465" s="1312"/>
      <c r="L1465" s="1125">
        <v>320</v>
      </c>
    </row>
    <row r="1466" spans="1:12" s="1279" customFormat="1" ht="20.100000000000001" customHeight="1">
      <c r="A1466" s="1377">
        <f t="shared" si="58"/>
        <v>0</v>
      </c>
      <c r="B1466" s="1587" t="s">
        <v>1428</v>
      </c>
      <c r="C1466" s="1343"/>
      <c r="D1466" s="1274">
        <f>VLOOKUP($B1466,DG!A:D,DG!$B$2,)</f>
        <v>0</v>
      </c>
      <c r="E1466" s="1275" t="str">
        <f>VLOOKUP($B1466,DG!A:D,DG!$C$2,)&amp;": bắt lưới tiếp địa"</f>
        <v>Kẹp ép cỡ dây 25mm2: bắt lưới tiếp địa</v>
      </c>
      <c r="F1466" s="1288" t="str">
        <f>VLOOKUP($B1466,DG!A:D,DG!$D$2,)</f>
        <v>cái</v>
      </c>
      <c r="G1466" s="1287">
        <f>G1459*12</f>
        <v>0</v>
      </c>
      <c r="H1466" s="1353">
        <f t="shared" si="59"/>
        <v>0</v>
      </c>
      <c r="I1466" s="1277"/>
      <c r="J1466" s="1277"/>
      <c r="K1466" s="1312"/>
      <c r="L1466" s="1125">
        <v>320</v>
      </c>
    </row>
    <row r="1467" spans="1:12" s="1279" customFormat="1" ht="20.100000000000001" customHeight="1">
      <c r="A1467" s="1377">
        <f t="shared" si="58"/>
        <v>0</v>
      </c>
      <c r="B1467" s="1378" t="s">
        <v>139</v>
      </c>
      <c r="C1467" s="1273"/>
      <c r="D1467" s="1274">
        <f>VLOOKUP($B1467,DG!A:D,DG!$B$2,)</f>
        <v>0</v>
      </c>
      <c r="E1467" s="1275" t="str">
        <f>VLOOKUP($B1467,DG!A:D,DG!$C$2,)</f>
        <v>Boulon 12x40+ 2 long đền vuông D14-50x50x3/Zn</v>
      </c>
      <c r="F1467" s="1288" t="str">
        <f>VLOOKUP($B1467,DG!A:D,DG!$D$2,)</f>
        <v>bộ</v>
      </c>
      <c r="G1467" s="1287"/>
      <c r="H1467" s="1353">
        <f t="shared" si="59"/>
        <v>0</v>
      </c>
      <c r="I1467" s="1277"/>
      <c r="J1467" s="1277"/>
      <c r="K1467" s="1312"/>
      <c r="L1467" s="1125">
        <v>320</v>
      </c>
    </row>
    <row r="1468" spans="1:12" s="1279" customFormat="1" ht="20.100000000000001" customHeight="1">
      <c r="A1468" s="1377">
        <f t="shared" si="58"/>
        <v>0</v>
      </c>
      <c r="B1468" s="1378" t="s">
        <v>104</v>
      </c>
      <c r="C1468" s="1273"/>
      <c r="D1468" s="1274" t="str">
        <f>VLOOKUP($B1468,DG!A:D,DG!$B$2,)</f>
        <v>03.4001</v>
      </c>
      <c r="E1468" s="1275" t="str">
        <f>VLOOKUP($B1468,DG!A:D,DG!$C$2,)</f>
        <v>Đầu cosse ép Cu 25mm2</v>
      </c>
      <c r="F1468" s="1288" t="str">
        <f>VLOOKUP($B1468,DG!A:D,DG!$D$2,)</f>
        <v>cái</v>
      </c>
      <c r="G1468" s="1287"/>
      <c r="H1468" s="1353">
        <f t="shared" si="59"/>
        <v>0</v>
      </c>
      <c r="I1468" s="1277"/>
      <c r="J1468" s="1277"/>
      <c r="K1468" s="1312"/>
      <c r="L1468" s="1125">
        <v>320</v>
      </c>
    </row>
    <row r="1469" spans="1:12" s="1279" customFormat="1" ht="20.100000000000001" customHeight="1">
      <c r="A1469" s="1377">
        <f t="shared" si="58"/>
        <v>0</v>
      </c>
      <c r="B1469" s="1378" t="s">
        <v>528</v>
      </c>
      <c r="C1469" s="1273"/>
      <c r="D1469" s="1274" t="str">
        <f>VLOOKUP($B1469,DG!A:D,DG!$B$2,)</f>
        <v>06.3231</v>
      </c>
      <c r="E1469" s="1275" t="str">
        <f>VLOOKUP($B1469,DG!A:D,DG!$C$2,)&amp;": 02 bộ CD-250"</f>
        <v>Cổ dê kẹp ống PVC  21: 02 bộ CD-250</v>
      </c>
      <c r="F1469" s="1274" t="str">
        <f>VLOOKUP($B1469,DG!A:D,DG!$D$2,)</f>
        <v>bộ</v>
      </c>
      <c r="G1469" s="1345"/>
      <c r="H1469" s="1353">
        <f t="shared" si="59"/>
        <v>0</v>
      </c>
      <c r="I1469" s="1277"/>
      <c r="J1469" s="1277"/>
      <c r="K1469" s="1278"/>
      <c r="L1469" s="1125">
        <v>320</v>
      </c>
    </row>
    <row r="1470" spans="1:12" s="1279" customFormat="1" ht="20.100000000000001" customHeight="1">
      <c r="A1470" s="1377">
        <f t="shared" si="58"/>
        <v>0</v>
      </c>
      <c r="B1470" s="1378" t="s">
        <v>528</v>
      </c>
      <c r="C1470" s="1273"/>
      <c r="D1470" s="1274" t="str">
        <f>VLOOKUP($B1470,DG!A:D,DG!$B$2,)</f>
        <v>06.3231</v>
      </c>
      <c r="E1470" s="1275" t="str">
        <f>VLOOKUP($B1470,DG!A:D,DG!$C$2,)&amp;": 02 bộ CD-280"</f>
        <v>Cổ dê kẹp ống PVC  21: 02 bộ CD-280</v>
      </c>
      <c r="F1470" s="1274" t="str">
        <f>VLOOKUP($B1470,DG!A:D,DG!$D$2,)</f>
        <v>bộ</v>
      </c>
      <c r="G1470" s="1287">
        <v>1</v>
      </c>
      <c r="H1470" s="1353">
        <f t="shared" si="59"/>
        <v>0</v>
      </c>
      <c r="I1470" s="1277"/>
      <c r="J1470" s="1277"/>
      <c r="K1470" s="1278"/>
      <c r="L1470" s="1125">
        <v>320</v>
      </c>
    </row>
    <row r="1471" spans="1:12" s="1279" customFormat="1" ht="20.100000000000001" customHeight="1">
      <c r="A1471" s="1377">
        <f t="shared" si="58"/>
        <v>0</v>
      </c>
      <c r="B1471" s="1378" t="s">
        <v>528</v>
      </c>
      <c r="C1471" s="1273"/>
      <c r="D1471" s="1274" t="str">
        <f>VLOOKUP($B1471,DG!A:D,DG!$B$2,)</f>
        <v>06.3231</v>
      </c>
      <c r="E1471" s="1275" t="str">
        <f>VLOOKUP($B1471,DG!A:D,DG!$C$2,)&amp;": 02 bộ CD-320"</f>
        <v>Cổ dê kẹp ống PVC  21: 02 bộ CD-320</v>
      </c>
      <c r="F1471" s="1274" t="str">
        <f>VLOOKUP($B1471,DG!A:D,DG!$D$2,)</f>
        <v>bộ</v>
      </c>
      <c r="G1471" s="1287">
        <v>1</v>
      </c>
      <c r="H1471" s="1353">
        <f t="shared" si="59"/>
        <v>0</v>
      </c>
      <c r="I1471" s="1277"/>
      <c r="J1471" s="1277"/>
      <c r="K1471" s="1278"/>
      <c r="L1471" s="1125">
        <v>320</v>
      </c>
    </row>
    <row r="1472" spans="1:12" s="1279" customFormat="1" ht="20.100000000000001" customHeight="1">
      <c r="A1472" s="1377">
        <f t="shared" si="58"/>
        <v>0</v>
      </c>
      <c r="B1472" s="1378" t="s">
        <v>1161</v>
      </c>
      <c r="C1472" s="1273"/>
      <c r="D1472" s="1274" t="str">
        <f>VLOOKUP($B1472,DG!A:D,DG!$B$2,)</f>
        <v>06.2110</v>
      </c>
      <c r="E1472" s="1275" t="str">
        <f>VLOOKUP($B1472,DG!A:D,DG!$C$2,)&amp;": 06 bộ"</f>
        <v>Lắp cổ dề: 06 bộ</v>
      </c>
      <c r="F1472" s="1274" t="str">
        <f>VLOOKUP($B1472,DG!A:D,DG!$D$2,)</f>
        <v>bộ</v>
      </c>
      <c r="G1472" s="1287">
        <f>G1459*2</f>
        <v>0</v>
      </c>
      <c r="H1472" s="1353">
        <f t="shared" si="59"/>
        <v>0</v>
      </c>
      <c r="I1472" s="1277"/>
      <c r="J1472" s="1277"/>
      <c r="K1472" s="1278"/>
      <c r="L1472" s="1125">
        <v>320</v>
      </c>
    </row>
    <row r="1473" spans="1:15" s="1279" customFormat="1" ht="20.100000000000001" customHeight="1">
      <c r="A1473" s="1377">
        <f t="shared" si="58"/>
        <v>0</v>
      </c>
      <c r="B1473" s="1378" t="s">
        <v>139</v>
      </c>
      <c r="C1473" s="1273"/>
      <c r="D1473" s="1274">
        <f>VLOOKUP($B1473,DG!A:D,DG!$B$2,)</f>
        <v>0</v>
      </c>
      <c r="E1473" s="1275" t="str">
        <f>VLOOKUP($B1473,DG!A:D,DG!$C$2,)</f>
        <v>Boulon 12x40+ 2 long đền vuông D14-50x50x3/Zn</v>
      </c>
      <c r="F1473" s="1274" t="str">
        <f>VLOOKUP($B1473,DG!A:D,DG!$D$2,)</f>
        <v>bộ</v>
      </c>
      <c r="G1473" s="1276"/>
      <c r="H1473" s="1353">
        <f t="shared" si="59"/>
        <v>0</v>
      </c>
      <c r="I1473" s="1277"/>
      <c r="J1473" s="1277"/>
      <c r="K1473" s="1278"/>
      <c r="L1473" s="1125">
        <v>320</v>
      </c>
    </row>
    <row r="1474" spans="1:15" s="1279" customFormat="1" ht="20.100000000000001" customHeight="1">
      <c r="A1474" s="1377">
        <f t="shared" si="58"/>
        <v>0</v>
      </c>
      <c r="B1474" s="1378" t="s">
        <v>2038</v>
      </c>
      <c r="C1474" s="1273"/>
      <c r="D1474" s="1274">
        <f>VLOOKUP($B1474,DG!A:D,DG!$B$2,)</f>
        <v>0</v>
      </c>
      <c r="E1474" s="1275" t="str">
        <f>VLOOKUP($B1474,DG!A:D,DG!$C$2,)</f>
        <v>Boulon 12x60+ 2 long đền vuông D14-50x50x3/Zn</v>
      </c>
      <c r="F1474" s="1274" t="str">
        <f>VLOOKUP($B1474,DG!A:D,DG!$D$2,)</f>
        <v>bộ</v>
      </c>
      <c r="G1474" s="1276"/>
      <c r="H1474" s="1353">
        <f t="shared" si="59"/>
        <v>0</v>
      </c>
      <c r="I1474" s="1277"/>
      <c r="J1474" s="1277"/>
      <c r="K1474" s="1278"/>
      <c r="L1474" s="1125">
        <v>320</v>
      </c>
    </row>
    <row r="1475" spans="1:15" s="1279" customFormat="1" ht="20.100000000000001" customHeight="1">
      <c r="A1475" s="1377">
        <f t="shared" si="58"/>
        <v>0</v>
      </c>
      <c r="B1475" s="1378" t="s">
        <v>1637</v>
      </c>
      <c r="C1475" s="1273"/>
      <c r="D1475" s="1274">
        <f>VLOOKUP($B1475,DG!A:D,DG!$B$2,)</f>
        <v>0</v>
      </c>
      <c r="E1475" s="1275" t="str">
        <f>VLOOKUP($B1475,DG!A:D,DG!$C$2,)</f>
        <v>Giếng tiếp địa khoan đất</v>
      </c>
      <c r="F1475" s="1274" t="str">
        <f>VLOOKUP($B1475,DG!A:D,DG!$D$2,)</f>
        <v>Cái</v>
      </c>
      <c r="G1475" s="1287">
        <f>L3*G1459</f>
        <v>0</v>
      </c>
      <c r="H1475" s="1353">
        <f t="shared" si="59"/>
        <v>0</v>
      </c>
      <c r="I1475" s="1277"/>
      <c r="J1475" s="1277"/>
      <c r="K1475" s="1312"/>
      <c r="L1475" s="1125">
        <v>320</v>
      </c>
    </row>
    <row r="1476" spans="1:15" s="1279" customFormat="1" ht="20.100000000000001" customHeight="1">
      <c r="A1476" s="1377">
        <f t="shared" si="58"/>
        <v>0</v>
      </c>
      <c r="B1476" s="1378" t="str">
        <f>"DTD"&amp;chitiet!F5</f>
        <v>DTD3</v>
      </c>
      <c r="C1476" s="1286"/>
      <c r="D1476" s="1274" t="str">
        <f>VLOOKUP($B1476,DG!A:D,DG!$B$2,)</f>
        <v>03.3123</v>
      </c>
      <c r="E1476" s="1275" t="str">
        <f>VLOOKUP($B1476,DG!A:D,DG!$C$2,)</f>
        <v>Đào rãnh tiếp địa đất cấp 3</v>
      </c>
      <c r="F1476" s="1288" t="str">
        <f>VLOOKUP($B1476,DG!A:D,DG!$D$2,)</f>
        <v>m3</v>
      </c>
      <c r="G1476" s="1346">
        <f>0.3*0.2*36*G1459</f>
        <v>0</v>
      </c>
      <c r="H1476" s="1353">
        <f t="shared" si="59"/>
        <v>0</v>
      </c>
      <c r="I1476" s="1277"/>
      <c r="J1476" s="1277"/>
      <c r="K1476" s="1312"/>
      <c r="L1476" s="1125">
        <v>320</v>
      </c>
    </row>
    <row r="1477" spans="1:15" s="1279" customFormat="1" ht="20.100000000000001" customHeight="1">
      <c r="A1477" s="1377">
        <f t="shared" si="58"/>
        <v>0</v>
      </c>
      <c r="B1477" s="1378" t="str">
        <f>"DATD"&amp;chitiet!F5</f>
        <v>DATD3</v>
      </c>
      <c r="C1477" s="1286"/>
      <c r="D1477" s="1274" t="str">
        <f>VLOOKUP($B1477,DG!A:D,DG!$B$2,)</f>
        <v>03.4123</v>
      </c>
      <c r="E1477" s="1275" t="str">
        <f>VLOOKUP($B1477,DG!A:D,DG!$C$2,)</f>
        <v>Đắp đất rãnh tiếp độ chặt k=0,95</v>
      </c>
      <c r="F1477" s="1288" t="str">
        <f>VLOOKUP($B1477,DG!A:D,DG!$D$2,)</f>
        <v>m3</v>
      </c>
      <c r="G1477" s="1346">
        <f>G1476</f>
        <v>0</v>
      </c>
      <c r="H1477" s="1353">
        <f t="shared" si="59"/>
        <v>0</v>
      </c>
      <c r="I1477" s="1277"/>
      <c r="J1477" s="1277"/>
      <c r="K1477" s="1312"/>
      <c r="L1477" s="1125">
        <v>320</v>
      </c>
    </row>
    <row r="1478" spans="1:15" s="1279" customFormat="1" ht="20.100000000000001" customHeight="1">
      <c r="A1478" s="1377">
        <f t="shared" si="58"/>
        <v>0</v>
      </c>
      <c r="B1478" s="1378" t="s">
        <v>919</v>
      </c>
      <c r="C1478" s="1286"/>
      <c r="D1478" s="1274" t="str">
        <f>VLOOKUP($B1478,DG!A:D,DG!$B$2,)</f>
        <v>04.7001</v>
      </c>
      <c r="E1478" s="1275" t="str">
        <f>VLOOKUP($B1478,DG!A:D,DG!$C$2,)</f>
        <v>Đóng cọc tiếp địa trong TBA</v>
      </c>
      <c r="F1478" s="1288" t="str">
        <f>VLOOKUP($B1478,DG!A:D,DG!$D$2,)</f>
        <v>cọc</v>
      </c>
      <c r="G1478" s="1312">
        <f>G1463</f>
        <v>0</v>
      </c>
      <c r="H1478" s="1353">
        <f t="shared" si="59"/>
        <v>0</v>
      </c>
      <c r="I1478" s="1277"/>
      <c r="J1478" s="1277"/>
      <c r="K1478" s="1312"/>
      <c r="L1478" s="1125">
        <v>320</v>
      </c>
    </row>
    <row r="1479" spans="1:15" s="1279" customFormat="1" ht="20.100000000000001" customHeight="1">
      <c r="A1479" s="1377">
        <f t="shared" si="58"/>
        <v>0</v>
      </c>
      <c r="B1479" s="1378" t="s">
        <v>1470</v>
      </c>
      <c r="C1479" s="1273"/>
      <c r="D1479" s="1274" t="str">
        <f>VLOOKUP($B1479,DG!A:D,DG!$B$2,)</f>
        <v>04.7002</v>
      </c>
      <c r="E1479" s="1275" t="str">
        <f>VLOOKUP($B1479,DG!A:D,DG!$C$2,)</f>
        <v>Kéo dây tiếp địa trong TBA</v>
      </c>
      <c r="F1479" s="1288" t="str">
        <f>VLOOKUP($B1479,DG!A:D,DG!$D$2,)</f>
        <v>mét</v>
      </c>
      <c r="G1479" s="1287">
        <f>G1459*H3</f>
        <v>0</v>
      </c>
      <c r="H1479" s="1353">
        <f t="shared" si="59"/>
        <v>0</v>
      </c>
      <c r="I1479" s="1277"/>
      <c r="J1479" s="1277"/>
      <c r="K1479" s="1312"/>
      <c r="L1479" s="1125">
        <v>320</v>
      </c>
    </row>
    <row r="1480" spans="1:15" s="1279" customFormat="1" ht="20.100000000000001" customHeight="1">
      <c r="A1480" s="1377">
        <f t="shared" si="58"/>
        <v>0</v>
      </c>
      <c r="B1480" s="1582"/>
      <c r="C1480" s="1280">
        <f>IF(G1480&gt;0,C1459+1,C1459)</f>
        <v>0</v>
      </c>
      <c r="D1480" s="1281"/>
      <c r="E1480" s="1282" t="s">
        <v>3820</v>
      </c>
      <c r="F1480" s="1280" t="s">
        <v>2449</v>
      </c>
      <c r="G1480" s="1283"/>
      <c r="H1480" s="1353">
        <f t="shared" si="59"/>
        <v>0</v>
      </c>
      <c r="I1480" s="1277"/>
      <c r="J1480" s="1277"/>
      <c r="K1480" s="1278"/>
      <c r="L1480" s="1125">
        <v>320</v>
      </c>
    </row>
    <row r="1481" spans="1:15" s="1279" customFormat="1" ht="20.100000000000001" customHeight="1">
      <c r="A1481" s="1377">
        <f>IF(A1480&gt;0,1,0)</f>
        <v>0</v>
      </c>
      <c r="B1481" s="1582"/>
      <c r="C1481" s="1273"/>
      <c r="D1481" s="1284"/>
      <c r="E1481" s="1637" t="s">
        <v>2342</v>
      </c>
      <c r="F1481" s="1286"/>
      <c r="G1481" s="1287"/>
      <c r="H1481" s="1353">
        <f t="shared" si="59"/>
        <v>0</v>
      </c>
      <c r="I1481" s="1277"/>
      <c r="J1481" s="1277"/>
      <c r="K1481" s="1278"/>
      <c r="L1481" s="1125">
        <v>320</v>
      </c>
    </row>
    <row r="1482" spans="1:15" s="1279" customFormat="1" ht="20.100000000000001" customHeight="1">
      <c r="A1482" s="1377">
        <f t="shared" si="58"/>
        <v>0</v>
      </c>
      <c r="B1482" s="1582" t="s">
        <v>658</v>
      </c>
      <c r="C1482" s="1286"/>
      <c r="D1482" s="1288">
        <f>VLOOKUP($B1482,DG!A:D,DG!$B$2,)</f>
        <v>0</v>
      </c>
      <c r="E1482" s="1289" t="str">
        <f>VLOOKUP($B1482,DG!A:D,DG!$C$2,)</f>
        <v xml:space="preserve">Ximăng </v>
      </c>
      <c r="F1482" s="1288" t="str">
        <f>VLOOKUP($B1482,DG!A:D,DG!$D$2,)</f>
        <v>kg</v>
      </c>
      <c r="G1482" s="1276">
        <f>G1480*L1485</f>
        <v>0</v>
      </c>
      <c r="H1482" s="1353">
        <f t="shared" si="59"/>
        <v>0</v>
      </c>
      <c r="I1482" s="1277"/>
      <c r="J1482" s="1277"/>
      <c r="K1482" s="1278"/>
      <c r="L1482" s="1125">
        <v>320</v>
      </c>
    </row>
    <row r="1483" spans="1:15" s="1279" customFormat="1" ht="20.100000000000001" customHeight="1">
      <c r="A1483" s="1377">
        <f t="shared" si="58"/>
        <v>0</v>
      </c>
      <c r="B1483" s="1582" t="s">
        <v>4654</v>
      </c>
      <c r="C1483" s="1273"/>
      <c r="D1483" s="1288">
        <f>VLOOKUP($B1483,DG!A:D,DG!$B$2,)</f>
        <v>0</v>
      </c>
      <c r="E1483" s="1289" t="str">
        <f>VLOOKUP($B1483,DG!A:D,DG!$C$2,)</f>
        <v>Cát vàng</v>
      </c>
      <c r="F1483" s="1288" t="str">
        <f>VLOOKUP($B1483,DG!A:D,DG!$D$2,)</f>
        <v>m3</v>
      </c>
      <c r="G1483" s="1276">
        <f>G1480*M1485</f>
        <v>0</v>
      </c>
      <c r="H1483" s="1353">
        <f t="shared" si="59"/>
        <v>0</v>
      </c>
      <c r="I1483" s="1277"/>
      <c r="J1483" s="1277"/>
      <c r="K1483" s="1278"/>
      <c r="L1483" s="1125">
        <v>320</v>
      </c>
    </row>
    <row r="1484" spans="1:15" s="1279" customFormat="1" ht="20.100000000000001" customHeight="1">
      <c r="A1484" s="1377">
        <f t="shared" si="58"/>
        <v>0</v>
      </c>
      <c r="B1484" s="1582" t="s">
        <v>217</v>
      </c>
      <c r="C1484" s="1273"/>
      <c r="D1484" s="1288">
        <f>VLOOKUP($B1484,DG!A:D,DG!$B$2,)</f>
        <v>0</v>
      </c>
      <c r="E1484" s="1289" t="str">
        <f>VLOOKUP($B1484,DG!A:D,DG!$C$2,)</f>
        <v>Đá 1x2</v>
      </c>
      <c r="F1484" s="1288" t="str">
        <f>VLOOKUP($B1484,DG!A:D,DG!$D$2,)</f>
        <v>m3</v>
      </c>
      <c r="G1484" s="1276">
        <f>G1480*N1485</f>
        <v>0</v>
      </c>
      <c r="H1484" s="1353">
        <f t="shared" si="59"/>
        <v>0</v>
      </c>
      <c r="I1484" s="1277"/>
      <c r="J1484" s="1277"/>
      <c r="K1484" s="1278"/>
      <c r="L1484" s="1125">
        <v>320</v>
      </c>
    </row>
    <row r="1485" spans="1:15" s="1279" customFormat="1" ht="20.100000000000001" customHeight="1">
      <c r="A1485" s="1377">
        <f t="shared" si="58"/>
        <v>0</v>
      </c>
      <c r="B1485" s="1582" t="s">
        <v>659</v>
      </c>
      <c r="C1485" s="1286"/>
      <c r="D1485" s="1288" t="str">
        <f>VLOOKUP($B1485,DG!A:D,DG!$B$2,)</f>
        <v>04.1203c</v>
      </c>
      <c r="E1485" s="1289" t="str">
        <f>VLOOKUP($B1485,DG!A:D,DG!$C$2,)</f>
        <v>Đổ bê tông móng trụ &lt;=250cm-M200 đá 1x2</v>
      </c>
      <c r="F1485" s="1288" t="str">
        <f>VLOOKUP($B1485,DG!A:D,DG!$D$2,)</f>
        <v>m3</v>
      </c>
      <c r="G1485" s="1276">
        <f>G1480*(0.4*3*1-2*3.14*0.15^2*0.4)*1.025</f>
        <v>0</v>
      </c>
      <c r="H1485" s="1353">
        <f t="shared" si="59"/>
        <v>0</v>
      </c>
      <c r="I1485" s="1277"/>
      <c r="J1485" s="1277"/>
      <c r="K1485" s="1278"/>
      <c r="L1485" s="1125">
        <v>320</v>
      </c>
      <c r="M1485" s="1291">
        <f>1.025*0.45</f>
        <v>0.46124999999999999</v>
      </c>
      <c r="N1485" s="1291">
        <f>1.025*0.866</f>
        <v>0.88764999999999994</v>
      </c>
      <c r="O1485" s="1466"/>
    </row>
    <row r="1486" spans="1:15" s="1279" customFormat="1" ht="20.100000000000001" customHeight="1">
      <c r="A1486" s="1377">
        <f t="shared" si="58"/>
        <v>0</v>
      </c>
      <c r="B1486" s="1582"/>
      <c r="C1486" s="1280">
        <f>IF(G1486&gt;0,C1480+1,C1480)</f>
        <v>0</v>
      </c>
      <c r="D1486" s="1281"/>
      <c r="E1486" s="1282" t="s">
        <v>3821</v>
      </c>
      <c r="F1486" s="1280" t="s">
        <v>2449</v>
      </c>
      <c r="G1486" s="1283"/>
      <c r="H1486" s="1353">
        <f t="shared" si="59"/>
        <v>0</v>
      </c>
      <c r="I1486" s="1277"/>
      <c r="J1486" s="1277"/>
      <c r="K1486" s="1278"/>
      <c r="L1486" s="1125">
        <v>320</v>
      </c>
    </row>
    <row r="1487" spans="1:15" s="1279" customFormat="1" ht="20.100000000000001" customHeight="1">
      <c r="A1487" s="1377">
        <f>IF(A1486&gt;0,1,0)</f>
        <v>0</v>
      </c>
      <c r="B1487" s="1582"/>
      <c r="C1487" s="1273"/>
      <c r="D1487" s="1284"/>
      <c r="E1487" s="1637" t="s">
        <v>2342</v>
      </c>
      <c r="F1487" s="1286"/>
      <c r="G1487" s="1287"/>
      <c r="H1487" s="1353">
        <f t="shared" si="59"/>
        <v>0</v>
      </c>
      <c r="I1487" s="1277"/>
      <c r="J1487" s="1277"/>
      <c r="K1487" s="1278"/>
      <c r="L1487" s="1125">
        <v>320</v>
      </c>
    </row>
    <row r="1488" spans="1:15" s="1279" customFormat="1" ht="20.100000000000001" customHeight="1">
      <c r="A1488" s="1377">
        <f t="shared" si="58"/>
        <v>0</v>
      </c>
      <c r="B1488" s="1582" t="s">
        <v>658</v>
      </c>
      <c r="C1488" s="1286"/>
      <c r="D1488" s="1288">
        <f>VLOOKUP($B1488,DG!A:D,DG!$B$2,)</f>
        <v>0</v>
      </c>
      <c r="E1488" s="1289" t="str">
        <f>VLOOKUP($B1488,DG!A:D,DG!$C$2,)</f>
        <v xml:space="preserve">Ximăng </v>
      </c>
      <c r="F1488" s="1288" t="str">
        <f>VLOOKUP($B1488,DG!A:D,DG!$D$2,)</f>
        <v>kg</v>
      </c>
      <c r="G1488" s="1276">
        <f>G1491*L1491</f>
        <v>0</v>
      </c>
      <c r="H1488" s="1353">
        <f t="shared" si="59"/>
        <v>0</v>
      </c>
      <c r="I1488" s="1277"/>
      <c r="J1488" s="1277"/>
      <c r="K1488" s="1278"/>
      <c r="L1488" s="1125">
        <v>320</v>
      </c>
    </row>
    <row r="1489" spans="1:15" s="1279" customFormat="1" ht="20.100000000000001" customHeight="1">
      <c r="A1489" s="1377">
        <f t="shared" si="58"/>
        <v>0</v>
      </c>
      <c r="B1489" s="1582" t="s">
        <v>4654</v>
      </c>
      <c r="C1489" s="1273"/>
      <c r="D1489" s="1288">
        <f>VLOOKUP($B1489,DG!A:D,DG!$B$2,)</f>
        <v>0</v>
      </c>
      <c r="E1489" s="1289" t="str">
        <f>VLOOKUP($B1489,DG!A:D,DG!$C$2,)</f>
        <v>Cát vàng</v>
      </c>
      <c r="F1489" s="1288" t="str">
        <f>VLOOKUP($B1489,DG!A:D,DG!$D$2,)</f>
        <v>m3</v>
      </c>
      <c r="G1489" s="1290">
        <f>G1491*M1491</f>
        <v>0</v>
      </c>
      <c r="H1489" s="1353">
        <f t="shared" si="59"/>
        <v>0</v>
      </c>
      <c r="I1489" s="1277"/>
      <c r="J1489" s="1277"/>
      <c r="K1489" s="1278"/>
      <c r="L1489" s="1125">
        <v>320</v>
      </c>
    </row>
    <row r="1490" spans="1:15" s="1279" customFormat="1" ht="20.100000000000001" customHeight="1">
      <c r="A1490" s="1377">
        <f t="shared" si="58"/>
        <v>0</v>
      </c>
      <c r="B1490" s="1582" t="s">
        <v>217</v>
      </c>
      <c r="C1490" s="1273"/>
      <c r="D1490" s="1288">
        <f>VLOOKUP($B1490,DG!A:D,DG!$B$2,)</f>
        <v>0</v>
      </c>
      <c r="E1490" s="1289" t="str">
        <f>VLOOKUP($B1490,DG!A:D,DG!$C$2,)</f>
        <v>Đá 1x2</v>
      </c>
      <c r="F1490" s="1288" t="str">
        <f>VLOOKUP($B1490,DG!A:D,DG!$D$2,)</f>
        <v>m3</v>
      </c>
      <c r="G1490" s="1290">
        <f>G1491*N1491</f>
        <v>0</v>
      </c>
      <c r="H1490" s="1353">
        <f t="shared" si="59"/>
        <v>0</v>
      </c>
      <c r="I1490" s="1277"/>
      <c r="J1490" s="1277"/>
      <c r="K1490" s="1278"/>
      <c r="L1490" s="1125">
        <v>320</v>
      </c>
    </row>
    <row r="1491" spans="1:15" s="1279" customFormat="1" ht="20.100000000000001" customHeight="1">
      <c r="A1491" s="1377">
        <f t="shared" si="58"/>
        <v>0</v>
      </c>
      <c r="B1491" s="1582" t="s">
        <v>659</v>
      </c>
      <c r="C1491" s="1286"/>
      <c r="D1491" s="1288" t="str">
        <f>VLOOKUP($B1491,DG!A:D,DG!$B$2,)</f>
        <v>04.1203c</v>
      </c>
      <c r="E1491" s="1289" t="str">
        <f>VLOOKUP($B1491,DG!A:D,DG!$C$2,)</f>
        <v>Đổ bê tông móng trụ &lt;=250cm-M200 đá 1x2</v>
      </c>
      <c r="F1491" s="1288" t="str">
        <f>VLOOKUP($B1491,DG!A:D,DG!$D$2,)</f>
        <v>m3</v>
      </c>
      <c r="G1491" s="1276">
        <f>G1486*0.2*0.2*(0.2+0.2+0.8+0.8+2*4)</f>
        <v>0</v>
      </c>
      <c r="H1491" s="1353">
        <f t="shared" si="59"/>
        <v>0</v>
      </c>
      <c r="I1491" s="1277"/>
      <c r="J1491" s="1277"/>
      <c r="K1491" s="1278"/>
      <c r="L1491" s="1125">
        <v>320</v>
      </c>
      <c r="M1491" s="1291">
        <f>1.025*0.45</f>
        <v>0.46124999999999999</v>
      </c>
      <c r="N1491" s="1291">
        <f>1.025*0.866</f>
        <v>0.88764999999999994</v>
      </c>
      <c r="O1491" s="1466"/>
    </row>
    <row r="1492" spans="1:15" s="1279" customFormat="1" ht="20.100000000000001" customHeight="1">
      <c r="A1492" s="1377">
        <f t="shared" si="58"/>
        <v>0</v>
      </c>
      <c r="B1492" s="1582"/>
      <c r="C1492" s="1280">
        <f>IF(G1492&gt;0,C1486+1,C1486)</f>
        <v>0</v>
      </c>
      <c r="D1492" s="1281"/>
      <c r="E1492" s="1282" t="s">
        <v>3838</v>
      </c>
      <c r="F1492" s="1280" t="s">
        <v>2449</v>
      </c>
      <c r="G1492" s="1283">
        <f>G1381</f>
        <v>0</v>
      </c>
      <c r="H1492" s="1353">
        <f t="shared" si="59"/>
        <v>0</v>
      </c>
      <c r="I1492" s="1277"/>
      <c r="J1492" s="1277"/>
      <c r="K1492" s="1312"/>
      <c r="L1492" s="1125">
        <v>320</v>
      </c>
    </row>
    <row r="1493" spans="1:15" s="1279" customFormat="1" ht="20.100000000000001" customHeight="1">
      <c r="A1493" s="1377">
        <f>IF(A1492&gt;0,1,0)</f>
        <v>0</v>
      </c>
      <c r="B1493" s="1582"/>
      <c r="C1493" s="1273"/>
      <c r="D1493" s="1284"/>
      <c r="E1493" s="1637" t="s">
        <v>2342</v>
      </c>
      <c r="F1493" s="1286"/>
      <c r="G1493" s="1287"/>
      <c r="H1493" s="1353">
        <f t="shared" si="59"/>
        <v>0</v>
      </c>
      <c r="I1493" s="1277"/>
      <c r="J1493" s="1277"/>
      <c r="K1493" s="1312"/>
      <c r="L1493" s="1125">
        <v>320</v>
      </c>
    </row>
    <row r="1494" spans="1:15" s="1279" customFormat="1" ht="20.100000000000001" customHeight="1">
      <c r="A1494" s="1377">
        <f t="shared" ref="A1494:A1557" si="60">IF(H1494&gt;0,1,0)</f>
        <v>0</v>
      </c>
      <c r="B1494" s="1588" t="s">
        <v>1056</v>
      </c>
      <c r="C1494" s="1286"/>
      <c r="D1494" s="1288" t="str">
        <f>VLOOKUP($B1494,DG!A:D,DG!$B$2,)</f>
        <v>05.1102</v>
      </c>
      <c r="E1494" s="1289" t="str">
        <f>VLOOKUP($B1494,DG!A:D,DG!$C$2,)&amp;" + thanh baét MCCB + bulong"</f>
        <v>Vỏ tủ + khóa tủ + thanh baét MCCB + bulong</v>
      </c>
      <c r="F1494" s="1288" t="str">
        <f>VLOOKUP($B1494,DG!A:D,DG!$D$2,)</f>
        <v>cái</v>
      </c>
      <c r="G1494" s="1287">
        <f>G1492</f>
        <v>0</v>
      </c>
      <c r="H1494" s="1353">
        <f t="shared" si="59"/>
        <v>0</v>
      </c>
      <c r="I1494" s="1277"/>
      <c r="J1494" s="1277"/>
      <c r="K1494" s="1312"/>
      <c r="L1494" s="1125">
        <v>320</v>
      </c>
    </row>
    <row r="1495" spans="1:15" s="1279" customFormat="1" ht="20.100000000000001" customHeight="1">
      <c r="A1495" s="1377">
        <f t="shared" si="60"/>
        <v>0</v>
      </c>
      <c r="B1495" s="1625" t="s">
        <v>1261</v>
      </c>
      <c r="C1495" s="1286"/>
      <c r="D1495" s="1288" t="str">
        <f>VLOOKUP($B1495,DG!A:D,DG!$B$2,)</f>
        <v>05.1102</v>
      </c>
      <c r="E1495" s="1289" t="str">
        <f>VLOOKUP($B1495,DG!A:D,DG!$C$2,)</f>
        <v>Khung đỡ tủ MCCB và tủ bù</v>
      </c>
      <c r="F1495" s="1288" t="str">
        <f>VLOOKUP($B1495,DG!A:D,DG!$D$2,)</f>
        <v>trọn bộ</v>
      </c>
      <c r="G1495" s="1287"/>
      <c r="H1495" s="1353">
        <f t="shared" si="59"/>
        <v>0</v>
      </c>
      <c r="I1495" s="1277"/>
      <c r="J1495" s="1277"/>
      <c r="K1495" s="1312"/>
      <c r="L1495" s="1125">
        <v>320</v>
      </c>
    </row>
    <row r="1496" spans="1:15" s="1279" customFormat="1" ht="20.100000000000001" customHeight="1">
      <c r="A1496" s="1377">
        <f t="shared" si="60"/>
        <v>0</v>
      </c>
      <c r="B1496" s="1582" t="s">
        <v>1587</v>
      </c>
      <c r="C1496" s="1273"/>
      <c r="D1496" s="1288">
        <f>VLOOKUP($B1496,DG!A:D,DG!$B$2,)</f>
        <v>0</v>
      </c>
      <c r="E1496" s="1289" t="str">
        <f>VLOOKUP($B1496,DG!A:D,DG!$C$2,)</f>
        <v>Giá nới + Thanh cái tủ CB</v>
      </c>
      <c r="F1496" s="1288" t="str">
        <f>VLOOKUP($B1496,DG!A:D,DG!$D$2,)</f>
        <v>bộ</v>
      </c>
      <c r="G1496" s="1293">
        <f>G1492*0</f>
        <v>0</v>
      </c>
      <c r="H1496" s="1353">
        <f t="shared" si="59"/>
        <v>0</v>
      </c>
      <c r="I1496" s="1277"/>
      <c r="J1496" s="1277"/>
      <c r="K1496" s="1312"/>
      <c r="L1496" s="1125">
        <v>320</v>
      </c>
    </row>
    <row r="1497" spans="1:15" s="1279" customFormat="1" ht="20.100000000000001" customHeight="1">
      <c r="A1497" s="1377">
        <f t="shared" si="60"/>
        <v>0</v>
      </c>
      <c r="B1497" s="1582" t="s">
        <v>897</v>
      </c>
      <c r="C1497" s="1273"/>
      <c r="D1497" s="1288">
        <f>VLOOKUP($B1497,DG!A:D,DG!$B$2,)</f>
        <v>0</v>
      </c>
      <c r="E1497" s="1289" t="str">
        <f>VLOOKUP($B1497,DG!A:D,DG!$C$2,)</f>
        <v xml:space="preserve">Bakelit 550x450 dầy 10mm </v>
      </c>
      <c r="F1497" s="1288" t="str">
        <f>VLOOKUP($B1497,DG!A:D,DG!$D$2,)</f>
        <v>cái</v>
      </c>
      <c r="G1497" s="1287">
        <v>1</v>
      </c>
      <c r="H1497" s="1353">
        <f t="shared" si="59"/>
        <v>0</v>
      </c>
      <c r="I1497" s="1277"/>
      <c r="J1497" s="1277"/>
      <c r="K1497" s="1312"/>
      <c r="L1497" s="1125">
        <v>320</v>
      </c>
    </row>
    <row r="1498" spans="1:15" s="1279" customFormat="1" ht="20.100000000000001" customHeight="1">
      <c r="A1498" s="1377">
        <f t="shared" si="60"/>
        <v>0</v>
      </c>
      <c r="B1498" s="1582" t="s">
        <v>290</v>
      </c>
      <c r="C1498" s="1286"/>
      <c r="D1498" s="1288" t="str">
        <f>VLOOKUP($B1498,DG!A:D,DG!$B$2,)</f>
        <v>06.3191</v>
      </c>
      <c r="E1498" s="1289" t="str">
        <f>VLOOKUP($B1498,DG!A:D,DG!$C$2,)</f>
        <v>Bảng tên trạm, bảng báo nguy hiểm + đinh vít</v>
      </c>
      <c r="F1498" s="1288" t="str">
        <f>VLOOKUP($B1498,DG!A:D,DG!$D$2,)</f>
        <v>bộ</v>
      </c>
      <c r="G1498" s="1287">
        <v>1</v>
      </c>
      <c r="H1498" s="1353">
        <f t="shared" si="59"/>
        <v>0</v>
      </c>
      <c r="I1498" s="1277"/>
      <c r="J1498" s="1277"/>
      <c r="K1498" s="1312"/>
      <c r="L1498" s="1125">
        <v>320</v>
      </c>
    </row>
    <row r="1499" spans="1:15" s="1279" customFormat="1" ht="20.100000000000001" customHeight="1">
      <c r="A1499" s="1377">
        <f t="shared" si="60"/>
        <v>0</v>
      </c>
      <c r="B1499" s="1582"/>
      <c r="C1499" s="1280">
        <f>IF(G1499&gt;0,C1492+1,C1492)</f>
        <v>0</v>
      </c>
      <c r="D1499" s="1281"/>
      <c r="E1499" s="1282" t="s">
        <v>3823</v>
      </c>
      <c r="F1499" s="1280" t="s">
        <v>2596</v>
      </c>
      <c r="G1499" s="1347">
        <f>G1381*0</f>
        <v>0</v>
      </c>
      <c r="H1499" s="1353">
        <f t="shared" si="59"/>
        <v>0</v>
      </c>
      <c r="I1499" s="1277"/>
      <c r="J1499" s="1277"/>
      <c r="K1499" s="1278"/>
      <c r="L1499" s="1125">
        <v>320</v>
      </c>
    </row>
    <row r="1500" spans="1:15" s="1279" customFormat="1" ht="20.100000000000001" customHeight="1">
      <c r="A1500" s="1377">
        <f>IF(A1499&gt;0,1,0)</f>
        <v>0</v>
      </c>
      <c r="B1500" s="1582"/>
      <c r="C1500" s="1273"/>
      <c r="D1500" s="1284"/>
      <c r="E1500" s="1637" t="s">
        <v>2342</v>
      </c>
      <c r="F1500" s="1286"/>
      <c r="G1500" s="1348"/>
      <c r="H1500" s="1353">
        <f t="shared" si="59"/>
        <v>0</v>
      </c>
      <c r="I1500" s="1277"/>
      <c r="J1500" s="1277"/>
      <c r="K1500" s="1278"/>
      <c r="L1500" s="1125">
        <v>320</v>
      </c>
    </row>
    <row r="1501" spans="1:15" s="1279" customFormat="1" ht="20.100000000000001" customHeight="1">
      <c r="A1501" s="1377">
        <f t="shared" si="60"/>
        <v>0</v>
      </c>
      <c r="B1501" s="1584" t="s">
        <v>760</v>
      </c>
      <c r="C1501" s="1286"/>
      <c r="D1501" s="1288" t="e">
        <f>VLOOKUP($B1501,DG!A:D,DG!$B$2,)</f>
        <v>#N/A</v>
      </c>
      <c r="E1501" s="1310" t="e">
        <f>VLOOKUP($B1501,DG!A:D,DG!$C$2,)&amp;": 0,315m3/m"</f>
        <v>#N/A</v>
      </c>
      <c r="F1501" s="1288" t="e">
        <f>VLOOKUP($B1501,DG!A:D,DG!$D$2,)</f>
        <v>#N/A</v>
      </c>
      <c r="G1501" s="1276">
        <f>G1499*0.315</f>
        <v>0</v>
      </c>
      <c r="H1501" s="1353">
        <f t="shared" si="59"/>
        <v>0</v>
      </c>
      <c r="I1501" s="1277"/>
      <c r="J1501" s="1277"/>
      <c r="K1501" s="1278"/>
      <c r="L1501" s="1125">
        <v>320</v>
      </c>
    </row>
    <row r="1502" spans="1:15" s="1279" customFormat="1" ht="20.100000000000001" customHeight="1">
      <c r="A1502" s="1377">
        <f t="shared" si="60"/>
        <v>0</v>
      </c>
      <c r="B1502" s="1584" t="s">
        <v>523</v>
      </c>
      <c r="C1502" s="1286"/>
      <c r="D1502" s="1288">
        <f>VLOOKUP($B1502,DG!A:D,DG!$B$2,)</f>
        <v>0</v>
      </c>
      <c r="E1502" s="1310" t="str">
        <f>VLOOKUP($B1502,DG!A:D,DG!$C$2,)&amp;": 0,092m3/m"</f>
        <v>Đá 2x4: 0,092m3/m</v>
      </c>
      <c r="F1502" s="1288" t="str">
        <f>VLOOKUP($B1502,DG!A:D,DG!$D$2,)</f>
        <v>m3</v>
      </c>
      <c r="G1502" s="1276">
        <f>0.092*G1499</f>
        <v>0</v>
      </c>
      <c r="H1502" s="1353">
        <f t="shared" si="59"/>
        <v>0</v>
      </c>
      <c r="I1502" s="1277"/>
      <c r="J1502" s="1277"/>
      <c r="K1502" s="1278"/>
      <c r="L1502" s="1125">
        <v>320</v>
      </c>
    </row>
    <row r="1503" spans="1:15" s="1279" customFormat="1" ht="20.100000000000001" customHeight="1">
      <c r="A1503" s="1377">
        <f t="shared" si="60"/>
        <v>0</v>
      </c>
      <c r="B1503" s="1584" t="s">
        <v>1728</v>
      </c>
      <c r="C1503" s="1286"/>
      <c r="D1503" s="1288">
        <f>VLOOKUP($B1503,DG!A:D,DG!$B$2,)</f>
        <v>0</v>
      </c>
      <c r="E1503" s="1310" t="str">
        <f>VLOOKUP($B1503,DG!A:D,DG!$C$2,)&amp;": 3,3vieân/m"</f>
        <v>Gạch tàu: 3,3vieân/m</v>
      </c>
      <c r="F1503" s="1288" t="str">
        <f>VLOOKUP($B1503,DG!A:D,DG!$D$2,)</f>
        <v>viên</v>
      </c>
      <c r="G1503" s="1276">
        <f>3.3*G1499</f>
        <v>0</v>
      </c>
      <c r="H1503" s="1353">
        <f t="shared" si="59"/>
        <v>0</v>
      </c>
      <c r="I1503" s="1277"/>
      <c r="J1503" s="1277"/>
      <c r="K1503" s="1278"/>
      <c r="L1503" s="1125">
        <v>320</v>
      </c>
    </row>
    <row r="1504" spans="1:15" s="1279" customFormat="1" ht="20.100000000000001" customHeight="1">
      <c r="A1504" s="1377">
        <f t="shared" si="60"/>
        <v>0</v>
      </c>
      <c r="B1504" s="1584" t="s">
        <v>1729</v>
      </c>
      <c r="C1504" s="1286"/>
      <c r="D1504" s="1288">
        <f>VLOOKUP($B1504,DG!A:D,DG!$B$2,)</f>
        <v>0</v>
      </c>
      <c r="E1504" s="1310" t="str">
        <f>VLOOKUP($B1504,DG!A:D,DG!$C$2,)&amp;": 0,4m2/m"</f>
        <v>Tấm nilông màu cảnh báo: 0,4m2/m</v>
      </c>
      <c r="F1504" s="1288" t="str">
        <f>VLOOKUP($B1504,DG!A:D,DG!$D$2,)</f>
        <v>m2</v>
      </c>
      <c r="G1504" s="1276">
        <f>0.4*G1499</f>
        <v>0</v>
      </c>
      <c r="H1504" s="1353">
        <f t="shared" si="59"/>
        <v>0</v>
      </c>
      <c r="I1504" s="1277"/>
      <c r="J1504" s="1277"/>
      <c r="K1504" s="1278"/>
      <c r="L1504" s="1125">
        <v>320</v>
      </c>
    </row>
    <row r="1505" spans="1:13" s="1279" customFormat="1" ht="20.100000000000001" customHeight="1">
      <c r="A1505" s="1377">
        <f t="shared" si="60"/>
        <v>0</v>
      </c>
      <c r="B1505" s="1584" t="s">
        <v>1570</v>
      </c>
      <c r="C1505" s="1273"/>
      <c r="D1505" s="1288">
        <f>VLOOKUP($B1505,DG!A:D,DG!$B$2,)</f>
        <v>0</v>
      </c>
      <c r="E1505" s="1310" t="str">
        <f>VLOOKUP($B1505,DG!A:D,DG!$C$2,)</f>
        <v>Ống PVC D140x6,7mm</v>
      </c>
      <c r="F1505" s="1288" t="str">
        <f>VLOOKUP($B1505,DG!A:D,DG!$D$2,)</f>
        <v>m</v>
      </c>
      <c r="G1505" s="1276">
        <f>1*G1499</f>
        <v>0</v>
      </c>
      <c r="H1505" s="1353">
        <f t="shared" si="59"/>
        <v>0</v>
      </c>
      <c r="I1505" s="1277"/>
      <c r="J1505" s="1277"/>
      <c r="K1505" s="1278"/>
      <c r="L1505" s="1125">
        <v>320</v>
      </c>
    </row>
    <row r="1506" spans="1:13" s="1279" customFormat="1" ht="20.100000000000001" customHeight="1">
      <c r="A1506" s="1377">
        <f t="shared" si="60"/>
        <v>0</v>
      </c>
      <c r="B1506" s="1584" t="s">
        <v>1731</v>
      </c>
      <c r="C1506" s="1286"/>
      <c r="D1506" s="1288" t="str">
        <f>VLOOKUP($B1506,DG!A:D,DG!$B$2,)</f>
        <v>03.7000</v>
      </c>
      <c r="E1506" s="1310" t="str">
        <f>VLOOKUP($B1506,DG!A:D,DG!$C$2,)&amp;" + ñaép ñaù"</f>
        <v>Đắp cát  + ñaép ñaù</v>
      </c>
      <c r="F1506" s="1288" t="str">
        <f>VLOOKUP($B1506,DG!A:D,DG!$D$2,)</f>
        <v>m3</v>
      </c>
      <c r="G1506" s="1276">
        <f>G1501+G1502</f>
        <v>0</v>
      </c>
      <c r="H1506" s="1353">
        <f t="shared" si="59"/>
        <v>0</v>
      </c>
      <c r="I1506" s="1277"/>
      <c r="J1506" s="1277"/>
      <c r="K1506" s="1278"/>
      <c r="L1506" s="1125">
        <v>320</v>
      </c>
    </row>
    <row r="1507" spans="1:13" s="1279" customFormat="1" ht="20.100000000000001" customHeight="1">
      <c r="A1507" s="1377">
        <f t="shared" si="60"/>
        <v>0</v>
      </c>
      <c r="B1507" s="1584" t="s">
        <v>145</v>
      </c>
      <c r="C1507" s="1286"/>
      <c r="D1507" s="1288" t="str">
        <f>VLOOKUP($B1507,DG!A:D,DG!$B$2,)</f>
        <v>03.3103</v>
      </c>
      <c r="E1507" s="1310" t="str">
        <f>VLOOKUP($B1507,DG!A:D,DG!$C$2,)&amp;" : 0,48m3/m"</f>
        <v>Đào mương cáp ngầm đất cấp 3 : 0,48m3/m</v>
      </c>
      <c r="F1507" s="1288" t="str">
        <f>VLOOKUP($B1507,DG!A:D,DG!$D$2,)</f>
        <v>m3</v>
      </c>
      <c r="G1507" s="1276">
        <f>G1499*0.48</f>
        <v>0</v>
      </c>
      <c r="H1507" s="1353">
        <f t="shared" si="59"/>
        <v>0</v>
      </c>
      <c r="I1507" s="1277"/>
      <c r="J1507" s="1277"/>
      <c r="K1507" s="1278"/>
      <c r="L1507" s="1125">
        <v>320</v>
      </c>
    </row>
    <row r="1508" spans="1:13" s="1279" customFormat="1" ht="20.100000000000001" customHeight="1">
      <c r="A1508" s="1377">
        <f t="shared" si="60"/>
        <v>0</v>
      </c>
      <c r="B1508" s="1584" t="s">
        <v>532</v>
      </c>
      <c r="C1508" s="1286"/>
      <c r="D1508" s="1288" t="str">
        <f>VLOOKUP($B1508,DG!A:D,DG!$B$2,)</f>
        <v>03.3203</v>
      </c>
      <c r="E1508" s="1310" t="str">
        <f>VLOOKUP($B1508,DG!A:D,DG!$C$2,)&amp;" : 0,073m3/m"</f>
        <v>Đắp đất mương cáp ngầm, đất cấp 3 : 0,073m3/m</v>
      </c>
      <c r="F1508" s="1288" t="str">
        <f>VLOOKUP($B1508,DG!A:D,DG!$D$2,)</f>
        <v>m3</v>
      </c>
      <c r="G1508" s="1276">
        <f>G1499*0.073</f>
        <v>0</v>
      </c>
      <c r="H1508" s="1353">
        <f t="shared" si="59"/>
        <v>0</v>
      </c>
      <c r="I1508" s="1277"/>
      <c r="J1508" s="1277"/>
      <c r="K1508" s="1278"/>
      <c r="L1508" s="1125">
        <v>320</v>
      </c>
      <c r="M1508" s="1349">
        <v>0.47499999999999998</v>
      </c>
    </row>
    <row r="1509" spans="1:13" s="1279" customFormat="1" ht="20.100000000000001" customHeight="1">
      <c r="A1509" s="1377">
        <f t="shared" si="60"/>
        <v>0</v>
      </c>
      <c r="B1509" s="1582"/>
      <c r="C1509" s="1280">
        <f>IF(G1509&gt;0,C1499+1,C1499)</f>
        <v>0</v>
      </c>
      <c r="D1509" s="1281"/>
      <c r="E1509" s="1282" t="s">
        <v>3824</v>
      </c>
      <c r="F1509" s="1280" t="s">
        <v>2449</v>
      </c>
      <c r="G1509" s="1283">
        <f>G1518</f>
        <v>0</v>
      </c>
      <c r="H1509" s="1353">
        <f t="shared" si="59"/>
        <v>0</v>
      </c>
      <c r="I1509" s="1277"/>
      <c r="J1509" s="1277"/>
      <c r="K1509" s="1278"/>
      <c r="L1509" s="1125">
        <v>320</v>
      </c>
      <c r="M1509" s="1349">
        <v>0.88100000000000001</v>
      </c>
    </row>
    <row r="1510" spans="1:13" s="1279" customFormat="1" ht="20.100000000000001" customHeight="1">
      <c r="A1510" s="1377">
        <f>IF(A1509&gt;0,1,0)</f>
        <v>0</v>
      </c>
      <c r="B1510" s="1582"/>
      <c r="C1510" s="1273"/>
      <c r="D1510" s="1284"/>
      <c r="E1510" s="1637" t="s">
        <v>2342</v>
      </c>
      <c r="F1510" s="1286"/>
      <c r="G1510" s="1348"/>
      <c r="H1510" s="1353">
        <f t="shared" si="59"/>
        <v>0</v>
      </c>
      <c r="I1510" s="1277"/>
      <c r="J1510" s="1277"/>
      <c r="K1510" s="1278"/>
      <c r="L1510" s="1125">
        <v>320</v>
      </c>
    </row>
    <row r="1511" spans="1:13" s="1279" customFormat="1" ht="20.100000000000001" customHeight="1">
      <c r="A1511" s="1377">
        <f t="shared" si="60"/>
        <v>0</v>
      </c>
      <c r="B1511" s="1582" t="s">
        <v>628</v>
      </c>
      <c r="C1511" s="1286"/>
      <c r="D1511" s="1288" t="str">
        <f>VLOOKUP($B1511,DG!A:D,DG!$B$2,)</f>
        <v>07.2204</v>
      </c>
      <c r="E1511" s="1289" t="str">
        <f>VLOOKUP($B1511,DG!A:D,DG!$C$2,)</f>
        <v>ÔÁng sắt tráng kẽm D140</v>
      </c>
      <c r="F1511" s="1288" t="str">
        <f>VLOOKUP($B1511,DG!A:D,DG!$D$2,)</f>
        <v>mét</v>
      </c>
      <c r="G1511" s="1276">
        <f>G1509*5*0</f>
        <v>0</v>
      </c>
      <c r="H1511" s="1353">
        <f t="shared" si="59"/>
        <v>0</v>
      </c>
      <c r="I1511" s="1277"/>
      <c r="J1511" s="1277"/>
      <c r="K1511" s="1278"/>
      <c r="L1511" s="1125">
        <v>320</v>
      </c>
    </row>
    <row r="1512" spans="1:13" s="1279" customFormat="1" ht="20.100000000000001" customHeight="1">
      <c r="A1512" s="1377">
        <f t="shared" si="60"/>
        <v>0</v>
      </c>
      <c r="B1512" s="1584" t="s">
        <v>476</v>
      </c>
      <c r="C1512" s="1273"/>
      <c r="D1512" s="1288">
        <f>VLOOKUP($B1512,DG!A:D,DG!$B$2,)</f>
        <v>0</v>
      </c>
      <c r="E1512" s="1289" t="str">
        <f>VLOOKUP($B1512,DG!A:D,DG!$C$2,)</f>
        <v>Co sừng 90 độ PVC 140</v>
      </c>
      <c r="F1512" s="1288" t="str">
        <f>VLOOKUP($B1512,DG!A:D,DG!$D$2,)</f>
        <v>cái</v>
      </c>
      <c r="G1512" s="1276">
        <f>G1509*0</f>
        <v>0</v>
      </c>
      <c r="H1512" s="1353">
        <f t="shared" si="59"/>
        <v>0</v>
      </c>
      <c r="I1512" s="1277"/>
      <c r="J1512" s="1277"/>
      <c r="K1512" s="1278"/>
      <c r="L1512" s="1125">
        <v>320</v>
      </c>
    </row>
    <row r="1513" spans="1:13" s="1279" customFormat="1" ht="20.100000000000001" customHeight="1">
      <c r="A1513" s="1377">
        <f t="shared" si="60"/>
        <v>0</v>
      </c>
      <c r="B1513" s="1582" t="s">
        <v>121</v>
      </c>
      <c r="C1513" s="1286"/>
      <c r="D1513" s="1288" t="str">
        <f>VLOOKUP($B1513,DG!A:D,DG!$B$2,)</f>
        <v>06.3231</v>
      </c>
      <c r="E1513" s="1289" t="str">
        <f>VLOOKUP($B1513,DG!A:D,DG!$C$2,)</f>
        <v>Cổ dê giữ ống STK D140 vào tường+Boulon+long đền+tắc ke sắt</v>
      </c>
      <c r="F1513" s="1288" t="str">
        <f>VLOOKUP($B1513,DG!A:D,DG!$D$2,)</f>
        <v>bộ</v>
      </c>
      <c r="G1513" s="1276">
        <f>G1509*2*0</f>
        <v>0</v>
      </c>
      <c r="H1513" s="1353">
        <f t="shared" si="59"/>
        <v>0</v>
      </c>
      <c r="I1513" s="1277"/>
      <c r="J1513" s="1277"/>
      <c r="K1513" s="1278"/>
      <c r="L1513" s="1125">
        <v>320</v>
      </c>
    </row>
    <row r="1514" spans="1:13" s="1279" customFormat="1" ht="20.100000000000001" customHeight="1">
      <c r="A1514" s="1377">
        <f t="shared" si="60"/>
        <v>0</v>
      </c>
      <c r="B1514" s="1378" t="s">
        <v>1442</v>
      </c>
      <c r="C1514" s="1286"/>
      <c r="D1514" s="1288">
        <f>VLOOKUP($B1514,DG!A:D,DG!$B$2,)</f>
        <v>0</v>
      </c>
      <c r="E1514" s="1289" t="str">
        <f>VLOOKUP($B1514,DG!A:D,DG!$C$2,)</f>
        <v>Giá đỡ cáp ngầm (V63x6)</v>
      </c>
      <c r="F1514" s="1288" t="str">
        <f>VLOOKUP($B1514,DG!A:D,DG!$D$2,)</f>
        <v>bộ</v>
      </c>
      <c r="G1514" s="1276">
        <f>G1509*0</f>
        <v>0</v>
      </c>
      <c r="H1514" s="1353">
        <f t="shared" si="59"/>
        <v>0</v>
      </c>
      <c r="I1514" s="1277"/>
      <c r="J1514" s="1277"/>
      <c r="K1514" s="1278"/>
      <c r="L1514" s="1125">
        <v>320</v>
      </c>
    </row>
    <row r="1515" spans="1:13" s="1279" customFormat="1" ht="20.100000000000001" customHeight="1">
      <c r="A1515" s="1377">
        <f t="shared" si="60"/>
        <v>0</v>
      </c>
      <c r="B1515" s="1378" t="s">
        <v>2200</v>
      </c>
      <c r="C1515" s="1286"/>
      <c r="D1515" s="1288">
        <f>VLOOKUP($B1515,DG!A:D,DG!$B$2,)</f>
        <v>0</v>
      </c>
      <c r="E1515" s="1289" t="str">
        <f>VLOOKUP($B1515,DG!A:D,DG!$C$2,)</f>
        <v>Giá đỡ cáp trung hạ thế</v>
      </c>
      <c r="F1515" s="1288" t="str">
        <f>VLOOKUP($B1515,DG!A:D,DG!$D$2,)</f>
        <v>bộ</v>
      </c>
      <c r="G1515" s="1276">
        <f>G1509</f>
        <v>0</v>
      </c>
      <c r="H1515" s="1353">
        <f t="shared" si="59"/>
        <v>0</v>
      </c>
      <c r="I1515" s="1277"/>
      <c r="J1515" s="1277"/>
      <c r="K1515" s="1278"/>
      <c r="L1515" s="1125">
        <v>320</v>
      </c>
    </row>
    <row r="1516" spans="1:13" s="1279" customFormat="1" ht="20.100000000000001" customHeight="1">
      <c r="A1516" s="1377">
        <f t="shared" si="60"/>
        <v>0</v>
      </c>
      <c r="B1516" s="1582" t="s">
        <v>1443</v>
      </c>
      <c r="C1516" s="1273"/>
      <c r="D1516" s="1288" t="str">
        <f>VLOOKUP($B1516,DG!A:D,DG!$B$2,)</f>
        <v>05.6101</v>
      </c>
      <c r="E1516" s="1289" t="str">
        <f>VLOOKUP($B1516,DG!A:D,DG!$C$2,)</f>
        <v>Lắp Giá đỡ cáp</v>
      </c>
      <c r="F1516" s="1288" t="str">
        <f>VLOOKUP($B1516,DG!A:D,DG!$D$2,)</f>
        <v>bộ</v>
      </c>
      <c r="G1516" s="1276">
        <f>G1514+G1515</f>
        <v>0</v>
      </c>
      <c r="H1516" s="1353">
        <f t="shared" si="59"/>
        <v>0</v>
      </c>
      <c r="I1516" s="1277"/>
      <c r="J1516" s="1277"/>
      <c r="K1516" s="1278"/>
      <c r="L1516" s="1125">
        <v>320</v>
      </c>
    </row>
    <row r="1517" spans="1:13" s="1279" customFormat="1" ht="20.100000000000001" customHeight="1">
      <c r="A1517" s="1377">
        <f t="shared" si="60"/>
        <v>0</v>
      </c>
      <c r="B1517" s="1582" t="s">
        <v>290</v>
      </c>
      <c r="C1517" s="1286"/>
      <c r="D1517" s="1288" t="str">
        <f>VLOOKUP($B1517,DG!A:D,DG!$B$2,)</f>
        <v>06.3191</v>
      </c>
      <c r="E1517" s="1289" t="str">
        <f>VLOOKUP($B1517,DG!A:D,DG!$C$2,)</f>
        <v>Bảng tên trạm, bảng báo nguy hiểm + đinh vít</v>
      </c>
      <c r="F1517" s="1288" t="str">
        <f>VLOOKUP($B1517,DG!A:D,DG!$D$2,)</f>
        <v>bộ</v>
      </c>
      <c r="G1517" s="1276">
        <f>G1509*0</f>
        <v>0</v>
      </c>
      <c r="H1517" s="1353">
        <f t="shared" si="59"/>
        <v>0</v>
      </c>
      <c r="I1517" s="1277"/>
      <c r="J1517" s="1277"/>
      <c r="K1517" s="1278"/>
      <c r="L1517" s="1125">
        <v>320</v>
      </c>
    </row>
    <row r="1518" spans="1:13" s="1279" customFormat="1" ht="20.100000000000001" customHeight="1">
      <c r="A1518" s="1377">
        <f t="shared" si="60"/>
        <v>0</v>
      </c>
      <c r="B1518" s="1582"/>
      <c r="C1518" s="1280">
        <f>IF(G1518&gt;0,C1509+1,C1509)</f>
        <v>0</v>
      </c>
      <c r="D1518" s="1281"/>
      <c r="E1518" s="1292" t="s">
        <v>3839</v>
      </c>
      <c r="F1518" s="1280" t="s">
        <v>2449</v>
      </c>
      <c r="G1518" s="1283">
        <f>G1381*0</f>
        <v>0</v>
      </c>
      <c r="H1518" s="1353">
        <f t="shared" ref="H1518:H1581" si="61">IF(L1518=$L$23,G1518+I1518-J1518,0)</f>
        <v>0</v>
      </c>
      <c r="I1518" s="1277"/>
      <c r="J1518" s="1277"/>
      <c r="K1518" s="1278"/>
      <c r="L1518" s="1125">
        <v>320</v>
      </c>
    </row>
    <row r="1519" spans="1:13" s="1279" customFormat="1" ht="20.100000000000001" customHeight="1">
      <c r="A1519" s="1377">
        <f>IF(A1518&gt;0,1,0)</f>
        <v>0</v>
      </c>
      <c r="B1519" s="1582"/>
      <c r="C1519" s="1273"/>
      <c r="D1519" s="1284"/>
      <c r="E1519" s="1638" t="s">
        <v>2342</v>
      </c>
      <c r="F1519" s="1273"/>
      <c r="G1519" s="1293"/>
      <c r="H1519" s="1353">
        <f t="shared" si="61"/>
        <v>0</v>
      </c>
      <c r="I1519" s="1277"/>
      <c r="J1519" s="1277"/>
      <c r="K1519" s="1278"/>
      <c r="L1519" s="1125">
        <v>320</v>
      </c>
    </row>
    <row r="1520" spans="1:13" s="1279" customFormat="1" ht="20.100000000000001" customHeight="1">
      <c r="A1520" s="1377">
        <f t="shared" si="60"/>
        <v>0</v>
      </c>
      <c r="B1520" s="1378" t="s">
        <v>473</v>
      </c>
      <c r="C1520" s="1286"/>
      <c r="D1520" s="1274">
        <f>VLOOKUP($B1520,DG!A:D,DG!$B$2,)</f>
        <v>0</v>
      </c>
      <c r="E1520" s="1275" t="str">
        <f>VLOOKUP($B1520,DG!A:D,DG!$C$2,)&amp;": trong möông vaø leân MBA"</f>
        <v>Cáp 24kV C/XLPE/DSTA/PVC3x50: trong möông vaø leân MBA</v>
      </c>
      <c r="F1520" s="1274" t="str">
        <f>VLOOKUP($B1520,DG!A:D,DG!$D$2,)</f>
        <v>mét</v>
      </c>
      <c r="G1520" s="1276">
        <f>G1499+G1518*8</f>
        <v>0</v>
      </c>
      <c r="H1520" s="1353">
        <f t="shared" si="61"/>
        <v>0</v>
      </c>
      <c r="I1520" s="1277"/>
      <c r="J1520" s="1277"/>
      <c r="K1520" s="1278"/>
      <c r="L1520" s="1125">
        <v>320</v>
      </c>
    </row>
    <row r="1521" spans="1:12" s="1279" customFormat="1" ht="20.100000000000001" customHeight="1">
      <c r="A1521" s="1377">
        <f t="shared" si="60"/>
        <v>0</v>
      </c>
      <c r="B1521" s="1378" t="s">
        <v>272</v>
      </c>
      <c r="C1521" s="1286"/>
      <c r="D1521" s="1274">
        <f>VLOOKUP($B1521,DG!A:D,DG!$B$2,)</f>
        <v>0</v>
      </c>
      <c r="E1521" s="1275" t="str">
        <f>VLOOKUP($B1521,DG!A:D,DG!$C$2,)&amp;": trung tính"</f>
        <v>Cáp 24KV C/XLPE/PVC 50mm2: trung tính</v>
      </c>
      <c r="F1521" s="1274" t="str">
        <f>VLOOKUP($B1521,DG!A:D,DG!$D$2,)</f>
        <v>mét</v>
      </c>
      <c r="G1521" s="1276">
        <f>G1520</f>
        <v>0</v>
      </c>
      <c r="H1521" s="1353">
        <f t="shared" si="61"/>
        <v>0</v>
      </c>
      <c r="I1521" s="1277"/>
      <c r="J1521" s="1277"/>
      <c r="K1521" s="1278"/>
      <c r="L1521" s="1125">
        <v>320</v>
      </c>
    </row>
    <row r="1522" spans="1:12" s="1279" customFormat="1" ht="20.100000000000001" customHeight="1">
      <c r="A1522" s="1377">
        <f t="shared" si="60"/>
        <v>0</v>
      </c>
      <c r="B1522" s="1378" t="s">
        <v>272</v>
      </c>
      <c r="C1522" s="1286"/>
      <c r="D1522" s="1274">
        <f>VLOOKUP($B1522,DG!A:D,DG!$B$2,)</f>
        <v>0</v>
      </c>
      <c r="E1522" s="1275" t="str">
        <f>VLOOKUP($B1522,DG!A:D,DG!$C$2,)&amp;": 0,5m/pha töø FCO xuoáng MBA"</f>
        <v>Cáp 24KV C/XLPE/PVC 50mm2: 0,5m/pha töø FCO xuoáng MBA</v>
      </c>
      <c r="F1522" s="1274" t="str">
        <f>VLOOKUP($B1522,DG!A:D,DG!$D$2,)</f>
        <v>mét</v>
      </c>
      <c r="G1522" s="1276">
        <f>G1518*0.5*3*0</f>
        <v>0</v>
      </c>
      <c r="H1522" s="1353">
        <f t="shared" si="61"/>
        <v>0</v>
      </c>
      <c r="I1522" s="1277"/>
      <c r="J1522" s="1277"/>
      <c r="K1522" s="1278"/>
      <c r="L1522" s="1125">
        <v>320</v>
      </c>
    </row>
    <row r="1523" spans="1:12" s="1279" customFormat="1" ht="20.100000000000001" customHeight="1">
      <c r="A1523" s="1377">
        <f t="shared" si="60"/>
        <v>0</v>
      </c>
      <c r="B1523" s="1378" t="s">
        <v>1385</v>
      </c>
      <c r="C1523" s="1286"/>
      <c r="D1523" s="1274">
        <f>VLOOKUP($B1523,DG!A:D,DG!$B$2,)</f>
        <v>0</v>
      </c>
      <c r="E1523" s="1275" t="str">
        <f>VLOOKUP($B1523,DG!A:D,DG!$C$2,)</f>
        <v>Đầu cáp ngầm 24KV 3x50mm2 outdoor</v>
      </c>
      <c r="F1523" s="1274" t="str">
        <f>VLOOKUP($B1523,DG!A:D,DG!$D$2,)</f>
        <v>cái</v>
      </c>
      <c r="G1523" s="1276">
        <f>G1518</f>
        <v>0</v>
      </c>
      <c r="H1523" s="1353">
        <f t="shared" si="61"/>
        <v>0</v>
      </c>
      <c r="I1523" s="1277"/>
      <c r="J1523" s="1277"/>
      <c r="K1523" s="1278"/>
      <c r="L1523" s="1125">
        <v>320</v>
      </c>
    </row>
    <row r="1524" spans="1:12" s="1279" customFormat="1" ht="20.100000000000001" customHeight="1">
      <c r="A1524" s="1377">
        <f t="shared" si="60"/>
        <v>0</v>
      </c>
      <c r="B1524" s="1378" t="s">
        <v>473</v>
      </c>
      <c r="C1524" s="1286"/>
      <c r="D1524" s="1274">
        <f>VLOOKUP($B1524,DG!A:D,DG!$B$2,)</f>
        <v>0</v>
      </c>
      <c r="E1524" s="1275" t="str">
        <f>VLOOKUP($B1524,DG!A:D,DG!$C$2,)&amp;": töø tuû LBS ñeán MBA"</f>
        <v>Cáp 24kV C/XLPE/DSTA/PVC3x50: töø tuû LBS ñeán MBA</v>
      </c>
      <c r="F1524" s="1274" t="str">
        <f>VLOOKUP($B1524,DG!A:D,DG!$D$2,)</f>
        <v>mét</v>
      </c>
      <c r="G1524" s="1276">
        <f>(1.2+2.4)*G1518*0</f>
        <v>0</v>
      </c>
      <c r="H1524" s="1353">
        <f t="shared" si="61"/>
        <v>0</v>
      </c>
      <c r="I1524" s="1277"/>
      <c r="J1524" s="1277"/>
      <c r="K1524" s="1278"/>
      <c r="L1524" s="1125">
        <v>320</v>
      </c>
    </row>
    <row r="1525" spans="1:12" s="1279" customFormat="1" ht="20.100000000000001" customHeight="1">
      <c r="A1525" s="1377">
        <f t="shared" si="60"/>
        <v>0</v>
      </c>
      <c r="B1525" s="1378" t="s">
        <v>272</v>
      </c>
      <c r="C1525" s="1286"/>
      <c r="D1525" s="1274">
        <f>VLOOKUP($B1525,DG!A:D,DG!$B$2,)</f>
        <v>0</v>
      </c>
      <c r="E1525" s="1275" t="str">
        <f>VLOOKUP($B1525,DG!A:D,DG!$C$2,)&amp;": töø tuû LBS ñeán MBA"</f>
        <v>Cáp 24KV C/XLPE/PVC 50mm2: töø tuû LBS ñeán MBA</v>
      </c>
      <c r="F1525" s="1274" t="str">
        <f>VLOOKUP($B1525,DG!A:D,DG!$D$2,)</f>
        <v>mét</v>
      </c>
      <c r="G1525" s="1276">
        <f>G1518*1.2*0</f>
        <v>0</v>
      </c>
      <c r="H1525" s="1353">
        <f t="shared" si="61"/>
        <v>0</v>
      </c>
      <c r="I1525" s="1277"/>
      <c r="J1525" s="1277"/>
      <c r="K1525" s="1278"/>
      <c r="L1525" s="1125">
        <v>320</v>
      </c>
    </row>
    <row r="1526" spans="1:12" s="1279" customFormat="1" ht="20.100000000000001" customHeight="1">
      <c r="A1526" s="1377">
        <f t="shared" si="60"/>
        <v>0</v>
      </c>
      <c r="B1526" s="1378" t="s">
        <v>1386</v>
      </c>
      <c r="C1526" s="1286"/>
      <c r="D1526" s="1274">
        <f>VLOOKUP($B1526,DG!A:D,DG!$B$2,)</f>
        <v>0</v>
      </c>
      <c r="E1526" s="1275" t="str">
        <f>VLOOKUP($B1526,DG!A:D,DG!$C$2,)</f>
        <v>Đầu cáp ngầm 24KV 3x50mm2 indoor</v>
      </c>
      <c r="F1526" s="1274" t="str">
        <f>VLOOKUP($B1526,DG!A:D,DG!$D$2,)</f>
        <v>cái</v>
      </c>
      <c r="G1526" s="1276">
        <f>G1518</f>
        <v>0</v>
      </c>
      <c r="H1526" s="1353">
        <f t="shared" si="61"/>
        <v>0</v>
      </c>
      <c r="I1526" s="1277"/>
      <c r="J1526" s="1277"/>
      <c r="K1526" s="1278"/>
      <c r="L1526" s="1125">
        <v>320</v>
      </c>
    </row>
    <row r="1527" spans="1:12" s="1279" customFormat="1" ht="20.100000000000001" customHeight="1">
      <c r="A1527" s="1377">
        <f t="shared" si="60"/>
        <v>0</v>
      </c>
      <c r="B1527" s="1378" t="s">
        <v>1727</v>
      </c>
      <c r="C1527" s="1286"/>
      <c r="D1527" s="1274" t="str">
        <f>VLOOKUP($B1527,DG!A:D,DG!$B$2,)</f>
        <v>07.4312</v>
      </c>
      <c r="E1527" s="1275" t="str">
        <f>VLOOKUP($B1527,DG!A:D,DG!$C$2,)</f>
        <v>Lắp đầu cáp trung thế 3x50mm2, 70mm2</v>
      </c>
      <c r="F1527" s="1274" t="str">
        <f>VLOOKUP($B1527,DG!A:D,DG!$D$2,)</f>
        <v>cái</v>
      </c>
      <c r="G1527" s="1276">
        <f>G1523+G1526</f>
        <v>0</v>
      </c>
      <c r="H1527" s="1353">
        <f t="shared" si="61"/>
        <v>0</v>
      </c>
      <c r="I1527" s="1277"/>
      <c r="J1527" s="1277"/>
      <c r="K1527" s="1278"/>
      <c r="L1527" s="1125">
        <v>320</v>
      </c>
    </row>
    <row r="1528" spans="1:12" s="1279" customFormat="1" ht="20.100000000000001" customHeight="1">
      <c r="A1528" s="1377">
        <f t="shared" si="60"/>
        <v>0</v>
      </c>
      <c r="B1528" s="1378" t="s">
        <v>1234</v>
      </c>
      <c r="C1528" s="1286"/>
      <c r="D1528" s="1274" t="str">
        <f>VLOOKUP($B1528,DG!A:D,DG!$B$2,)</f>
        <v>03.1405</v>
      </c>
      <c r="E1528" s="1275" t="str">
        <f>VLOOKUP($B1528,DG!A:D,DG!$C$2,)</f>
        <v>Lắp cáp trong ống bảo vệ trong TBA loại &lt;=6kg</v>
      </c>
      <c r="F1528" s="1274" t="str">
        <f>VLOOKUP($B1528,DG!A:D,DG!$D$2,)</f>
        <v>mét</v>
      </c>
      <c r="G1528" s="1276">
        <f>G1520+G1524</f>
        <v>0</v>
      </c>
      <c r="H1528" s="1353">
        <f t="shared" si="61"/>
        <v>0</v>
      </c>
      <c r="I1528" s="1277"/>
      <c r="J1528" s="1277"/>
      <c r="K1528" s="1278"/>
      <c r="L1528" s="1125">
        <v>320</v>
      </c>
    </row>
    <row r="1529" spans="1:12" s="1279" customFormat="1" ht="20.100000000000001" customHeight="1">
      <c r="A1529" s="1377">
        <f t="shared" si="60"/>
        <v>0</v>
      </c>
      <c r="B1529" s="1378" t="s">
        <v>1231</v>
      </c>
      <c r="C1529" s="1286"/>
      <c r="D1529" s="1274" t="str">
        <f>VLOOKUP($B1529,DG!A:D,DG!$B$2,)</f>
        <v>03.1402</v>
      </c>
      <c r="E1529" s="1275" t="str">
        <f>VLOOKUP($B1529,DG!A:D,DG!$C$2,)</f>
        <v>Lắp cáp trong ống bảo vệ trong TBA loại &lt;=2kg</v>
      </c>
      <c r="F1529" s="1274" t="str">
        <f>VLOOKUP($B1529,DG!A:D,DG!$D$2,)</f>
        <v>mét</v>
      </c>
      <c r="G1529" s="1276">
        <f>G1521+G1525</f>
        <v>0</v>
      </c>
      <c r="H1529" s="1353">
        <f t="shared" si="61"/>
        <v>0</v>
      </c>
      <c r="I1529" s="1277"/>
      <c r="J1529" s="1277"/>
      <c r="K1529" s="1278"/>
      <c r="L1529" s="1125">
        <v>320</v>
      </c>
    </row>
    <row r="1530" spans="1:12" s="1279" customFormat="1" ht="20.100000000000001" customHeight="1">
      <c r="A1530" s="1377">
        <f t="shared" si="60"/>
        <v>0</v>
      </c>
      <c r="B1530" s="1378" t="s">
        <v>1577</v>
      </c>
      <c r="C1530" s="1286"/>
      <c r="D1530" s="1274" t="str">
        <f>VLOOKUP($B1530,DG!A:D,DG!$B$2,)</f>
        <v>04.4201</v>
      </c>
      <c r="E1530" s="1275" t="str">
        <f>VLOOKUP($B1530,DG!A:D,DG!$C$2,)</f>
        <v>Lắp cáp đồng xuống thiết bị D ≤ 95mm2</v>
      </c>
      <c r="F1530" s="1274" t="str">
        <f>VLOOKUP($B1530,DG!A:D,DG!$D$2,)</f>
        <v>m</v>
      </c>
      <c r="G1530" s="1276">
        <f>G1522</f>
        <v>0</v>
      </c>
      <c r="H1530" s="1353">
        <f t="shared" si="61"/>
        <v>0</v>
      </c>
      <c r="I1530" s="1277"/>
      <c r="J1530" s="1277"/>
      <c r="K1530" s="1278"/>
      <c r="L1530" s="1125">
        <v>320</v>
      </c>
    </row>
    <row r="1531" spans="1:12" s="1279" customFormat="1" ht="20.100000000000001" customHeight="1">
      <c r="A1531" s="1377">
        <f t="shared" si="60"/>
        <v>0</v>
      </c>
      <c r="B1531" s="1378" t="s">
        <v>1382</v>
      </c>
      <c r="C1531" s="1286"/>
      <c r="D1531" s="1274">
        <f>VLOOKUP($B1531,DG!A:D,DG!$B$2,)</f>
        <v>0</v>
      </c>
      <c r="E1531" s="1275" t="str">
        <f>VLOOKUP($B1531,DG!A:D,DG!$C$2,)</f>
        <v>Dây rút cáp</v>
      </c>
      <c r="F1531" s="1274" t="str">
        <f>VLOOKUP($B1531,DG!A:D,DG!$D$2,)</f>
        <v>bọc</v>
      </c>
      <c r="G1531" s="1276">
        <f>G1518*2</f>
        <v>0</v>
      </c>
      <c r="H1531" s="1353">
        <f t="shared" si="61"/>
        <v>0</v>
      </c>
      <c r="I1531" s="1277"/>
      <c r="J1531" s="1277"/>
      <c r="K1531" s="1278"/>
      <c r="L1531" s="1125">
        <v>320</v>
      </c>
    </row>
    <row r="1532" spans="1:12" s="1279" customFormat="1" ht="20.100000000000001" customHeight="1">
      <c r="A1532" s="1377">
        <f t="shared" si="60"/>
        <v>0</v>
      </c>
      <c r="B1532" s="1582"/>
      <c r="C1532" s="1280">
        <f>IF(G1532&gt;0,C1518+1,C1518)</f>
        <v>0</v>
      </c>
      <c r="D1532" s="1281"/>
      <c r="E1532" s="1292" t="s">
        <v>3840</v>
      </c>
      <c r="F1532" s="1280" t="s">
        <v>2449</v>
      </c>
      <c r="G1532" s="1283">
        <f>G1381</f>
        <v>0</v>
      </c>
      <c r="H1532" s="1353">
        <f t="shared" si="61"/>
        <v>0</v>
      </c>
      <c r="I1532" s="1277"/>
      <c r="J1532" s="1277"/>
      <c r="K1532" s="1312"/>
      <c r="L1532" s="1125">
        <v>320</v>
      </c>
    </row>
    <row r="1533" spans="1:12" s="1279" customFormat="1" ht="20.100000000000001" customHeight="1">
      <c r="A1533" s="1377">
        <f>IF(A1532&gt;0,1,0)</f>
        <v>0</v>
      </c>
      <c r="B1533" s="1582"/>
      <c r="C1533" s="1273"/>
      <c r="D1533" s="1284"/>
      <c r="E1533" s="1638" t="s">
        <v>2342</v>
      </c>
      <c r="F1533" s="1273"/>
      <c r="G1533" s="1293"/>
      <c r="H1533" s="1353">
        <f t="shared" si="61"/>
        <v>0</v>
      </c>
      <c r="I1533" s="1277"/>
      <c r="J1533" s="1277"/>
      <c r="K1533" s="1312"/>
      <c r="L1533" s="1125">
        <v>320</v>
      </c>
    </row>
    <row r="1534" spans="1:12" s="1279" customFormat="1" ht="20.100000000000001" customHeight="1">
      <c r="A1534" s="1377">
        <f t="shared" si="60"/>
        <v>0</v>
      </c>
      <c r="B1534" s="1378" t="s">
        <v>704</v>
      </c>
      <c r="C1534" s="1286"/>
      <c r="D1534" s="1274">
        <f>VLOOKUP($B1534,DG!A:D,DG!$B$2,)</f>
        <v>0</v>
      </c>
      <c r="E1534" s="1275" t="str">
        <f>VLOOKUP($B1534,DG!A:D,DG!$C$2,)&amp;": 9m/1pha"</f>
        <v>Cáp 24KV C/XLPE/PVC 25mm2: 9m/1pha</v>
      </c>
      <c r="F1534" s="1274" t="str">
        <f>VLOOKUP($B1534,DG!A:D,DG!$D$2,)</f>
        <v>mét</v>
      </c>
      <c r="G1534" s="1287">
        <f>G1532*(9)*3</f>
        <v>0</v>
      </c>
      <c r="H1534" s="1353">
        <f t="shared" si="61"/>
        <v>0</v>
      </c>
      <c r="I1534" s="1277"/>
      <c r="J1534" s="1277"/>
      <c r="K1534" s="1312"/>
      <c r="L1534" s="1125">
        <v>320</v>
      </c>
    </row>
    <row r="1535" spans="1:12" s="1279" customFormat="1" ht="20.100000000000001" customHeight="1">
      <c r="A1535" s="1377">
        <f t="shared" si="60"/>
        <v>0</v>
      </c>
      <c r="B1535" s="1378" t="s">
        <v>704</v>
      </c>
      <c r="C1535" s="1286"/>
      <c r="D1535" s="1274">
        <f>VLOOKUP($B1535,DG!A:D,DG!$B$2,)</f>
        <v>0</v>
      </c>
      <c r="E1535" s="1275" t="str">
        <f>VLOOKUP($B1535,DG!A:D,DG!$C$2,)&amp;": 1m/1pha ñaáu noái  LA"</f>
        <v>Cáp 24KV C/XLPE/PVC 25mm2: 1m/1pha ñaáu noái  LA</v>
      </c>
      <c r="F1535" s="1274" t="str">
        <f>VLOOKUP($B1535,DG!A:D,DG!$D$2,)</f>
        <v>mét</v>
      </c>
      <c r="G1535" s="1348">
        <f>G1532*3*1*0</f>
        <v>0</v>
      </c>
      <c r="H1535" s="1353">
        <f t="shared" si="61"/>
        <v>0</v>
      </c>
      <c r="I1535" s="1277"/>
      <c r="J1535" s="1277"/>
      <c r="K1535" s="1312"/>
      <c r="L1535" s="1125">
        <v>320</v>
      </c>
    </row>
    <row r="1536" spans="1:12" s="1279" customFormat="1" ht="20.100000000000001" customHeight="1">
      <c r="A1536" s="1377">
        <f t="shared" si="60"/>
        <v>0</v>
      </c>
      <c r="B1536" s="1378" t="s">
        <v>1145</v>
      </c>
      <c r="C1536" s="1286"/>
      <c r="D1536" s="1274">
        <f>VLOOKUP($B1536,DG!A:D,DG!$B$2,)</f>
        <v>0</v>
      </c>
      <c r="E1536" s="1275" t="str">
        <f>VLOOKUP($B1536,DG!A:D,DG!$C$2,)</f>
        <v>Kẹp ép cỡ dây 25mm2</v>
      </c>
      <c r="F1536" s="1274" t="str">
        <f>VLOOKUP($B1536,DG!A:D,DG!$D$2,)</f>
        <v>cái</v>
      </c>
      <c r="G1536" s="1287">
        <f>G1532*3*2*0</f>
        <v>0</v>
      </c>
      <c r="H1536" s="1353">
        <f t="shared" si="61"/>
        <v>0</v>
      </c>
      <c r="I1536" s="1277"/>
      <c r="J1536" s="1277"/>
      <c r="K1536" s="1278"/>
      <c r="L1536" s="1125">
        <v>320</v>
      </c>
    </row>
    <row r="1537" spans="1:12" s="1279" customFormat="1" ht="20.100000000000001" customHeight="1">
      <c r="A1537" s="1377">
        <f t="shared" si="60"/>
        <v>0</v>
      </c>
      <c r="B1537" s="1378" t="s">
        <v>1893</v>
      </c>
      <c r="C1537" s="1286"/>
      <c r="D1537" s="1274">
        <f>VLOOKUP($B1537,DG!A:D,DG!$B$2,)</f>
        <v>0</v>
      </c>
      <c r="E1537" s="1275" t="str">
        <f>VLOOKUP($B1537,DG!A:D,DG!$C$2,)</f>
        <v>Bass LL bắt FCO và LA</v>
      </c>
      <c r="F1537" s="1274" t="str">
        <f>VLOOKUP($B1537,DG!A:D,DG!$D$2,)</f>
        <v>bộ</v>
      </c>
      <c r="G1537" s="1287">
        <f>G1532*3*2*0</f>
        <v>0</v>
      </c>
      <c r="H1537" s="1353">
        <f t="shared" si="61"/>
        <v>0</v>
      </c>
      <c r="I1537" s="1277"/>
      <c r="J1537" s="1277"/>
      <c r="K1537" s="1278"/>
      <c r="L1537" s="1125">
        <v>320</v>
      </c>
    </row>
    <row r="1538" spans="1:12" s="1279" customFormat="1" ht="20.100000000000001" customHeight="1">
      <c r="A1538" s="1377">
        <f t="shared" si="60"/>
        <v>0</v>
      </c>
      <c r="B1538" s="1378" t="s">
        <v>4726</v>
      </c>
      <c r="C1538" s="1286"/>
      <c r="D1538" s="1274" t="str">
        <f>VLOOKUP($B1538,DG!A:D,DG!$B$2,)</f>
        <v>04.3007</v>
      </c>
      <c r="E1538" s="1275" t="str">
        <f>VLOOKUP($B1538,DG!A:D,DG!$C$2,)</f>
        <v>Kẹp quai 2/0 + chụp cách điện</v>
      </c>
      <c r="F1538" s="1274" t="str">
        <f>VLOOKUP($B1538,DG!A:D,DG!$D$2,)</f>
        <v>bộ</v>
      </c>
      <c r="G1538" s="1287">
        <f>G1532*3</f>
        <v>0</v>
      </c>
      <c r="H1538" s="1353">
        <f t="shared" si="61"/>
        <v>0</v>
      </c>
      <c r="I1538" s="1277"/>
      <c r="J1538" s="1277"/>
      <c r="K1538" s="1312"/>
      <c r="L1538" s="1125">
        <v>320</v>
      </c>
    </row>
    <row r="1539" spans="1:12" s="1279" customFormat="1" ht="20.100000000000001" customHeight="1">
      <c r="A1539" s="1377">
        <f t="shared" si="60"/>
        <v>0</v>
      </c>
      <c r="B1539" s="1378" t="s">
        <v>1529</v>
      </c>
      <c r="C1539" s="1286"/>
      <c r="D1539" s="1274" t="str">
        <f>VLOOKUP($B1539,DG!A:D,DG!$B$2,)</f>
        <v>04.3007</v>
      </c>
      <c r="E1539" s="1275" t="str">
        <f>VLOOKUP($B1539,DG!A:D,DG!$C$2,)</f>
        <v>Kẹp hotline 2/0</v>
      </c>
      <c r="F1539" s="1274" t="str">
        <f>VLOOKUP($B1539,DG!A:D,DG!$D$2,)</f>
        <v>cái</v>
      </c>
      <c r="G1539" s="1287">
        <f>G1538</f>
        <v>0</v>
      </c>
      <c r="H1539" s="1353">
        <f t="shared" si="61"/>
        <v>0</v>
      </c>
      <c r="I1539" s="1277"/>
      <c r="J1539" s="1277"/>
      <c r="K1539" s="1312"/>
      <c r="L1539" s="1125">
        <v>320</v>
      </c>
    </row>
    <row r="1540" spans="1:12" s="1279" customFormat="1" ht="20.100000000000001" customHeight="1">
      <c r="A1540" s="1377">
        <f t="shared" si="60"/>
        <v>0</v>
      </c>
      <c r="B1540" s="1378" t="s">
        <v>703</v>
      </c>
      <c r="C1540" s="1312"/>
      <c r="D1540" s="1274">
        <f>VLOOKUP($B1540,DG!A:D,DG!$B$2,)</f>
        <v>0</v>
      </c>
      <c r="E1540" s="1275" t="str">
        <f>VLOOKUP($B1540,DG!A:D,DG!$C$2,)</f>
        <v xml:space="preserve">Sứ đứng 24KV </v>
      </c>
      <c r="F1540" s="1274" t="str">
        <f>VLOOKUP($B1540,DG!A:D,DG!$D$2,)</f>
        <v>cái</v>
      </c>
      <c r="G1540" s="1287">
        <v>3</v>
      </c>
      <c r="H1540" s="1353">
        <f t="shared" si="61"/>
        <v>0</v>
      </c>
      <c r="I1540" s="1277"/>
      <c r="J1540" s="1277"/>
      <c r="K1540" s="1312"/>
      <c r="L1540" s="1125">
        <v>320</v>
      </c>
    </row>
    <row r="1541" spans="1:12" s="1279" customFormat="1" ht="20.100000000000001" customHeight="1">
      <c r="A1541" s="1377">
        <f t="shared" si="60"/>
        <v>0</v>
      </c>
      <c r="B1541" s="1378" t="s">
        <v>1298</v>
      </c>
      <c r="C1541" s="1286"/>
      <c r="D1541" s="1274">
        <f>VLOOKUP($B1541,DG!A:D,DG!$B$2,)</f>
        <v>0</v>
      </c>
      <c r="E1541" s="1275" t="str">
        <f>VLOOKUP($B1541,DG!A:D,DG!$C$2,)</f>
        <v>Chân sứ đứng D20</v>
      </c>
      <c r="F1541" s="1274" t="str">
        <f>VLOOKUP($B1541,DG!A:D,DG!$D$2,)</f>
        <v>cái</v>
      </c>
      <c r="G1541" s="1287">
        <f>G1540</f>
        <v>3</v>
      </c>
      <c r="H1541" s="1353">
        <f t="shared" si="61"/>
        <v>0</v>
      </c>
      <c r="I1541" s="1277"/>
      <c r="J1541" s="1277"/>
      <c r="K1541" s="1312"/>
      <c r="L1541" s="1125">
        <v>320</v>
      </c>
    </row>
    <row r="1542" spans="1:12" s="1279" customFormat="1" ht="20.100000000000001" customHeight="1">
      <c r="A1542" s="1377">
        <f t="shared" si="60"/>
        <v>0</v>
      </c>
      <c r="B1542" s="1629" t="s">
        <v>382</v>
      </c>
      <c r="C1542" s="1286"/>
      <c r="D1542" s="1274">
        <f>VLOOKUP($B1542,DG!A:D,DG!$B$2,)</f>
        <v>0</v>
      </c>
      <c r="E1542" s="1275" t="str">
        <f>VLOOKUP($B1542,DG!A:D,DG!$C$2,)</f>
        <v>Chụp đầu cực FCO (bộ 2 cái)</v>
      </c>
      <c r="F1542" s="1274" t="str">
        <f>VLOOKUP($B1542,DG!A:D,DG!$D$2,)</f>
        <v>bộ</v>
      </c>
      <c r="G1542" s="1344">
        <f>G1532*3+(3)</f>
        <v>3</v>
      </c>
      <c r="H1542" s="1353">
        <f t="shared" si="61"/>
        <v>0</v>
      </c>
      <c r="I1542" s="1277"/>
      <c r="J1542" s="1277"/>
      <c r="K1542" s="1312"/>
      <c r="L1542" s="1125">
        <v>320</v>
      </c>
    </row>
    <row r="1543" spans="1:12" s="1279" customFormat="1" ht="20.100000000000001" customHeight="1">
      <c r="A1543" s="1377">
        <f t="shared" si="60"/>
        <v>0</v>
      </c>
      <c r="B1543" s="1629" t="s">
        <v>380</v>
      </c>
      <c r="C1543" s="1286"/>
      <c r="D1543" s="1274">
        <f>VLOOKUP($B1543,DG!A:D,DG!$B$2,)</f>
        <v>0</v>
      </c>
      <c r="E1543" s="1275" t="str">
        <f>VLOOKUP($B1543,DG!A:D,DG!$C$2,)</f>
        <v>Chụp đầu cực LA</v>
      </c>
      <c r="F1543" s="1274" t="str">
        <f>VLOOKUP($B1543,DG!A:D,DG!$D$2,)</f>
        <v>cái</v>
      </c>
      <c r="G1543" s="1344">
        <f>G1532*3</f>
        <v>0</v>
      </c>
      <c r="H1543" s="1353">
        <f t="shared" si="61"/>
        <v>0</v>
      </c>
      <c r="I1543" s="1277"/>
      <c r="J1543" s="1277"/>
      <c r="K1543" s="1312"/>
      <c r="L1543" s="1125">
        <v>320</v>
      </c>
    </row>
    <row r="1544" spans="1:12" s="1279" customFormat="1" ht="20.100000000000001" customHeight="1">
      <c r="A1544" s="1377">
        <f t="shared" si="60"/>
        <v>0</v>
      </c>
      <c r="B1544" s="1629" t="s">
        <v>381</v>
      </c>
      <c r="C1544" s="1286"/>
      <c r="D1544" s="1274">
        <f>VLOOKUP($B1544,DG!A:D,DG!$B$2,)</f>
        <v>0</v>
      </c>
      <c r="E1544" s="1275" t="str">
        <f>VLOOKUP($B1544,DG!A:D,DG!$C$2,)</f>
        <v>Chụp đầu MBA</v>
      </c>
      <c r="F1544" s="1274" t="str">
        <f>VLOOKUP($B1544,DG!A:D,DG!$D$2,)</f>
        <v>cái</v>
      </c>
      <c r="G1544" s="1344">
        <f>G1543</f>
        <v>0</v>
      </c>
      <c r="H1544" s="1353">
        <f t="shared" si="61"/>
        <v>0</v>
      </c>
      <c r="I1544" s="1277"/>
      <c r="J1544" s="1277"/>
      <c r="K1544" s="1312"/>
      <c r="L1544" s="1125">
        <v>320</v>
      </c>
    </row>
    <row r="1545" spans="1:12" s="1279" customFormat="1" ht="20.100000000000001" customHeight="1">
      <c r="A1545" s="1377">
        <f t="shared" si="60"/>
        <v>0</v>
      </c>
      <c r="B1545" s="1378" t="s">
        <v>1617</v>
      </c>
      <c r="C1545" s="1286"/>
      <c r="D1545" s="1274" t="str">
        <f>VLOOKUP($B1545,DG!A:D,DG!$B$2,)</f>
        <v>06.1115</v>
      </c>
      <c r="E1545" s="1275" t="str">
        <f>VLOOKUP($B1545,DG!A:D,DG!$C$2,)</f>
        <v>Lắp sứ đứng 24KV</v>
      </c>
      <c r="F1545" s="1274" t="str">
        <f>VLOOKUP($B1545,DG!A:D,DG!$D$2,)</f>
        <v>bộ</v>
      </c>
      <c r="G1545" s="1287">
        <f>G1540</f>
        <v>3</v>
      </c>
      <c r="H1545" s="1353">
        <f t="shared" si="61"/>
        <v>0</v>
      </c>
      <c r="I1545" s="1277"/>
      <c r="J1545" s="1277"/>
      <c r="K1545" s="1312"/>
      <c r="L1545" s="1125">
        <v>320</v>
      </c>
    </row>
    <row r="1546" spans="1:12" s="1279" customFormat="1" ht="20.100000000000001" customHeight="1">
      <c r="A1546" s="1377">
        <f t="shared" si="60"/>
        <v>0</v>
      </c>
      <c r="B1546" s="1378" t="s">
        <v>236</v>
      </c>
      <c r="C1546" s="1286"/>
      <c r="D1546" s="1274" t="str">
        <f>VLOOKUP($B1546,DG!A:D,DG!$B$2,)</f>
        <v>06.1115</v>
      </c>
      <c r="E1546" s="1275" t="str">
        <f>VLOOKUP($B1546,DG!A:D,DG!$C$2,)</f>
        <v>Tháo sứ đứng 24KV</v>
      </c>
      <c r="F1546" s="1274" t="str">
        <f>VLOOKUP($B1546,DG!A:D,DG!$D$2,)</f>
        <v>bộ</v>
      </c>
      <c r="G1546" s="1287"/>
      <c r="H1546" s="1353">
        <f t="shared" si="61"/>
        <v>0</v>
      </c>
      <c r="I1546" s="1277"/>
      <c r="J1546" s="1277"/>
      <c r="K1546" s="1312"/>
      <c r="L1546" s="1125">
        <v>320</v>
      </c>
    </row>
    <row r="1547" spans="1:12" s="1279" customFormat="1" ht="20.100000000000001" customHeight="1">
      <c r="A1547" s="1377">
        <f t="shared" si="60"/>
        <v>0</v>
      </c>
      <c r="B1547" s="1378" t="s">
        <v>1559</v>
      </c>
      <c r="C1547" s="1286"/>
      <c r="D1547" s="1274" t="str">
        <f>VLOOKUP($B1547,DG!A:D,DG!$B$2,)</f>
        <v>06.2201</v>
      </c>
      <c r="E1547" s="1275" t="str">
        <f>VLOOKUP($B1547,DG!A:D,DG!$C$2,)</f>
        <v>Lắp chuỗi sứ néo Polymer</v>
      </c>
      <c r="F1547" s="1274" t="str">
        <f>VLOOKUP($B1547,DG!A:D,DG!$D$2,)</f>
        <v>chuỗi</v>
      </c>
      <c r="G1547" s="1287">
        <f>G1542</f>
        <v>3</v>
      </c>
      <c r="H1547" s="1353">
        <f t="shared" si="61"/>
        <v>0</v>
      </c>
      <c r="I1547" s="1277"/>
      <c r="J1547" s="1277"/>
      <c r="K1547" s="1312"/>
      <c r="L1547" s="1125">
        <v>320</v>
      </c>
    </row>
    <row r="1548" spans="1:12" s="1279" customFormat="1" ht="20.100000000000001" customHeight="1">
      <c r="A1548" s="1377">
        <f t="shared" si="60"/>
        <v>0</v>
      </c>
      <c r="B1548" s="1378" t="s">
        <v>1577</v>
      </c>
      <c r="C1548" s="1286"/>
      <c r="D1548" s="1274" t="str">
        <f>VLOOKUP($B1548,DG!A:D,DG!$B$2,)</f>
        <v>04.4201</v>
      </c>
      <c r="E1548" s="1275" t="str">
        <f>VLOOKUP($B1548,DG!A:D,DG!$C$2,)</f>
        <v>Lắp cáp đồng xuống thiết bị D ≤ 95mm2</v>
      </c>
      <c r="F1548" s="1274" t="str">
        <f>VLOOKUP($B1548,DG!A:D,DG!$D$2,)</f>
        <v>m</v>
      </c>
      <c r="G1548" s="1287">
        <f>G1534+G1535</f>
        <v>0</v>
      </c>
      <c r="H1548" s="1353">
        <f t="shared" si="61"/>
        <v>0</v>
      </c>
      <c r="I1548" s="1277"/>
      <c r="J1548" s="1277"/>
      <c r="K1548" s="1312"/>
      <c r="L1548" s="1125">
        <v>320</v>
      </c>
    </row>
    <row r="1549" spans="1:12" s="1279" customFormat="1" ht="20.100000000000001" customHeight="1">
      <c r="A1549" s="1377">
        <f t="shared" si="60"/>
        <v>0</v>
      </c>
      <c r="B1549" s="1582"/>
      <c r="C1549" s="1280">
        <f>IF(G1549&gt;0,C1532+1,C1532)</f>
        <v>0</v>
      </c>
      <c r="D1549" s="1281"/>
      <c r="E1549" s="1292" t="s">
        <v>3807</v>
      </c>
      <c r="F1549" s="1280" t="s">
        <v>2449</v>
      </c>
      <c r="G1549" s="1283"/>
      <c r="H1549" s="1353">
        <f t="shared" si="61"/>
        <v>0</v>
      </c>
      <c r="I1549" s="1277"/>
      <c r="J1549" s="1277"/>
      <c r="K1549" s="1278"/>
      <c r="L1549" s="1125">
        <v>320</v>
      </c>
    </row>
    <row r="1550" spans="1:12" s="1279" customFormat="1" ht="20.100000000000001" customHeight="1">
      <c r="A1550" s="1377">
        <f>IF(A1549&gt;0,1,0)</f>
        <v>0</v>
      </c>
      <c r="B1550" s="1582"/>
      <c r="C1550" s="1273"/>
      <c r="D1550" s="1284"/>
      <c r="E1550" s="1638" t="s">
        <v>2342</v>
      </c>
      <c r="F1550" s="1273"/>
      <c r="G1550" s="1293"/>
      <c r="H1550" s="1353">
        <f t="shared" si="61"/>
        <v>0</v>
      </c>
      <c r="I1550" s="1277"/>
      <c r="J1550" s="1277"/>
      <c r="K1550" s="1278"/>
      <c r="L1550" s="1125">
        <v>320</v>
      </c>
    </row>
    <row r="1551" spans="1:12" s="1279" customFormat="1" ht="20.100000000000001" customHeight="1">
      <c r="A1551" s="1377">
        <f t="shared" si="60"/>
        <v>0</v>
      </c>
      <c r="B1551" s="1582" t="s">
        <v>1541</v>
      </c>
      <c r="C1551" s="1286"/>
      <c r="D1551" s="1274" t="str">
        <f>VLOOKUP($B1551,DG!A:D,DG!$B$2,)</f>
        <v>04.8003</v>
      </c>
      <c r="E1551" s="1275" t="str">
        <f>VLOOKUP($B1551,DG!A:D,DG!$C$2,)</f>
        <v xml:space="preserve">Ống PVC D90x3,8mm </v>
      </c>
      <c r="F1551" s="1274" t="str">
        <f>VLOOKUP($B1551,DG!A:D,DG!$D$2,)</f>
        <v>m</v>
      </c>
      <c r="G1551" s="1287">
        <f>G1549*2</f>
        <v>0</v>
      </c>
      <c r="H1551" s="1353">
        <f t="shared" si="61"/>
        <v>0</v>
      </c>
      <c r="I1551" s="1277"/>
      <c r="J1551" s="1277"/>
      <c r="K1551" s="1278"/>
      <c r="L1551" s="1125">
        <v>320</v>
      </c>
    </row>
    <row r="1552" spans="1:12" s="1279" customFormat="1" ht="20.100000000000001" customHeight="1">
      <c r="A1552" s="1377">
        <f t="shared" si="60"/>
        <v>0</v>
      </c>
      <c r="B1552" s="1582" t="s">
        <v>86</v>
      </c>
      <c r="C1552" s="1286"/>
      <c r="D1552" s="1274">
        <f>VLOOKUP($B1552,DG!A:D,DG!$B$2,)</f>
        <v>0</v>
      </c>
      <c r="E1552" s="1275" t="str">
        <f>VLOOKUP($B1552,DG!A:D,DG!$C$2,)</f>
        <v>Co  90 độ PVC 90</v>
      </c>
      <c r="F1552" s="1274" t="str">
        <f>VLOOKUP($B1552,DG!A:D,DG!$D$2,)</f>
        <v>cái</v>
      </c>
      <c r="G1552" s="1287">
        <f>G1549*2</f>
        <v>0</v>
      </c>
      <c r="H1552" s="1353">
        <f t="shared" si="61"/>
        <v>0</v>
      </c>
      <c r="I1552" s="1277"/>
      <c r="J1552" s="1277"/>
      <c r="K1552" s="1278"/>
      <c r="L1552" s="1125">
        <v>320</v>
      </c>
    </row>
    <row r="1553" spans="1:12" s="1279" customFormat="1" ht="20.100000000000001" customHeight="1">
      <c r="A1553" s="1377">
        <f t="shared" si="60"/>
        <v>0</v>
      </c>
      <c r="B1553" s="1582" t="s">
        <v>948</v>
      </c>
      <c r="C1553" s="1286"/>
      <c r="D1553" s="1274">
        <f>VLOOKUP($B1553,DG!A:D,DG!$B$2,)</f>
        <v>0</v>
      </c>
      <c r="E1553" s="1275" t="str">
        <f>VLOOKUP($B1553,DG!A:D,DG!$C$2,)</f>
        <v>Khâu ven răng trong D90</v>
      </c>
      <c r="F1553" s="1274" t="str">
        <f>VLOOKUP($B1553,DG!A:D,DG!$D$2,)</f>
        <v>cái</v>
      </c>
      <c r="G1553" s="1287">
        <f>G1549*1</f>
        <v>0</v>
      </c>
      <c r="H1553" s="1353">
        <f t="shared" si="61"/>
        <v>0</v>
      </c>
      <c r="I1553" s="1277"/>
      <c r="J1553" s="1277"/>
      <c r="K1553" s="1278"/>
      <c r="L1553" s="1125">
        <v>320</v>
      </c>
    </row>
    <row r="1554" spans="1:12" s="1279" customFormat="1" ht="20.100000000000001" customHeight="1">
      <c r="A1554" s="1377">
        <f t="shared" si="60"/>
        <v>0</v>
      </c>
      <c r="B1554" s="1582" t="s">
        <v>947</v>
      </c>
      <c r="C1554" s="1286"/>
      <c r="D1554" s="1274">
        <f>VLOOKUP($B1554,DG!A:D,DG!$B$2,)</f>
        <v>0</v>
      </c>
      <c r="E1554" s="1275" t="str">
        <f>VLOOKUP($B1554,DG!A:D,DG!$C$2,)</f>
        <v>Khâu ven răng ngoài D90</v>
      </c>
      <c r="F1554" s="1274" t="str">
        <f>VLOOKUP($B1554,DG!A:D,DG!$D$2,)</f>
        <v>cái</v>
      </c>
      <c r="G1554" s="1287">
        <f>G1553</f>
        <v>0</v>
      </c>
      <c r="H1554" s="1353">
        <f t="shared" si="61"/>
        <v>0</v>
      </c>
      <c r="I1554" s="1277"/>
      <c r="J1554" s="1277"/>
      <c r="K1554" s="1278"/>
      <c r="L1554" s="1125">
        <v>320</v>
      </c>
    </row>
    <row r="1555" spans="1:12" s="1279" customFormat="1" ht="20.100000000000001" customHeight="1">
      <c r="A1555" s="1377">
        <f t="shared" si="60"/>
        <v>0</v>
      </c>
      <c r="B1555" s="1378"/>
      <c r="C1555" s="1280">
        <f>IF(G1555&gt;0,C1549+1,C1549)</f>
        <v>0</v>
      </c>
      <c r="D1555" s="1281"/>
      <c r="E1555" s="1292" t="s">
        <v>3841</v>
      </c>
      <c r="F1555" s="1280" t="s">
        <v>2449</v>
      </c>
      <c r="G1555" s="1351">
        <f>G1492</f>
        <v>0</v>
      </c>
      <c r="H1555" s="1353">
        <f t="shared" si="61"/>
        <v>0</v>
      </c>
      <c r="I1555" s="1277"/>
      <c r="J1555" s="1277"/>
      <c r="K1555" s="1312"/>
      <c r="L1555" s="1125">
        <v>320</v>
      </c>
    </row>
    <row r="1556" spans="1:12" s="1279" customFormat="1" ht="20.100000000000001" customHeight="1">
      <c r="A1556" s="1377">
        <f>IF(A1555&gt;0,1,0)</f>
        <v>0</v>
      </c>
      <c r="B1556" s="1378"/>
      <c r="C1556" s="1273"/>
      <c r="D1556" s="1284"/>
      <c r="E1556" s="1638" t="s">
        <v>2342</v>
      </c>
      <c r="F1556" s="1273"/>
      <c r="G1556" s="1287"/>
      <c r="H1556" s="1353">
        <f t="shared" si="61"/>
        <v>0</v>
      </c>
      <c r="I1556" s="1277"/>
      <c r="J1556" s="1277"/>
      <c r="K1556" s="1312"/>
      <c r="L1556" s="1125">
        <v>320</v>
      </c>
    </row>
    <row r="1557" spans="1:12" s="1279" customFormat="1" ht="20.100000000000001" customHeight="1">
      <c r="A1557" s="1377">
        <f t="shared" si="60"/>
        <v>0</v>
      </c>
      <c r="B1557" s="1625" t="s">
        <v>2210</v>
      </c>
      <c r="C1557" s="1286"/>
      <c r="D1557" s="1274">
        <f>VLOOKUP($B1557,DG!A:D,DG!$B$2,)</f>
        <v>0</v>
      </c>
      <c r="E1557" s="1275" t="str">
        <f>VLOOKUP($B1557,DG!A:D,DG!$C$2,)</f>
        <v>Cáp đồng bọc CV300</v>
      </c>
      <c r="F1557" s="1274" t="str">
        <f>VLOOKUP($B1557,DG!A:D,DG!$D$2,)</f>
        <v>mét</v>
      </c>
      <c r="G1557" s="1348">
        <f>8*3*G1555*K12</f>
        <v>0</v>
      </c>
      <c r="H1557" s="1353">
        <f t="shared" si="61"/>
        <v>0</v>
      </c>
      <c r="I1557" s="1277"/>
      <c r="J1557" s="1277"/>
      <c r="K1557" s="1312"/>
      <c r="L1557" s="1125">
        <v>320</v>
      </c>
    </row>
    <row r="1558" spans="1:12" s="1279" customFormat="1" ht="20.100000000000001" customHeight="1">
      <c r="A1558" s="1377">
        <f t="shared" ref="A1558:A1619" si="62">IF(H1558&gt;0,1,0)</f>
        <v>0</v>
      </c>
      <c r="B1558" s="1625" t="s">
        <v>1043</v>
      </c>
      <c r="C1558" s="1286"/>
      <c r="D1558" s="1274">
        <f>VLOOKUP($B1558,DG!A:D,DG!$B$2,)</f>
        <v>0</v>
      </c>
      <c r="E1558" s="1275" t="str">
        <f>VLOOKUP($B1558,DG!A:D,DG!$C$2,)</f>
        <v>Cáp đồng bọc CV185</v>
      </c>
      <c r="F1558" s="1274" t="str">
        <f>VLOOKUP($B1558,DG!A:D,DG!$D$2,)</f>
        <v>mét</v>
      </c>
      <c r="G1558" s="1348">
        <f>8*G1555</f>
        <v>0</v>
      </c>
      <c r="H1558" s="1353">
        <f t="shared" si="61"/>
        <v>0</v>
      </c>
      <c r="I1558" s="1277"/>
      <c r="J1558" s="1277"/>
      <c r="K1558" s="1312"/>
      <c r="L1558" s="1125">
        <v>320</v>
      </c>
    </row>
    <row r="1559" spans="1:12" s="1279" customFormat="1" ht="20.100000000000001" customHeight="1">
      <c r="A1559" s="1377">
        <f t="shared" si="62"/>
        <v>0</v>
      </c>
      <c r="B1559" s="1582" t="s">
        <v>452</v>
      </c>
      <c r="C1559" s="1286"/>
      <c r="D1559" s="1274" t="str">
        <f>VLOOKUP($B1559,DG!A:D,DG!$B$2,)</f>
        <v>03.4009</v>
      </c>
      <c r="E1559" s="1275" t="str">
        <f>VLOOKUP($B1559,DG!A:D,DG!$C$2,)&amp;": "</f>
        <v xml:space="preserve">Đầu cosse ép Cu 300mm2: </v>
      </c>
      <c r="F1559" s="1274" t="str">
        <f>VLOOKUP($B1559,DG!A:D,DG!$D$2,)</f>
        <v>cái</v>
      </c>
      <c r="G1559" s="1287">
        <f>G1555*6</f>
        <v>0</v>
      </c>
      <c r="H1559" s="1353">
        <f t="shared" si="61"/>
        <v>0</v>
      </c>
      <c r="I1559" s="1277"/>
      <c r="J1559" s="1277"/>
      <c r="K1559" s="1312"/>
      <c r="L1559" s="1125">
        <v>320</v>
      </c>
    </row>
    <row r="1560" spans="1:12" s="1279" customFormat="1" ht="20.100000000000001" customHeight="1">
      <c r="A1560" s="1377">
        <f t="shared" si="62"/>
        <v>0</v>
      </c>
      <c r="B1560" s="1582" t="s">
        <v>152</v>
      </c>
      <c r="C1560" s="1286"/>
      <c r="D1560" s="1274" t="str">
        <f>VLOOKUP($B1560,DG!A:D,DG!$B$2,)</f>
        <v>03.4007</v>
      </c>
      <c r="E1560" s="1275" t="str">
        <f>VLOOKUP($B1560,DG!A:D,DG!$C$2,)&amp;": "</f>
        <v xml:space="preserve">Đầu cosse ép Cu 185mm2: </v>
      </c>
      <c r="F1560" s="1274" t="str">
        <f>VLOOKUP($B1560,DG!A:D,DG!$D$2,)</f>
        <v>cái</v>
      </c>
      <c r="G1560" s="1287">
        <f>G1555*2</f>
        <v>0</v>
      </c>
      <c r="H1560" s="1353">
        <f t="shared" si="61"/>
        <v>0</v>
      </c>
      <c r="I1560" s="1277"/>
      <c r="J1560" s="1277"/>
      <c r="K1560" s="1312"/>
      <c r="L1560" s="1125">
        <v>320</v>
      </c>
    </row>
    <row r="1561" spans="1:12" s="1279" customFormat="1" ht="20.100000000000001" customHeight="1">
      <c r="A1561" s="1377">
        <f t="shared" si="62"/>
        <v>0</v>
      </c>
      <c r="B1561" s="1582" t="s">
        <v>1005</v>
      </c>
      <c r="C1561" s="1286"/>
      <c r="D1561" s="1274">
        <f>VLOOKUP($B1561,DG!A:D,DG!$B$2,)</f>
        <v>0</v>
      </c>
      <c r="E1561" s="1275" t="str">
        <f>VLOOKUP($B1561,DG!A:D,DG!$C$2,)&amp;": "</f>
        <v xml:space="preserve">Chụp đầu cosse  300mm2: </v>
      </c>
      <c r="F1561" s="1274" t="str">
        <f>VLOOKUP($B1561,DG!A:D,DG!$D$2,)</f>
        <v>cái</v>
      </c>
      <c r="G1561" s="1287">
        <f>G1559</f>
        <v>0</v>
      </c>
      <c r="H1561" s="1353">
        <f t="shared" si="61"/>
        <v>0</v>
      </c>
      <c r="I1561" s="1277"/>
      <c r="J1561" s="1277"/>
      <c r="K1561" s="1312"/>
      <c r="L1561" s="1125">
        <v>320</v>
      </c>
    </row>
    <row r="1562" spans="1:12" s="1279" customFormat="1" ht="20.100000000000001" customHeight="1">
      <c r="A1562" s="1377">
        <f t="shared" si="62"/>
        <v>0</v>
      </c>
      <c r="B1562" s="1582" t="s">
        <v>151</v>
      </c>
      <c r="C1562" s="1286"/>
      <c r="D1562" s="1274">
        <f>VLOOKUP($B1562,DG!A:D,DG!$B$2,)</f>
        <v>0</v>
      </c>
      <c r="E1562" s="1275" t="str">
        <f>VLOOKUP($B1562,DG!A:D,DG!$C$2,)&amp;": "</f>
        <v xml:space="preserve">Chụp đầu cosse  185mm2: </v>
      </c>
      <c r="F1562" s="1274" t="str">
        <f>VLOOKUP($B1562,DG!A:D,DG!$D$2,)</f>
        <v>cái</v>
      </c>
      <c r="G1562" s="1287">
        <f>G1560</f>
        <v>0</v>
      </c>
      <c r="H1562" s="1353">
        <f t="shared" si="61"/>
        <v>0</v>
      </c>
      <c r="I1562" s="1277"/>
      <c r="J1562" s="1277"/>
      <c r="K1562" s="1312"/>
      <c r="L1562" s="1125">
        <v>320</v>
      </c>
    </row>
    <row r="1563" spans="1:12" s="1279" customFormat="1" ht="20.100000000000001" customHeight="1">
      <c r="A1563" s="1377">
        <f t="shared" si="62"/>
        <v>0</v>
      </c>
      <c r="B1563" s="1582" t="s">
        <v>1072</v>
      </c>
      <c r="C1563" s="1286"/>
      <c r="D1563" s="1274">
        <f>VLOOKUP($B1563,DG!A:D,DG!$B$2,)</f>
        <v>0</v>
      </c>
      <c r="E1563" s="1275" t="str">
        <f>VLOOKUP($B1563,DG!A:D,DG!$C$2,)</f>
        <v xml:space="preserve">Ống PVC D114x4,9mm </v>
      </c>
      <c r="F1563" s="1274" t="str">
        <f>VLOOKUP($B1563,DG!A:D,DG!$D$2,)</f>
        <v>m</v>
      </c>
      <c r="G1563" s="1287">
        <f>IF(G1555&gt;2,0,6*G1555*G1555)</f>
        <v>0</v>
      </c>
      <c r="H1563" s="1353">
        <f t="shared" si="61"/>
        <v>0</v>
      </c>
      <c r="I1563" s="1277"/>
      <c r="J1563" s="1277"/>
      <c r="K1563" s="1312"/>
      <c r="L1563" s="1125">
        <v>320</v>
      </c>
    </row>
    <row r="1564" spans="1:12" s="1279" customFormat="1" ht="20.100000000000001" customHeight="1">
      <c r="A1564" s="1377">
        <f t="shared" si="62"/>
        <v>0</v>
      </c>
      <c r="B1564" s="1378" t="s">
        <v>739</v>
      </c>
      <c r="C1564" s="1286"/>
      <c r="D1564" s="1274" t="str">
        <f>VLOOKUP($B1564,DG!A:D,DG!$B$2,)</f>
        <v>06.3231</v>
      </c>
      <c r="E1564" s="1275" t="str">
        <f>VLOOKUP($B1564,DG!A:D,DG!$C$2,)&amp;": 01 bộ CD-250"</f>
        <v>Cổ dê kẹp ống PVC Ø 114: 01 bộ CD-250</v>
      </c>
      <c r="F1564" s="1274" t="str">
        <f>VLOOKUP($B1564,DG!A:D,DG!$D$2,)</f>
        <v>bộ</v>
      </c>
      <c r="G1564" s="1287">
        <v>1</v>
      </c>
      <c r="H1564" s="1353">
        <f t="shared" si="61"/>
        <v>0</v>
      </c>
      <c r="I1564" s="1277"/>
      <c r="J1564" s="1277"/>
      <c r="K1564" s="1312"/>
      <c r="L1564" s="1125">
        <v>320</v>
      </c>
    </row>
    <row r="1565" spans="1:12" s="1279" customFormat="1" ht="20.100000000000001" customHeight="1">
      <c r="A1565" s="1377">
        <f t="shared" si="62"/>
        <v>0</v>
      </c>
      <c r="B1565" s="1378" t="s">
        <v>739</v>
      </c>
      <c r="C1565" s="1286"/>
      <c r="D1565" s="1274" t="str">
        <f>VLOOKUP($B1565,DG!A:D,DG!$B$2,)</f>
        <v>06.3231</v>
      </c>
      <c r="E1565" s="1275" t="str">
        <f>VLOOKUP($B1565,DG!A:D,DG!$C$2,)&amp;": 01 bộ CD-280"</f>
        <v>Cổ dê kẹp ống PVC Ø 114: 01 bộ CD-280</v>
      </c>
      <c r="F1565" s="1274" t="str">
        <f>VLOOKUP($B1565,DG!A:D,DG!$D$2,)</f>
        <v>bộ</v>
      </c>
      <c r="G1565" s="1287">
        <v>1</v>
      </c>
      <c r="H1565" s="1353">
        <f t="shared" si="61"/>
        <v>0</v>
      </c>
      <c r="I1565" s="1277"/>
      <c r="J1565" s="1277"/>
      <c r="K1565" s="1312"/>
      <c r="L1565" s="1125">
        <v>320</v>
      </c>
    </row>
    <row r="1566" spans="1:12" s="1279" customFormat="1" ht="20.100000000000001" customHeight="1">
      <c r="A1566" s="1377">
        <f t="shared" si="62"/>
        <v>0</v>
      </c>
      <c r="B1566" s="1378" t="s">
        <v>739</v>
      </c>
      <c r="C1566" s="1286"/>
      <c r="D1566" s="1274" t="str">
        <f>VLOOKUP($B1566,DG!A:D,DG!$B$2,)</f>
        <v>06.3231</v>
      </c>
      <c r="E1566" s="1275" t="str">
        <f>VLOOKUP($B1566,DG!A:D,DG!$C$2,)&amp;": CD-320"</f>
        <v>Cổ dê kẹp ống PVC Ø 114: CD-320</v>
      </c>
      <c r="F1566" s="1274" t="str">
        <f>VLOOKUP($B1566,DG!A:D,DG!$D$2,)</f>
        <v>bộ</v>
      </c>
      <c r="G1566" s="1345">
        <f>G1555*0</f>
        <v>0</v>
      </c>
      <c r="H1566" s="1353">
        <f t="shared" si="61"/>
        <v>0</v>
      </c>
      <c r="I1566" s="1277"/>
      <c r="J1566" s="1277"/>
      <c r="K1566" s="1312"/>
      <c r="L1566" s="1125">
        <v>320</v>
      </c>
    </row>
    <row r="1567" spans="1:12" s="1279" customFormat="1" ht="20.100000000000001" customHeight="1">
      <c r="A1567" s="1377">
        <f t="shared" si="62"/>
        <v>0</v>
      </c>
      <c r="B1567" s="1378" t="s">
        <v>1161</v>
      </c>
      <c r="C1567" s="1286"/>
      <c r="D1567" s="1274" t="str">
        <f>VLOOKUP($B1567,DG!A:D,DG!$B$2,)</f>
        <v>06.2110</v>
      </c>
      <c r="E1567" s="1275" t="str">
        <f>VLOOKUP($B1567,DG!A:D,DG!$C$2,)</f>
        <v>Lắp cổ dề</v>
      </c>
      <c r="F1567" s="1274" t="str">
        <f>VLOOKUP($B1567,DG!A:D,DG!$D$2,)</f>
        <v>bộ</v>
      </c>
      <c r="G1567" s="1287">
        <f>G1555*3</f>
        <v>0</v>
      </c>
      <c r="H1567" s="1353">
        <f t="shared" si="61"/>
        <v>0</v>
      </c>
      <c r="I1567" s="1277"/>
      <c r="J1567" s="1277"/>
      <c r="K1567" s="1312"/>
      <c r="L1567" s="1125">
        <v>320</v>
      </c>
    </row>
    <row r="1568" spans="1:12" s="1279" customFormat="1" ht="20.100000000000001" customHeight="1">
      <c r="A1568" s="1377">
        <f t="shared" si="62"/>
        <v>0</v>
      </c>
      <c r="B1568" s="1615" t="s">
        <v>139</v>
      </c>
      <c r="C1568" s="1286"/>
      <c r="D1568" s="1274">
        <f>VLOOKUP($B1568,DG!A:D,DG!$B$2,)</f>
        <v>0</v>
      </c>
      <c r="E1568" s="1275" t="str">
        <f>VLOOKUP($B1568,DG!A:D,DG!$C$2,)</f>
        <v>Boulon 12x40+ 2 long đền vuông D14-50x50x3/Zn</v>
      </c>
      <c r="F1568" s="1274" t="str">
        <f>VLOOKUP($B1568,DG!A:D,DG!$D$2,)</f>
        <v>bộ</v>
      </c>
      <c r="G1568" s="1287"/>
      <c r="H1568" s="1353">
        <f t="shared" si="61"/>
        <v>0</v>
      </c>
      <c r="I1568" s="1277"/>
      <c r="J1568" s="1277"/>
      <c r="K1568" s="1312"/>
      <c r="L1568" s="1125">
        <v>320</v>
      </c>
    </row>
    <row r="1569" spans="1:12" s="1279" customFormat="1" ht="20.100000000000001" customHeight="1">
      <c r="A1569" s="1377">
        <f t="shared" si="62"/>
        <v>0</v>
      </c>
      <c r="B1569" s="1615" t="s">
        <v>2038</v>
      </c>
      <c r="C1569" s="1286"/>
      <c r="D1569" s="1274">
        <f>VLOOKUP($B1569,DG!A:D,DG!$B$2,)</f>
        <v>0</v>
      </c>
      <c r="E1569" s="1275" t="str">
        <f>VLOOKUP($B1569,DG!A:D,DG!$C$2,)</f>
        <v>Boulon 12x60+ 2 long đền vuông D14-50x50x3/Zn</v>
      </c>
      <c r="F1569" s="1274" t="str">
        <f>VLOOKUP($B1569,DG!A:D,DG!$D$2,)</f>
        <v>bộ</v>
      </c>
      <c r="G1569" s="1287"/>
      <c r="H1569" s="1353">
        <f t="shared" si="61"/>
        <v>0</v>
      </c>
      <c r="I1569" s="1277"/>
      <c r="J1569" s="1277"/>
      <c r="K1569" s="1312"/>
      <c r="L1569" s="1125">
        <v>320</v>
      </c>
    </row>
    <row r="1570" spans="1:12" s="1279" customFormat="1" ht="20.100000000000001" customHeight="1">
      <c r="A1570" s="1377">
        <f t="shared" si="62"/>
        <v>0</v>
      </c>
      <c r="B1570" s="1582" t="s">
        <v>2229</v>
      </c>
      <c r="C1570" s="1286"/>
      <c r="D1570" s="1274">
        <f>VLOOKUP($B1570,DG!A:D,DG!$B$2,)</f>
        <v>0</v>
      </c>
      <c r="E1570" s="1275" t="str">
        <f>VLOOKUP($B1570,DG!A:D,DG!$C$2,)</f>
        <v>Khâu ven răng trong D114</v>
      </c>
      <c r="F1570" s="1274" t="str">
        <f>VLOOKUP($B1570,DG!A:D,DG!$D$2,)</f>
        <v>cái</v>
      </c>
      <c r="G1570" s="1287">
        <f>G1555*1</f>
        <v>0</v>
      </c>
      <c r="H1570" s="1353">
        <f t="shared" si="61"/>
        <v>0</v>
      </c>
      <c r="I1570" s="1277"/>
      <c r="J1570" s="1277"/>
      <c r="K1570" s="1312"/>
      <c r="L1570" s="1125">
        <v>320</v>
      </c>
    </row>
    <row r="1571" spans="1:12" s="1279" customFormat="1" ht="20.100000000000001" customHeight="1">
      <c r="A1571" s="1377">
        <f t="shared" si="62"/>
        <v>0</v>
      </c>
      <c r="B1571" s="1582" t="s">
        <v>2230</v>
      </c>
      <c r="C1571" s="1286"/>
      <c r="D1571" s="1274">
        <f>VLOOKUP($B1571,DG!A:D,DG!$B$2,)</f>
        <v>0</v>
      </c>
      <c r="E1571" s="1275" t="str">
        <f>VLOOKUP($B1571,DG!A:D,DG!$C$2,)&amp;": "</f>
        <v xml:space="preserve">Khâu ven răng ngoài D114: </v>
      </c>
      <c r="F1571" s="1274" t="str">
        <f>VLOOKUP($B1571,DG!A:D,DG!$D$2,)</f>
        <v>cái</v>
      </c>
      <c r="G1571" s="1287">
        <f>G1570</f>
        <v>0</v>
      </c>
      <c r="H1571" s="1353">
        <f t="shared" si="61"/>
        <v>0</v>
      </c>
      <c r="I1571" s="1277"/>
      <c r="J1571" s="1277"/>
      <c r="K1571" s="1312"/>
      <c r="L1571" s="1125">
        <v>320</v>
      </c>
    </row>
    <row r="1572" spans="1:12" s="1279" customFormat="1" ht="20.100000000000001" customHeight="1">
      <c r="A1572" s="1377">
        <f t="shared" si="62"/>
        <v>0</v>
      </c>
      <c r="B1572" s="1582" t="s">
        <v>2136</v>
      </c>
      <c r="C1572" s="1286"/>
      <c r="D1572" s="1274">
        <f>VLOOKUP($B1572,DG!A:D,DG!$B$2,)</f>
        <v>0</v>
      </c>
      <c r="E1572" s="1275" t="str">
        <f>VLOOKUP($B1572,DG!A:D,DG!$C$2,)&amp;": "</f>
        <v xml:space="preserve">Keo dán ống PVC (100gr): </v>
      </c>
      <c r="F1572" s="1274" t="str">
        <f>VLOOKUP($B1572,DG!A:D,DG!$D$2,)</f>
        <v>tuýp</v>
      </c>
      <c r="G1572" s="1287">
        <f>G1571</f>
        <v>0</v>
      </c>
      <c r="H1572" s="1353">
        <f t="shared" si="61"/>
        <v>0</v>
      </c>
      <c r="I1572" s="1277"/>
      <c r="J1572" s="1277"/>
      <c r="K1572" s="1312"/>
      <c r="L1572" s="1125">
        <v>320</v>
      </c>
    </row>
    <row r="1573" spans="1:12" s="1279" customFormat="1" ht="20.100000000000001" customHeight="1">
      <c r="A1573" s="1377">
        <f t="shared" si="62"/>
        <v>0</v>
      </c>
      <c r="B1573" s="1378" t="s">
        <v>6</v>
      </c>
      <c r="C1573" s="1286"/>
      <c r="D1573" s="1274"/>
      <c r="E1573" s="1275" t="str">
        <f>VLOOKUP($B1573,DG!A:D,DG!$C$2,)&amp;":"</f>
        <v>Keo silicon bít miệng ống:</v>
      </c>
      <c r="F1573" s="1274" t="str">
        <f>VLOOKUP($B1573,DG!A:D,DG!$D$2,)</f>
        <v>ống</v>
      </c>
      <c r="G1573" s="1287">
        <f>G1572</f>
        <v>0</v>
      </c>
      <c r="H1573" s="1353">
        <f t="shared" si="61"/>
        <v>0</v>
      </c>
      <c r="I1573" s="1277"/>
      <c r="J1573" s="1277"/>
      <c r="K1573" s="1278"/>
      <c r="L1573" s="1125">
        <v>320</v>
      </c>
    </row>
    <row r="1574" spans="1:12" s="1279" customFormat="1" ht="20.100000000000001" customHeight="1">
      <c r="A1574" s="1377">
        <f t="shared" si="62"/>
        <v>0</v>
      </c>
      <c r="B1574" s="1582" t="s">
        <v>2338</v>
      </c>
      <c r="C1574" s="1286"/>
      <c r="D1574" s="1274" t="str">
        <f>VLOOKUP($B1574,DG!A:D,DG!$B$2,)</f>
        <v>03.1401</v>
      </c>
      <c r="E1574" s="1275" t="str">
        <f>VLOOKUP($B1574,DG!A:D,DG!$C$2,)</f>
        <v xml:space="preserve">Cáp CVV 4x4mm2  </v>
      </c>
      <c r="F1574" s="1274" t="str">
        <f>VLOOKUP($B1574,DG!A:D,DG!$D$2,)</f>
        <v>mét</v>
      </c>
      <c r="G1574" s="1287">
        <f>IF(G1581&gt;0,0,G1555*4)</f>
        <v>0</v>
      </c>
      <c r="H1574" s="1353">
        <f t="shared" si="61"/>
        <v>0</v>
      </c>
      <c r="I1574" s="1277"/>
      <c r="J1574" s="1277"/>
      <c r="K1574" s="1278"/>
      <c r="L1574" s="1125">
        <v>320</v>
      </c>
    </row>
    <row r="1575" spans="1:12" s="1279" customFormat="1" ht="20.100000000000001" customHeight="1">
      <c r="A1575" s="1377">
        <f t="shared" si="62"/>
        <v>0</v>
      </c>
      <c r="B1575" s="1582" t="s">
        <v>1381</v>
      </c>
      <c r="C1575" s="1286"/>
      <c r="D1575" s="1274">
        <f>VLOOKUP($B1575,DG!A:D,DG!$B$2,)</f>
        <v>0</v>
      </c>
      <c r="E1575" s="1275" t="str">
        <f>VLOOKUP($B1575,DG!A:D,DG!$C$2,)</f>
        <v>Dây rút cáp</v>
      </c>
      <c r="F1575" s="1274" t="str">
        <f>VLOOKUP($B1575,DG!A:D,DG!$D$2,)</f>
        <v>bọc</v>
      </c>
      <c r="G1575" s="1841"/>
      <c r="H1575" s="1353">
        <f t="shared" si="61"/>
        <v>0</v>
      </c>
      <c r="I1575" s="1277"/>
      <c r="J1575" s="1277"/>
      <c r="K1575" s="1278"/>
      <c r="L1575" s="1125">
        <v>320</v>
      </c>
    </row>
    <row r="1576" spans="1:12" s="1279" customFormat="1" ht="20.100000000000001" customHeight="1">
      <c r="A1576" s="1377">
        <f t="shared" si="62"/>
        <v>0</v>
      </c>
      <c r="B1576" s="1378" t="s">
        <v>677</v>
      </c>
      <c r="C1576" s="1286"/>
      <c r="D1576" s="1274">
        <f>VLOOKUP($B1576,DG!A:D,DG!$B$2,)</f>
        <v>0</v>
      </c>
      <c r="E1576" s="1275" t="str">
        <f>VLOOKUP($B1576,DG!A:D,DG!$C$2,)&amp;":"</f>
        <v>Băng keo cách điện:</v>
      </c>
      <c r="F1576" s="1274" t="str">
        <f>VLOOKUP($B1576,DG!A:D,DG!$D$2,)</f>
        <v>cuộn</v>
      </c>
      <c r="G1576" s="1287">
        <f>G1573*2</f>
        <v>0</v>
      </c>
      <c r="H1576" s="1353">
        <f t="shared" si="61"/>
        <v>0</v>
      </c>
      <c r="I1576" s="1277"/>
      <c r="J1576" s="1277"/>
      <c r="K1576" s="1312"/>
      <c r="L1576" s="1125">
        <v>320</v>
      </c>
    </row>
    <row r="1577" spans="1:12" s="1279" customFormat="1" ht="20.100000000000001" customHeight="1">
      <c r="A1577" s="1377">
        <f t="shared" si="62"/>
        <v>0</v>
      </c>
      <c r="B1577" s="1378" t="s">
        <v>1443</v>
      </c>
      <c r="C1577" s="1286"/>
      <c r="D1577" s="1274" t="str">
        <f>VLOOKUP($B1577,DG!A:D,DG!$B$2,)</f>
        <v>05.6101</v>
      </c>
      <c r="E1577" s="1275" t="str">
        <f>VLOOKUP($B1577,DG!A:D,DG!$C$2,)&amp;":"</f>
        <v>Lắp Giá đỡ cáp:</v>
      </c>
      <c r="F1577" s="1274" t="str">
        <f>VLOOKUP($B1577,DG!A:D,DG!$D$2,)</f>
        <v>bộ</v>
      </c>
      <c r="G1577" s="1287"/>
      <c r="H1577" s="1353">
        <f t="shared" si="61"/>
        <v>0</v>
      </c>
      <c r="I1577" s="1277"/>
      <c r="J1577" s="1277"/>
      <c r="K1577" s="1312"/>
      <c r="L1577" s="1125">
        <v>320</v>
      </c>
    </row>
    <row r="1578" spans="1:12" s="1279" customFormat="1" ht="20.100000000000001" customHeight="1">
      <c r="A1578" s="1377">
        <f t="shared" si="62"/>
        <v>0</v>
      </c>
      <c r="B1578" s="1378" t="s">
        <v>248</v>
      </c>
      <c r="C1578" s="1286"/>
      <c r="D1578" s="1274" t="str">
        <f>VLOOKUP($B1578,DG!A:D,DG!$B$2,)</f>
        <v>04.4203</v>
      </c>
      <c r="E1578" s="1275" t="str">
        <f>VLOOKUP($B1578,DG!A:D,DG!$C$2,)&amp;":"</f>
        <v>Lắp cáp đồng xuống thiết bị D &gt; 150mm2:</v>
      </c>
      <c r="F1578" s="1274" t="str">
        <f>VLOOKUP($B1578,DG!A:D,DG!$D$2,)</f>
        <v>m</v>
      </c>
      <c r="G1578" s="1287">
        <f>G1557+G1558</f>
        <v>0</v>
      </c>
      <c r="H1578" s="1353">
        <f t="shared" si="61"/>
        <v>0</v>
      </c>
      <c r="I1578" s="1277"/>
      <c r="J1578" s="1277"/>
      <c r="K1578" s="1312"/>
      <c r="L1578" s="1125">
        <v>320</v>
      </c>
    </row>
    <row r="1579" spans="1:12" s="1279" customFormat="1" ht="20.100000000000001" customHeight="1">
      <c r="A1579" s="1377">
        <f t="shared" si="62"/>
        <v>0</v>
      </c>
      <c r="B1579" s="1378" t="s">
        <v>2059</v>
      </c>
      <c r="C1579" s="1286"/>
      <c r="D1579" s="1274" t="str">
        <f>VLOOKUP($B1579,DG!A:D,DG!$B$2,)</f>
        <v>04.4202</v>
      </c>
      <c r="E1579" s="1275" t="str">
        <f>VLOOKUP($B1579,DG!A:D,DG!$C$2,)&amp;":"</f>
        <v>Lắp cáp đồng xuống thiết bị D ≤ 150mm2:</v>
      </c>
      <c r="F1579" s="1274" t="str">
        <f>VLOOKUP($B1579,DG!A:D,DG!$D$2,)</f>
        <v>m</v>
      </c>
      <c r="G1579" s="1287"/>
      <c r="H1579" s="1353">
        <f t="shared" si="61"/>
        <v>0</v>
      </c>
      <c r="I1579" s="1277"/>
      <c r="J1579" s="1277"/>
      <c r="K1579" s="1278"/>
      <c r="L1579" s="1125">
        <v>320</v>
      </c>
    </row>
    <row r="1580" spans="1:12" s="1279" customFormat="1" ht="20.100000000000001" customHeight="1">
      <c r="A1580" s="1377">
        <f t="shared" si="62"/>
        <v>0</v>
      </c>
      <c r="B1580" s="1378" t="s">
        <v>243</v>
      </c>
      <c r="C1580" s="1286"/>
      <c r="D1580" s="1274">
        <f>VLOOKUP($B1580,DG!A:D,DG!$B$2,)</f>
        <v>0</v>
      </c>
      <c r="E1580" s="1275" t="str">
        <f>VLOOKUP($B1580,DG!A:D,DG!$C$2,)&amp;":"</f>
        <v>Bộ móng tủ bù 0,2x0,2x0,4x4móng:</v>
      </c>
      <c r="F1580" s="1274" t="str">
        <f>VLOOKUP($B1580,DG!A:D,DG!$D$2,)</f>
        <v>trọn bộ</v>
      </c>
      <c r="G1580" s="1287">
        <f>G1555*1*0</f>
        <v>0</v>
      </c>
      <c r="H1580" s="1353">
        <f t="shared" si="61"/>
        <v>0</v>
      </c>
      <c r="I1580" s="1277"/>
      <c r="J1580" s="1277"/>
      <c r="K1580" s="1278"/>
      <c r="L1580" s="1125">
        <v>320</v>
      </c>
    </row>
    <row r="1581" spans="1:12" s="1279" customFormat="1" ht="20.100000000000001" customHeight="1">
      <c r="A1581" s="1377">
        <f t="shared" si="62"/>
        <v>0</v>
      </c>
      <c r="B1581" s="1378"/>
      <c r="C1581" s="1280">
        <f>IF(G1581&gt;0,C1555+1,C1555)</f>
        <v>0</v>
      </c>
      <c r="D1581" s="1281"/>
      <c r="E1581" s="1292" t="s">
        <v>3828</v>
      </c>
      <c r="F1581" s="1280" t="s">
        <v>2449</v>
      </c>
      <c r="G1581" s="1351">
        <f>G1388/3</f>
        <v>0</v>
      </c>
      <c r="H1581" s="1353">
        <f t="shared" si="61"/>
        <v>0</v>
      </c>
      <c r="I1581" s="1277"/>
      <c r="J1581" s="1277"/>
      <c r="K1581" s="1312"/>
      <c r="L1581" s="1125">
        <v>320</v>
      </c>
    </row>
    <row r="1582" spans="1:12" s="1352" customFormat="1" ht="20.100000000000001" customHeight="1">
      <c r="A1582" s="1377">
        <f>IF(A1581&gt;0,1,0)</f>
        <v>0</v>
      </c>
      <c r="B1582" s="1626"/>
      <c r="C1582" s="1273"/>
      <c r="D1582" s="1284"/>
      <c r="E1582" s="1638" t="s">
        <v>2342</v>
      </c>
      <c r="F1582" s="1273"/>
      <c r="G1582" s="1293"/>
      <c r="H1582" s="1353">
        <f t="shared" ref="H1582:H1645" si="63">IF(L1582=$L$23,G1582+I1582-J1582,0)</f>
        <v>0</v>
      </c>
      <c r="I1582" s="1277"/>
      <c r="J1582" s="1277"/>
      <c r="K1582" s="1312"/>
      <c r="L1582" s="1125">
        <v>320</v>
      </c>
    </row>
    <row r="1583" spans="1:12" s="1279" customFormat="1" ht="20.100000000000001" customHeight="1">
      <c r="A1583" s="1377">
        <f t="shared" si="62"/>
        <v>0</v>
      </c>
      <c r="B1583" s="1582" t="s">
        <v>1875</v>
      </c>
      <c r="C1583" s="1312"/>
      <c r="D1583" s="1274" t="str">
        <f>VLOOKUP($B1583,DG!A:D,DG!$B$2,)</f>
        <v>03.1401</v>
      </c>
      <c r="E1583" s="1310" t="str">
        <f>VLOOKUP($B1583,DG!A:D,DG!$C$2,)</f>
        <v xml:space="preserve">Cáp CVV 4x2,5mm2  </v>
      </c>
      <c r="F1583" s="1353" t="str">
        <f>VLOOKUP($B1583,DG!A:D,DG!$D$2,)</f>
        <v>mét</v>
      </c>
      <c r="G1583" s="1287">
        <f>G1581*26</f>
        <v>0</v>
      </c>
      <c r="H1583" s="1353">
        <f t="shared" si="63"/>
        <v>0</v>
      </c>
      <c r="I1583" s="1342"/>
      <c r="J1583" s="1342"/>
      <c r="K1583" s="1312"/>
      <c r="L1583" s="1125">
        <v>320</v>
      </c>
    </row>
    <row r="1584" spans="1:12" s="1279" customFormat="1" ht="20.100000000000001" customHeight="1">
      <c r="A1584" s="1377">
        <f t="shared" si="62"/>
        <v>0</v>
      </c>
      <c r="B1584" s="1582" t="s">
        <v>247</v>
      </c>
      <c r="C1584" s="1312"/>
      <c r="D1584" s="1274" t="str">
        <f>VLOOKUP($B1584,DG!A:D,DG!$B$2,)</f>
        <v>05.6101</v>
      </c>
      <c r="E1584" s="1310" t="str">
        <f>VLOOKUP($B1584,DG!A:D,DG!$C$2,)</f>
        <v>Xà kẹp TU, TI U50x32x4 350</v>
      </c>
      <c r="F1584" s="1353" t="str">
        <f>VLOOKUP($B1584,DG!A:D,DG!$D$2,)</f>
        <v>Bộ</v>
      </c>
      <c r="G1584" s="1287">
        <f>G1581*24</f>
        <v>0</v>
      </c>
      <c r="H1584" s="1353">
        <f t="shared" si="63"/>
        <v>0</v>
      </c>
      <c r="I1584" s="1342"/>
      <c r="J1584" s="1342"/>
      <c r="K1584" s="1312"/>
      <c r="L1584" s="1125">
        <v>320</v>
      </c>
    </row>
    <row r="1585" spans="1:12" s="1279" customFormat="1" ht="20.100000000000001" customHeight="1">
      <c r="A1585" s="1377">
        <f t="shared" si="62"/>
        <v>0</v>
      </c>
      <c r="B1585" s="1582" t="s">
        <v>1918</v>
      </c>
      <c r="C1585" s="1286"/>
      <c r="D1585" s="1274" t="str">
        <f>VLOOKUP($B1585,DG!A:D,DG!$B$2,)</f>
        <v>03.4001</v>
      </c>
      <c r="E1585" s="1310" t="str">
        <f>VLOOKUP($B1585,DG!A:D,DG!$C$2,)</f>
        <v xml:space="preserve">Đầu cosse ép Cu 2,5mm2 + bao PVC </v>
      </c>
      <c r="F1585" s="1353" t="str">
        <f>VLOOKUP($B1585,DG!A:D,DG!$D$2,)</f>
        <v>cái</v>
      </c>
      <c r="G1585" s="1287">
        <f>G1581*16</f>
        <v>0</v>
      </c>
      <c r="H1585" s="1353">
        <f t="shared" si="63"/>
        <v>0</v>
      </c>
      <c r="I1585" s="1342"/>
      <c r="J1585" s="1342"/>
      <c r="K1585" s="1312"/>
      <c r="L1585" s="1125">
        <v>320</v>
      </c>
    </row>
    <row r="1586" spans="1:12" s="1279" customFormat="1" ht="20.100000000000001" customHeight="1">
      <c r="A1586" s="1377">
        <f t="shared" si="62"/>
        <v>0</v>
      </c>
      <c r="B1586" s="1582" t="s">
        <v>1562</v>
      </c>
      <c r="C1586" s="1286"/>
      <c r="D1586" s="1274">
        <f>VLOOKUP($B1586,DG!A:D,DG!$B$2,)</f>
        <v>0</v>
      </c>
      <c r="E1586" s="1310" t="str">
        <f>VLOOKUP($B1586,DG!A:D,DG!$C$2,)</f>
        <v>Dây điện đôi 16/10</v>
      </c>
      <c r="F1586" s="1353" t="str">
        <f>VLOOKUP($B1586,DG!A:D,DG!$D$2,)</f>
        <v>mét</v>
      </c>
      <c r="G1586" s="1287">
        <f>2*G1581</f>
        <v>0</v>
      </c>
      <c r="H1586" s="1353">
        <f t="shared" si="63"/>
        <v>0</v>
      </c>
      <c r="I1586" s="1342"/>
      <c r="J1586" s="1342"/>
      <c r="K1586" s="1312"/>
      <c r="L1586" s="1125">
        <v>320</v>
      </c>
    </row>
    <row r="1587" spans="1:12" s="1279" customFormat="1" ht="20.100000000000001" customHeight="1">
      <c r="A1587" s="1377">
        <f t="shared" si="62"/>
        <v>0</v>
      </c>
      <c r="B1587" s="1582" t="s">
        <v>1144</v>
      </c>
      <c r="C1587" s="1286"/>
      <c r="D1587" s="1274">
        <f>VLOOKUP($B1587,DG!A:D,DG!$B$2,)</f>
        <v>0</v>
      </c>
      <c r="E1587" s="1310" t="str">
        <f>VLOOKUP($B1587,DG!A:D,DG!$C$2,)&amp;" (ñaáu TU )"</f>
        <v>Kẹp ép cỡ dây 25mm2 (ñaáu TU )</v>
      </c>
      <c r="F1587" s="1353" t="str">
        <f>VLOOKUP($B1587,DG!A:D,DG!$D$2,)</f>
        <v>cái</v>
      </c>
      <c r="G1587" s="1287">
        <f>+G1581*3</f>
        <v>0</v>
      </c>
      <c r="H1587" s="1353">
        <f t="shared" si="63"/>
        <v>0</v>
      </c>
      <c r="I1587" s="1342"/>
      <c r="J1587" s="1342"/>
      <c r="K1587" s="1312"/>
      <c r="L1587" s="1125">
        <v>320</v>
      </c>
    </row>
    <row r="1588" spans="1:12" s="1279" customFormat="1" ht="20.100000000000001" customHeight="1">
      <c r="A1588" s="1377">
        <f t="shared" si="62"/>
        <v>0</v>
      </c>
      <c r="B1588" s="1582" t="s">
        <v>2203</v>
      </c>
      <c r="C1588" s="1286"/>
      <c r="D1588" s="1274" t="str">
        <f>VLOOKUP($B1588,DG!A:D,DG!$B$2,)</f>
        <v>07.2403</v>
      </c>
      <c r="E1588" s="1310" t="str">
        <f>VLOOKUP($B1588,DG!A:D,DG!$C$2,)</f>
        <v>Ống PVC D42x2,1mm</v>
      </c>
      <c r="F1588" s="1353" t="str">
        <f>VLOOKUP($B1588,DG!A:D,DG!$D$2,)</f>
        <v>m</v>
      </c>
      <c r="G1588" s="1287">
        <f>G1581*14</f>
        <v>0</v>
      </c>
      <c r="H1588" s="1353">
        <f t="shared" si="63"/>
        <v>0</v>
      </c>
      <c r="I1588" s="1342"/>
      <c r="J1588" s="1342"/>
      <c r="K1588" s="1312"/>
      <c r="L1588" s="1125">
        <v>320</v>
      </c>
    </row>
    <row r="1589" spans="1:12" s="1279" customFormat="1" ht="20.100000000000001" customHeight="1">
      <c r="A1589" s="1377">
        <f t="shared" si="62"/>
        <v>0</v>
      </c>
      <c r="B1589" s="1378" t="s">
        <v>205</v>
      </c>
      <c r="C1589" s="1286"/>
      <c r="D1589" s="1274" t="str">
        <f>VLOOKUP($B1589,DG!A:D,DG!$B$2,)</f>
        <v>06.3231</v>
      </c>
      <c r="E1589" s="1310" t="str">
        <f>VLOOKUP($B1589,DG!A:D,DG!$C$2,)&amp;": 4 bộ"</f>
        <v>Cổ dê giữ ống PVC D42: 4 bộ</v>
      </c>
      <c r="F1589" s="1353" t="str">
        <f>VLOOKUP($B1589,DG!A:D,DG!$D$2,)</f>
        <v>bộ</v>
      </c>
      <c r="G1589" s="1276">
        <f>G1581*(0.459+0.482+0.52+0.569)</f>
        <v>0</v>
      </c>
      <c r="H1589" s="1353">
        <f t="shared" si="63"/>
        <v>0</v>
      </c>
      <c r="I1589" s="1342"/>
      <c r="J1589" s="1342"/>
      <c r="K1589" s="1312"/>
      <c r="L1589" s="1125">
        <v>320</v>
      </c>
    </row>
    <row r="1590" spans="1:12" s="1279" customFormat="1" ht="20.100000000000001" customHeight="1">
      <c r="A1590" s="1377">
        <f t="shared" si="62"/>
        <v>0</v>
      </c>
      <c r="B1590" s="1378" t="s">
        <v>1161</v>
      </c>
      <c r="C1590" s="1286"/>
      <c r="D1590" s="1274" t="str">
        <f>VLOOKUP($B1590,DG!A:D,DG!$B$2,)</f>
        <v>06.2110</v>
      </c>
      <c r="E1590" s="1310" t="str">
        <f>VLOOKUP($B1590,DG!A:D,DG!$C$2,)&amp;": 4 bộ"</f>
        <v>Lắp cổ dề: 4 bộ</v>
      </c>
      <c r="F1590" s="1353" t="str">
        <f>VLOOKUP($B1590,DG!A:D,DG!$D$2,)</f>
        <v>bộ</v>
      </c>
      <c r="G1590" s="1276">
        <f>G1581*4</f>
        <v>0</v>
      </c>
      <c r="H1590" s="1353">
        <f t="shared" si="63"/>
        <v>0</v>
      </c>
      <c r="I1590" s="1342"/>
      <c r="J1590" s="1342"/>
      <c r="K1590" s="1312"/>
      <c r="L1590" s="1125">
        <v>320</v>
      </c>
    </row>
    <row r="1591" spans="1:12" s="1279" customFormat="1" ht="20.100000000000001" customHeight="1">
      <c r="A1591" s="1377">
        <f t="shared" si="62"/>
        <v>0</v>
      </c>
      <c r="B1591" s="1582" t="s">
        <v>1668</v>
      </c>
      <c r="C1591" s="1286"/>
      <c r="D1591" s="1274">
        <f>VLOOKUP($B1591,DG!A:D,DG!$B$2,)</f>
        <v>0</v>
      </c>
      <c r="E1591" s="1310" t="str">
        <f>VLOOKUP($B1591,DG!A:D,DG!$C$2,)</f>
        <v>Co 90 độ PVC 42</v>
      </c>
      <c r="F1591" s="1353" t="str">
        <f>VLOOKUP($B1591,DG!A:D,DG!$D$2,)</f>
        <v>cái</v>
      </c>
      <c r="G1591" s="1287">
        <f>G1581*5</f>
        <v>0</v>
      </c>
      <c r="H1591" s="1353">
        <f t="shared" si="63"/>
        <v>0</v>
      </c>
      <c r="I1591" s="1342"/>
      <c r="J1591" s="1342"/>
      <c r="K1591" s="1312"/>
      <c r="L1591" s="1125">
        <v>320</v>
      </c>
    </row>
    <row r="1592" spans="1:12" s="1279" customFormat="1" ht="20.100000000000001" customHeight="1">
      <c r="A1592" s="1377">
        <f t="shared" si="62"/>
        <v>0</v>
      </c>
      <c r="B1592" s="1582" t="s">
        <v>1080</v>
      </c>
      <c r="C1592" s="1286"/>
      <c r="D1592" s="1274">
        <f>VLOOKUP($B1592,DG!A:D,DG!$B$2,)</f>
        <v>0</v>
      </c>
      <c r="E1592" s="1310" t="str">
        <f>VLOOKUP($B1592,DG!A:D,DG!$C$2,)</f>
        <v>Co chữ T ống PVC 42</v>
      </c>
      <c r="F1592" s="1353" t="str">
        <f>VLOOKUP($B1592,DG!A:D,DG!$D$2,)</f>
        <v>cái</v>
      </c>
      <c r="G1592" s="1287">
        <f>G1581*5</f>
        <v>0</v>
      </c>
      <c r="H1592" s="1353">
        <f t="shared" si="63"/>
        <v>0</v>
      </c>
      <c r="I1592" s="1342"/>
      <c r="J1592" s="1342"/>
      <c r="K1592" s="1312"/>
      <c r="L1592" s="1125">
        <v>320</v>
      </c>
    </row>
    <row r="1593" spans="1:12" s="1279" customFormat="1" ht="20.100000000000001" customHeight="1">
      <c r="A1593" s="1377">
        <f t="shared" si="62"/>
        <v>0</v>
      </c>
      <c r="B1593" s="1582" t="s">
        <v>1966</v>
      </c>
      <c r="C1593" s="1286"/>
      <c r="D1593" s="1274">
        <f>VLOOKUP($B1593,DG!A:D,DG!$B$2,)</f>
        <v>0</v>
      </c>
      <c r="E1593" s="1310" t="str">
        <f>VLOOKUP($B1593,DG!A:D,DG!$C$2,)</f>
        <v>Nối thẳng ống PVC 42</v>
      </c>
      <c r="F1593" s="1353" t="str">
        <f>VLOOKUP($B1593,DG!A:D,DG!$D$2,)</f>
        <v>cái</v>
      </c>
      <c r="G1593" s="1287">
        <f>G1581</f>
        <v>0</v>
      </c>
      <c r="H1593" s="1353">
        <f t="shared" si="63"/>
        <v>0</v>
      </c>
      <c r="I1593" s="1342"/>
      <c r="J1593" s="1342"/>
      <c r="K1593" s="1312"/>
      <c r="L1593" s="1125">
        <v>320</v>
      </c>
    </row>
    <row r="1594" spans="1:12" s="1279" customFormat="1" ht="20.100000000000001" customHeight="1">
      <c r="A1594" s="1377">
        <f t="shared" si="62"/>
        <v>0</v>
      </c>
      <c r="B1594" s="1582" t="s">
        <v>704</v>
      </c>
      <c r="C1594" s="1286"/>
      <c r="D1594" s="1274">
        <f>VLOOKUP($B1594,DG!A:D,DG!$B$2,)</f>
        <v>0</v>
      </c>
      <c r="E1594" s="1310" t="str">
        <f>VLOOKUP($B1594,DG!A:D,DG!$C$2,)&amp;" ñaáu TU"</f>
        <v>Cáp 24KV C/XLPE/PVC 25mm2 ñaáu TU</v>
      </c>
      <c r="F1594" s="1353" t="str">
        <f>VLOOKUP($B1594,DG!A:D,DG!$D$2,)</f>
        <v>mét</v>
      </c>
      <c r="G1594" s="1348">
        <f>G1581*0.8*3</f>
        <v>0</v>
      </c>
      <c r="H1594" s="1353">
        <f t="shared" si="63"/>
        <v>0</v>
      </c>
      <c r="I1594" s="1342"/>
      <c r="J1594" s="1342"/>
      <c r="K1594" s="1312"/>
      <c r="L1594" s="1125">
        <v>320</v>
      </c>
    </row>
    <row r="1595" spans="1:12" s="1279" customFormat="1" ht="20.100000000000001" customHeight="1">
      <c r="A1595" s="1377">
        <f t="shared" si="62"/>
        <v>0</v>
      </c>
      <c r="B1595" s="1582" t="s">
        <v>2136</v>
      </c>
      <c r="C1595" s="1286"/>
      <c r="D1595" s="1274">
        <f>VLOOKUP($B1595,DG!A:D,DG!$B$2,)</f>
        <v>0</v>
      </c>
      <c r="E1595" s="1310" t="str">
        <f>VLOOKUP($B1595,DG!A:D,DG!$C$2,)</f>
        <v>Keo dán ống PVC (100gr)</v>
      </c>
      <c r="F1595" s="1353" t="str">
        <f>VLOOKUP($B1595,DG!A:D,DG!$D$2,)</f>
        <v>tuýp</v>
      </c>
      <c r="G1595" s="1287">
        <f>G1581</f>
        <v>0</v>
      </c>
      <c r="H1595" s="1353">
        <f t="shared" si="63"/>
        <v>0</v>
      </c>
      <c r="I1595" s="1342"/>
      <c r="J1595" s="1342"/>
      <c r="K1595" s="1312"/>
      <c r="L1595" s="1125">
        <v>320</v>
      </c>
    </row>
    <row r="1596" spans="1:12" s="1279" customFormat="1" ht="20.100000000000001" customHeight="1">
      <c r="A1596" s="1377">
        <f t="shared" si="62"/>
        <v>0</v>
      </c>
      <c r="B1596" s="1378" t="s">
        <v>677</v>
      </c>
      <c r="C1596" s="1286"/>
      <c r="D1596" s="1274">
        <f>VLOOKUP($B1596,DG!A:D,DG!$B$2,)</f>
        <v>0</v>
      </c>
      <c r="E1596" s="1310" t="str">
        <f>VLOOKUP($B1596,DG!A:D,DG!$C$2,)</f>
        <v>Băng keo cách điện</v>
      </c>
      <c r="F1596" s="1353" t="str">
        <f>VLOOKUP($B1596,DG!A:D,DG!$D$2,)</f>
        <v>cuộn</v>
      </c>
      <c r="G1596" s="1287">
        <f>G1581</f>
        <v>0</v>
      </c>
      <c r="H1596" s="1353">
        <f t="shared" si="63"/>
        <v>0</v>
      </c>
      <c r="I1596" s="1277"/>
      <c r="J1596" s="1277"/>
      <c r="K1596" s="1312"/>
      <c r="L1596" s="1125">
        <v>320</v>
      </c>
    </row>
    <row r="1597" spans="1:12" s="1279" customFormat="1" ht="20.100000000000001" customHeight="1">
      <c r="A1597" s="1377">
        <f t="shared" si="62"/>
        <v>0</v>
      </c>
      <c r="B1597" s="1582" t="s">
        <v>2182</v>
      </c>
      <c r="C1597" s="1286"/>
      <c r="D1597" s="1274">
        <f>VLOOKUP($B1597,DG!A:D,DG!$B$2,)</f>
        <v>0</v>
      </c>
      <c r="E1597" s="1310" t="str">
        <f>VLOOKUP($B1597,DG!A:D,DG!$C$2,)</f>
        <v>Khâu ven răng trong D42</v>
      </c>
      <c r="F1597" s="1353" t="str">
        <f>VLOOKUP($B1597,DG!A:D,DG!$D$2,)</f>
        <v>cái</v>
      </c>
      <c r="G1597" s="1287">
        <f>G1581</f>
        <v>0</v>
      </c>
      <c r="H1597" s="1353">
        <f t="shared" si="63"/>
        <v>0</v>
      </c>
      <c r="I1597" s="1277"/>
      <c r="J1597" s="1277"/>
      <c r="K1597" s="1312"/>
      <c r="L1597" s="1125">
        <v>320</v>
      </c>
    </row>
    <row r="1598" spans="1:12" s="1279" customFormat="1" ht="20.100000000000001" customHeight="1">
      <c r="A1598" s="1377">
        <f t="shared" si="62"/>
        <v>0</v>
      </c>
      <c r="B1598" s="1378" t="s">
        <v>989</v>
      </c>
      <c r="C1598" s="1286"/>
      <c r="D1598" s="1274">
        <f>VLOOKUP($B1598,DG!A:D,DG!$B$2,)</f>
        <v>0</v>
      </c>
      <c r="E1598" s="1310" t="str">
        <f>VLOOKUP($B1598,DG!A:D,DG!$C$2,)</f>
        <v>Khâu ven răng ngoài D42</v>
      </c>
      <c r="F1598" s="1353" t="str">
        <f>VLOOKUP($B1598,DG!A:D,DG!$D$2,)</f>
        <v>cái</v>
      </c>
      <c r="G1598" s="1287">
        <f>G1581</f>
        <v>0</v>
      </c>
      <c r="H1598" s="1353">
        <f t="shared" si="63"/>
        <v>0</v>
      </c>
      <c r="I1598" s="1277"/>
      <c r="J1598" s="1277"/>
      <c r="K1598" s="1312"/>
      <c r="L1598" s="1125">
        <v>320</v>
      </c>
    </row>
    <row r="1599" spans="1:12" s="1279" customFormat="1" ht="20.100000000000001" customHeight="1">
      <c r="A1599" s="1377">
        <f t="shared" si="62"/>
        <v>0</v>
      </c>
      <c r="B1599" s="1378" t="s">
        <v>320</v>
      </c>
      <c r="C1599" s="1286"/>
      <c r="D1599" s="1274" t="str">
        <f>VLOOKUP($B1599,DG!A:D,DG!$B$2,)</f>
        <v>06.3231</v>
      </c>
      <c r="E1599" s="1310" t="str">
        <f>VLOOKUP($B1599,DG!A:D,DG!$C$2,)&amp;": 02 bộ"</f>
        <v>Cổ dê CDĐKĐT( bắt thùng điện kế): 02 bộ</v>
      </c>
      <c r="F1599" s="1353" t="str">
        <f>VLOOKUP($B1599,DG!A:D,DG!$D$2,)</f>
        <v>bộ</v>
      </c>
      <c r="G1599" s="1344">
        <f>G1581*2*5.85</f>
        <v>0</v>
      </c>
      <c r="H1599" s="1353">
        <f t="shared" si="63"/>
        <v>0</v>
      </c>
      <c r="I1599" s="1277"/>
      <c r="J1599" s="1277"/>
      <c r="K1599" s="1278"/>
      <c r="L1599" s="1125">
        <v>320</v>
      </c>
    </row>
    <row r="1600" spans="1:12" s="1279" customFormat="1" ht="20.100000000000001" customHeight="1">
      <c r="A1600" s="1377">
        <f t="shared" si="62"/>
        <v>0</v>
      </c>
      <c r="B1600" s="1378" t="s">
        <v>1968</v>
      </c>
      <c r="C1600" s="1286"/>
      <c r="D1600" s="1274" t="str">
        <f>VLOOKUP($B1600,DG!A:D,DG!$B$2,)</f>
        <v>05.1101</v>
      </c>
      <c r="E1600" s="1310" t="str">
        <f>VLOOKUP($B1600,DG!A:D,DG!$C$2,)</f>
        <v>Thùng điện kế 450x300x200mm đo đếm trung thế</v>
      </c>
      <c r="F1600" s="1353" t="str">
        <f>VLOOKUP($B1600,DG!A:D,DG!$D$2,)</f>
        <v>cái</v>
      </c>
      <c r="G1600" s="1287">
        <f>G1581</f>
        <v>0</v>
      </c>
      <c r="H1600" s="1353">
        <f t="shared" si="63"/>
        <v>0</v>
      </c>
      <c r="I1600" s="1277"/>
      <c r="J1600" s="1277"/>
      <c r="K1600" s="1312"/>
      <c r="L1600" s="1125">
        <v>320</v>
      </c>
    </row>
    <row r="1601" spans="1:12" s="1279" customFormat="1" ht="20.100000000000001" customHeight="1">
      <c r="A1601" s="1377">
        <f t="shared" si="62"/>
        <v>0</v>
      </c>
      <c r="B1601" s="1378" t="s">
        <v>1161</v>
      </c>
      <c r="C1601" s="1286"/>
      <c r="D1601" s="1274" t="str">
        <f>VLOOKUP($B1601,DG!A:D,DG!$B$2,)</f>
        <v>06.2110</v>
      </c>
      <c r="E1601" s="1310" t="str">
        <f>VLOOKUP($B1601,DG!A:D,DG!$C$2,)</f>
        <v>Lắp cổ dề</v>
      </c>
      <c r="F1601" s="1353" t="str">
        <f>VLOOKUP($B1601,DG!A:D,DG!$D$2,)</f>
        <v>bộ</v>
      </c>
      <c r="G1601" s="1287">
        <f>G1600*2</f>
        <v>0</v>
      </c>
      <c r="H1601" s="1353">
        <f t="shared" si="63"/>
        <v>0</v>
      </c>
      <c r="I1601" s="1277"/>
      <c r="J1601" s="1277"/>
      <c r="K1601" s="1312"/>
      <c r="L1601" s="1125">
        <v>320</v>
      </c>
    </row>
    <row r="1602" spans="1:12" s="1279" customFormat="1" ht="20.100000000000001" customHeight="1">
      <c r="A1602" s="1377">
        <f t="shared" si="62"/>
        <v>0</v>
      </c>
      <c r="B1602" s="1378" t="s">
        <v>6</v>
      </c>
      <c r="C1602" s="1286"/>
      <c r="D1602" s="1274">
        <f>VLOOKUP($B1602,DG!A:D,DG!$B$2,)</f>
        <v>0</v>
      </c>
      <c r="E1602" s="1310" t="str">
        <f>VLOOKUP($B1602,DG!A:D,DG!$C$2,)</f>
        <v>Keo silicon bít miệng ống</v>
      </c>
      <c r="F1602" s="1353" t="str">
        <f>VLOOKUP($B1602,DG!A:D,DG!$D$2,)</f>
        <v>ống</v>
      </c>
      <c r="G1602" s="1287">
        <f>G1581</f>
        <v>0</v>
      </c>
      <c r="H1602" s="1353">
        <f t="shared" si="63"/>
        <v>0</v>
      </c>
      <c r="I1602" s="1277"/>
      <c r="J1602" s="1277"/>
      <c r="K1602" s="1312"/>
      <c r="L1602" s="1125">
        <v>320</v>
      </c>
    </row>
    <row r="1603" spans="1:12" s="1279" customFormat="1" ht="20.100000000000001" customHeight="1">
      <c r="A1603" s="1377">
        <f t="shared" si="62"/>
        <v>0</v>
      </c>
      <c r="B1603" s="1378" t="s">
        <v>2201</v>
      </c>
      <c r="C1603" s="1286"/>
      <c r="D1603" s="1274">
        <f>VLOOKUP($B1603,DG!A:D,DG!$B$2,)</f>
        <v>0</v>
      </c>
      <c r="E1603" s="1310" t="str">
        <f>VLOOKUP($B1603,DG!A:D,DG!$C$2,)</f>
        <v>Dây đồng trần mềm dẹt</v>
      </c>
      <c r="F1603" s="1353" t="str">
        <f>VLOOKUP($B1603,DG!A:D,DG!$D$2,)</f>
        <v>mét</v>
      </c>
      <c r="G1603" s="1287">
        <f>G1581*4</f>
        <v>0</v>
      </c>
      <c r="H1603" s="1353">
        <f t="shared" si="63"/>
        <v>0</v>
      </c>
      <c r="I1603" s="1277"/>
      <c r="J1603" s="1277"/>
      <c r="K1603" s="1312"/>
      <c r="L1603" s="1125">
        <v>320</v>
      </c>
    </row>
    <row r="1604" spans="1:12" s="1279" customFormat="1" ht="20.100000000000001" customHeight="1">
      <c r="A1604" s="1377">
        <f t="shared" si="62"/>
        <v>0</v>
      </c>
      <c r="B1604" s="1378" t="s">
        <v>1249</v>
      </c>
      <c r="C1604" s="1286"/>
      <c r="D1604" s="1274" t="str">
        <f>VLOOKUP($B1604,DG!A:D,DG!$B$2,)</f>
        <v>06.3191</v>
      </c>
      <c r="E1604" s="1310" t="str">
        <f>VLOOKUP($B1604,DG!A:D,DG!$C$2,)</f>
        <v>Bảng tên trạm, bảng báo nguy hiểm + đinh vít</v>
      </c>
      <c r="F1604" s="1353" t="str">
        <f>VLOOKUP($B1604,DG!A:D,DG!$D$2,)</f>
        <v>bộ</v>
      </c>
      <c r="G1604" s="1276">
        <f>G1581</f>
        <v>0</v>
      </c>
      <c r="H1604" s="1353">
        <f t="shared" si="63"/>
        <v>0</v>
      </c>
      <c r="I1604" s="1277"/>
      <c r="J1604" s="1277"/>
      <c r="K1604" s="1312"/>
      <c r="L1604" s="1125">
        <v>320</v>
      </c>
    </row>
    <row r="1605" spans="1:12" s="1279" customFormat="1" ht="20.100000000000001" customHeight="1">
      <c r="A1605" s="1377">
        <f t="shared" si="62"/>
        <v>0</v>
      </c>
      <c r="B1605" s="1378" t="s">
        <v>1383</v>
      </c>
      <c r="C1605" s="1286"/>
      <c r="D1605" s="1274">
        <f>VLOOKUP($B1605,DG!A:D,DG!$B$2,)</f>
        <v>0</v>
      </c>
      <c r="E1605" s="1310" t="str">
        <f>VLOOKUP($B1605,DG!A:D,DG!$C$2,)&amp;" baét thuøng ÑKÑT"</f>
        <v>Boulon 12x60+ 2 long đền vuông D14-50x50x3/Zn baét thuøng ÑKÑT</v>
      </c>
      <c r="F1605" s="1353" t="str">
        <f>VLOOKUP($B1605,DG!A:D,DG!$D$2,)</f>
        <v>bộ</v>
      </c>
      <c r="G1605" s="1287">
        <f>4*G1581*0</f>
        <v>0</v>
      </c>
      <c r="H1605" s="1353">
        <f t="shared" si="63"/>
        <v>0</v>
      </c>
      <c r="I1605" s="1277"/>
      <c r="J1605" s="1277"/>
      <c r="K1605" s="1312"/>
      <c r="L1605" s="1125">
        <v>320</v>
      </c>
    </row>
    <row r="1606" spans="1:12" s="1279" customFormat="1" ht="20.100000000000001" customHeight="1">
      <c r="A1606" s="1377">
        <f t="shared" si="62"/>
        <v>0</v>
      </c>
      <c r="B1606" s="1378"/>
      <c r="C1606" s="1319"/>
      <c r="D1606" s="1320"/>
      <c r="E1606" s="1306" t="s">
        <v>3829</v>
      </c>
      <c r="F1606" s="1306"/>
      <c r="G1606" s="1321"/>
      <c r="H1606" s="1353">
        <f t="shared" si="63"/>
        <v>0</v>
      </c>
      <c r="I1606" s="1306"/>
      <c r="J1606" s="1306"/>
      <c r="K1606" s="1354"/>
      <c r="L1606" s="1125">
        <v>320</v>
      </c>
    </row>
    <row r="1607" spans="1:12" s="1279" customFormat="1" ht="20.100000000000001" customHeight="1">
      <c r="A1607" s="1377">
        <f t="shared" si="62"/>
        <v>0</v>
      </c>
      <c r="B1607" s="1378" t="s">
        <v>996</v>
      </c>
      <c r="C1607" s="1286"/>
      <c r="D1607" s="1274" t="str">
        <f>VLOOKUP($B1607,DG!A:D,DG!$B$2,)</f>
        <v>02.5114</v>
      </c>
      <c r="E1607" s="1310" t="s">
        <v>3830</v>
      </c>
      <c r="F1607" s="1353" t="str">
        <f>VLOOKUP($B1607,DG!A:D,DG!$D$2,)</f>
        <v>cái</v>
      </c>
      <c r="G1607" s="1287"/>
      <c r="H1607" s="1353">
        <f t="shared" si="63"/>
        <v>0</v>
      </c>
      <c r="I1607" s="1277"/>
      <c r="J1607" s="1277"/>
      <c r="K1607" s="1312" t="s">
        <v>3831</v>
      </c>
      <c r="L1607" s="1125">
        <v>320</v>
      </c>
    </row>
    <row r="1608" spans="1:12" s="1279" customFormat="1" ht="20.100000000000001" customHeight="1">
      <c r="A1608" s="1377">
        <f t="shared" si="62"/>
        <v>0</v>
      </c>
      <c r="B1608" s="1378" t="s">
        <v>1959</v>
      </c>
      <c r="C1608" s="1286"/>
      <c r="D1608" s="1274" t="str">
        <f>VLOOKUP($B1608,DG!A:D,DG!$B$2,)</f>
        <v>05.6011</v>
      </c>
      <c r="E1608" s="1310" t="s">
        <v>2525</v>
      </c>
      <c r="F1608" s="1353" t="str">
        <f>VLOOKUP($B1608,DG!A:D,DG!$D$2,)</f>
        <v>bộ</v>
      </c>
      <c r="G1608" s="1287"/>
      <c r="H1608" s="1353">
        <f t="shared" si="63"/>
        <v>0</v>
      </c>
      <c r="I1608" s="1277"/>
      <c r="J1608" s="1277"/>
      <c r="K1608" s="1278"/>
      <c r="L1608" s="1125">
        <v>320</v>
      </c>
    </row>
    <row r="1609" spans="1:12" s="1279" customFormat="1" ht="20.100000000000001" customHeight="1">
      <c r="A1609" s="1377">
        <f t="shared" si="62"/>
        <v>0</v>
      </c>
      <c r="B1609" s="1378"/>
      <c r="C1609" s="1355"/>
      <c r="D1609" s="1356"/>
      <c r="E1609" s="1306"/>
      <c r="F1609" s="1357"/>
      <c r="G1609" s="1358"/>
      <c r="H1609" s="1353">
        <f t="shared" si="63"/>
        <v>0</v>
      </c>
      <c r="I1609" s="1359"/>
      <c r="J1609" s="1360"/>
      <c r="K1609" s="1309"/>
      <c r="L1609" s="1125"/>
    </row>
    <row r="1610" spans="1:12" s="1279" customFormat="1" ht="20.100000000000001" customHeight="1">
      <c r="A1610" s="1377">
        <f t="shared" si="62"/>
        <v>0</v>
      </c>
      <c r="B1610" s="1378"/>
      <c r="C1610" s="1361"/>
      <c r="E1610" s="1362"/>
      <c r="G1610" s="1363"/>
      <c r="H1610" s="1353">
        <f t="shared" si="63"/>
        <v>0</v>
      </c>
      <c r="L1610" s="1125"/>
    </row>
    <row r="1611" spans="1:12" s="1279" customFormat="1" ht="20.100000000000001" customHeight="1">
      <c r="A1611" s="1377">
        <f t="shared" si="62"/>
        <v>0</v>
      </c>
      <c r="B1611" s="1619"/>
      <c r="C1611" s="1131" t="e">
        <f>"BAÛNG TOÅNG HÔÏP VAÄT LIEÄU, NHAÂN COÂNG, MAÙY THI COÂNG : "&amp;#REF!&amp;" TRAÏM 3P_400KVA ÑO ÑEÁM TRUNG THEÁ"</f>
        <v>#REF!</v>
      </c>
      <c r="D1611" s="1131"/>
      <c r="E1611" s="1131"/>
      <c r="F1611" s="1131"/>
      <c r="G1611" s="1131"/>
      <c r="H1611" s="1353">
        <f t="shared" si="63"/>
        <v>0</v>
      </c>
      <c r="I1611" s="1364"/>
      <c r="J1611" s="1364"/>
      <c r="K1611" s="1365"/>
      <c r="L1611" s="1125"/>
    </row>
    <row r="1612" spans="1:12" s="1279" customFormat="1" ht="20.100000000000001" customHeight="1">
      <c r="A1612" s="1377">
        <f t="shared" si="62"/>
        <v>0</v>
      </c>
      <c r="B1612" s="1582"/>
      <c r="C1612" s="1304"/>
      <c r="D1612" s="1305"/>
      <c r="E1612" s="1306" t="s">
        <v>3771</v>
      </c>
      <c r="F1612" s="1307"/>
      <c r="G1612" s="1308"/>
      <c r="H1612" s="1353">
        <f t="shared" si="63"/>
        <v>0</v>
      </c>
      <c r="I1612" s="1307"/>
      <c r="J1612" s="1307"/>
      <c r="K1612" s="1309"/>
      <c r="L1612" s="1125">
        <v>400</v>
      </c>
    </row>
    <row r="1613" spans="1:12" s="1279" customFormat="1" ht="20.100000000000001" customHeight="1">
      <c r="A1613" s="1377">
        <f t="shared" si="62"/>
        <v>0</v>
      </c>
      <c r="B1613" s="1583" t="s">
        <v>4780</v>
      </c>
      <c r="C1613" s="1286">
        <f>IF(G1613&gt;0,1,0)</f>
        <v>0</v>
      </c>
      <c r="D1613" s="1274" t="str">
        <f>VLOOKUP($B1613,DG!A:D,DG!$B$2,)</f>
        <v>01.1146</v>
      </c>
      <c r="E1613" s="1275" t="str">
        <f>VLOOKUP($B1613,DG!A:D,DG!$C$2,)</f>
        <v>Máy biến áp 22/0,4kV- 400kVA</v>
      </c>
      <c r="F1613" s="1274" t="str">
        <f>VLOOKUP($B1613,DG!A:D,DG!$D$2,)</f>
        <v>máy</v>
      </c>
      <c r="G1613" s="1286">
        <f>K13</f>
        <v>0</v>
      </c>
      <c r="H1613" s="1353">
        <f t="shared" si="63"/>
        <v>0</v>
      </c>
      <c r="I1613" s="1310"/>
      <c r="J1613" s="1310"/>
      <c r="K1613" s="1311"/>
      <c r="L1613" s="1125">
        <v>400</v>
      </c>
    </row>
    <row r="1614" spans="1:12" s="1279" customFormat="1" ht="20.100000000000001" customHeight="1">
      <c r="A1614" s="1377">
        <f t="shared" si="62"/>
        <v>0</v>
      </c>
      <c r="B1614" s="1583" t="s">
        <v>1704</v>
      </c>
      <c r="C1614" s="1286">
        <f>IF(G1614&gt;0,C1613+1,C1613)</f>
        <v>0</v>
      </c>
      <c r="D1614" s="1274" t="str">
        <f>VLOOKUP($B1614,DG!A:D,DG!$B$2,)</f>
        <v>02.3155</v>
      </c>
      <c r="E1614" s="1275" t="str">
        <f>VLOOKUP($B1614,DG!A:D,DG!$C$2,)</f>
        <v>FCO 24kV - 100A</v>
      </c>
      <c r="F1614" s="1274" t="str">
        <f>VLOOKUP($B1614,DG!A:D,DG!$D$2,)</f>
        <v>cái</v>
      </c>
      <c r="G1614" s="1287">
        <f>G1613*3</f>
        <v>0</v>
      </c>
      <c r="H1614" s="1353">
        <f t="shared" si="63"/>
        <v>0</v>
      </c>
      <c r="I1614" s="1277"/>
      <c r="J1614" s="1277"/>
      <c r="K1614" s="1312"/>
      <c r="L1614" s="1125">
        <v>400</v>
      </c>
    </row>
    <row r="1615" spans="1:12" s="1279" customFormat="1" ht="20.100000000000001" customHeight="1">
      <c r="A1615" s="1377">
        <f t="shared" si="62"/>
        <v>0</v>
      </c>
      <c r="B1615" s="1583" t="s">
        <v>4781</v>
      </c>
      <c r="C1615" s="1286">
        <f t="shared" ref="C1615:C1621" si="64">IF(G1615&gt;0,C1614+1,C1614)</f>
        <v>0</v>
      </c>
      <c r="D1615" s="1274">
        <f>VLOOKUP($B1615,DG!A:D,DG!$B$2,)</f>
        <v>0</v>
      </c>
      <c r="E1615" s="1275" t="str">
        <f>VLOOKUP($B1615,DG!A:D,DG!$C$2,)</f>
        <v>Dây chảy 15K</v>
      </c>
      <c r="F1615" s="1274" t="str">
        <f>VLOOKUP($B1615,DG!A:D,DG!$D$2,)</f>
        <v>Sợi</v>
      </c>
      <c r="G1615" s="1287">
        <f>G1614</f>
        <v>0</v>
      </c>
      <c r="H1615" s="1353">
        <f t="shared" si="63"/>
        <v>0</v>
      </c>
      <c r="I1615" s="1277"/>
      <c r="J1615" s="1277"/>
      <c r="K1615" s="1312"/>
      <c r="L1615" s="1125">
        <v>400</v>
      </c>
    </row>
    <row r="1616" spans="1:12" s="1279" customFormat="1" ht="20.100000000000001" customHeight="1">
      <c r="A1616" s="1377">
        <f t="shared" si="62"/>
        <v>0</v>
      </c>
      <c r="B1616" s="1582" t="s">
        <v>1406</v>
      </c>
      <c r="C1616" s="1286">
        <f t="shared" si="64"/>
        <v>0</v>
      </c>
      <c r="D1616" s="1274" t="str">
        <f>VLOOKUP($B1616,DG!A:D,DG!$B$2,)</f>
        <v>02.5114</v>
      </c>
      <c r="E1616" s="1275" t="str">
        <f>VLOOKUP($B1616,DG!A:D,DG!$C$2,)</f>
        <v>LA 18kV 10kA</v>
      </c>
      <c r="F1616" s="1274" t="str">
        <f>VLOOKUP($B1616,DG!A:D,DG!$D$2,)</f>
        <v>cái</v>
      </c>
      <c r="G1616" s="1287">
        <f>G1614</f>
        <v>0</v>
      </c>
      <c r="H1616" s="1353">
        <f t="shared" si="63"/>
        <v>0</v>
      </c>
      <c r="I1616" s="1277"/>
      <c r="J1616" s="1277"/>
      <c r="K1616" s="1312"/>
      <c r="L1616" s="1125">
        <v>400</v>
      </c>
    </row>
    <row r="1617" spans="1:12" s="1279" customFormat="1" ht="20.100000000000001" customHeight="1">
      <c r="A1617" s="1377">
        <f t="shared" si="62"/>
        <v>0</v>
      </c>
      <c r="B1617" s="1583" t="s">
        <v>1514</v>
      </c>
      <c r="C1617" s="1286">
        <f t="shared" si="64"/>
        <v>0</v>
      </c>
      <c r="D1617" s="1274" t="str">
        <f>VLOOKUP($B1617,DG!A:D,DG!$B$2,)</f>
        <v>02.8403</v>
      </c>
      <c r="E1617" s="1275" t="str">
        <f>VLOOKUP($B1617,DG!A:D,DG!$C$2,)</f>
        <v>MCCB 3 cực 400V -630A - 35KA</v>
      </c>
      <c r="F1617" s="1274" t="str">
        <f>VLOOKUP($B1617,DG!A:D,DG!$D$2,)</f>
        <v>cái</v>
      </c>
      <c r="G1617" s="1287">
        <f>G1613</f>
        <v>0</v>
      </c>
      <c r="H1617" s="1353">
        <f t="shared" si="63"/>
        <v>0</v>
      </c>
      <c r="I1617" s="1277"/>
      <c r="J1617" s="1277"/>
      <c r="K1617" s="1312"/>
      <c r="L1617" s="1125">
        <v>400</v>
      </c>
    </row>
    <row r="1618" spans="1:12" s="1279" customFormat="1" ht="20.100000000000001" customHeight="1">
      <c r="A1618" s="1377">
        <f t="shared" si="62"/>
        <v>0</v>
      </c>
      <c r="B1618" s="1583" t="s">
        <v>1513</v>
      </c>
      <c r="C1618" s="1286">
        <f t="shared" si="64"/>
        <v>0</v>
      </c>
      <c r="D1618" s="1274" t="str">
        <f>VLOOKUP($B1618,DG!A:D,DG!$B$2,)</f>
        <v>02.8534</v>
      </c>
      <c r="E1618" s="1275" t="str">
        <f>VLOOKUP($B1618,DG!A:D,DG!$C$2,)</f>
        <v>Tủ tụ bù hạ thế 160kVAr</v>
      </c>
      <c r="F1618" s="1274" t="str">
        <f>VLOOKUP($B1618,DG!A:D,DG!$D$2,)</f>
        <v>tủ</v>
      </c>
      <c r="G1618" s="1287">
        <f>G1613</f>
        <v>0</v>
      </c>
      <c r="H1618" s="1353">
        <f t="shared" si="63"/>
        <v>0</v>
      </c>
      <c r="I1618" s="1277"/>
      <c r="J1618" s="1277"/>
      <c r="K1618" s="1312"/>
      <c r="L1618" s="1125">
        <v>400</v>
      </c>
    </row>
    <row r="1619" spans="1:12" s="1279" customFormat="1" ht="20.100000000000001" customHeight="1">
      <c r="A1619" s="1377">
        <f t="shared" si="62"/>
        <v>0</v>
      </c>
      <c r="B1619" s="1629" t="s">
        <v>64</v>
      </c>
      <c r="C1619" s="1286">
        <f t="shared" si="64"/>
        <v>0</v>
      </c>
      <c r="D1619" s="1274">
        <f>VLOOKUP($B1619,DG!A:D,DG!$B$2,)</f>
        <v>0</v>
      </c>
      <c r="E1619" s="1275" t="str">
        <f>VLOOKUP($B1619,DG!A:D,DG!$C$2,)</f>
        <v>Biến dòng 600V - 600/5A</v>
      </c>
      <c r="F1619" s="1274" t="str">
        <f>VLOOKUP($B1619,DG!A:D,DG!$D$2,)</f>
        <v>cái</v>
      </c>
      <c r="G1619" s="1313">
        <f>G1613*3</f>
        <v>0</v>
      </c>
      <c r="H1619" s="1353">
        <f t="shared" si="63"/>
        <v>0</v>
      </c>
      <c r="I1619" s="1277"/>
      <c r="J1619" s="1277"/>
      <c r="K1619" s="1314" t="s">
        <v>2666</v>
      </c>
      <c r="L1619" s="1125">
        <v>400</v>
      </c>
    </row>
    <row r="1620" spans="1:12" s="1279" customFormat="1" ht="20.100000000000001" customHeight="1">
      <c r="A1620" s="1377">
        <f t="shared" ref="A1620:A1682" si="65">IF(H1620&gt;0,1,0)</f>
        <v>0</v>
      </c>
      <c r="B1620" s="1583" t="s">
        <v>4782</v>
      </c>
      <c r="C1620" s="1286">
        <f t="shared" si="64"/>
        <v>0</v>
      </c>
      <c r="D1620" s="1274" t="str">
        <f>VLOOKUP($B1620,DG!A:D,DG!$B$2,)</f>
        <v>02.1114</v>
      </c>
      <c r="E1620" s="1275" t="str">
        <f>VLOOKUP($B1620,DG!A:D,DG!$C$2,)</f>
        <v>Biến điện áp 12000/120(60)V</v>
      </c>
      <c r="F1620" s="1274" t="str">
        <f>VLOOKUP($B1620,DG!A:D,DG!$D$2,)</f>
        <v>cái</v>
      </c>
      <c r="G1620" s="1313"/>
      <c r="H1620" s="1353">
        <f t="shared" si="63"/>
        <v>0</v>
      </c>
      <c r="I1620" s="1277"/>
      <c r="J1620" s="1277"/>
      <c r="K1620" s="1314" t="s">
        <v>2666</v>
      </c>
      <c r="L1620" s="1125">
        <v>400</v>
      </c>
    </row>
    <row r="1621" spans="1:12" s="1279" customFormat="1" ht="20.100000000000001" customHeight="1">
      <c r="A1621" s="1377">
        <f t="shared" si="65"/>
        <v>0</v>
      </c>
      <c r="B1621" s="1621" t="s">
        <v>1890</v>
      </c>
      <c r="C1621" s="1286">
        <f t="shared" si="64"/>
        <v>0</v>
      </c>
      <c r="D1621" s="1274">
        <f>VLOOKUP($B1621,DG!A:D,DG!$B$2,)</f>
        <v>0</v>
      </c>
      <c r="E1621" s="1275" t="str">
        <f>VLOOKUP($B1621,DG!A:D,DG!$C$2,)</f>
        <v>Điện kế 3 pha điện tử 600V-5A</v>
      </c>
      <c r="F1621" s="1274" t="str">
        <f>VLOOKUP($B1621,DG!A:D,DG!$D$2,)</f>
        <v>cái</v>
      </c>
      <c r="G1621" s="1313">
        <f>G1613</f>
        <v>0</v>
      </c>
      <c r="H1621" s="1353">
        <f t="shared" si="63"/>
        <v>0</v>
      </c>
      <c r="I1621" s="1277"/>
      <c r="J1621" s="1277"/>
      <c r="K1621" s="1315" t="s">
        <v>2666</v>
      </c>
      <c r="L1621" s="1125">
        <v>400</v>
      </c>
    </row>
    <row r="1622" spans="1:12" s="1279" customFormat="1" ht="20.100000000000001" customHeight="1">
      <c r="A1622" s="1377">
        <f t="shared" si="65"/>
        <v>0</v>
      </c>
      <c r="B1622" s="1582"/>
      <c r="C1622" s="1316"/>
      <c r="D1622" s="1317"/>
      <c r="E1622" s="1271"/>
      <c r="F1622" s="1316"/>
      <c r="G1622" s="1318"/>
      <c r="H1622" s="1353">
        <f t="shared" si="63"/>
        <v>0</v>
      </c>
      <c r="I1622" s="1271"/>
      <c r="J1622" s="1316"/>
      <c r="K1622" s="1309"/>
      <c r="L1622" s="1125">
        <v>400</v>
      </c>
    </row>
    <row r="1623" spans="1:12" s="1279" customFormat="1" ht="20.100000000000001" customHeight="1">
      <c r="A1623" s="1377">
        <f t="shared" si="65"/>
        <v>0</v>
      </c>
      <c r="B1623" s="1582"/>
      <c r="C1623" s="1319"/>
      <c r="D1623" s="1320"/>
      <c r="E1623" s="1306" t="s">
        <v>3772</v>
      </c>
      <c r="F1623" s="1306"/>
      <c r="G1623" s="1321"/>
      <c r="H1623" s="1353">
        <f t="shared" si="63"/>
        <v>0</v>
      </c>
      <c r="I1623" s="1306"/>
      <c r="J1623" s="1306"/>
      <c r="K1623" s="1309"/>
      <c r="L1623" s="1125">
        <v>400</v>
      </c>
    </row>
    <row r="1624" spans="1:12" s="1279" customFormat="1" ht="20.100000000000001" customHeight="1">
      <c r="A1624" s="1377">
        <f t="shared" si="65"/>
        <v>0</v>
      </c>
      <c r="B1624" s="1622"/>
      <c r="C1624" s="1322">
        <f>IF(G1624&gt;0,1,0)</f>
        <v>0</v>
      </c>
      <c r="D1624" s="1323"/>
      <c r="E1624" s="1324" t="s">
        <v>3810</v>
      </c>
      <c r="F1624" s="1325" t="s">
        <v>2340</v>
      </c>
      <c r="G1624" s="1326">
        <f>G1613*2*0</f>
        <v>0</v>
      </c>
      <c r="H1624" s="1353">
        <f t="shared" si="63"/>
        <v>0</v>
      </c>
      <c r="I1624" s="1327"/>
      <c r="J1624" s="1327"/>
      <c r="K1624" s="1312"/>
      <c r="L1624" s="1125">
        <v>400</v>
      </c>
    </row>
    <row r="1625" spans="1:12" s="1279" customFormat="1" ht="20.100000000000001" customHeight="1">
      <c r="A1625" s="1377">
        <f t="shared" si="65"/>
        <v>0</v>
      </c>
      <c r="B1625" s="1378" t="s">
        <v>116</v>
      </c>
      <c r="C1625" s="1328"/>
      <c r="D1625" s="1274"/>
      <c r="E1625" s="1329" t="str">
        <f>VLOOKUP($B1625,DG!A:D,DG!$C$2,)</f>
        <v>Trụ BTLT 12m F350 dự ứng lực</v>
      </c>
      <c r="F1625" s="1274" t="str">
        <f>VLOOKUP($B1625,DG!A:D,DG!$D$2,)</f>
        <v>trụ</v>
      </c>
      <c r="G1625" s="1330">
        <f>G1624</f>
        <v>0</v>
      </c>
      <c r="H1625" s="1353">
        <f t="shared" si="63"/>
        <v>0</v>
      </c>
      <c r="I1625" s="1310"/>
      <c r="J1625" s="1273"/>
      <c r="K1625" s="1312"/>
      <c r="L1625" s="1125">
        <v>400</v>
      </c>
    </row>
    <row r="1626" spans="1:12" s="1279" customFormat="1" ht="20.100000000000001" customHeight="1">
      <c r="A1626" s="1377">
        <f t="shared" si="65"/>
        <v>0</v>
      </c>
      <c r="B1626" s="1378" t="s">
        <v>1867</v>
      </c>
      <c r="C1626" s="1328"/>
      <c r="D1626" s="1274"/>
      <c r="E1626" s="1329" t="str">
        <f>VLOOKUP($B1626,DG!A:D,DG!$C$2,)</f>
        <v>Vật liệu dựng trụ</v>
      </c>
      <c r="F1626" s="1274" t="str">
        <f>VLOOKUP($B1626,DG!A:D,DG!$D$2,)</f>
        <v>trụ</v>
      </c>
      <c r="G1626" s="1330">
        <f>G1625</f>
        <v>0</v>
      </c>
      <c r="H1626" s="1353">
        <f t="shared" si="63"/>
        <v>0</v>
      </c>
      <c r="I1626" s="1273"/>
      <c r="J1626" s="1273"/>
      <c r="K1626" s="1312"/>
      <c r="L1626" s="1125">
        <v>400</v>
      </c>
    </row>
    <row r="1627" spans="1:12" s="1279" customFormat="1" ht="20.100000000000001" customHeight="1">
      <c r="A1627" s="1377">
        <f t="shared" si="65"/>
        <v>0</v>
      </c>
      <c r="B1627" s="1378" t="s">
        <v>648</v>
      </c>
      <c r="C1627" s="1328"/>
      <c r="D1627" s="1274" t="str">
        <f>VLOOKUP($B1627,DG!A:D,DG!$B$2,)</f>
        <v>04.9203</v>
      </c>
      <c r="E1627" s="1329" t="str">
        <f>VLOOKUP($B1627,DG!A:D,DG!$C$2,)</f>
        <v>Dựng trụ BTLT 12m trong TBA bằng thủ công + cơ giới</v>
      </c>
      <c r="F1627" s="1274" t="str">
        <f>VLOOKUP($B1627,DG!A:D,DG!$D$2,)</f>
        <v>trụ</v>
      </c>
      <c r="G1627" s="1330">
        <f>G1625</f>
        <v>0</v>
      </c>
      <c r="H1627" s="1353">
        <f t="shared" si="63"/>
        <v>0</v>
      </c>
      <c r="I1627" s="1310"/>
      <c r="J1627" s="1310"/>
      <c r="K1627" s="1312"/>
      <c r="L1627" s="1125">
        <v>400</v>
      </c>
    </row>
    <row r="1628" spans="1:12" s="1279" customFormat="1" ht="20.100000000000001" customHeight="1">
      <c r="A1628" s="1377">
        <f t="shared" si="65"/>
        <v>0</v>
      </c>
      <c r="B1628" s="1622"/>
      <c r="C1628" s="1322">
        <f>IF(G1628&gt;0,1,0)</f>
        <v>0</v>
      </c>
      <c r="D1628" s="1323"/>
      <c r="E1628" s="1324" t="s">
        <v>3811</v>
      </c>
      <c r="F1628" s="1325" t="s">
        <v>2340</v>
      </c>
      <c r="G1628" s="1326">
        <f>G1613*2*0</f>
        <v>0</v>
      </c>
      <c r="H1628" s="1353">
        <f t="shared" si="63"/>
        <v>0</v>
      </c>
      <c r="I1628" s="1327"/>
      <c r="J1628" s="1327"/>
      <c r="K1628" s="1278"/>
      <c r="L1628" s="1125">
        <v>400</v>
      </c>
    </row>
    <row r="1629" spans="1:12" s="1279" customFormat="1" ht="20.100000000000001" customHeight="1">
      <c r="A1629" s="1377">
        <f t="shared" si="65"/>
        <v>0</v>
      </c>
      <c r="B1629" s="1378" t="s">
        <v>115</v>
      </c>
      <c r="C1629" s="1328"/>
      <c r="D1629" s="1274"/>
      <c r="E1629" s="1329" t="str">
        <f>VLOOKUP($B1629,DG!A:D,DG!$C$2,)</f>
        <v>Trụ BTLT 10,5m F350 dự ứng lực</v>
      </c>
      <c r="F1629" s="1274" t="str">
        <f>VLOOKUP($B1629,DG!A:D,DG!$D$2,)</f>
        <v>trụ</v>
      </c>
      <c r="G1629" s="1330">
        <f>G1628</f>
        <v>0</v>
      </c>
      <c r="H1629" s="1353">
        <f t="shared" si="63"/>
        <v>0</v>
      </c>
      <c r="I1629" s="1310"/>
      <c r="J1629" s="1273"/>
      <c r="K1629" s="1278"/>
      <c r="L1629" s="1125">
        <v>400</v>
      </c>
    </row>
    <row r="1630" spans="1:12" s="1279" customFormat="1" ht="20.100000000000001" customHeight="1">
      <c r="A1630" s="1377">
        <f t="shared" si="65"/>
        <v>0</v>
      </c>
      <c r="B1630" s="1378" t="s">
        <v>1867</v>
      </c>
      <c r="C1630" s="1328"/>
      <c r="D1630" s="1274"/>
      <c r="E1630" s="1329" t="str">
        <f>VLOOKUP($B1630,DG!A:D,DG!$C$2,)</f>
        <v>Vật liệu dựng trụ</v>
      </c>
      <c r="F1630" s="1274" t="str">
        <f>VLOOKUP($B1630,DG!A:D,DG!$D$2,)</f>
        <v>trụ</v>
      </c>
      <c r="G1630" s="1330">
        <f>G1629</f>
        <v>0</v>
      </c>
      <c r="H1630" s="1353">
        <f t="shared" si="63"/>
        <v>0</v>
      </c>
      <c r="I1630" s="1273"/>
      <c r="J1630" s="1273"/>
      <c r="K1630" s="1278"/>
      <c r="L1630" s="1125">
        <v>400</v>
      </c>
    </row>
    <row r="1631" spans="1:12" s="1279" customFormat="1" ht="20.100000000000001" customHeight="1">
      <c r="A1631" s="1377">
        <f t="shared" si="65"/>
        <v>0</v>
      </c>
      <c r="B1631" s="1378" t="s">
        <v>649</v>
      </c>
      <c r="C1631" s="1328"/>
      <c r="D1631" s="1274" t="str">
        <f>VLOOKUP($B1631,DG!A:D,DG!$B$2,)</f>
        <v>04.9203</v>
      </c>
      <c r="E1631" s="1329" t="str">
        <f>VLOOKUP($B1631,DG!A:D,DG!$C$2,)</f>
        <v>Dựng trụ BTLT 10,5m trong TBA bằng thủ công + cơ giới</v>
      </c>
      <c r="F1631" s="1274" t="str">
        <f>VLOOKUP($B1631,DG!A:D,DG!$D$2,)</f>
        <v>trụ</v>
      </c>
      <c r="G1631" s="1330">
        <f>G1629</f>
        <v>0</v>
      </c>
      <c r="H1631" s="1353">
        <f t="shared" si="63"/>
        <v>0</v>
      </c>
      <c r="I1631" s="1310"/>
      <c r="J1631" s="1310"/>
      <c r="K1631" s="1278"/>
      <c r="L1631" s="1125">
        <v>400</v>
      </c>
    </row>
    <row r="1632" spans="1:12" s="1279" customFormat="1" ht="20.100000000000001" customHeight="1">
      <c r="A1632" s="1377">
        <f t="shared" si="65"/>
        <v>0</v>
      </c>
      <c r="B1632" s="1623"/>
      <c r="C1632" s="1280">
        <f>IF(G1632&gt;0,C1624+1,C1624)</f>
        <v>0</v>
      </c>
      <c r="D1632" s="1323"/>
      <c r="E1632" s="1324" t="s">
        <v>2416</v>
      </c>
      <c r="F1632" s="1325" t="s">
        <v>2391</v>
      </c>
      <c r="G1632" s="1331">
        <f>G1624</f>
        <v>0</v>
      </c>
      <c r="H1632" s="1353">
        <f t="shared" si="63"/>
        <v>0</v>
      </c>
      <c r="I1632" s="1273"/>
      <c r="J1632" s="1273"/>
      <c r="K1632" s="1312"/>
      <c r="L1632" s="1125">
        <v>400</v>
      </c>
    </row>
    <row r="1633" spans="1:12" s="1279" customFormat="1" ht="20.100000000000001" customHeight="1">
      <c r="A1633" s="1377">
        <f t="shared" si="65"/>
        <v>0</v>
      </c>
      <c r="B1633" s="1589" t="s">
        <v>641</v>
      </c>
      <c r="C1633" s="1328"/>
      <c r="D1633" s="1274" t="str">
        <f>VLOOKUP($B1633,DG!A:D,DG!$B$2,)</f>
        <v>04.4001</v>
      </c>
      <c r="E1633" s="1332" t="str">
        <f>VLOOKUP($B1633,DG!A:D,DG!$C$2,)</f>
        <v>Đà cản BTCT 1,2m</v>
      </c>
      <c r="F1633" s="1288" t="str">
        <f>VLOOKUP($B1633,DG!A:D,DG!$D$2,)</f>
        <v>cái</v>
      </c>
      <c r="G1633" s="1330">
        <f>G1632</f>
        <v>0</v>
      </c>
      <c r="H1633" s="1353">
        <f t="shared" si="63"/>
        <v>0</v>
      </c>
      <c r="I1633" s="1310"/>
      <c r="J1633" s="1273"/>
      <c r="K1633" s="1312"/>
      <c r="L1633" s="1125">
        <v>400</v>
      </c>
    </row>
    <row r="1634" spans="1:12" s="1279" customFormat="1" ht="20.100000000000001" customHeight="1">
      <c r="A1634" s="1377">
        <f t="shared" si="65"/>
        <v>0</v>
      </c>
      <c r="B1634" s="1589" t="s">
        <v>570</v>
      </c>
      <c r="C1634" s="1328"/>
      <c r="D1634" s="1288"/>
      <c r="E1634" s="1332" t="str">
        <f>VLOOKUP($B1634,DG!A:D,DG!$C$2,)</f>
        <v>Boulon 22x650+ 2 long đền vuông D24-50x50x3/Zn</v>
      </c>
      <c r="F1634" s="1288" t="str">
        <f>VLOOKUP($B1634,DG!A:D,DG!$D$2,)</f>
        <v>bộ</v>
      </c>
      <c r="G1634" s="1330">
        <f>G1633</f>
        <v>0</v>
      </c>
      <c r="H1634" s="1353">
        <f t="shared" si="63"/>
        <v>0</v>
      </c>
      <c r="I1634" s="1332"/>
      <c r="J1634" s="1273"/>
      <c r="K1634" s="1312"/>
      <c r="L1634" s="1125">
        <v>400</v>
      </c>
    </row>
    <row r="1635" spans="1:12" s="1279" customFormat="1" ht="20.100000000000001" customHeight="1">
      <c r="A1635" s="1377">
        <f t="shared" si="65"/>
        <v>0</v>
      </c>
      <c r="B1635" s="1589" t="str">
        <f>IF(chitiet!F5=1,"MDD1",IF(chitiet!F5=2,"MDD2",IF(chitiet!F5=3,"MDD3",IF(chitiet!F5=4,"MDD4"))))</f>
        <v>MDD3</v>
      </c>
      <c r="C1635" s="1328"/>
      <c r="D1635" s="1288" t="str">
        <f>VLOOKUP($B1635,DG!A:D,DG!$B$2,)</f>
        <v>03.1013</v>
      </c>
      <c r="E1635" s="1332" t="str">
        <f>VLOOKUP($B1635,DG!A:D,DG!$C$2,)</f>
        <v>Đào hố móng đất cấp 3 sâu &gt;1m DT&lt;5m2</v>
      </c>
      <c r="F1635" s="1288" t="str">
        <f>VLOOKUP($B1635,DG!A:D,DG!$D$2,)</f>
        <v>m3</v>
      </c>
      <c r="G1635" s="1333">
        <f>1.45*G1633</f>
        <v>0</v>
      </c>
      <c r="H1635" s="1353">
        <f t="shared" si="63"/>
        <v>0</v>
      </c>
      <c r="I1635" s="1334"/>
      <c r="J1635" s="1273"/>
      <c r="K1635" s="1312"/>
      <c r="L1635" s="1125">
        <v>400</v>
      </c>
    </row>
    <row r="1636" spans="1:12" s="1279" customFormat="1" ht="20.100000000000001" customHeight="1">
      <c r="A1636" s="1377">
        <f t="shared" si="65"/>
        <v>0</v>
      </c>
      <c r="B1636" s="1589" t="str">
        <f>IF(chitiet!F5=1,"MDAP1",IF(chitiet!F5=2,"MDAP2",IF(chitiet!F5=3,"MDAP3",IF(chitiet!F5=4,"MDAP4"))))</f>
        <v>MDAP3</v>
      </c>
      <c r="C1636" s="1328"/>
      <c r="D1636" s="1288" t="str">
        <f>VLOOKUP($B1636,DG!A:D,DG!$B$2,)</f>
        <v>03.4113</v>
      </c>
      <c r="E1636" s="1332" t="str">
        <f>VLOOKUP($B1636,DG!A:D,DG!$C$2,)</f>
        <v>Đắp đất hố móng, độ chặt k=0,95</v>
      </c>
      <c r="F1636" s="1288" t="str">
        <f>VLOOKUP($B1636,DG!A:D,DG!$D$2,)</f>
        <v>m3</v>
      </c>
      <c r="G1636" s="1335">
        <f>1.37*G1632</f>
        <v>0</v>
      </c>
      <c r="H1636" s="1353">
        <f t="shared" si="63"/>
        <v>0</v>
      </c>
      <c r="I1636" s="1334"/>
      <c r="J1636" s="1273"/>
      <c r="K1636" s="1312"/>
      <c r="L1636" s="1125">
        <v>400</v>
      </c>
    </row>
    <row r="1637" spans="1:12" s="1279" customFormat="1" ht="20.100000000000001" customHeight="1">
      <c r="A1637" s="1377">
        <f t="shared" si="65"/>
        <v>0</v>
      </c>
      <c r="B1637" s="1623"/>
      <c r="C1637" s="1280">
        <f>IF(G1637&gt;0,C1629+1,C1629)</f>
        <v>0</v>
      </c>
      <c r="D1637" s="1323"/>
      <c r="E1637" s="1324" t="s">
        <v>3812</v>
      </c>
      <c r="F1637" s="1325" t="s">
        <v>2391</v>
      </c>
      <c r="G1637" s="1331">
        <f>G1628*0</f>
        <v>0</v>
      </c>
      <c r="H1637" s="1353">
        <f t="shared" si="63"/>
        <v>0</v>
      </c>
      <c r="I1637" s="1273"/>
      <c r="J1637" s="1273"/>
      <c r="K1637" s="1278"/>
      <c r="L1637" s="1125">
        <v>400</v>
      </c>
    </row>
    <row r="1638" spans="1:12" s="1279" customFormat="1" ht="20.100000000000001" customHeight="1">
      <c r="A1638" s="1377">
        <f t="shared" si="65"/>
        <v>0</v>
      </c>
      <c r="B1638" s="1589" t="s">
        <v>641</v>
      </c>
      <c r="C1638" s="1328"/>
      <c r="D1638" s="1274" t="str">
        <f>VLOOKUP($B1638,DG!A:D,DG!$B$2,)</f>
        <v>04.4001</v>
      </c>
      <c r="E1638" s="1332" t="str">
        <f>VLOOKUP($B1638,DG!A:D,DG!$C$2,)</f>
        <v>Đà cản BTCT 1,2m</v>
      </c>
      <c r="F1638" s="1288" t="str">
        <f>VLOOKUP($B1638,DG!A:D,DG!$D$2,)</f>
        <v>cái</v>
      </c>
      <c r="G1638" s="1330">
        <f>G1637</f>
        <v>0</v>
      </c>
      <c r="H1638" s="1353">
        <f t="shared" si="63"/>
        <v>0</v>
      </c>
      <c r="I1638" s="1310"/>
      <c r="J1638" s="1273"/>
      <c r="K1638" s="1278"/>
      <c r="L1638" s="1125">
        <v>400</v>
      </c>
    </row>
    <row r="1639" spans="1:12" s="1279" customFormat="1" ht="20.100000000000001" customHeight="1">
      <c r="A1639" s="1377">
        <f t="shared" si="65"/>
        <v>0</v>
      </c>
      <c r="B1639" s="1589" t="s">
        <v>570</v>
      </c>
      <c r="C1639" s="1328"/>
      <c r="D1639" s="1288"/>
      <c r="E1639" s="1332" t="str">
        <f>VLOOKUP($B1639,DG!A:D,DG!$C$2,)</f>
        <v>Boulon 22x650+ 2 long đền vuông D24-50x50x3/Zn</v>
      </c>
      <c r="F1639" s="1288" t="str">
        <f>VLOOKUP($B1639,DG!A:D,DG!$D$2,)</f>
        <v>bộ</v>
      </c>
      <c r="G1639" s="1330">
        <f>G1638</f>
        <v>0</v>
      </c>
      <c r="H1639" s="1353">
        <f t="shared" si="63"/>
        <v>0</v>
      </c>
      <c r="I1639" s="1332"/>
      <c r="J1639" s="1273"/>
      <c r="K1639" s="1278"/>
      <c r="L1639" s="1125">
        <v>400</v>
      </c>
    </row>
    <row r="1640" spans="1:12" s="1279" customFormat="1" ht="20.100000000000001" customHeight="1">
      <c r="A1640" s="1377">
        <f t="shared" si="65"/>
        <v>0</v>
      </c>
      <c r="B1640" s="1589" t="str">
        <f>IF(chitiet!F5=1,"MDD1",IF(chitiet!F5=2,"MDD2",IF(chitiet!F5=3,"MDD3",IF(chitiet!F5=4,"MDD4"))))</f>
        <v>MDD3</v>
      </c>
      <c r="C1640" s="1328"/>
      <c r="D1640" s="1288" t="str">
        <f>VLOOKUP($B1640,DG!A:D,DG!$B$2,)</f>
        <v>03.1013</v>
      </c>
      <c r="E1640" s="1332" t="str">
        <f>VLOOKUP($B1640,DG!A:D,DG!$C$2,)</f>
        <v>Đào hố móng đất cấp 3 sâu &gt;1m DT&lt;5m2</v>
      </c>
      <c r="F1640" s="1288" t="str">
        <f>VLOOKUP($B1640,DG!A:D,DG!$D$2,)</f>
        <v>m3</v>
      </c>
      <c r="G1640" s="1335">
        <f>1.48*G1638</f>
        <v>0</v>
      </c>
      <c r="H1640" s="1353">
        <f t="shared" si="63"/>
        <v>0</v>
      </c>
      <c r="I1640" s="1334"/>
      <c r="J1640" s="1273"/>
      <c r="K1640" s="1278"/>
      <c r="L1640" s="1125">
        <v>400</v>
      </c>
    </row>
    <row r="1641" spans="1:12" s="1279" customFormat="1" ht="20.100000000000001" customHeight="1">
      <c r="A1641" s="1377">
        <f t="shared" si="65"/>
        <v>0</v>
      </c>
      <c r="B1641" s="1589" t="str">
        <f>IF(chitiet!F5=1,"MDAP1",IF(chitiet!F5=2,"MDAP2",IF(chitiet!F5=3,"MDAP3",IF(chitiet!F5=4,"MDAP4"))))</f>
        <v>MDAP3</v>
      </c>
      <c r="C1641" s="1328"/>
      <c r="D1641" s="1288" t="str">
        <f>VLOOKUP($B1641,DG!A:D,DG!$B$2,)</f>
        <v>03.4113</v>
      </c>
      <c r="E1641" s="1332" t="str">
        <f>VLOOKUP($B1641,DG!A:D,DG!$C$2,)</f>
        <v>Đắp đất hố móng, độ chặt k=0,95</v>
      </c>
      <c r="F1641" s="1288" t="str">
        <f>VLOOKUP($B1641,DG!A:D,DG!$D$2,)</f>
        <v>m3</v>
      </c>
      <c r="G1641" s="1335">
        <f>1.39*G1637</f>
        <v>0</v>
      </c>
      <c r="H1641" s="1353">
        <f t="shared" si="63"/>
        <v>0</v>
      </c>
      <c r="I1641" s="1334"/>
      <c r="J1641" s="1273"/>
      <c r="K1641" s="1278"/>
      <c r="L1641" s="1125">
        <v>400</v>
      </c>
    </row>
    <row r="1642" spans="1:12" s="1279" customFormat="1" ht="20.100000000000001" customHeight="1">
      <c r="A1642" s="1377">
        <f t="shared" si="65"/>
        <v>0</v>
      </c>
      <c r="B1642" s="1582"/>
      <c r="C1642" s="1280">
        <f>IF(G1642&gt;0,C1632+1,C1632)</f>
        <v>0</v>
      </c>
      <c r="D1642" s="1336"/>
      <c r="E1642" s="1324" t="s">
        <v>3813</v>
      </c>
      <c r="F1642" s="1322" t="s">
        <v>2449</v>
      </c>
      <c r="G1642" s="1337">
        <f>G1613*1</f>
        <v>0</v>
      </c>
      <c r="H1642" s="1353">
        <f t="shared" si="63"/>
        <v>0</v>
      </c>
      <c r="I1642" s="1338"/>
      <c r="J1642" s="1338"/>
      <c r="K1642" s="1278"/>
      <c r="L1642" s="1125">
        <v>400</v>
      </c>
    </row>
    <row r="1643" spans="1:12" s="1279" customFormat="1" ht="20.100000000000001" customHeight="1">
      <c r="A1643" s="1377">
        <f>IF(A1642&gt;0,1,0)</f>
        <v>0</v>
      </c>
      <c r="B1643" s="1582"/>
      <c r="C1643" s="1273"/>
      <c r="D1643" s="1339"/>
      <c r="E1643" s="1637" t="s">
        <v>2342</v>
      </c>
      <c r="F1643" s="1286"/>
      <c r="G1643" s="1287"/>
      <c r="H1643" s="1353">
        <f t="shared" si="63"/>
        <v>0</v>
      </c>
      <c r="I1643" s="1340"/>
      <c r="J1643" s="1340"/>
      <c r="K1643" s="1278"/>
      <c r="L1643" s="1125">
        <v>400</v>
      </c>
    </row>
    <row r="1644" spans="1:12" s="1279" customFormat="1" ht="20.100000000000001" customHeight="1">
      <c r="A1644" s="1377">
        <f t="shared" si="65"/>
        <v>0</v>
      </c>
      <c r="B1644" s="1629" t="s">
        <v>1441</v>
      </c>
      <c r="C1644" s="1273"/>
      <c r="D1644" s="1288" t="str">
        <f>VLOOKUP($B1644,DG!A:D,DG!$B$2,)</f>
        <v>05.6105</v>
      </c>
      <c r="E1644" s="1275" t="str">
        <f>VLOOKUP($B1644,DG!A:D,DG!$C$2,)&amp;": 2 cái"</f>
        <v>Đà U200x80x5x2800 đỡ MBA: 2 cái</v>
      </c>
      <c r="F1644" s="1274" t="str">
        <f>VLOOKUP($B1644,DG!A:D,DG!$D$2,)</f>
        <v>kg</v>
      </c>
      <c r="G1644" s="1276">
        <f>52.049*G1642*2</f>
        <v>0</v>
      </c>
      <c r="H1644" s="1353">
        <f t="shared" si="63"/>
        <v>0</v>
      </c>
      <c r="I1644" s="1310"/>
      <c r="J1644" s="1310"/>
      <c r="K1644" s="1278"/>
      <c r="L1644" s="1125">
        <v>400</v>
      </c>
    </row>
    <row r="1645" spans="1:12" s="1279" customFormat="1" ht="20.100000000000001" customHeight="1">
      <c r="A1645" s="1377">
        <f t="shared" si="65"/>
        <v>0</v>
      </c>
      <c r="B1645" s="1378" t="s">
        <v>1167</v>
      </c>
      <c r="C1645" s="1273"/>
      <c r="D1645" s="1288" t="str">
        <f>VLOOKUP($B1645,DG!A:D,DG!$B$2,)</f>
        <v>05.6101</v>
      </c>
      <c r="E1645" s="1275" t="str">
        <f>VLOOKUP($B1645,DG!A:D,DG!$C$2,)&amp;": 4 cái"</f>
        <v>Đà U100x46x4.5x400 : 4 cái</v>
      </c>
      <c r="F1645" s="1274" t="str">
        <f>VLOOKUP($B1645,DG!A:D,DG!$D$2,)</f>
        <v>kg</v>
      </c>
      <c r="G1645" s="1276">
        <f>G1642*2.713*4</f>
        <v>0</v>
      </c>
      <c r="H1645" s="1353">
        <f t="shared" si="63"/>
        <v>0</v>
      </c>
      <c r="I1645" s="1310"/>
      <c r="J1645" s="1310"/>
      <c r="K1645" s="1278"/>
      <c r="L1645" s="1125">
        <v>400</v>
      </c>
    </row>
    <row r="1646" spans="1:12" s="1279" customFormat="1" ht="20.100000000000001" customHeight="1">
      <c r="A1646" s="1377">
        <f t="shared" si="65"/>
        <v>0</v>
      </c>
      <c r="B1646" s="1378" t="s">
        <v>1168</v>
      </c>
      <c r="C1646" s="1273"/>
      <c r="D1646" s="1288" t="str">
        <f>VLOOKUP($B1646,DG!A:D,DG!$B$2,)</f>
        <v>05.6101</v>
      </c>
      <c r="E1646" s="1275" t="str">
        <f>VLOOKUP($B1646,DG!A:D,DG!$C$2,)&amp;": 2 cái"</f>
        <v>Đà U100x46x5x800 : 2 cái</v>
      </c>
      <c r="F1646" s="1274" t="str">
        <f>VLOOKUP($B1646,DG!A:D,DG!$D$2,)</f>
        <v>kg</v>
      </c>
      <c r="G1646" s="1276">
        <f>G1642*5.426*2</f>
        <v>0</v>
      </c>
      <c r="H1646" s="1353">
        <f t="shared" ref="H1646:H1709" si="66">IF(L1646=$L$23,G1646+I1646-J1646,0)</f>
        <v>0</v>
      </c>
      <c r="I1646" s="1310"/>
      <c r="J1646" s="1310"/>
      <c r="K1646" s="1278"/>
      <c r="L1646" s="1125">
        <v>400</v>
      </c>
    </row>
    <row r="1647" spans="1:12" s="1279" customFormat="1" ht="20.100000000000001" customHeight="1">
      <c r="A1647" s="1377">
        <f t="shared" si="65"/>
        <v>0</v>
      </c>
      <c r="B1647" s="1582" t="s">
        <v>2304</v>
      </c>
      <c r="C1647" s="1273"/>
      <c r="D1647" s="1288" t="str">
        <f>VLOOKUP($B1647,DG!A:D,DG!$B$2,)</f>
        <v>05.6044</v>
      </c>
      <c r="E1647" s="1275" t="str">
        <f>VLOOKUP($B1647,DG!A:D,DG!$C$2,)</f>
        <v>Lắp xà cột Pi loại ≤140kg/xà</v>
      </c>
      <c r="F1647" s="1288" t="str">
        <f>VLOOKUP($B1647,DG!A:D,DG!$D$2,)</f>
        <v>bộ</v>
      </c>
      <c r="G1647" s="1287">
        <f>G1642</f>
        <v>0</v>
      </c>
      <c r="H1647" s="1353">
        <f t="shared" si="66"/>
        <v>0</v>
      </c>
      <c r="I1647" s="1310"/>
      <c r="J1647" s="1310"/>
      <c r="K1647" s="1278"/>
      <c r="L1647" s="1125">
        <v>400</v>
      </c>
    </row>
    <row r="1648" spans="1:12" s="1279" customFormat="1" ht="20.100000000000001" customHeight="1">
      <c r="A1648" s="1377">
        <f t="shared" si="65"/>
        <v>0</v>
      </c>
      <c r="B1648" s="1582" t="s">
        <v>1834</v>
      </c>
      <c r="C1648" s="1273"/>
      <c r="D1648" s="1288">
        <f>VLOOKUP($B1648,DG!A:D,DG!$B$2,)</f>
        <v>0</v>
      </c>
      <c r="E1648" s="1275" t="str">
        <f>VLOOKUP($B1648,DG!A:D,DG!$C$2,)</f>
        <v>Boulon 16x400VRS+ 4 long đền vuông D18-50x50x3/Zn</v>
      </c>
      <c r="F1648" s="1274" t="str">
        <f>VLOOKUP($B1648,DG!A:D,DG!$D$2,)</f>
        <v>bộ</v>
      </c>
      <c r="G1648" s="1287">
        <f>G1642*10</f>
        <v>0</v>
      </c>
      <c r="H1648" s="1353">
        <f t="shared" si="66"/>
        <v>0</v>
      </c>
      <c r="I1648" s="1310"/>
      <c r="J1648" s="1310"/>
      <c r="K1648" s="1278"/>
      <c r="L1648" s="1125">
        <v>400</v>
      </c>
    </row>
    <row r="1649" spans="1:12" s="1279" customFormat="1" ht="20.100000000000001" customHeight="1">
      <c r="A1649" s="1377">
        <f t="shared" si="65"/>
        <v>0</v>
      </c>
      <c r="B1649" s="1582" t="s">
        <v>1113</v>
      </c>
      <c r="C1649" s="1273"/>
      <c r="D1649" s="1288">
        <f>VLOOKUP($B1649,DG!A:D,DG!$B$2,)</f>
        <v>0</v>
      </c>
      <c r="E1649" s="1275" t="str">
        <f>VLOOKUP($B1649,DG!A:D,DG!$C$2,)</f>
        <v>Boulon 16x400+ 2 long đền vuông D18-50x50x3/Zn</v>
      </c>
      <c r="F1649" s="1274" t="str">
        <f>VLOOKUP($B1649,DG!A:D,DG!$D$2,)</f>
        <v>bộ</v>
      </c>
      <c r="G1649" s="1287">
        <f>G1642*2</f>
        <v>0</v>
      </c>
      <c r="H1649" s="1353">
        <f t="shared" si="66"/>
        <v>0</v>
      </c>
      <c r="I1649" s="1310"/>
      <c r="J1649" s="1310"/>
      <c r="K1649" s="1278"/>
      <c r="L1649" s="1125">
        <v>400</v>
      </c>
    </row>
    <row r="1650" spans="1:12" s="1279" customFormat="1" ht="20.100000000000001" customHeight="1">
      <c r="A1650" s="1377">
        <f t="shared" si="65"/>
        <v>0</v>
      </c>
      <c r="B1650" s="1582" t="s">
        <v>1109</v>
      </c>
      <c r="C1650" s="1273"/>
      <c r="D1650" s="1288">
        <f>VLOOKUP($B1650,DG!A:D,DG!$B$2,)</f>
        <v>0</v>
      </c>
      <c r="E1650" s="1275" t="str">
        <f>VLOOKUP($B1650,DG!A:D,DG!$C$2,)</f>
        <v>Boulon 16x350+ 2 long đền vuông D18-50x50x3/Zn</v>
      </c>
      <c r="F1650" s="1274" t="str">
        <f>VLOOKUP($B1650,DG!A:D,DG!$D$2,)</f>
        <v>bộ</v>
      </c>
      <c r="G1650" s="1287">
        <f>G1642*12</f>
        <v>0</v>
      </c>
      <c r="H1650" s="1353">
        <f t="shared" si="66"/>
        <v>0</v>
      </c>
      <c r="I1650" s="1310"/>
      <c r="J1650" s="1310"/>
      <c r="K1650" s="1278"/>
      <c r="L1650" s="1125">
        <v>400</v>
      </c>
    </row>
    <row r="1651" spans="1:12" s="1279" customFormat="1" ht="20.100000000000001" customHeight="1">
      <c r="A1651" s="1377">
        <f t="shared" si="65"/>
        <v>0</v>
      </c>
      <c r="B1651" s="1582"/>
      <c r="C1651" s="1280">
        <f>IF(G1651&gt;0,C1642+1,C1642)</f>
        <v>0</v>
      </c>
      <c r="D1651" s="1281"/>
      <c r="E1651" s="1341" t="s">
        <v>3842</v>
      </c>
      <c r="F1651" s="1280" t="s">
        <v>2449</v>
      </c>
      <c r="G1651" s="1283"/>
      <c r="H1651" s="1353">
        <f t="shared" si="66"/>
        <v>0</v>
      </c>
      <c r="I1651" s="1342"/>
      <c r="J1651" s="1342"/>
      <c r="K1651" s="1278"/>
      <c r="L1651" s="1125">
        <v>400</v>
      </c>
    </row>
    <row r="1652" spans="1:12" s="1279" customFormat="1" ht="20.100000000000001" customHeight="1">
      <c r="A1652" s="1377">
        <f>IF(A1651&gt;0,1,0)</f>
        <v>0</v>
      </c>
      <c r="B1652" s="1582"/>
      <c r="C1652" s="1273"/>
      <c r="D1652" s="1288"/>
      <c r="E1652" s="1637" t="s">
        <v>2342</v>
      </c>
      <c r="F1652" s="1286"/>
      <c r="G1652" s="1287"/>
      <c r="H1652" s="1353">
        <f t="shared" si="66"/>
        <v>0</v>
      </c>
      <c r="I1652" s="1342"/>
      <c r="J1652" s="1342"/>
      <c r="K1652" s="1278"/>
      <c r="L1652" s="1125">
        <v>400</v>
      </c>
    </row>
    <row r="1653" spans="1:12" s="1279" customFormat="1" ht="20.100000000000001" customHeight="1">
      <c r="A1653" s="1377">
        <f t="shared" si="65"/>
        <v>0</v>
      </c>
      <c r="B1653" s="1589" t="s">
        <v>2075</v>
      </c>
      <c r="C1653" s="1273"/>
      <c r="D1653" s="1288">
        <f>VLOOKUP($B1653,DG!A:D,DG!$B$2,)</f>
        <v>0</v>
      </c>
      <c r="E1653" s="1275" t="str">
        <f>VLOOKUP($B1653,DG!A:D,DG!$C$2,)</f>
        <v>Sắt góc L75 x75 x8</v>
      </c>
      <c r="F1653" s="1288" t="str">
        <f>VLOOKUP($B1653,DG!A:D,DG!$D$2,)</f>
        <v>kg</v>
      </c>
      <c r="G1653" s="1276"/>
      <c r="H1653" s="1353">
        <f t="shared" si="66"/>
        <v>0</v>
      </c>
      <c r="I1653" s="1310"/>
      <c r="J1653" s="1310"/>
      <c r="K1653" s="1278"/>
      <c r="L1653" s="1125">
        <v>400</v>
      </c>
    </row>
    <row r="1654" spans="1:12" s="1279" customFormat="1" ht="20.100000000000001" customHeight="1">
      <c r="A1654" s="1377">
        <f t="shared" si="65"/>
        <v>0</v>
      </c>
      <c r="B1654" s="1582" t="s">
        <v>1837</v>
      </c>
      <c r="C1654" s="1273"/>
      <c r="D1654" s="1288">
        <f>VLOOKUP($B1654,DG!A:D,DG!$B$2,)</f>
        <v>0</v>
      </c>
      <c r="E1654" s="1275" t="str">
        <f>VLOOKUP($B1654,DG!A:D,DG!$C$2,)</f>
        <v>Boulon 16x300VRS+ 4 long đền vuông D18-50x50x3/Zn</v>
      </c>
      <c r="F1654" s="1288" t="str">
        <f>VLOOKUP($B1654,DG!A:D,DG!$D$2,)</f>
        <v>bộ</v>
      </c>
      <c r="G1654" s="1287">
        <f>G1651*2</f>
        <v>0</v>
      </c>
      <c r="H1654" s="1353">
        <f t="shared" si="66"/>
        <v>0</v>
      </c>
      <c r="I1654" s="1310"/>
      <c r="J1654" s="1310"/>
      <c r="K1654" s="1278"/>
      <c r="L1654" s="1125">
        <v>400</v>
      </c>
    </row>
    <row r="1655" spans="1:12" s="1279" customFormat="1" ht="20.100000000000001" customHeight="1">
      <c r="A1655" s="1377">
        <f t="shared" si="65"/>
        <v>0</v>
      </c>
      <c r="B1655" s="1582" t="s">
        <v>1662</v>
      </c>
      <c r="C1655" s="1273"/>
      <c r="D1655" s="1288">
        <f>VLOOKUP($B1655,DG!A:D,DG!$B$2,)</f>
        <v>0</v>
      </c>
      <c r="E1655" s="1275" t="str">
        <f>VLOOKUP($B1655,DG!A:D,DG!$C$2,)</f>
        <v>Boulon 16x300+ 2 long đền vuông D18-50x50x3/Zn</v>
      </c>
      <c r="F1655" s="1288" t="str">
        <f>VLOOKUP($B1655,DG!A:D,DG!$D$2,)</f>
        <v>bộ</v>
      </c>
      <c r="G1655" s="1287">
        <f>G1651*2</f>
        <v>0</v>
      </c>
      <c r="H1655" s="1353">
        <f t="shared" si="66"/>
        <v>0</v>
      </c>
      <c r="I1655" s="1310"/>
      <c r="J1655" s="1310"/>
      <c r="K1655" s="1278"/>
      <c r="L1655" s="1125">
        <v>400</v>
      </c>
    </row>
    <row r="1656" spans="1:12" s="1279" customFormat="1" ht="20.100000000000001" customHeight="1">
      <c r="A1656" s="1377">
        <f t="shared" si="65"/>
        <v>0</v>
      </c>
      <c r="B1656" s="1582" t="s">
        <v>1661</v>
      </c>
      <c r="C1656" s="1273"/>
      <c r="D1656" s="1288">
        <f>VLOOKUP($B1656,DG!A:D,DG!$B$2,)</f>
        <v>0</v>
      </c>
      <c r="E1656" s="1275" t="str">
        <f>VLOOKUP($B1656,DG!A:D,DG!$C$2,)</f>
        <v>Boulon 16x250+ 2 long đền vuông D18-50x50x3/Zn</v>
      </c>
      <c r="F1656" s="1288" t="str">
        <f>VLOOKUP($B1656,DG!A:D,DG!$D$2,)</f>
        <v>bộ</v>
      </c>
      <c r="G1656" s="1287">
        <f>G1655</f>
        <v>0</v>
      </c>
      <c r="H1656" s="1353">
        <f t="shared" si="66"/>
        <v>0</v>
      </c>
      <c r="I1656" s="1310"/>
      <c r="J1656" s="1310"/>
      <c r="K1656" s="1278"/>
      <c r="L1656" s="1125">
        <v>400</v>
      </c>
    </row>
    <row r="1657" spans="1:12" s="1279" customFormat="1" ht="20.100000000000001" customHeight="1">
      <c r="A1657" s="1377">
        <f t="shared" si="65"/>
        <v>0</v>
      </c>
      <c r="B1657" s="1582" t="s">
        <v>2304</v>
      </c>
      <c r="C1657" s="1273"/>
      <c r="D1657" s="1288" t="str">
        <f>VLOOKUP($B1657,DG!A:D,DG!$B$2,)</f>
        <v>05.6044</v>
      </c>
      <c r="E1657" s="1275" t="str">
        <f>VLOOKUP($B1657,DG!A:D,DG!$C$2,)</f>
        <v>Lắp xà cột Pi loại ≤140kg/xà</v>
      </c>
      <c r="F1657" s="1288" t="str">
        <f>VLOOKUP($B1657,DG!A:D,DG!$D$2,)</f>
        <v>bộ</v>
      </c>
      <c r="G1657" s="1287">
        <f>G1651</f>
        <v>0</v>
      </c>
      <c r="H1657" s="1353">
        <f t="shared" si="66"/>
        <v>0</v>
      </c>
      <c r="I1657" s="1310"/>
      <c r="J1657" s="1310"/>
      <c r="K1657" s="1278"/>
      <c r="L1657" s="1125">
        <v>400</v>
      </c>
    </row>
    <row r="1658" spans="1:12" s="1279" customFormat="1" ht="20.100000000000001" customHeight="1">
      <c r="A1658" s="1377">
        <f t="shared" si="65"/>
        <v>0</v>
      </c>
      <c r="B1658" s="1582"/>
      <c r="C1658" s="1280">
        <f>IF(G1658&gt;0,C1651+1,C1651)</f>
        <v>0</v>
      </c>
      <c r="D1658" s="1281"/>
      <c r="E1658" s="1341" t="s">
        <v>3834</v>
      </c>
      <c r="F1658" s="1280" t="s">
        <v>2449</v>
      </c>
      <c r="G1658" s="1283">
        <f>G1613*1</f>
        <v>0</v>
      </c>
      <c r="H1658" s="1353">
        <f t="shared" si="66"/>
        <v>0</v>
      </c>
      <c r="I1658" s="1342"/>
      <c r="J1658" s="1342"/>
      <c r="K1658" s="1278"/>
      <c r="L1658" s="1125">
        <v>400</v>
      </c>
    </row>
    <row r="1659" spans="1:12" s="1279" customFormat="1" ht="20.100000000000001" customHeight="1">
      <c r="A1659" s="1377">
        <f>IF(A1658&gt;0,1,0)</f>
        <v>0</v>
      </c>
      <c r="B1659" s="1582"/>
      <c r="C1659" s="1273"/>
      <c r="D1659" s="1284"/>
      <c r="E1659" s="1637" t="s">
        <v>2342</v>
      </c>
      <c r="F1659" s="1286"/>
      <c r="G1659" s="1287"/>
      <c r="H1659" s="1353">
        <f t="shared" si="66"/>
        <v>0</v>
      </c>
      <c r="I1659" s="1342"/>
      <c r="J1659" s="1342"/>
      <c r="K1659" s="1278"/>
      <c r="L1659" s="1125">
        <v>400</v>
      </c>
    </row>
    <row r="1660" spans="1:12" s="1279" customFormat="1" ht="20.100000000000001" customHeight="1">
      <c r="A1660" s="1377">
        <f t="shared" si="65"/>
        <v>0</v>
      </c>
      <c r="B1660" s="1613" t="s">
        <v>363</v>
      </c>
      <c r="C1660" s="1273"/>
      <c r="D1660" s="1288">
        <f>VLOOKUP($B1660,DG!A:D,DG!$B$2,)</f>
        <v>0</v>
      </c>
      <c r="E1660" s="1275" t="str">
        <f>VLOOKUP($B1660,DG!A:D,DG!$C$2,)</f>
        <v>Xà composite 110x800x5</v>
      </c>
      <c r="F1660" s="1288" t="str">
        <f>VLOOKUP($B1660,DG!A:D,DG!$D$2,)</f>
        <v>m</v>
      </c>
      <c r="G1660" s="1276"/>
      <c r="H1660" s="1353">
        <f t="shared" si="66"/>
        <v>0</v>
      </c>
      <c r="I1660" s="1310"/>
      <c r="J1660" s="1310"/>
      <c r="K1660" s="1278"/>
      <c r="L1660" s="1125">
        <v>400</v>
      </c>
    </row>
    <row r="1661" spans="1:12" s="1279" customFormat="1" ht="20.100000000000001" customHeight="1">
      <c r="A1661" s="1377">
        <f t="shared" si="65"/>
        <v>0</v>
      </c>
      <c r="B1661" s="1582" t="s">
        <v>1661</v>
      </c>
      <c r="C1661" s="1273"/>
      <c r="D1661" s="1288">
        <f>VLOOKUP($B1661,DG!A:D,DG!$B$2,)</f>
        <v>0</v>
      </c>
      <c r="E1661" s="1275" t="str">
        <f>VLOOKUP($B1661,DG!A:D,DG!$C$2,)</f>
        <v>Boulon 16x250+ 2 long đền vuông D18-50x50x3/Zn</v>
      </c>
      <c r="F1661" s="1288" t="str">
        <f>VLOOKUP($B1661,DG!A:D,DG!$D$2,)</f>
        <v>bộ</v>
      </c>
      <c r="G1661" s="1287">
        <f>G1658</f>
        <v>0</v>
      </c>
      <c r="H1661" s="1353">
        <f t="shared" si="66"/>
        <v>0</v>
      </c>
      <c r="I1661" s="1310"/>
      <c r="J1661" s="1310"/>
      <c r="K1661" s="1278"/>
      <c r="L1661" s="1125">
        <v>400</v>
      </c>
    </row>
    <row r="1662" spans="1:12" s="1279" customFormat="1" ht="20.100000000000001" customHeight="1">
      <c r="A1662" s="1377">
        <f t="shared" si="65"/>
        <v>0</v>
      </c>
      <c r="B1662" s="1582" t="s">
        <v>1662</v>
      </c>
      <c r="C1662" s="1273"/>
      <c r="D1662" s="1288">
        <f>VLOOKUP($B1662,DG!A:D,DG!$B$2,)</f>
        <v>0</v>
      </c>
      <c r="E1662" s="1275" t="str">
        <f>VLOOKUP($B1662,DG!A:D,DG!$C$2,)</f>
        <v>Boulon 16x300+ 2 long đền vuông D18-50x50x3/Zn</v>
      </c>
      <c r="F1662" s="1288" t="str">
        <f>VLOOKUP($B1662,DG!A:D,DG!$D$2,)</f>
        <v>bộ</v>
      </c>
      <c r="G1662" s="1287">
        <f>G1658</f>
        <v>0</v>
      </c>
      <c r="H1662" s="1353">
        <f t="shared" si="66"/>
        <v>0</v>
      </c>
      <c r="I1662" s="1310"/>
      <c r="J1662" s="1310"/>
      <c r="K1662" s="1278"/>
      <c r="L1662" s="1125">
        <v>400</v>
      </c>
    </row>
    <row r="1663" spans="1:12" s="1279" customFormat="1" ht="20.100000000000001" customHeight="1">
      <c r="A1663" s="1377">
        <f t="shared" si="65"/>
        <v>0</v>
      </c>
      <c r="B1663" s="1582" t="s">
        <v>30</v>
      </c>
      <c r="C1663" s="1273"/>
      <c r="D1663" s="1288">
        <f>VLOOKUP($B1663,DG!A:D,DG!$B$2,)</f>
        <v>0</v>
      </c>
      <c r="E1663" s="1275" t="str">
        <f>VLOOKUP($B1663,DG!A:D,DG!$C$2,)</f>
        <v>Bass LI bắt FCO</v>
      </c>
      <c r="F1663" s="1288" t="str">
        <f>VLOOKUP($B1663,DG!A:D,DG!$D$2,)</f>
        <v>Bộ</v>
      </c>
      <c r="G1663" s="1287">
        <f>G1614*2</f>
        <v>0</v>
      </c>
      <c r="H1663" s="1353">
        <f t="shared" si="66"/>
        <v>0</v>
      </c>
      <c r="I1663" s="1310"/>
      <c r="J1663" s="1310"/>
      <c r="K1663" s="1278"/>
      <c r="L1663" s="1125">
        <v>400</v>
      </c>
    </row>
    <row r="1664" spans="1:12" s="1279" customFormat="1" ht="20.100000000000001" customHeight="1">
      <c r="A1664" s="1377">
        <f t="shared" si="65"/>
        <v>0</v>
      </c>
      <c r="B1664" s="1582" t="s">
        <v>2304</v>
      </c>
      <c r="C1664" s="1273"/>
      <c r="D1664" s="1288" t="str">
        <f>VLOOKUP($B1664,DG!A:D,DG!$B$2,)</f>
        <v>05.6044</v>
      </c>
      <c r="E1664" s="1275" t="str">
        <f>VLOOKUP($B1664,DG!A:D,DG!$C$2,)</f>
        <v>Lắp xà cột Pi loại ≤140kg/xà</v>
      </c>
      <c r="F1664" s="1288" t="str">
        <f>VLOOKUP($B1664,DG!A:D,DG!$D$2,)</f>
        <v>bộ</v>
      </c>
      <c r="G1664" s="1287">
        <f>G1613</f>
        <v>0</v>
      </c>
      <c r="H1664" s="1353">
        <f t="shared" si="66"/>
        <v>0</v>
      </c>
      <c r="I1664" s="1310"/>
      <c r="J1664" s="1310"/>
      <c r="K1664" s="1278"/>
      <c r="L1664" s="1125">
        <v>400</v>
      </c>
    </row>
    <row r="1665" spans="1:12" s="1279" customFormat="1" ht="20.100000000000001" customHeight="1">
      <c r="A1665" s="1377">
        <f t="shared" si="65"/>
        <v>0</v>
      </c>
      <c r="B1665" s="1582"/>
      <c r="C1665" s="1280">
        <f>IF(G1665&gt;0,C1658+1,C1658)</f>
        <v>0</v>
      </c>
      <c r="D1665" s="1281"/>
      <c r="E1665" s="1341" t="s">
        <v>3816</v>
      </c>
      <c r="F1665" s="1280" t="s">
        <v>2449</v>
      </c>
      <c r="G1665" s="1283">
        <f>G1613*2</f>
        <v>0</v>
      </c>
      <c r="H1665" s="1353">
        <f t="shared" si="66"/>
        <v>0</v>
      </c>
      <c r="I1665" s="1342"/>
      <c r="J1665" s="1342"/>
      <c r="K1665" s="1278"/>
      <c r="L1665" s="1125">
        <v>400</v>
      </c>
    </row>
    <row r="1666" spans="1:12" s="1279" customFormat="1" ht="20.100000000000001" customHeight="1">
      <c r="A1666" s="1377">
        <f>IF(A1665&gt;0,1,0)</f>
        <v>0</v>
      </c>
      <c r="B1666" s="1582"/>
      <c r="C1666" s="1273"/>
      <c r="D1666" s="1284"/>
      <c r="E1666" s="1637" t="s">
        <v>2342</v>
      </c>
      <c r="F1666" s="1286"/>
      <c r="G1666" s="1287"/>
      <c r="H1666" s="1353">
        <f t="shared" si="66"/>
        <v>0</v>
      </c>
      <c r="I1666" s="1342"/>
      <c r="J1666" s="1342"/>
      <c r="K1666" s="1278"/>
      <c r="L1666" s="1125">
        <v>400</v>
      </c>
    </row>
    <row r="1667" spans="1:12" s="1279" customFormat="1" ht="20.100000000000001" customHeight="1">
      <c r="A1667" s="1377">
        <f t="shared" si="65"/>
        <v>0</v>
      </c>
      <c r="B1667" s="1582" t="s">
        <v>2075</v>
      </c>
      <c r="C1667" s="1273"/>
      <c r="D1667" s="1288">
        <f>VLOOKUP($B1667,DG!A:D,DG!$B$2,)</f>
        <v>0</v>
      </c>
      <c r="E1667" s="1275" t="str">
        <f>VLOOKUP($B1667,DG!A:D,DG!$C$2,)</f>
        <v>Sắt góc L75 x75 x8</v>
      </c>
      <c r="F1667" s="1288" t="str">
        <f>VLOOKUP($B1667,DG!A:D,DG!$D$2,)</f>
        <v>kg</v>
      </c>
      <c r="G1667" s="1276">
        <f>G1665*9.02*2.6</f>
        <v>0</v>
      </c>
      <c r="H1667" s="1353">
        <f t="shared" si="66"/>
        <v>0</v>
      </c>
      <c r="I1667" s="1310"/>
      <c r="J1667" s="1310"/>
      <c r="K1667" s="1278"/>
      <c r="L1667" s="1125">
        <v>400</v>
      </c>
    </row>
    <row r="1668" spans="1:12" s="1279" customFormat="1" ht="20.100000000000001" customHeight="1">
      <c r="A1668" s="1377">
        <f t="shared" si="65"/>
        <v>0</v>
      </c>
      <c r="B1668" s="1582" t="s">
        <v>1113</v>
      </c>
      <c r="C1668" s="1273"/>
      <c r="D1668" s="1288">
        <f>VLOOKUP($B1668,DG!A:D,DG!$B$2,)</f>
        <v>0</v>
      </c>
      <c r="E1668" s="1275" t="str">
        <f>VLOOKUP($B1668,DG!A:D,DG!$C$2,)</f>
        <v>Boulon 16x400+ 2 long đền vuông D18-50x50x3/Zn</v>
      </c>
      <c r="F1668" s="1288" t="str">
        <f>VLOOKUP($B1668,DG!A:D,DG!$D$2,)</f>
        <v>bộ</v>
      </c>
      <c r="G1668" s="1287">
        <f>G1665*2</f>
        <v>0</v>
      </c>
      <c r="H1668" s="1353">
        <f t="shared" si="66"/>
        <v>0</v>
      </c>
      <c r="I1668" s="1310"/>
      <c r="J1668" s="1310"/>
      <c r="K1668" s="1278"/>
      <c r="L1668" s="1125">
        <v>400</v>
      </c>
    </row>
    <row r="1669" spans="1:12" s="1279" customFormat="1" ht="20.100000000000001" customHeight="1">
      <c r="A1669" s="1377">
        <f t="shared" si="65"/>
        <v>0</v>
      </c>
      <c r="B1669" s="1582" t="s">
        <v>139</v>
      </c>
      <c r="C1669" s="1273"/>
      <c r="D1669" s="1288">
        <f>VLOOKUP($B1669,DG!A:D,DG!$B$2,)</f>
        <v>0</v>
      </c>
      <c r="E1669" s="1275" t="str">
        <f>VLOOKUP($B1669,DG!A:D,DG!$C$2,)</f>
        <v>Boulon 12x40+ 2 long đền vuông D14-50x50x3/Zn</v>
      </c>
      <c r="F1669" s="1288" t="str">
        <f>VLOOKUP($B1669,DG!A:D,DG!$D$2,)</f>
        <v>bộ</v>
      </c>
      <c r="G1669" s="1287">
        <f>G1665*2</f>
        <v>0</v>
      </c>
      <c r="H1669" s="1353">
        <f t="shared" si="66"/>
        <v>0</v>
      </c>
      <c r="I1669" s="1310"/>
      <c r="J1669" s="1310"/>
      <c r="K1669" s="1278"/>
      <c r="L1669" s="1125">
        <v>400</v>
      </c>
    </row>
    <row r="1670" spans="1:12" s="1279" customFormat="1" ht="20.100000000000001" customHeight="1">
      <c r="A1670" s="1377">
        <f t="shared" si="65"/>
        <v>0</v>
      </c>
      <c r="B1670" s="1582" t="s">
        <v>2304</v>
      </c>
      <c r="C1670" s="1273"/>
      <c r="D1670" s="1288" t="str">
        <f>VLOOKUP($B1670,DG!A:D,DG!$B$2,)</f>
        <v>05.6044</v>
      </c>
      <c r="E1670" s="1275" t="str">
        <f>VLOOKUP($B1670,DG!A:D,DG!$C$2,)</f>
        <v>Lắp xà cột Pi loại ≤140kg/xà</v>
      </c>
      <c r="F1670" s="1288" t="str">
        <f>VLOOKUP($B1670,DG!A:D,DG!$D$2,)</f>
        <v>bộ</v>
      </c>
      <c r="G1670" s="1287">
        <f>G1665/2</f>
        <v>0</v>
      </c>
      <c r="H1670" s="1353">
        <f t="shared" si="66"/>
        <v>0</v>
      </c>
      <c r="I1670" s="1310"/>
      <c r="J1670" s="1310"/>
      <c r="K1670" s="1278"/>
      <c r="L1670" s="1125">
        <v>400</v>
      </c>
    </row>
    <row r="1671" spans="1:12" s="1279" customFormat="1" ht="20.100000000000001" customHeight="1">
      <c r="A1671" s="1377">
        <f t="shared" si="65"/>
        <v>0</v>
      </c>
      <c r="B1671" s="1582" t="s">
        <v>218</v>
      </c>
      <c r="C1671" s="1273"/>
      <c r="D1671" s="1288" t="str">
        <f>VLOOKUP($B1671,DG!A:D,DG!$B$2,)</f>
        <v>02.1115</v>
      </c>
      <c r="E1671" s="1275" t="str">
        <f>VLOOKUP($B1671,DG!A:D,DG!$C$2,)</f>
        <v>Bốc dỡ xà, thép thanh</v>
      </c>
      <c r="F1671" s="1288" t="str">
        <f>VLOOKUP($B1671,DG!A:D,DG!$D$2,)</f>
        <v>tấn</v>
      </c>
      <c r="G1671" s="1276">
        <f>0.05*0</f>
        <v>0</v>
      </c>
      <c r="H1671" s="1353">
        <f t="shared" si="66"/>
        <v>0</v>
      </c>
      <c r="I1671" s="1310"/>
      <c r="J1671" s="1310"/>
      <c r="K1671" s="1278"/>
      <c r="L1671" s="1125">
        <v>400</v>
      </c>
    </row>
    <row r="1672" spans="1:12" s="1279" customFormat="1" ht="20.100000000000001" customHeight="1">
      <c r="A1672" s="1377">
        <f t="shared" si="65"/>
        <v>0</v>
      </c>
      <c r="B1672" s="1582" t="s">
        <v>1662</v>
      </c>
      <c r="C1672" s="1273"/>
      <c r="D1672" s="1288">
        <f>VLOOKUP($B1672,DG!A:D,DG!$B$2,)</f>
        <v>0</v>
      </c>
      <c r="E1672" s="1275" t="str">
        <f>VLOOKUP($B1672,DG!A:D,DG!$C$2,)</f>
        <v>Boulon 16x300+ 2 long đền vuông D18-50x50x3/Zn</v>
      </c>
      <c r="F1672" s="1274" t="s">
        <v>2503</v>
      </c>
      <c r="G1672" s="1287">
        <f>G1665*2*0</f>
        <v>0</v>
      </c>
      <c r="H1672" s="1353">
        <f t="shared" si="66"/>
        <v>0</v>
      </c>
      <c r="I1672" s="1310"/>
      <c r="J1672" s="1310"/>
      <c r="K1672" s="1278"/>
      <c r="L1672" s="1125">
        <v>400</v>
      </c>
    </row>
    <row r="1673" spans="1:12" s="1279" customFormat="1" ht="20.100000000000001" customHeight="1">
      <c r="A1673" s="1377">
        <f t="shared" si="65"/>
        <v>0</v>
      </c>
      <c r="B1673" s="1582" t="s">
        <v>1661</v>
      </c>
      <c r="C1673" s="1273"/>
      <c r="D1673" s="1288">
        <f>VLOOKUP($B1673,DG!A:D,DG!$B$2,)</f>
        <v>0</v>
      </c>
      <c r="E1673" s="1275" t="str">
        <f>VLOOKUP($B1673,DG!A:D,DG!$C$2,)</f>
        <v>Boulon 16x250+ 2 long đền vuông D18-50x50x3/Zn</v>
      </c>
      <c r="F1673" s="1274" t="s">
        <v>2503</v>
      </c>
      <c r="G1673" s="1287">
        <f>2*G1665*2*0</f>
        <v>0</v>
      </c>
      <c r="H1673" s="1353">
        <f t="shared" si="66"/>
        <v>0</v>
      </c>
      <c r="I1673" s="1310"/>
      <c r="J1673" s="1310"/>
      <c r="K1673" s="1278"/>
      <c r="L1673" s="1125">
        <v>400</v>
      </c>
    </row>
    <row r="1674" spans="1:12" s="1279" customFormat="1" ht="20.100000000000001" customHeight="1" collapsed="1">
      <c r="A1674" s="1377">
        <f t="shared" si="65"/>
        <v>0</v>
      </c>
      <c r="B1674" s="1582"/>
      <c r="C1674" s="1280">
        <f>IF(G1674&gt;0,C1665+1,C1665)</f>
        <v>0</v>
      </c>
      <c r="D1674" s="1281"/>
      <c r="E1674" s="1341" t="s">
        <v>3817</v>
      </c>
      <c r="F1674" s="1280" t="s">
        <v>2449</v>
      </c>
      <c r="G1674" s="1283">
        <f>G1613*0</f>
        <v>0</v>
      </c>
      <c r="H1674" s="1353">
        <f t="shared" si="66"/>
        <v>0</v>
      </c>
      <c r="I1674" s="1277"/>
      <c r="J1674" s="1277"/>
      <c r="K1674" s="1312"/>
      <c r="L1674" s="1125">
        <v>400</v>
      </c>
    </row>
    <row r="1675" spans="1:12" s="1279" customFormat="1" ht="20.100000000000001" customHeight="1">
      <c r="A1675" s="1377">
        <f>IF(A1674&gt;0,1,0)</f>
        <v>0</v>
      </c>
      <c r="B1675" s="1582"/>
      <c r="C1675" s="1273"/>
      <c r="D1675" s="1284"/>
      <c r="E1675" s="1637" t="s">
        <v>2342</v>
      </c>
      <c r="F1675" s="1286"/>
      <c r="G1675" s="1287"/>
      <c r="H1675" s="1353">
        <f t="shared" si="66"/>
        <v>0</v>
      </c>
      <c r="I1675" s="1277"/>
      <c r="J1675" s="1277"/>
      <c r="K1675" s="1312"/>
      <c r="L1675" s="1125">
        <v>400</v>
      </c>
    </row>
    <row r="1676" spans="1:12" s="1279" customFormat="1" ht="20.100000000000001" customHeight="1">
      <c r="A1676" s="1377">
        <f t="shared" si="65"/>
        <v>0</v>
      </c>
      <c r="B1676" s="1582" t="s">
        <v>2075</v>
      </c>
      <c r="C1676" s="1273"/>
      <c r="D1676" s="1288">
        <f>VLOOKUP($B1676,DG!A:D,DG!$B$2,)</f>
        <v>0</v>
      </c>
      <c r="E1676" s="1275" t="str">
        <f>VLOOKUP($B1676,DG!A:D,DG!$C$2,)</f>
        <v>Sắt góc L75 x75 x8</v>
      </c>
      <c r="F1676" s="1274" t="s">
        <v>2310</v>
      </c>
      <c r="G1676" s="1276">
        <f>G1674*9.02*(2.4+4*0.07)*2</f>
        <v>0</v>
      </c>
      <c r="H1676" s="1353">
        <f t="shared" si="66"/>
        <v>0</v>
      </c>
      <c r="I1676" s="1277"/>
      <c r="J1676" s="1277"/>
      <c r="K1676" s="1312"/>
      <c r="L1676" s="1125">
        <v>400</v>
      </c>
    </row>
    <row r="1677" spans="1:12" s="1279" customFormat="1" ht="20.100000000000001" customHeight="1">
      <c r="A1677" s="1377">
        <f t="shared" si="65"/>
        <v>0</v>
      </c>
      <c r="B1677" s="1582" t="s">
        <v>1065</v>
      </c>
      <c r="C1677" s="1273"/>
      <c r="D1677" s="1288">
        <f>VLOOKUP($B1677,DG!A:D,DG!$B$2,)</f>
        <v>0</v>
      </c>
      <c r="E1677" s="1275" t="str">
        <f>VLOOKUP($B1677,DG!A:D,DG!$C$2,)&amp;" (Thanh choáng 810)"</f>
        <v>Sắt góc L50 x50 x5 (Thanh choáng 810)</v>
      </c>
      <c r="F1677" s="1274" t="s">
        <v>2310</v>
      </c>
      <c r="G1677" s="1276">
        <f>G1674*3.77*0.81*4</f>
        <v>0</v>
      </c>
      <c r="H1677" s="1353">
        <f t="shared" si="66"/>
        <v>0</v>
      </c>
      <c r="I1677" s="1277"/>
      <c r="J1677" s="1277"/>
      <c r="K1677" s="1312"/>
      <c r="L1677" s="1125">
        <v>400</v>
      </c>
    </row>
    <row r="1678" spans="1:12" s="1279" customFormat="1" ht="20.100000000000001" customHeight="1">
      <c r="A1678" s="1377">
        <f t="shared" si="65"/>
        <v>0</v>
      </c>
      <c r="B1678" s="1582" t="s">
        <v>1662</v>
      </c>
      <c r="C1678" s="1273"/>
      <c r="D1678" s="1288">
        <f>VLOOKUP($B1678,DG!A:D,DG!$B$2,)</f>
        <v>0</v>
      </c>
      <c r="E1678" s="1275" t="str">
        <f>VLOOKUP($B1678,DG!A:D,DG!$C$2,)</f>
        <v>Boulon 16x300+ 2 long đền vuông D18-50x50x3/Zn</v>
      </c>
      <c r="F1678" s="1274" t="s">
        <v>2503</v>
      </c>
      <c r="G1678" s="1287">
        <f>G1674*2</f>
        <v>0</v>
      </c>
      <c r="H1678" s="1353">
        <f t="shared" si="66"/>
        <v>0</v>
      </c>
      <c r="I1678" s="1277"/>
      <c r="J1678" s="1277"/>
      <c r="K1678" s="1312"/>
      <c r="L1678" s="1125">
        <v>400</v>
      </c>
    </row>
    <row r="1679" spans="1:12" s="1279" customFormat="1" ht="20.100000000000001" customHeight="1">
      <c r="A1679" s="1377">
        <f t="shared" si="65"/>
        <v>0</v>
      </c>
      <c r="B1679" s="1582" t="s">
        <v>1839</v>
      </c>
      <c r="C1679" s="1273"/>
      <c r="D1679" s="1288">
        <f>VLOOKUP($B1679,DG!A:D,DG!$B$2,)</f>
        <v>0</v>
      </c>
      <c r="E1679" s="1275" t="str">
        <f>VLOOKUP($B1679,DG!A:D,DG!$C$2,)</f>
        <v>Boulon 16x50+ 2 long đền vuông D18-50x50x3/Zn</v>
      </c>
      <c r="F1679" s="1274" t="s">
        <v>2503</v>
      </c>
      <c r="G1679" s="1287">
        <f>G1674*4</f>
        <v>0</v>
      </c>
      <c r="H1679" s="1353">
        <f t="shared" si="66"/>
        <v>0</v>
      </c>
      <c r="I1679" s="1277"/>
      <c r="J1679" s="1277"/>
      <c r="K1679" s="1312"/>
      <c r="L1679" s="1125">
        <v>400</v>
      </c>
    </row>
    <row r="1680" spans="1:12" s="1279" customFormat="1" ht="20.100000000000001" customHeight="1">
      <c r="A1680" s="1377">
        <f t="shared" si="65"/>
        <v>0</v>
      </c>
      <c r="B1680" s="1582" t="s">
        <v>1837</v>
      </c>
      <c r="C1680" s="1273"/>
      <c r="D1680" s="1288">
        <f>VLOOKUP($B1680,DG!A:D,DG!$B$2,)</f>
        <v>0</v>
      </c>
      <c r="E1680" s="1275" t="str">
        <f>VLOOKUP($B1680,DG!A:D,DG!$C$2,)</f>
        <v>Boulon 16x300VRS+ 4 long đền vuông D18-50x50x3/Zn</v>
      </c>
      <c r="F1680" s="1274" t="s">
        <v>2503</v>
      </c>
      <c r="G1680" s="1287">
        <f>G1674*4</f>
        <v>0</v>
      </c>
      <c r="H1680" s="1353">
        <f t="shared" si="66"/>
        <v>0</v>
      </c>
      <c r="I1680" s="1277"/>
      <c r="J1680" s="1277"/>
      <c r="K1680" s="1312"/>
      <c r="L1680" s="1125">
        <v>400</v>
      </c>
    </row>
    <row r="1681" spans="1:12" s="1279" customFormat="1" ht="20.100000000000001" customHeight="1">
      <c r="A1681" s="1377">
        <f t="shared" si="65"/>
        <v>0</v>
      </c>
      <c r="B1681" s="1582" t="s">
        <v>520</v>
      </c>
      <c r="C1681" s="1273"/>
      <c r="D1681" s="1288" t="str">
        <f>VLOOKUP($B1681,DG!A:D,DG!$B$2,)</f>
        <v>05.6203</v>
      </c>
      <c r="E1681" s="1275" t="str">
        <f>VLOOKUP($B1681,DG!A:D,DG!$C$2,)</f>
        <v>Lắp xà néo ≤ 100kg</v>
      </c>
      <c r="F1681" s="1274" t="s">
        <v>2503</v>
      </c>
      <c r="G1681" s="1287">
        <f>G1674</f>
        <v>0</v>
      </c>
      <c r="H1681" s="1353">
        <f t="shared" si="66"/>
        <v>0</v>
      </c>
      <c r="I1681" s="1277"/>
      <c r="J1681" s="1277"/>
      <c r="K1681" s="1312"/>
      <c r="L1681" s="1125">
        <v>400</v>
      </c>
    </row>
    <row r="1682" spans="1:12" s="1279" customFormat="1" ht="20.100000000000001" customHeight="1">
      <c r="A1682" s="1377">
        <f t="shared" si="65"/>
        <v>0</v>
      </c>
      <c r="B1682" s="1582"/>
      <c r="C1682" s="1280">
        <f>IF(G1682&gt;0,C1674+1,C1674)</f>
        <v>0</v>
      </c>
      <c r="D1682" s="1281"/>
      <c r="E1682" s="1341" t="s">
        <v>3818</v>
      </c>
      <c r="F1682" s="1280" t="s">
        <v>2449</v>
      </c>
      <c r="G1682" s="1283">
        <f>G1613*1*0</f>
        <v>0</v>
      </c>
      <c r="H1682" s="1353">
        <f t="shared" si="66"/>
        <v>0</v>
      </c>
      <c r="I1682" s="1277"/>
      <c r="J1682" s="1277"/>
      <c r="K1682" s="1312"/>
      <c r="L1682" s="1125">
        <v>400</v>
      </c>
    </row>
    <row r="1683" spans="1:12" s="1279" customFormat="1" ht="20.100000000000001" customHeight="1">
      <c r="A1683" s="1377">
        <f>IF(A1682&gt;0,1,0)</f>
        <v>0</v>
      </c>
      <c r="B1683" s="1582"/>
      <c r="C1683" s="1273"/>
      <c r="D1683" s="1284"/>
      <c r="E1683" s="1637" t="s">
        <v>2342</v>
      </c>
      <c r="F1683" s="1286"/>
      <c r="G1683" s="1287"/>
      <c r="H1683" s="1353">
        <f t="shared" si="66"/>
        <v>0</v>
      </c>
      <c r="I1683" s="1277"/>
      <c r="J1683" s="1277"/>
      <c r="K1683" s="1312"/>
      <c r="L1683" s="1125">
        <v>400</v>
      </c>
    </row>
    <row r="1684" spans="1:12" s="1279" customFormat="1" ht="20.100000000000001" customHeight="1">
      <c r="A1684" s="1377">
        <f t="shared" ref="A1684:A1747" si="67">IF(H1684&gt;0,1,0)</f>
        <v>0</v>
      </c>
      <c r="B1684" s="1582" t="s">
        <v>2075</v>
      </c>
      <c r="C1684" s="1273"/>
      <c r="D1684" s="1288">
        <f>VLOOKUP($B1684,DG!A:D,DG!$B$2,)</f>
        <v>0</v>
      </c>
      <c r="E1684" s="1275" t="str">
        <f>VLOOKUP($B1684,DG!A:D,DG!$C$2,)</f>
        <v>Sắt góc L75 x75 x8</v>
      </c>
      <c r="F1684" s="1274" t="s">
        <v>2310</v>
      </c>
      <c r="G1684" s="1276">
        <f>G1682*9.02*(2.4+4*0.07)</f>
        <v>0</v>
      </c>
      <c r="H1684" s="1353">
        <f t="shared" si="66"/>
        <v>0</v>
      </c>
      <c r="I1684" s="1277"/>
      <c r="J1684" s="1277"/>
      <c r="K1684" s="1312"/>
      <c r="L1684" s="1125">
        <v>400</v>
      </c>
    </row>
    <row r="1685" spans="1:12" s="1279" customFormat="1" ht="20.100000000000001" customHeight="1">
      <c r="A1685" s="1377">
        <f t="shared" si="67"/>
        <v>0</v>
      </c>
      <c r="B1685" s="1582" t="s">
        <v>1065</v>
      </c>
      <c r="C1685" s="1273"/>
      <c r="D1685" s="1288">
        <f>VLOOKUP($B1685,DG!A:D,DG!$B$2,)</f>
        <v>0</v>
      </c>
      <c r="E1685" s="1275" t="str">
        <f>VLOOKUP($B1685,DG!A:D,DG!$C$2,)&amp;" (Thanh choáng 810)"</f>
        <v>Sắt góc L50 x50 x5 (Thanh choáng 810)</v>
      </c>
      <c r="F1685" s="1274" t="s">
        <v>2310</v>
      </c>
      <c r="G1685" s="1276">
        <f>G1682*3.77*0.81*2</f>
        <v>0</v>
      </c>
      <c r="H1685" s="1353">
        <f t="shared" si="66"/>
        <v>0</v>
      </c>
      <c r="I1685" s="1277"/>
      <c r="J1685" s="1277"/>
      <c r="K1685" s="1312"/>
      <c r="L1685" s="1125">
        <v>400</v>
      </c>
    </row>
    <row r="1686" spans="1:12" s="1279" customFormat="1" ht="20.100000000000001" customHeight="1">
      <c r="A1686" s="1377">
        <f t="shared" si="67"/>
        <v>0</v>
      </c>
      <c r="B1686" s="1582" t="s">
        <v>1109</v>
      </c>
      <c r="C1686" s="1273"/>
      <c r="D1686" s="1288">
        <f>VLOOKUP($B1686,DG!A:D,DG!$B$2,)</f>
        <v>0</v>
      </c>
      <c r="E1686" s="1275" t="str">
        <f>VLOOKUP($B1686,DG!A:D,DG!$C$2,)</f>
        <v>Boulon 16x350+ 2 long đền vuông D18-50x50x3/Zn</v>
      </c>
      <c r="F1686" s="1274" t="s">
        <v>2503</v>
      </c>
      <c r="G1686" s="1287">
        <f>G1682*2</f>
        <v>0</v>
      </c>
      <c r="H1686" s="1353">
        <f t="shared" si="66"/>
        <v>0</v>
      </c>
      <c r="I1686" s="1277"/>
      <c r="J1686" s="1277"/>
      <c r="K1686" s="1312"/>
      <c r="L1686" s="1125">
        <v>400</v>
      </c>
    </row>
    <row r="1687" spans="1:12" s="1279" customFormat="1" ht="20.100000000000001" customHeight="1">
      <c r="A1687" s="1377">
        <f t="shared" si="67"/>
        <v>0</v>
      </c>
      <c r="B1687" s="1582" t="s">
        <v>1839</v>
      </c>
      <c r="C1687" s="1273"/>
      <c r="D1687" s="1288">
        <f>VLOOKUP($B1687,DG!A:D,DG!$B$2,)</f>
        <v>0</v>
      </c>
      <c r="E1687" s="1275" t="str">
        <f>VLOOKUP($B1687,DG!A:D,DG!$C$2,)</f>
        <v>Boulon 16x50+ 2 long đền vuông D18-50x50x3/Zn</v>
      </c>
      <c r="F1687" s="1274" t="s">
        <v>2503</v>
      </c>
      <c r="G1687" s="1287">
        <f>G1682*2</f>
        <v>0</v>
      </c>
      <c r="H1687" s="1353">
        <f t="shared" si="66"/>
        <v>0</v>
      </c>
      <c r="I1687" s="1277"/>
      <c r="J1687" s="1277"/>
      <c r="K1687" s="1312"/>
      <c r="L1687" s="1125">
        <v>400</v>
      </c>
    </row>
    <row r="1688" spans="1:12" s="1279" customFormat="1" ht="20.100000000000001" customHeight="1">
      <c r="A1688" s="1377">
        <f t="shared" si="67"/>
        <v>0</v>
      </c>
      <c r="B1688" s="1582" t="s">
        <v>1788</v>
      </c>
      <c r="C1688" s="1273"/>
      <c r="D1688" s="1288">
        <f>VLOOKUP($B1688,DG!A:D,DG!$B$2,)</f>
        <v>0</v>
      </c>
      <c r="E1688" s="1275" t="str">
        <f>VLOOKUP($B1688,DG!A:D,DG!$C$2,)</f>
        <v>Bass LI bắt FCO</v>
      </c>
      <c r="F1688" s="1274" t="s">
        <v>2503</v>
      </c>
      <c r="G1688" s="1287">
        <f>IF(G1682&gt;0,3,)</f>
        <v>0</v>
      </c>
      <c r="H1688" s="1353">
        <f t="shared" si="66"/>
        <v>0</v>
      </c>
      <c r="I1688" s="1277"/>
      <c r="J1688" s="1277"/>
      <c r="K1688" s="1312"/>
      <c r="L1688" s="1125">
        <v>400</v>
      </c>
    </row>
    <row r="1689" spans="1:12" s="1279" customFormat="1" ht="20.100000000000001" customHeight="1">
      <c r="A1689" s="1377">
        <f t="shared" si="67"/>
        <v>0</v>
      </c>
      <c r="B1689" s="1582" t="s">
        <v>1018</v>
      </c>
      <c r="C1689" s="1273"/>
      <c r="D1689" s="1288" t="str">
        <f>VLOOKUP($B1689,DG!A:D,DG!$B$2,)</f>
        <v>06.3231</v>
      </c>
      <c r="E1689" s="1275" t="str">
        <f>VLOOKUP($B1689,DG!A:D,DG!$C$2,)</f>
        <v xml:space="preserve">Cổ dê chống lắc 8x80x800 </v>
      </c>
      <c r="F1689" s="1274" t="s">
        <v>2503</v>
      </c>
      <c r="G1689" s="1287">
        <f>G1682*0</f>
        <v>0</v>
      </c>
      <c r="H1689" s="1353">
        <f t="shared" si="66"/>
        <v>0</v>
      </c>
      <c r="I1689" s="1277"/>
      <c r="J1689" s="1277"/>
      <c r="K1689" s="1312"/>
      <c r="L1689" s="1125">
        <v>400</v>
      </c>
    </row>
    <row r="1690" spans="1:12" s="1279" customFormat="1" ht="20.100000000000001" customHeight="1">
      <c r="A1690" s="1377">
        <f t="shared" si="67"/>
        <v>0</v>
      </c>
      <c r="B1690" s="1582" t="s">
        <v>1473</v>
      </c>
      <c r="C1690" s="1273"/>
      <c r="D1690" s="1288" t="str">
        <f>VLOOKUP($B1690,DG!A:D,DG!$B$2,)</f>
        <v>05.6102</v>
      </c>
      <c r="E1690" s="1275" t="str">
        <f>VLOOKUP($B1690,DG!A:D,DG!$C$2,)</f>
        <v>Lắp xà đỡ ≤ 50kg</v>
      </c>
      <c r="F1690" s="1274" t="s">
        <v>2503</v>
      </c>
      <c r="G1690" s="1287">
        <f>G1682</f>
        <v>0</v>
      </c>
      <c r="H1690" s="1353">
        <f t="shared" si="66"/>
        <v>0</v>
      </c>
      <c r="I1690" s="1277"/>
      <c r="J1690" s="1277"/>
      <c r="K1690" s="1312"/>
      <c r="L1690" s="1125">
        <v>400</v>
      </c>
    </row>
    <row r="1691" spans="1:12" s="1279" customFormat="1" ht="20.100000000000001" customHeight="1">
      <c r="A1691" s="1377">
        <f t="shared" si="67"/>
        <v>0</v>
      </c>
      <c r="B1691" s="1582"/>
      <c r="C1691" s="1280">
        <f>IF(G1691&gt;0,C1682+1,C1682)</f>
        <v>0</v>
      </c>
      <c r="D1691" s="1281"/>
      <c r="E1691" s="1341" t="s">
        <v>3819</v>
      </c>
      <c r="F1691" s="1280" t="s">
        <v>2449</v>
      </c>
      <c r="G1691" s="1283">
        <f>G1613</f>
        <v>0</v>
      </c>
      <c r="H1691" s="1353">
        <f t="shared" si="66"/>
        <v>0</v>
      </c>
      <c r="I1691" s="1277"/>
      <c r="J1691" s="1277"/>
      <c r="K1691" s="1312"/>
      <c r="L1691" s="1125">
        <v>400</v>
      </c>
    </row>
    <row r="1692" spans="1:12" s="1279" customFormat="1" ht="20.100000000000001" customHeight="1">
      <c r="A1692" s="1377">
        <f>IF(A1691&gt;0,1,0)</f>
        <v>0</v>
      </c>
      <c r="B1692" s="1624"/>
      <c r="C1692" s="1273"/>
      <c r="D1692" s="1284"/>
      <c r="E1692" s="1637" t="s">
        <v>2342</v>
      </c>
      <c r="F1692" s="1286"/>
      <c r="G1692" s="1287"/>
      <c r="H1692" s="1353">
        <f t="shared" si="66"/>
        <v>0</v>
      </c>
      <c r="I1692" s="1277"/>
      <c r="J1692" s="1277"/>
      <c r="K1692" s="1312"/>
      <c r="L1692" s="1125">
        <v>400</v>
      </c>
    </row>
    <row r="1693" spans="1:12" s="1279" customFormat="1" ht="20.100000000000001" customHeight="1">
      <c r="A1693" s="1377">
        <f t="shared" si="67"/>
        <v>0</v>
      </c>
      <c r="B1693" s="1582" t="s">
        <v>1063</v>
      </c>
      <c r="C1693" s="1273"/>
      <c r="D1693" s="1274">
        <f>VLOOKUP($B1693,DG!A:D,DG!$B$2,)</f>
        <v>0</v>
      </c>
      <c r="E1693" s="1275" t="str">
        <f>VLOOKUP($B1693,DG!A:D,DG!$C$2,)</f>
        <v>Cáp đồng trần M25mm2</v>
      </c>
      <c r="F1693" s="1288" t="str">
        <f>VLOOKUP($B1693,DG!A:D,DG!$D$2,)</f>
        <v>kg</v>
      </c>
      <c r="G1693" s="1276">
        <f>53*0.224*G1691</f>
        <v>0</v>
      </c>
      <c r="H1693" s="1353">
        <f t="shared" si="66"/>
        <v>0</v>
      </c>
      <c r="I1693" s="1277"/>
      <c r="J1693" s="1277"/>
      <c r="K1693" s="1312"/>
      <c r="L1693" s="1125">
        <v>400</v>
      </c>
    </row>
    <row r="1694" spans="1:12" s="1279" customFormat="1" ht="20.100000000000001" customHeight="1">
      <c r="A1694" s="1377">
        <f t="shared" si="67"/>
        <v>0</v>
      </c>
      <c r="B1694" s="1582" t="s">
        <v>1063</v>
      </c>
      <c r="C1694" s="1273"/>
      <c r="D1694" s="1274">
        <f>VLOOKUP($B1694,DG!A:D,DG!$B$2,)</f>
        <v>0</v>
      </c>
      <c r="E1694" s="1275" t="str">
        <f>VLOOKUP($B1694,DG!A:D,DG!$C$2,)&amp;": 17m noái leân voû caùc thieát bò"</f>
        <v>Cáp đồng trần M25mm2: 17m noái leân voû caùc thieát bò</v>
      </c>
      <c r="F1694" s="1274" t="str">
        <f>VLOOKUP($B1694,DG!A:D,DG!$D$2,)</f>
        <v>kg</v>
      </c>
      <c r="G1694" s="1276">
        <f>17*0.224*G1691*0</f>
        <v>0</v>
      </c>
      <c r="H1694" s="1353">
        <f t="shared" si="66"/>
        <v>0</v>
      </c>
      <c r="I1694" s="1277"/>
      <c r="J1694" s="1277"/>
      <c r="K1694" s="1312"/>
      <c r="L1694" s="1125">
        <v>400</v>
      </c>
    </row>
    <row r="1695" spans="1:12" s="1279" customFormat="1" ht="20.100000000000001" customHeight="1">
      <c r="A1695" s="1377">
        <f t="shared" si="67"/>
        <v>0</v>
      </c>
      <c r="B1695" s="1378" t="s">
        <v>1560</v>
      </c>
      <c r="C1695" s="1273"/>
      <c r="D1695" s="1274">
        <f>VLOOKUP($B1695,DG!A:D,DG!$B$2,)</f>
        <v>0</v>
      </c>
      <c r="E1695" s="1275" t="str">
        <f>VLOOKUP($B1695,DG!A:D,DG!$C$2,)</f>
        <v>Cọc tiếp đất Ø 16- 2,4m + kẹp cọc</v>
      </c>
      <c r="F1695" s="1288" t="str">
        <f>VLOOKUP($B1695,DG!A:D,DG!$D$2,)</f>
        <v>bộ</v>
      </c>
      <c r="G1695" s="1287"/>
      <c r="H1695" s="1353">
        <f t="shared" si="66"/>
        <v>0</v>
      </c>
      <c r="I1695" s="1277"/>
      <c r="J1695" s="1277"/>
      <c r="K1695" s="1312"/>
      <c r="L1695" s="1125">
        <v>400</v>
      </c>
    </row>
    <row r="1696" spans="1:12" s="1279" customFormat="1" ht="20.100000000000001" customHeight="1">
      <c r="A1696" s="1377">
        <f t="shared" si="67"/>
        <v>0</v>
      </c>
      <c r="B1696" s="1378" t="s">
        <v>1542</v>
      </c>
      <c r="C1696" s="1273"/>
      <c r="D1696" s="1274" t="str">
        <f>VLOOKUP($B1696,DG!A:D,DG!$B$2,)</f>
        <v>07.2403</v>
      </c>
      <c r="E1696" s="1275" t="str">
        <f>VLOOKUP($B1696,DG!A:D,DG!$C$2,)</f>
        <v xml:space="preserve">Ống PVC D21x1,6mm </v>
      </c>
      <c r="F1696" s="1274" t="str">
        <f>VLOOKUP($B1696,DG!A:D,DG!$D$2,)</f>
        <v>m</v>
      </c>
      <c r="G1696" s="1287">
        <f>G1691*12</f>
        <v>0</v>
      </c>
      <c r="H1696" s="1353">
        <f t="shared" si="66"/>
        <v>0</v>
      </c>
      <c r="I1696" s="1277"/>
      <c r="J1696" s="1277"/>
      <c r="K1696" s="1278"/>
      <c r="L1696" s="1125">
        <v>400</v>
      </c>
    </row>
    <row r="1697" spans="1:12" s="1279" customFormat="1" ht="20.100000000000001" customHeight="1">
      <c r="A1697" s="1377">
        <f t="shared" si="67"/>
        <v>0</v>
      </c>
      <c r="B1697" s="1587" t="s">
        <v>1631</v>
      </c>
      <c r="C1697" s="1273"/>
      <c r="D1697" s="1274">
        <f>VLOOKUP($B1697,DG!A:D,DG!$B$2,)</f>
        <v>0</v>
      </c>
      <c r="E1697" s="1275" t="str">
        <f>VLOOKUP($B1697,DG!A:D,DG!$C$2,)&amp; " bắt dây trung tính "</f>
        <v xml:space="preserve">Kẹp ép WR cỡ dây 50mm2 bắt dây trung tính </v>
      </c>
      <c r="F1697" s="1288" t="str">
        <f>VLOOKUP($B1697,DG!A:D,DG!$D$2,)</f>
        <v>cái</v>
      </c>
      <c r="G1697" s="1287">
        <f>2*G1691</f>
        <v>0</v>
      </c>
      <c r="H1697" s="1353">
        <f t="shared" si="66"/>
        <v>0</v>
      </c>
      <c r="I1697" s="1277"/>
      <c r="J1697" s="1277"/>
      <c r="K1697" s="1312"/>
      <c r="L1697" s="1125">
        <v>400</v>
      </c>
    </row>
    <row r="1698" spans="1:12" s="1279" customFormat="1" ht="20.100000000000001" customHeight="1">
      <c r="A1698" s="1377">
        <f t="shared" si="67"/>
        <v>0</v>
      </c>
      <c r="B1698" s="1587" t="s">
        <v>824</v>
      </c>
      <c r="C1698" s="1343"/>
      <c r="D1698" s="1274" t="str">
        <f>VLOOKUP($B1698,DG!A:D,DG!$B$2,)</f>
        <v>04.3107</v>
      </c>
      <c r="E1698" s="1275" t="str">
        <f>VLOOKUP($B1698,DG!A:D,DG!$C$2,)&amp;":bắt lưới TĐ"</f>
        <v>Ốc xiết cáp cỡ 25mm2:bắt lưới TĐ</v>
      </c>
      <c r="F1698" s="1288" t="str">
        <f>VLOOKUP($B1698,DG!A:D,DG!$D$2,)</f>
        <v>cái</v>
      </c>
      <c r="G1698" s="1344">
        <f>G1691*10</f>
        <v>0</v>
      </c>
      <c r="H1698" s="1353">
        <f t="shared" si="66"/>
        <v>0</v>
      </c>
      <c r="I1698" s="1277"/>
      <c r="J1698" s="1277"/>
      <c r="K1698" s="1312"/>
      <c r="L1698" s="1125">
        <v>400</v>
      </c>
    </row>
    <row r="1699" spans="1:12" s="1279" customFormat="1" ht="20.100000000000001" customHeight="1">
      <c r="A1699" s="1377">
        <f t="shared" si="67"/>
        <v>0</v>
      </c>
      <c r="B1699" s="1378" t="s">
        <v>139</v>
      </c>
      <c r="C1699" s="1273"/>
      <c r="D1699" s="1274">
        <f>VLOOKUP($B1699,DG!A:D,DG!$B$2,)</f>
        <v>0</v>
      </c>
      <c r="E1699" s="1275" t="str">
        <f>VLOOKUP($B1699,DG!A:D,DG!$C$2,)</f>
        <v>Boulon 12x40+ 2 long đền vuông D14-50x50x3/Zn</v>
      </c>
      <c r="F1699" s="1288" t="str">
        <f>VLOOKUP($B1699,DG!A:D,DG!$D$2,)</f>
        <v>bộ</v>
      </c>
      <c r="G1699" s="1287">
        <f>G1691*1</f>
        <v>0</v>
      </c>
      <c r="H1699" s="1353">
        <f t="shared" si="66"/>
        <v>0</v>
      </c>
      <c r="I1699" s="1277"/>
      <c r="J1699" s="1277"/>
      <c r="K1699" s="1312"/>
      <c r="L1699" s="1125">
        <v>400</v>
      </c>
    </row>
    <row r="1700" spans="1:12" s="1279" customFormat="1" ht="20.100000000000001" customHeight="1">
      <c r="A1700" s="1377">
        <f t="shared" si="67"/>
        <v>0</v>
      </c>
      <c r="B1700" s="1378" t="s">
        <v>104</v>
      </c>
      <c r="C1700" s="1273"/>
      <c r="D1700" s="1274" t="str">
        <f>VLOOKUP($B1700,DG!A:D,DG!$B$2,)</f>
        <v>03.4001</v>
      </c>
      <c r="E1700" s="1275" t="str">
        <f>VLOOKUP($B1700,DG!A:D,DG!$C$2,)</f>
        <v>Đầu cosse ép Cu 25mm2</v>
      </c>
      <c r="F1700" s="1288" t="str">
        <f>VLOOKUP($B1700,DG!A:D,DG!$D$2,)</f>
        <v>cái</v>
      </c>
      <c r="G1700" s="1287">
        <f>G1699*2</f>
        <v>0</v>
      </c>
      <c r="H1700" s="1353">
        <f t="shared" si="66"/>
        <v>0</v>
      </c>
      <c r="I1700" s="1277"/>
      <c r="J1700" s="1277"/>
      <c r="K1700" s="1312"/>
      <c r="L1700" s="1125">
        <v>400</v>
      </c>
    </row>
    <row r="1701" spans="1:12" s="1279" customFormat="1" ht="20.100000000000001" customHeight="1">
      <c r="A1701" s="1377">
        <f t="shared" si="67"/>
        <v>0</v>
      </c>
      <c r="B1701" s="1378" t="s">
        <v>528</v>
      </c>
      <c r="C1701" s="1273"/>
      <c r="D1701" s="1274" t="str">
        <f>VLOOKUP($B1701,DG!A:D,DG!$B$2,)</f>
        <v>06.3231</v>
      </c>
      <c r="E1701" s="1275" t="str">
        <f>VLOOKUP($B1701,DG!A:D,DG!$C$2,)&amp;": CD-250"</f>
        <v>Cổ dê kẹp ống PVC  21: CD-250</v>
      </c>
      <c r="F1701" s="1274" t="s">
        <v>2503</v>
      </c>
      <c r="G1701" s="1345">
        <f>1*G1691</f>
        <v>0</v>
      </c>
      <c r="H1701" s="1353">
        <f t="shared" si="66"/>
        <v>0</v>
      </c>
      <c r="I1701" s="1277"/>
      <c r="J1701" s="1277"/>
      <c r="K1701" s="1278"/>
      <c r="L1701" s="1125">
        <v>400</v>
      </c>
    </row>
    <row r="1702" spans="1:12" s="1279" customFormat="1" ht="20.100000000000001" customHeight="1">
      <c r="A1702" s="1377">
        <f t="shared" si="67"/>
        <v>0</v>
      </c>
      <c r="B1702" s="1378" t="s">
        <v>528</v>
      </c>
      <c r="C1702" s="1273"/>
      <c r="D1702" s="1274" t="str">
        <f>VLOOKUP($B1702,DG!A:D,DG!$B$2,)</f>
        <v>06.3231</v>
      </c>
      <c r="E1702" s="1275" t="str">
        <f>VLOOKUP($B1702,DG!A:D,DG!$C$2,)&amp;": CD-280"</f>
        <v>Cổ dê kẹp ống PVC  21: CD-280</v>
      </c>
      <c r="F1702" s="1274" t="s">
        <v>2503</v>
      </c>
      <c r="G1702" s="1345">
        <f>G1701</f>
        <v>0</v>
      </c>
      <c r="H1702" s="1353">
        <f t="shared" si="66"/>
        <v>0</v>
      </c>
      <c r="I1702" s="1277"/>
      <c r="J1702" s="1277"/>
      <c r="K1702" s="1278"/>
      <c r="L1702" s="1125">
        <v>400</v>
      </c>
    </row>
    <row r="1703" spans="1:12" s="1279" customFormat="1" ht="20.100000000000001" customHeight="1">
      <c r="A1703" s="1377">
        <f t="shared" si="67"/>
        <v>0</v>
      </c>
      <c r="B1703" s="1378" t="s">
        <v>528</v>
      </c>
      <c r="C1703" s="1273"/>
      <c r="D1703" s="1274" t="str">
        <f>VLOOKUP($B1703,DG!A:D,DG!$B$2,)</f>
        <v>06.3231</v>
      </c>
      <c r="E1703" s="1275" t="str">
        <f>VLOOKUP($B1703,DG!A:D,DG!$C$2,)&amp;": CD-320"</f>
        <v>Cổ dê kẹp ống PVC  21: CD-320</v>
      </c>
      <c r="F1703" s="1274" t="s">
        <v>2503</v>
      </c>
      <c r="G1703" s="1345">
        <f>G1702</f>
        <v>0</v>
      </c>
      <c r="H1703" s="1353">
        <f t="shared" si="66"/>
        <v>0</v>
      </c>
      <c r="I1703" s="1277"/>
      <c r="J1703" s="1277"/>
      <c r="K1703" s="1278"/>
      <c r="L1703" s="1125">
        <v>400</v>
      </c>
    </row>
    <row r="1704" spans="1:12" s="1279" customFormat="1" ht="20.100000000000001" customHeight="1">
      <c r="A1704" s="1377">
        <f t="shared" si="67"/>
        <v>0</v>
      </c>
      <c r="B1704" s="1378" t="s">
        <v>1161</v>
      </c>
      <c r="C1704" s="1273"/>
      <c r="D1704" s="1274" t="str">
        <f>VLOOKUP($B1704,DG!A:D,DG!$B$2,)</f>
        <v>06.2110</v>
      </c>
      <c r="E1704" s="1275" t="str">
        <f>VLOOKUP($B1704,DG!A:D,DG!$C$2,)</f>
        <v>Lắp cổ dề</v>
      </c>
      <c r="F1704" s="1274" t="str">
        <f>VLOOKUP($B1704,DG!A:D,DG!$D$2,)</f>
        <v>bộ</v>
      </c>
      <c r="G1704" s="1345">
        <f>G1691*3</f>
        <v>0</v>
      </c>
      <c r="H1704" s="1353">
        <f t="shared" si="66"/>
        <v>0</v>
      </c>
      <c r="I1704" s="1277"/>
      <c r="J1704" s="1277"/>
      <c r="K1704" s="1278"/>
      <c r="L1704" s="1125">
        <v>400</v>
      </c>
    </row>
    <row r="1705" spans="1:12" s="1279" customFormat="1" ht="20.100000000000001" customHeight="1">
      <c r="A1705" s="1377">
        <f t="shared" si="67"/>
        <v>0</v>
      </c>
      <c r="B1705" s="1378" t="s">
        <v>139</v>
      </c>
      <c r="C1705" s="1273"/>
      <c r="D1705" s="1274">
        <f>VLOOKUP($B1705,DG!A:D,DG!$B$2,)</f>
        <v>0</v>
      </c>
      <c r="E1705" s="1275" t="str">
        <f>VLOOKUP($B1705,DG!A:D,DG!$C$2,)</f>
        <v>Boulon 12x40+ 2 long đền vuông D14-50x50x3/Zn</v>
      </c>
      <c r="F1705" s="1274" t="str">
        <f>VLOOKUP($B1705,DG!A:D,DG!$D$2,)</f>
        <v>bộ</v>
      </c>
      <c r="G1705" s="1276">
        <f>G1691*6</f>
        <v>0</v>
      </c>
      <c r="H1705" s="1353">
        <f t="shared" si="66"/>
        <v>0</v>
      </c>
      <c r="I1705" s="1277"/>
      <c r="J1705" s="1277"/>
      <c r="K1705" s="1278"/>
      <c r="L1705" s="1125">
        <v>400</v>
      </c>
    </row>
    <row r="1706" spans="1:12" s="1279" customFormat="1" ht="20.100000000000001" customHeight="1">
      <c r="A1706" s="1377">
        <f t="shared" si="67"/>
        <v>0</v>
      </c>
      <c r="B1706" s="1378" t="s">
        <v>1637</v>
      </c>
      <c r="C1706" s="1273"/>
      <c r="D1706" s="1274">
        <f>VLOOKUP($B1706,DG!A:D,DG!$B$2,)</f>
        <v>0</v>
      </c>
      <c r="E1706" s="1275" t="str">
        <f>VLOOKUP($B1706,DG!A:D,DG!$C$2,)</f>
        <v>Giếng tiếp địa khoan đất</v>
      </c>
      <c r="F1706" s="1274" t="str">
        <f>VLOOKUP($B1706,DG!A:D,DG!$D$2,)</f>
        <v>Cái</v>
      </c>
      <c r="G1706" s="1287">
        <f>H2*G1691</f>
        <v>0</v>
      </c>
      <c r="H1706" s="1353">
        <f t="shared" si="66"/>
        <v>0</v>
      </c>
      <c r="I1706" s="1277"/>
      <c r="J1706" s="1277"/>
      <c r="K1706" s="1312"/>
      <c r="L1706" s="1125">
        <v>400</v>
      </c>
    </row>
    <row r="1707" spans="1:12" s="1279" customFormat="1" ht="20.100000000000001" customHeight="1">
      <c r="A1707" s="1377">
        <f t="shared" si="67"/>
        <v>0</v>
      </c>
      <c r="B1707" s="1378" t="str">
        <f>"DTD"&amp;chitiet!F5</f>
        <v>DTD3</v>
      </c>
      <c r="C1707" s="1286"/>
      <c r="D1707" s="1274" t="str">
        <f>VLOOKUP($B1707,DG!A:D,DG!$B$2,)</f>
        <v>03.3123</v>
      </c>
      <c r="E1707" s="1275" t="str">
        <f>VLOOKUP($B1707,DG!A:D,DG!$C$2,)</f>
        <v>Đào rãnh tiếp địa đất cấp 3</v>
      </c>
      <c r="F1707" s="1288" t="str">
        <f>VLOOKUP($B1707,DG!A:D,DG!$D$2,)</f>
        <v>m3</v>
      </c>
      <c r="G1707" s="1346">
        <f>H3*G1691</f>
        <v>0</v>
      </c>
      <c r="H1707" s="1353">
        <f t="shared" si="66"/>
        <v>0</v>
      </c>
      <c r="I1707" s="1277"/>
      <c r="J1707" s="1277"/>
      <c r="K1707" s="1312"/>
      <c r="L1707" s="1125">
        <v>400</v>
      </c>
    </row>
    <row r="1708" spans="1:12" s="1279" customFormat="1" ht="20.100000000000001" customHeight="1">
      <c r="A1708" s="1377">
        <f t="shared" si="67"/>
        <v>0</v>
      </c>
      <c r="B1708" s="1378" t="str">
        <f>"DATD"&amp;chitiet!F5</f>
        <v>DATD3</v>
      </c>
      <c r="C1708" s="1286"/>
      <c r="D1708" s="1274" t="str">
        <f>VLOOKUP($B1708,DG!A:D,DG!$B$2,)</f>
        <v>03.4123</v>
      </c>
      <c r="E1708" s="1275" t="str">
        <f>VLOOKUP($B1708,DG!A:D,DG!$C$2,)</f>
        <v>Đắp đất rãnh tiếp độ chặt k=0,95</v>
      </c>
      <c r="F1708" s="1288" t="str">
        <f>VLOOKUP($B1708,DG!A:D,DG!$D$2,)</f>
        <v>m3</v>
      </c>
      <c r="G1708" s="1346">
        <f>G1707</f>
        <v>0</v>
      </c>
      <c r="H1708" s="1353">
        <f t="shared" si="66"/>
        <v>0</v>
      </c>
      <c r="I1708" s="1277"/>
      <c r="J1708" s="1277"/>
      <c r="K1708" s="1312"/>
      <c r="L1708" s="1125">
        <v>400</v>
      </c>
    </row>
    <row r="1709" spans="1:12" s="1279" customFormat="1" ht="20.100000000000001" customHeight="1">
      <c r="A1709" s="1377">
        <f t="shared" si="67"/>
        <v>0</v>
      </c>
      <c r="B1709" s="1378" t="s">
        <v>919</v>
      </c>
      <c r="C1709" s="1286"/>
      <c r="D1709" s="1274" t="str">
        <f>VLOOKUP($B1709,DG!A:D,DG!$B$2,)</f>
        <v>04.7001</v>
      </c>
      <c r="E1709" s="1275" t="str">
        <f>VLOOKUP($B1709,DG!A:D,DG!$C$2,)</f>
        <v>Đóng cọc tiếp địa trong TBA</v>
      </c>
      <c r="F1709" s="1288" t="str">
        <f>VLOOKUP($B1709,DG!A:D,DG!$D$2,)</f>
        <v>cọc</v>
      </c>
      <c r="G1709" s="1312"/>
      <c r="H1709" s="1353">
        <f t="shared" si="66"/>
        <v>0</v>
      </c>
      <c r="I1709" s="1277"/>
      <c r="J1709" s="1277"/>
      <c r="K1709" s="1312"/>
      <c r="L1709" s="1125">
        <v>400</v>
      </c>
    </row>
    <row r="1710" spans="1:12" s="1279" customFormat="1" ht="20.100000000000001" customHeight="1">
      <c r="A1710" s="1377">
        <f t="shared" si="67"/>
        <v>0</v>
      </c>
      <c r="B1710" s="1378" t="s">
        <v>1470</v>
      </c>
      <c r="C1710" s="1273"/>
      <c r="D1710" s="1274" t="str">
        <f>VLOOKUP($B1710,DG!A:D,DG!$B$2,)</f>
        <v>04.7002</v>
      </c>
      <c r="E1710" s="1275" t="str">
        <f>VLOOKUP($B1710,DG!A:D,DG!$C$2,)</f>
        <v>Kéo dây tiếp địa trong TBA</v>
      </c>
      <c r="F1710" s="1288" t="str">
        <f>VLOOKUP($B1710,DG!A:D,DG!$D$2,)</f>
        <v>mét</v>
      </c>
      <c r="G1710" s="1287">
        <f>G1691*36</f>
        <v>0</v>
      </c>
      <c r="H1710" s="1353">
        <f t="shared" ref="H1710:H1773" si="68">IF(L1710=$L$23,G1710+I1710-J1710,0)</f>
        <v>0</v>
      </c>
      <c r="I1710" s="1277"/>
      <c r="J1710" s="1277"/>
      <c r="K1710" s="1312"/>
      <c r="L1710" s="1125">
        <v>400</v>
      </c>
    </row>
    <row r="1711" spans="1:12" s="1279" customFormat="1" ht="20.100000000000001" customHeight="1">
      <c r="A1711" s="1377">
        <f t="shared" si="67"/>
        <v>0</v>
      </c>
      <c r="B1711" s="1582"/>
      <c r="C1711" s="1280">
        <f>IF(G1711&gt;0,C1691+1,C1691)</f>
        <v>0</v>
      </c>
      <c r="D1711" s="1281"/>
      <c r="E1711" s="1282" t="s">
        <v>3820</v>
      </c>
      <c r="F1711" s="1280" t="s">
        <v>2449</v>
      </c>
      <c r="G1711" s="1283">
        <f>G1618</f>
        <v>0</v>
      </c>
      <c r="H1711" s="1353">
        <f t="shared" si="68"/>
        <v>0</v>
      </c>
      <c r="I1711" s="1277"/>
      <c r="J1711" s="1277"/>
      <c r="K1711" s="1278"/>
      <c r="L1711" s="1125">
        <v>400</v>
      </c>
    </row>
    <row r="1712" spans="1:12" s="1279" customFormat="1" ht="20.100000000000001" customHeight="1">
      <c r="A1712" s="1377">
        <f>IF(A1711&gt;0,1,0)</f>
        <v>0</v>
      </c>
      <c r="B1712" s="1582"/>
      <c r="C1712" s="1273"/>
      <c r="D1712" s="1284"/>
      <c r="E1712" s="1637" t="s">
        <v>2342</v>
      </c>
      <c r="F1712" s="1286"/>
      <c r="G1712" s="1287"/>
      <c r="H1712" s="1353">
        <f t="shared" si="68"/>
        <v>0</v>
      </c>
      <c r="I1712" s="1277"/>
      <c r="J1712" s="1277"/>
      <c r="K1712" s="1278"/>
      <c r="L1712" s="1125">
        <v>400</v>
      </c>
    </row>
    <row r="1713" spans="1:15" s="1279" customFormat="1" ht="20.100000000000001" customHeight="1">
      <c r="A1713" s="1377">
        <f t="shared" si="67"/>
        <v>0</v>
      </c>
      <c r="B1713" s="1582" t="s">
        <v>658</v>
      </c>
      <c r="C1713" s="1286"/>
      <c r="D1713" s="1288">
        <f>VLOOKUP($B1713,DG!A:D,DG!$B$2,)</f>
        <v>0</v>
      </c>
      <c r="E1713" s="1289" t="str">
        <f>VLOOKUP($B1713,DG!A:D,DG!$C$2,)</f>
        <v xml:space="preserve">Ximăng </v>
      </c>
      <c r="F1713" s="1288" t="str">
        <f>VLOOKUP($B1713,DG!A:D,DG!$D$2,)</f>
        <v>kg</v>
      </c>
      <c r="G1713" s="1276">
        <f>G1711*L1716</f>
        <v>0</v>
      </c>
      <c r="H1713" s="1353">
        <f t="shared" si="68"/>
        <v>0</v>
      </c>
      <c r="I1713" s="1277"/>
      <c r="J1713" s="1277"/>
      <c r="K1713" s="1278"/>
      <c r="L1713" s="1125">
        <v>400</v>
      </c>
    </row>
    <row r="1714" spans="1:15" s="1279" customFormat="1" ht="20.100000000000001" customHeight="1">
      <c r="A1714" s="1377">
        <f t="shared" si="67"/>
        <v>0</v>
      </c>
      <c r="B1714" s="1582" t="s">
        <v>4654</v>
      </c>
      <c r="C1714" s="1273"/>
      <c r="D1714" s="1288">
        <f>VLOOKUP($B1714,DG!A:D,DG!$B$2,)</f>
        <v>0</v>
      </c>
      <c r="E1714" s="1289" t="str">
        <f>VLOOKUP($B1714,DG!A:D,DG!$C$2,)</f>
        <v>Cát vàng</v>
      </c>
      <c r="F1714" s="1288" t="str">
        <f>VLOOKUP($B1714,DG!A:D,DG!$D$2,)</f>
        <v>m3</v>
      </c>
      <c r="G1714" s="1276">
        <f>G1711*M1716</f>
        <v>0</v>
      </c>
      <c r="H1714" s="1353">
        <f t="shared" si="68"/>
        <v>0</v>
      </c>
      <c r="I1714" s="1277"/>
      <c r="J1714" s="1277"/>
      <c r="K1714" s="1278"/>
      <c r="L1714" s="1125">
        <v>400</v>
      </c>
    </row>
    <row r="1715" spans="1:15" s="1279" customFormat="1" ht="20.100000000000001" customHeight="1">
      <c r="A1715" s="1377">
        <f t="shared" si="67"/>
        <v>0</v>
      </c>
      <c r="B1715" s="1582" t="s">
        <v>217</v>
      </c>
      <c r="C1715" s="1273"/>
      <c r="D1715" s="1288">
        <f>VLOOKUP($B1715,DG!A:D,DG!$B$2,)</f>
        <v>0</v>
      </c>
      <c r="E1715" s="1289" t="str">
        <f>VLOOKUP($B1715,DG!A:D,DG!$C$2,)</f>
        <v>Đá 1x2</v>
      </c>
      <c r="F1715" s="1288" t="str">
        <f>VLOOKUP($B1715,DG!A:D,DG!$D$2,)</f>
        <v>m3</v>
      </c>
      <c r="G1715" s="1276">
        <f>G1711*N1716</f>
        <v>0</v>
      </c>
      <c r="H1715" s="1353">
        <f t="shared" si="68"/>
        <v>0</v>
      </c>
      <c r="I1715" s="1277"/>
      <c r="J1715" s="1277"/>
      <c r="K1715" s="1278"/>
      <c r="L1715" s="1125">
        <v>400</v>
      </c>
    </row>
    <row r="1716" spans="1:15" s="1279" customFormat="1" ht="20.100000000000001" customHeight="1">
      <c r="A1716" s="1377">
        <f t="shared" si="67"/>
        <v>0</v>
      </c>
      <c r="B1716" s="1582" t="s">
        <v>659</v>
      </c>
      <c r="C1716" s="1286"/>
      <c r="D1716" s="1288" t="str">
        <f>VLOOKUP($B1716,DG!A:D,DG!$B$2,)</f>
        <v>04.1203c</v>
      </c>
      <c r="E1716" s="1289" t="str">
        <f>VLOOKUP($B1716,DG!A:D,DG!$C$2,)</f>
        <v>Đổ bê tông móng trụ &lt;=250cm-M200 đá 1x2</v>
      </c>
      <c r="F1716" s="1288" t="str">
        <f>VLOOKUP($B1716,DG!A:D,DG!$D$2,)</f>
        <v>m3</v>
      </c>
      <c r="G1716" s="1276">
        <f>G1711*(0.4*3*1-2*3.14*0.15^2*0.4)*1.025</f>
        <v>0</v>
      </c>
      <c r="H1716" s="1353">
        <f t="shared" si="68"/>
        <v>0</v>
      </c>
      <c r="I1716" s="1277"/>
      <c r="J1716" s="1277"/>
      <c r="K1716" s="1278"/>
      <c r="L1716" s="1125">
        <v>400</v>
      </c>
      <c r="M1716" s="1291">
        <f>1.025*0.45</f>
        <v>0.46124999999999999</v>
      </c>
      <c r="N1716" s="1291">
        <f>1.025*0.866</f>
        <v>0.88764999999999994</v>
      </c>
      <c r="O1716" s="1466"/>
    </row>
    <row r="1717" spans="1:15" s="1279" customFormat="1" ht="20.100000000000001" customHeight="1">
      <c r="A1717" s="1377">
        <f t="shared" si="67"/>
        <v>0</v>
      </c>
      <c r="B1717" s="1582"/>
      <c r="C1717" s="1280">
        <f>IF(G1717&gt;0,C1711+1,C1711)</f>
        <v>0</v>
      </c>
      <c r="D1717" s="1281"/>
      <c r="E1717" s="1282" t="s">
        <v>3821</v>
      </c>
      <c r="F1717" s="1280" t="s">
        <v>2449</v>
      </c>
      <c r="G1717" s="1283"/>
      <c r="H1717" s="1353">
        <f t="shared" si="68"/>
        <v>0</v>
      </c>
      <c r="I1717" s="1277"/>
      <c r="J1717" s="1277"/>
      <c r="K1717" s="1278"/>
      <c r="L1717" s="1125">
        <v>400</v>
      </c>
    </row>
    <row r="1718" spans="1:15" s="1279" customFormat="1" ht="20.100000000000001" customHeight="1">
      <c r="A1718" s="1377">
        <f>IF(A1717&gt;0,1,0)</f>
        <v>0</v>
      </c>
      <c r="B1718" s="1582"/>
      <c r="C1718" s="1273"/>
      <c r="D1718" s="1284"/>
      <c r="E1718" s="1637" t="s">
        <v>2342</v>
      </c>
      <c r="F1718" s="1286"/>
      <c r="G1718" s="1287"/>
      <c r="H1718" s="1353">
        <f t="shared" si="68"/>
        <v>0</v>
      </c>
      <c r="I1718" s="1277"/>
      <c r="J1718" s="1277"/>
      <c r="K1718" s="1278"/>
      <c r="L1718" s="1125">
        <v>400</v>
      </c>
    </row>
    <row r="1719" spans="1:15" s="1279" customFormat="1" ht="20.100000000000001" customHeight="1">
      <c r="A1719" s="1377">
        <f t="shared" si="67"/>
        <v>0</v>
      </c>
      <c r="B1719" s="1582" t="s">
        <v>658</v>
      </c>
      <c r="C1719" s="1286"/>
      <c r="D1719" s="1288">
        <f>VLOOKUP($B1719,DG!A:D,DG!$B$2,)</f>
        <v>0</v>
      </c>
      <c r="E1719" s="1289" t="str">
        <f>VLOOKUP($B1719,DG!A:D,DG!$C$2,)</f>
        <v xml:space="preserve">Ximăng </v>
      </c>
      <c r="F1719" s="1288" t="str">
        <f>VLOOKUP($B1719,DG!A:D,DG!$D$2,)</f>
        <v>kg</v>
      </c>
      <c r="G1719" s="1276">
        <f>G1722*L1722</f>
        <v>0</v>
      </c>
      <c r="H1719" s="1353">
        <f t="shared" si="68"/>
        <v>0</v>
      </c>
      <c r="I1719" s="1277"/>
      <c r="J1719" s="1277"/>
      <c r="K1719" s="1278"/>
      <c r="L1719" s="1125">
        <v>400</v>
      </c>
    </row>
    <row r="1720" spans="1:15" s="1279" customFormat="1" ht="20.100000000000001" customHeight="1">
      <c r="A1720" s="1377">
        <f t="shared" si="67"/>
        <v>0</v>
      </c>
      <c r="B1720" s="1582" t="s">
        <v>4654</v>
      </c>
      <c r="C1720" s="1273"/>
      <c r="D1720" s="1288">
        <f>VLOOKUP($B1720,DG!A:D,DG!$B$2,)</f>
        <v>0</v>
      </c>
      <c r="E1720" s="1289" t="str">
        <f>VLOOKUP($B1720,DG!A:D,DG!$C$2,)</f>
        <v>Cát vàng</v>
      </c>
      <c r="F1720" s="1288" t="str">
        <f>VLOOKUP($B1720,DG!A:D,DG!$D$2,)</f>
        <v>m3</v>
      </c>
      <c r="G1720" s="1290">
        <f>G1722*M1722</f>
        <v>0</v>
      </c>
      <c r="H1720" s="1353">
        <f t="shared" si="68"/>
        <v>0</v>
      </c>
      <c r="I1720" s="1277"/>
      <c r="J1720" s="1277"/>
      <c r="K1720" s="1278"/>
      <c r="L1720" s="1125">
        <v>400</v>
      </c>
    </row>
    <row r="1721" spans="1:15" s="1279" customFormat="1" ht="20.100000000000001" customHeight="1">
      <c r="A1721" s="1377">
        <f t="shared" si="67"/>
        <v>0</v>
      </c>
      <c r="B1721" s="1582" t="s">
        <v>217</v>
      </c>
      <c r="C1721" s="1273"/>
      <c r="D1721" s="1288">
        <f>VLOOKUP($B1721,DG!A:D,DG!$B$2,)</f>
        <v>0</v>
      </c>
      <c r="E1721" s="1289" t="str">
        <f>VLOOKUP($B1721,DG!A:D,DG!$C$2,)</f>
        <v>Đá 1x2</v>
      </c>
      <c r="F1721" s="1288" t="str">
        <f>VLOOKUP($B1721,DG!A:D,DG!$D$2,)</f>
        <v>m3</v>
      </c>
      <c r="G1721" s="1290">
        <f>G1722*N1722</f>
        <v>0</v>
      </c>
      <c r="H1721" s="1353">
        <f t="shared" si="68"/>
        <v>0</v>
      </c>
      <c r="I1721" s="1277"/>
      <c r="J1721" s="1277"/>
      <c r="K1721" s="1278"/>
      <c r="L1721" s="1125">
        <v>400</v>
      </c>
    </row>
    <row r="1722" spans="1:15" s="1279" customFormat="1" ht="20.100000000000001" customHeight="1">
      <c r="A1722" s="1377">
        <f t="shared" si="67"/>
        <v>0</v>
      </c>
      <c r="B1722" s="1582" t="s">
        <v>659</v>
      </c>
      <c r="C1722" s="1286"/>
      <c r="D1722" s="1288" t="str">
        <f>VLOOKUP($B1722,DG!A:D,DG!$B$2,)</f>
        <v>04.1203c</v>
      </c>
      <c r="E1722" s="1289" t="str">
        <f>VLOOKUP($B1722,DG!A:D,DG!$C$2,)</f>
        <v>Đổ bê tông móng trụ &lt;=250cm-M200 đá 1x2</v>
      </c>
      <c r="F1722" s="1288" t="str">
        <f>VLOOKUP($B1722,DG!A:D,DG!$D$2,)</f>
        <v>m3</v>
      </c>
      <c r="G1722" s="1276">
        <f>G1717*0.2*0.2*(0.2+0.2+0.8+0.8+2*4)</f>
        <v>0</v>
      </c>
      <c r="H1722" s="1353">
        <f t="shared" si="68"/>
        <v>0</v>
      </c>
      <c r="I1722" s="1277"/>
      <c r="J1722" s="1277"/>
      <c r="K1722" s="1278"/>
      <c r="L1722" s="1125">
        <v>400</v>
      </c>
      <c r="M1722" s="1291">
        <f>1.025*0.45</f>
        <v>0.46124999999999999</v>
      </c>
      <c r="N1722" s="1291">
        <f>1.025*0.866</f>
        <v>0.88764999999999994</v>
      </c>
      <c r="O1722" s="1466"/>
    </row>
    <row r="1723" spans="1:15" s="1279" customFormat="1" ht="20.100000000000001" customHeight="1">
      <c r="A1723" s="1377">
        <f t="shared" si="67"/>
        <v>0</v>
      </c>
      <c r="B1723" s="1582"/>
      <c r="C1723" s="1280">
        <f>IF(G1723&gt;0,C1717+1,C1717)</f>
        <v>0</v>
      </c>
      <c r="D1723" s="1281"/>
      <c r="E1723" s="1282" t="s">
        <v>3822</v>
      </c>
      <c r="F1723" s="1280" t="s">
        <v>2449</v>
      </c>
      <c r="G1723" s="1283">
        <f>G1613</f>
        <v>0</v>
      </c>
      <c r="H1723" s="1353">
        <f t="shared" si="68"/>
        <v>0</v>
      </c>
      <c r="I1723" s="1277"/>
      <c r="J1723" s="1277"/>
      <c r="K1723" s="1312"/>
      <c r="L1723" s="1125">
        <v>400</v>
      </c>
    </row>
    <row r="1724" spans="1:15" s="1279" customFormat="1" ht="20.100000000000001" customHeight="1">
      <c r="A1724" s="1377">
        <f>IF(A1723&gt;0,1,0)</f>
        <v>0</v>
      </c>
      <c r="B1724" s="1582"/>
      <c r="C1724" s="1273"/>
      <c r="D1724" s="1284"/>
      <c r="E1724" s="1637" t="s">
        <v>2342</v>
      </c>
      <c r="F1724" s="1286"/>
      <c r="G1724" s="1287"/>
      <c r="H1724" s="1353">
        <f t="shared" si="68"/>
        <v>0</v>
      </c>
      <c r="I1724" s="1277"/>
      <c r="J1724" s="1277"/>
      <c r="K1724" s="1312"/>
      <c r="L1724" s="1125">
        <v>400</v>
      </c>
    </row>
    <row r="1725" spans="1:15" s="1279" customFormat="1" ht="20.100000000000001" customHeight="1">
      <c r="A1725" s="1377">
        <f t="shared" si="67"/>
        <v>0</v>
      </c>
      <c r="B1725" s="1625" t="s">
        <v>1056</v>
      </c>
      <c r="C1725" s="1286"/>
      <c r="D1725" s="1288" t="str">
        <f>VLOOKUP($B1725,DG!A:D,DG!$B$2,)</f>
        <v>05.1102</v>
      </c>
      <c r="E1725" s="1289" t="str">
        <f>VLOOKUP($B1725,DG!A:D,DG!$C$2,)</f>
        <v>Vỏ tủ + khóa tủ</v>
      </c>
      <c r="F1725" s="1288" t="str">
        <f>VLOOKUP($B1725,DG!A:D,DG!$D$2,)</f>
        <v>cái</v>
      </c>
      <c r="G1725" s="1287">
        <f>G1723</f>
        <v>0</v>
      </c>
      <c r="H1725" s="1353">
        <f t="shared" si="68"/>
        <v>0</v>
      </c>
      <c r="I1725" s="1277"/>
      <c r="J1725" s="1277"/>
      <c r="K1725" s="1312"/>
      <c r="L1725" s="1125">
        <v>400</v>
      </c>
    </row>
    <row r="1726" spans="1:15" s="1279" customFormat="1" ht="20.100000000000001" customHeight="1">
      <c r="A1726" s="1377">
        <f t="shared" si="67"/>
        <v>0</v>
      </c>
      <c r="B1726" s="1582" t="s">
        <v>897</v>
      </c>
      <c r="C1726" s="1273"/>
      <c r="D1726" s="1288">
        <f>VLOOKUP($B1726,DG!A:D,DG!$B$2,)</f>
        <v>0</v>
      </c>
      <c r="E1726" s="1289" t="str">
        <f>VLOOKUP($B1726,DG!A:D,DG!$C$2,)</f>
        <v xml:space="preserve">Bakelit 550x450 dầy 10mm </v>
      </c>
      <c r="F1726" s="1288" t="str">
        <f>VLOOKUP($B1726,DG!A:D,DG!$D$2,)</f>
        <v>cái</v>
      </c>
      <c r="G1726" s="1293"/>
      <c r="H1726" s="1353">
        <f t="shared" si="68"/>
        <v>0</v>
      </c>
      <c r="I1726" s="1277"/>
      <c r="J1726" s="1277"/>
      <c r="K1726" s="1312"/>
      <c r="L1726" s="1125">
        <v>400</v>
      </c>
    </row>
    <row r="1727" spans="1:15" s="1279" customFormat="1" ht="20.100000000000001" customHeight="1">
      <c r="A1727" s="1377">
        <f t="shared" si="67"/>
        <v>0</v>
      </c>
      <c r="B1727" s="1582" t="s">
        <v>290</v>
      </c>
      <c r="C1727" s="1286"/>
      <c r="D1727" s="1288" t="str">
        <f>VLOOKUP($B1727,DG!A:D,DG!$B$2,)</f>
        <v>06.3191</v>
      </c>
      <c r="E1727" s="1289" t="str">
        <f>VLOOKUP($B1727,DG!A:D,DG!$C$2,)</f>
        <v>Bảng tên trạm, bảng báo nguy hiểm + đinh vít</v>
      </c>
      <c r="F1727" s="1288" t="str">
        <f>VLOOKUP($B1727,DG!A:D,DG!$D$2,)</f>
        <v>bộ</v>
      </c>
      <c r="G1727" s="1287">
        <f>G1723</f>
        <v>0</v>
      </c>
      <c r="H1727" s="1353">
        <f t="shared" si="68"/>
        <v>0</v>
      </c>
      <c r="I1727" s="1277"/>
      <c r="J1727" s="1277"/>
      <c r="K1727" s="1312"/>
      <c r="L1727" s="1125">
        <v>400</v>
      </c>
    </row>
    <row r="1728" spans="1:15" s="1279" customFormat="1" ht="20.100000000000001" customHeight="1">
      <c r="A1728" s="1377">
        <f t="shared" si="67"/>
        <v>0</v>
      </c>
      <c r="B1728" s="1582"/>
      <c r="C1728" s="1280">
        <f>IF(G1728&gt;0,C1723+1,C1723)</f>
        <v>0</v>
      </c>
      <c r="D1728" s="1281"/>
      <c r="E1728" s="1282" t="s">
        <v>3823</v>
      </c>
      <c r="F1728" s="1280" t="s">
        <v>2596</v>
      </c>
      <c r="G1728" s="1347">
        <f>G1613*0</f>
        <v>0</v>
      </c>
      <c r="H1728" s="1353">
        <f t="shared" si="68"/>
        <v>0</v>
      </c>
      <c r="I1728" s="1277"/>
      <c r="J1728" s="1277"/>
      <c r="K1728" s="1278"/>
      <c r="L1728" s="1125">
        <v>400</v>
      </c>
    </row>
    <row r="1729" spans="1:13" s="1279" customFormat="1" ht="20.100000000000001" customHeight="1">
      <c r="A1729" s="1377">
        <f>IF(A1728&gt;0,1,0)</f>
        <v>0</v>
      </c>
      <c r="B1729" s="1582"/>
      <c r="C1729" s="1273"/>
      <c r="D1729" s="1284"/>
      <c r="E1729" s="1637" t="s">
        <v>2342</v>
      </c>
      <c r="F1729" s="1286"/>
      <c r="G1729" s="1348"/>
      <c r="H1729" s="1353">
        <f t="shared" si="68"/>
        <v>0</v>
      </c>
      <c r="I1729" s="1277"/>
      <c r="J1729" s="1277"/>
      <c r="K1729" s="1278"/>
      <c r="L1729" s="1125">
        <v>400</v>
      </c>
    </row>
    <row r="1730" spans="1:13" s="1279" customFormat="1" ht="20.100000000000001" customHeight="1">
      <c r="A1730" s="1377">
        <f t="shared" si="67"/>
        <v>0</v>
      </c>
      <c r="B1730" s="1582" t="s">
        <v>4654</v>
      </c>
      <c r="C1730" s="1286"/>
      <c r="D1730" s="1288">
        <f>VLOOKUP($B1730,DG!A:D,DG!$B$2,)</f>
        <v>0</v>
      </c>
      <c r="E1730" s="1310" t="str">
        <f>VLOOKUP($B1730,DG!A:D,DG!$C$2,)&amp;": 0,315m3/m"</f>
        <v>Cát vàng: 0,315m3/m</v>
      </c>
      <c r="F1730" s="1288" t="str">
        <f>VLOOKUP($B1730,DG!A:D,DG!$D$2,)</f>
        <v>m3</v>
      </c>
      <c r="G1730" s="1276">
        <f>G1728*0.315</f>
        <v>0</v>
      </c>
      <c r="H1730" s="1353">
        <f t="shared" si="68"/>
        <v>0</v>
      </c>
      <c r="I1730" s="1277"/>
      <c r="J1730" s="1277"/>
      <c r="K1730" s="1278"/>
      <c r="L1730" s="1125">
        <v>400</v>
      </c>
    </row>
    <row r="1731" spans="1:13" s="1279" customFormat="1" ht="20.100000000000001" customHeight="1">
      <c r="A1731" s="1377">
        <f t="shared" si="67"/>
        <v>0</v>
      </c>
      <c r="B1731" s="1584" t="s">
        <v>523</v>
      </c>
      <c r="C1731" s="1286"/>
      <c r="D1731" s="1288">
        <f>VLOOKUP($B1731,DG!A:D,DG!$B$2,)</f>
        <v>0</v>
      </c>
      <c r="E1731" s="1310" t="str">
        <f>VLOOKUP($B1731,DG!A:D,DG!$C$2,)&amp;": 0,092m3/m"</f>
        <v>Đá 2x4: 0,092m3/m</v>
      </c>
      <c r="F1731" s="1288" t="str">
        <f>VLOOKUP($B1731,DG!A:D,DG!$D$2,)</f>
        <v>m3</v>
      </c>
      <c r="G1731" s="1276">
        <f>0.092*G1728</f>
        <v>0</v>
      </c>
      <c r="H1731" s="1353">
        <f t="shared" si="68"/>
        <v>0</v>
      </c>
      <c r="I1731" s="1277"/>
      <c r="J1731" s="1277"/>
      <c r="K1731" s="1278"/>
      <c r="L1731" s="1125">
        <v>400</v>
      </c>
    </row>
    <row r="1732" spans="1:13" s="1279" customFormat="1" ht="20.100000000000001" customHeight="1">
      <c r="A1732" s="1377">
        <f t="shared" si="67"/>
        <v>0</v>
      </c>
      <c r="B1732" s="1584" t="s">
        <v>1728</v>
      </c>
      <c r="C1732" s="1286"/>
      <c r="D1732" s="1288">
        <f>VLOOKUP($B1732,DG!A:D,DG!$B$2,)</f>
        <v>0</v>
      </c>
      <c r="E1732" s="1310" t="str">
        <f>VLOOKUP($B1732,DG!A:D,DG!$C$2,)&amp;": 3,3vieân/m"</f>
        <v>Gạch tàu: 3,3vieân/m</v>
      </c>
      <c r="F1732" s="1288" t="str">
        <f>VLOOKUP($B1732,DG!A:D,DG!$D$2,)</f>
        <v>viên</v>
      </c>
      <c r="G1732" s="1276">
        <f>3.3*G1728</f>
        <v>0</v>
      </c>
      <c r="H1732" s="1353">
        <f t="shared" si="68"/>
        <v>0</v>
      </c>
      <c r="I1732" s="1277"/>
      <c r="J1732" s="1277"/>
      <c r="K1732" s="1278"/>
      <c r="L1732" s="1125">
        <v>400</v>
      </c>
    </row>
    <row r="1733" spans="1:13" s="1279" customFormat="1" ht="20.100000000000001" customHeight="1">
      <c r="A1733" s="1377">
        <f t="shared" si="67"/>
        <v>0</v>
      </c>
      <c r="B1733" s="1584" t="s">
        <v>1729</v>
      </c>
      <c r="C1733" s="1286"/>
      <c r="D1733" s="1288">
        <f>VLOOKUP($B1733,DG!A:D,DG!$B$2,)</f>
        <v>0</v>
      </c>
      <c r="E1733" s="1310" t="str">
        <f>VLOOKUP($B1733,DG!A:D,DG!$C$2,)&amp;": 0,4m2/m"</f>
        <v>Tấm nilông màu cảnh báo: 0,4m2/m</v>
      </c>
      <c r="F1733" s="1288" t="str">
        <f>VLOOKUP($B1733,DG!A:D,DG!$D$2,)</f>
        <v>m2</v>
      </c>
      <c r="G1733" s="1276">
        <f>0.4*G1728</f>
        <v>0</v>
      </c>
      <c r="H1733" s="1353">
        <f t="shared" si="68"/>
        <v>0</v>
      </c>
      <c r="I1733" s="1277"/>
      <c r="J1733" s="1277"/>
      <c r="K1733" s="1278"/>
      <c r="L1733" s="1125">
        <v>400</v>
      </c>
    </row>
    <row r="1734" spans="1:13" s="1279" customFormat="1" ht="20.100000000000001" customHeight="1">
      <c r="A1734" s="1377">
        <f t="shared" si="67"/>
        <v>0</v>
      </c>
      <c r="B1734" s="1584" t="s">
        <v>1570</v>
      </c>
      <c r="C1734" s="1273"/>
      <c r="D1734" s="1288">
        <f>VLOOKUP($B1734,DG!A:D,DG!$B$2,)</f>
        <v>0</v>
      </c>
      <c r="E1734" s="1310" t="str">
        <f>VLOOKUP($B1734,DG!A:D,DG!$C$2,)</f>
        <v>Ống PVC D140x6,7mm</v>
      </c>
      <c r="F1734" s="1288" t="str">
        <f>VLOOKUP($B1734,DG!A:D,DG!$D$2,)</f>
        <v>m</v>
      </c>
      <c r="G1734" s="1276">
        <f>1*G1728</f>
        <v>0</v>
      </c>
      <c r="H1734" s="1353">
        <f t="shared" si="68"/>
        <v>0</v>
      </c>
      <c r="I1734" s="1277"/>
      <c r="J1734" s="1277"/>
      <c r="K1734" s="1278"/>
      <c r="L1734" s="1125">
        <v>400</v>
      </c>
    </row>
    <row r="1735" spans="1:13" s="1279" customFormat="1" ht="20.100000000000001" customHeight="1">
      <c r="A1735" s="1377">
        <f t="shared" si="67"/>
        <v>0</v>
      </c>
      <c r="B1735" s="1584" t="s">
        <v>1731</v>
      </c>
      <c r="C1735" s="1286"/>
      <c r="D1735" s="1288" t="str">
        <f>VLOOKUP($B1735,DG!A:D,DG!$B$2,)</f>
        <v>03.7000</v>
      </c>
      <c r="E1735" s="1310" t="str">
        <f>VLOOKUP($B1735,DG!A:D,DG!$C$2,)&amp;" + ñaép ñaù"</f>
        <v>Đắp cát  + ñaép ñaù</v>
      </c>
      <c r="F1735" s="1288" t="str">
        <f>VLOOKUP($B1735,DG!A:D,DG!$D$2,)</f>
        <v>m3</v>
      </c>
      <c r="G1735" s="1276">
        <f>G1730+G1731</f>
        <v>0</v>
      </c>
      <c r="H1735" s="1353">
        <f t="shared" si="68"/>
        <v>0</v>
      </c>
      <c r="I1735" s="1277"/>
      <c r="J1735" s="1277"/>
      <c r="K1735" s="1278"/>
      <c r="L1735" s="1125">
        <v>400</v>
      </c>
    </row>
    <row r="1736" spans="1:13" s="1279" customFormat="1" ht="20.100000000000001" customHeight="1">
      <c r="A1736" s="1377">
        <f t="shared" si="67"/>
        <v>0</v>
      </c>
      <c r="B1736" s="1584" t="s">
        <v>145</v>
      </c>
      <c r="C1736" s="1286"/>
      <c r="D1736" s="1288" t="str">
        <f>VLOOKUP($B1736,DG!A:D,DG!$B$2,)</f>
        <v>03.3103</v>
      </c>
      <c r="E1736" s="1310" t="str">
        <f>VLOOKUP($B1736,DG!A:D,DG!$C$2,)&amp;" : 0,48m3/m"</f>
        <v>Đào mương cáp ngầm đất cấp 3 : 0,48m3/m</v>
      </c>
      <c r="F1736" s="1288" t="str">
        <f>VLOOKUP($B1736,DG!A:D,DG!$D$2,)</f>
        <v>m3</v>
      </c>
      <c r="G1736" s="1276">
        <f>G1728*0.48</f>
        <v>0</v>
      </c>
      <c r="H1736" s="1353">
        <f t="shared" si="68"/>
        <v>0</v>
      </c>
      <c r="I1736" s="1277"/>
      <c r="J1736" s="1277"/>
      <c r="K1736" s="1278"/>
      <c r="L1736" s="1125">
        <v>400</v>
      </c>
    </row>
    <row r="1737" spans="1:13" s="1279" customFormat="1" ht="20.100000000000001" customHeight="1">
      <c r="A1737" s="1377">
        <f t="shared" si="67"/>
        <v>0</v>
      </c>
      <c r="B1737" s="1584" t="s">
        <v>532</v>
      </c>
      <c r="C1737" s="1286"/>
      <c r="D1737" s="1288" t="str">
        <f>VLOOKUP($B1737,DG!A:D,DG!$B$2,)</f>
        <v>03.3203</v>
      </c>
      <c r="E1737" s="1310" t="str">
        <f>VLOOKUP($B1737,DG!A:D,DG!$C$2,)&amp;" : 0,073m3/m"</f>
        <v>Đắp đất mương cáp ngầm, đất cấp 3 : 0,073m3/m</v>
      </c>
      <c r="F1737" s="1288" t="str">
        <f>VLOOKUP($B1737,DG!A:D,DG!$D$2,)</f>
        <v>m3</v>
      </c>
      <c r="G1737" s="1276">
        <f>G1728*0.073</f>
        <v>0</v>
      </c>
      <c r="H1737" s="1353">
        <f t="shared" si="68"/>
        <v>0</v>
      </c>
      <c r="I1737" s="1277"/>
      <c r="J1737" s="1277"/>
      <c r="K1737" s="1278"/>
      <c r="L1737" s="1125">
        <v>400</v>
      </c>
      <c r="M1737" s="1349">
        <v>0.47499999999999998</v>
      </c>
    </row>
    <row r="1738" spans="1:13" s="1279" customFormat="1" ht="20.100000000000001" customHeight="1">
      <c r="A1738" s="1377">
        <f t="shared" si="67"/>
        <v>0</v>
      </c>
      <c r="B1738" s="1582"/>
      <c r="C1738" s="1280">
        <f>IF(G1738&gt;0,C1728+1,C1728)</f>
        <v>0</v>
      </c>
      <c r="D1738" s="1281"/>
      <c r="E1738" s="1282" t="s">
        <v>3824</v>
      </c>
      <c r="F1738" s="1280" t="s">
        <v>2449</v>
      </c>
      <c r="G1738" s="1283">
        <f>G1747</f>
        <v>0</v>
      </c>
      <c r="H1738" s="1353">
        <f t="shared" si="68"/>
        <v>0</v>
      </c>
      <c r="I1738" s="1277"/>
      <c r="J1738" s="1277"/>
      <c r="K1738" s="1278"/>
      <c r="L1738" s="1125">
        <v>400</v>
      </c>
      <c r="M1738" s="1349">
        <v>0.88100000000000001</v>
      </c>
    </row>
    <row r="1739" spans="1:13" s="1279" customFormat="1" ht="20.100000000000001" customHeight="1">
      <c r="A1739" s="1377">
        <f>IF(A1738&gt;0,1,0)</f>
        <v>0</v>
      </c>
      <c r="B1739" s="1582"/>
      <c r="C1739" s="1273"/>
      <c r="D1739" s="1284"/>
      <c r="E1739" s="1637" t="s">
        <v>2342</v>
      </c>
      <c r="F1739" s="1286"/>
      <c r="G1739" s="1348"/>
      <c r="H1739" s="1353">
        <f t="shared" si="68"/>
        <v>0</v>
      </c>
      <c r="I1739" s="1277"/>
      <c r="J1739" s="1277"/>
      <c r="K1739" s="1278"/>
      <c r="L1739" s="1125">
        <v>400</v>
      </c>
    </row>
    <row r="1740" spans="1:13" s="1279" customFormat="1" ht="20.100000000000001" customHeight="1">
      <c r="A1740" s="1377">
        <f t="shared" si="67"/>
        <v>0</v>
      </c>
      <c r="B1740" s="1582" t="s">
        <v>628</v>
      </c>
      <c r="C1740" s="1286"/>
      <c r="D1740" s="1288" t="str">
        <f>VLOOKUP($B1740,DG!A:D,DG!$B$2,)</f>
        <v>07.2204</v>
      </c>
      <c r="E1740" s="1289" t="str">
        <f>VLOOKUP($B1740,DG!A:D,DG!$C$2,)</f>
        <v>ÔÁng sắt tráng kẽm D140</v>
      </c>
      <c r="F1740" s="1288" t="str">
        <f>VLOOKUP($B1740,DG!A:D,DG!$D$2,)</f>
        <v>mét</v>
      </c>
      <c r="G1740" s="1276">
        <f>G1738*5*0</f>
        <v>0</v>
      </c>
      <c r="H1740" s="1353">
        <f t="shared" si="68"/>
        <v>0</v>
      </c>
      <c r="I1740" s="1277"/>
      <c r="J1740" s="1277"/>
      <c r="K1740" s="1278"/>
      <c r="L1740" s="1125">
        <v>400</v>
      </c>
    </row>
    <row r="1741" spans="1:13" s="1279" customFormat="1" ht="20.100000000000001" customHeight="1">
      <c r="A1741" s="1377">
        <f t="shared" si="67"/>
        <v>0</v>
      </c>
      <c r="B1741" s="1584" t="s">
        <v>476</v>
      </c>
      <c r="C1741" s="1273"/>
      <c r="D1741" s="1288">
        <f>VLOOKUP($B1741,DG!A:D,DG!$B$2,)</f>
        <v>0</v>
      </c>
      <c r="E1741" s="1289" t="str">
        <f>VLOOKUP($B1741,DG!A:D,DG!$C$2,)</f>
        <v>Co sừng 90 độ PVC 140</v>
      </c>
      <c r="F1741" s="1288" t="str">
        <f>VLOOKUP($B1741,DG!A:D,DG!$D$2,)</f>
        <v>cái</v>
      </c>
      <c r="G1741" s="1276">
        <f>G1738*0</f>
        <v>0</v>
      </c>
      <c r="H1741" s="1353">
        <f t="shared" si="68"/>
        <v>0</v>
      </c>
      <c r="I1741" s="1277"/>
      <c r="J1741" s="1277"/>
      <c r="K1741" s="1278"/>
      <c r="L1741" s="1125">
        <v>400</v>
      </c>
    </row>
    <row r="1742" spans="1:13" s="1279" customFormat="1" ht="20.100000000000001" customHeight="1">
      <c r="A1742" s="1377">
        <f t="shared" si="67"/>
        <v>0</v>
      </c>
      <c r="B1742" s="1582" t="s">
        <v>121</v>
      </c>
      <c r="C1742" s="1286"/>
      <c r="D1742" s="1288" t="str">
        <f>VLOOKUP($B1742,DG!A:D,DG!$B$2,)</f>
        <v>06.3231</v>
      </c>
      <c r="E1742" s="1289" t="str">
        <f>VLOOKUP($B1742,DG!A:D,DG!$C$2,)</f>
        <v>Cổ dê giữ ống STK D140 vào tường+Boulon+long đền+tắc ke sắt</v>
      </c>
      <c r="F1742" s="1288" t="str">
        <f>VLOOKUP($B1742,DG!A:D,DG!$D$2,)</f>
        <v>bộ</v>
      </c>
      <c r="G1742" s="1276">
        <f>G1738*2*0</f>
        <v>0</v>
      </c>
      <c r="H1742" s="1353">
        <f t="shared" si="68"/>
        <v>0</v>
      </c>
      <c r="I1742" s="1277"/>
      <c r="J1742" s="1277"/>
      <c r="K1742" s="1278"/>
      <c r="L1742" s="1125">
        <v>400</v>
      </c>
    </row>
    <row r="1743" spans="1:13" s="1279" customFormat="1" ht="20.100000000000001" customHeight="1">
      <c r="A1743" s="1377">
        <f t="shared" si="67"/>
        <v>0</v>
      </c>
      <c r="B1743" s="1378" t="s">
        <v>1442</v>
      </c>
      <c r="C1743" s="1286"/>
      <c r="D1743" s="1288">
        <f>VLOOKUP($B1743,DG!A:D,DG!$B$2,)</f>
        <v>0</v>
      </c>
      <c r="E1743" s="1289" t="str">
        <f>VLOOKUP($B1743,DG!A:D,DG!$C$2,)</f>
        <v>Giá đỡ cáp ngầm (V63x6)</v>
      </c>
      <c r="F1743" s="1288" t="str">
        <f>VLOOKUP($B1743,DG!A:D,DG!$D$2,)</f>
        <v>bộ</v>
      </c>
      <c r="G1743" s="1276">
        <f>G1738*0</f>
        <v>0</v>
      </c>
      <c r="H1743" s="1353">
        <f t="shared" si="68"/>
        <v>0</v>
      </c>
      <c r="I1743" s="1277"/>
      <c r="J1743" s="1277"/>
      <c r="K1743" s="1278"/>
      <c r="L1743" s="1125">
        <v>400</v>
      </c>
    </row>
    <row r="1744" spans="1:13" s="1279" customFormat="1" ht="20.100000000000001" customHeight="1">
      <c r="A1744" s="1377">
        <f t="shared" si="67"/>
        <v>0</v>
      </c>
      <c r="B1744" s="1378" t="s">
        <v>2200</v>
      </c>
      <c r="C1744" s="1286"/>
      <c r="D1744" s="1288">
        <f>VLOOKUP($B1744,DG!A:D,DG!$B$2,)</f>
        <v>0</v>
      </c>
      <c r="E1744" s="1289" t="str">
        <f>VLOOKUP($B1744,DG!A:D,DG!$C$2,)</f>
        <v>Giá đỡ cáp trung hạ thế</v>
      </c>
      <c r="F1744" s="1288" t="str">
        <f>VLOOKUP($B1744,DG!A:D,DG!$D$2,)</f>
        <v>bộ</v>
      </c>
      <c r="G1744" s="1276">
        <f>G1738</f>
        <v>0</v>
      </c>
      <c r="H1744" s="1353">
        <f t="shared" si="68"/>
        <v>0</v>
      </c>
      <c r="I1744" s="1277"/>
      <c r="J1744" s="1277"/>
      <c r="K1744" s="1278"/>
      <c r="L1744" s="1125">
        <v>400</v>
      </c>
    </row>
    <row r="1745" spans="1:12" s="1279" customFormat="1" ht="20.100000000000001" customHeight="1">
      <c r="A1745" s="1377">
        <f t="shared" si="67"/>
        <v>0</v>
      </c>
      <c r="B1745" s="1582" t="s">
        <v>1443</v>
      </c>
      <c r="C1745" s="1273"/>
      <c r="D1745" s="1288" t="str">
        <f>VLOOKUP($B1745,DG!A:D,DG!$B$2,)</f>
        <v>05.6101</v>
      </c>
      <c r="E1745" s="1289" t="str">
        <f>VLOOKUP($B1745,DG!A:D,DG!$C$2,)</f>
        <v>Lắp Giá đỡ cáp</v>
      </c>
      <c r="F1745" s="1288" t="str">
        <f>VLOOKUP($B1745,DG!A:D,DG!$D$2,)</f>
        <v>bộ</v>
      </c>
      <c r="G1745" s="1276">
        <f>G1743+G1744</f>
        <v>0</v>
      </c>
      <c r="H1745" s="1353">
        <f t="shared" si="68"/>
        <v>0</v>
      </c>
      <c r="I1745" s="1277"/>
      <c r="J1745" s="1277"/>
      <c r="K1745" s="1278"/>
      <c r="L1745" s="1125">
        <v>400</v>
      </c>
    </row>
    <row r="1746" spans="1:12" s="1279" customFormat="1" ht="20.100000000000001" customHeight="1">
      <c r="A1746" s="1377">
        <f t="shared" si="67"/>
        <v>0</v>
      </c>
      <c r="B1746" s="1582" t="s">
        <v>290</v>
      </c>
      <c r="C1746" s="1286"/>
      <c r="D1746" s="1288" t="str">
        <f>VLOOKUP($B1746,DG!A:D,DG!$B$2,)</f>
        <v>06.3191</v>
      </c>
      <c r="E1746" s="1289" t="str">
        <f>VLOOKUP($B1746,DG!A:D,DG!$C$2,)</f>
        <v>Bảng tên trạm, bảng báo nguy hiểm + đinh vít</v>
      </c>
      <c r="F1746" s="1288" t="str">
        <f>VLOOKUP($B1746,DG!A:D,DG!$D$2,)</f>
        <v>bộ</v>
      </c>
      <c r="G1746" s="1276">
        <f>G1738*0</f>
        <v>0</v>
      </c>
      <c r="H1746" s="1353">
        <f t="shared" si="68"/>
        <v>0</v>
      </c>
      <c r="I1746" s="1277"/>
      <c r="J1746" s="1277"/>
      <c r="K1746" s="1278"/>
      <c r="L1746" s="1125">
        <v>400</v>
      </c>
    </row>
    <row r="1747" spans="1:12" s="1279" customFormat="1" ht="20.100000000000001" customHeight="1">
      <c r="A1747" s="1377">
        <f t="shared" si="67"/>
        <v>0</v>
      </c>
      <c r="B1747" s="1582"/>
      <c r="C1747" s="1280">
        <f>IF(G1747&gt;0,C1738+1,C1738)</f>
        <v>0</v>
      </c>
      <c r="D1747" s="1281"/>
      <c r="E1747" s="1292" t="s">
        <v>3839</v>
      </c>
      <c r="F1747" s="1280" t="s">
        <v>2449</v>
      </c>
      <c r="G1747" s="1283">
        <f>G1613*0</f>
        <v>0</v>
      </c>
      <c r="H1747" s="1353">
        <f t="shared" si="68"/>
        <v>0</v>
      </c>
      <c r="I1747" s="1277"/>
      <c r="J1747" s="1277"/>
      <c r="K1747" s="1278"/>
      <c r="L1747" s="1125">
        <v>400</v>
      </c>
    </row>
    <row r="1748" spans="1:12" s="1279" customFormat="1" ht="20.100000000000001" customHeight="1">
      <c r="A1748" s="1377">
        <f>IF(A1747&gt;0,1,0)</f>
        <v>0</v>
      </c>
      <c r="B1748" s="1582"/>
      <c r="C1748" s="1273"/>
      <c r="D1748" s="1284"/>
      <c r="E1748" s="1638" t="s">
        <v>2342</v>
      </c>
      <c r="F1748" s="1273"/>
      <c r="G1748" s="1293"/>
      <c r="H1748" s="1353">
        <f t="shared" si="68"/>
        <v>0</v>
      </c>
      <c r="I1748" s="1277"/>
      <c r="J1748" s="1277"/>
      <c r="K1748" s="1278"/>
      <c r="L1748" s="1125">
        <v>400</v>
      </c>
    </row>
    <row r="1749" spans="1:12" s="1279" customFormat="1" ht="20.100000000000001" customHeight="1">
      <c r="A1749" s="1377">
        <f t="shared" ref="A1749:A1811" si="69">IF(H1749&gt;0,1,0)</f>
        <v>0</v>
      </c>
      <c r="B1749" s="1378" t="s">
        <v>473</v>
      </c>
      <c r="C1749" s="1286"/>
      <c r="D1749" s="1274">
        <f>VLOOKUP($B1749,DG!A:D,DG!$B$2,)</f>
        <v>0</v>
      </c>
      <c r="E1749" s="1275" t="str">
        <f>VLOOKUP($B1749,DG!A:D,DG!$C$2,)&amp;": trong möông vaø leân MBA"</f>
        <v>Cáp 24kV C/XLPE/DSTA/PVC3x50: trong möông vaø leân MBA</v>
      </c>
      <c r="F1749" s="1274" t="str">
        <f>VLOOKUP($B1749,DG!A:D,DG!$D$2,)</f>
        <v>mét</v>
      </c>
      <c r="G1749" s="1276">
        <f>G1728+G1747*8</f>
        <v>0</v>
      </c>
      <c r="H1749" s="1353">
        <f t="shared" si="68"/>
        <v>0</v>
      </c>
      <c r="I1749" s="1277"/>
      <c r="J1749" s="1277"/>
      <c r="K1749" s="1278"/>
      <c r="L1749" s="1125">
        <v>400</v>
      </c>
    </row>
    <row r="1750" spans="1:12" s="1279" customFormat="1" ht="20.100000000000001" customHeight="1">
      <c r="A1750" s="1377">
        <f t="shared" si="69"/>
        <v>0</v>
      </c>
      <c r="B1750" s="1378" t="s">
        <v>272</v>
      </c>
      <c r="C1750" s="1286"/>
      <c r="D1750" s="1274">
        <f>VLOOKUP($B1750,DG!A:D,DG!$B$2,)</f>
        <v>0</v>
      </c>
      <c r="E1750" s="1275" t="str">
        <f>VLOOKUP($B1750,DG!A:D,DG!$C$2,)&amp;": trung tính"</f>
        <v>Cáp 24KV C/XLPE/PVC 50mm2: trung tính</v>
      </c>
      <c r="F1750" s="1274" t="str">
        <f>VLOOKUP($B1750,DG!A:D,DG!$D$2,)</f>
        <v>mét</v>
      </c>
      <c r="G1750" s="1276">
        <f>G1749</f>
        <v>0</v>
      </c>
      <c r="H1750" s="1353">
        <f t="shared" si="68"/>
        <v>0</v>
      </c>
      <c r="I1750" s="1277"/>
      <c r="J1750" s="1277"/>
      <c r="K1750" s="1278"/>
      <c r="L1750" s="1125">
        <v>400</v>
      </c>
    </row>
    <row r="1751" spans="1:12" s="1279" customFormat="1" ht="20.100000000000001" customHeight="1">
      <c r="A1751" s="1377">
        <f t="shared" si="69"/>
        <v>0</v>
      </c>
      <c r="B1751" s="1378" t="s">
        <v>272</v>
      </c>
      <c r="C1751" s="1286"/>
      <c r="D1751" s="1274">
        <f>VLOOKUP($B1751,DG!A:D,DG!$B$2,)</f>
        <v>0</v>
      </c>
      <c r="E1751" s="1275" t="str">
        <f>VLOOKUP($B1751,DG!A:D,DG!$C$2,)&amp;": 0,5m/pha töø FCO xuoáng MBA"</f>
        <v>Cáp 24KV C/XLPE/PVC 50mm2: 0,5m/pha töø FCO xuoáng MBA</v>
      </c>
      <c r="F1751" s="1274" t="str">
        <f>VLOOKUP($B1751,DG!A:D,DG!$D$2,)</f>
        <v>mét</v>
      </c>
      <c r="G1751" s="1276">
        <f>G1747*0.5*3*0</f>
        <v>0</v>
      </c>
      <c r="H1751" s="1353">
        <f t="shared" si="68"/>
        <v>0</v>
      </c>
      <c r="I1751" s="1277"/>
      <c r="J1751" s="1277"/>
      <c r="K1751" s="1278"/>
      <c r="L1751" s="1125">
        <v>400</v>
      </c>
    </row>
    <row r="1752" spans="1:12" s="1279" customFormat="1" ht="20.100000000000001" customHeight="1">
      <c r="A1752" s="1377">
        <f t="shared" si="69"/>
        <v>0</v>
      </c>
      <c r="B1752" s="1378" t="s">
        <v>1385</v>
      </c>
      <c r="C1752" s="1286"/>
      <c r="D1752" s="1274">
        <f>VLOOKUP($B1752,DG!A:D,DG!$B$2,)</f>
        <v>0</v>
      </c>
      <c r="E1752" s="1275" t="str">
        <f>VLOOKUP($B1752,DG!A:D,DG!$C$2,)</f>
        <v>Đầu cáp ngầm 24KV 3x50mm2 outdoor</v>
      </c>
      <c r="F1752" s="1274" t="str">
        <f>VLOOKUP($B1752,DG!A:D,DG!$D$2,)</f>
        <v>cái</v>
      </c>
      <c r="G1752" s="1276">
        <f>G1747</f>
        <v>0</v>
      </c>
      <c r="H1752" s="1353">
        <f t="shared" si="68"/>
        <v>0</v>
      </c>
      <c r="I1752" s="1277"/>
      <c r="J1752" s="1277"/>
      <c r="K1752" s="1278"/>
      <c r="L1752" s="1125">
        <v>400</v>
      </c>
    </row>
    <row r="1753" spans="1:12" s="1279" customFormat="1" ht="20.100000000000001" customHeight="1">
      <c r="A1753" s="1377">
        <f t="shared" si="69"/>
        <v>0</v>
      </c>
      <c r="B1753" s="1378" t="s">
        <v>473</v>
      </c>
      <c r="C1753" s="1286"/>
      <c r="D1753" s="1274">
        <f>VLOOKUP($B1753,DG!A:D,DG!$B$2,)</f>
        <v>0</v>
      </c>
      <c r="E1753" s="1275" t="str">
        <f>VLOOKUP($B1753,DG!A:D,DG!$C$2,)&amp;": töø tuû LBS ñeán MBA"</f>
        <v>Cáp 24kV C/XLPE/DSTA/PVC3x50: töø tuû LBS ñeán MBA</v>
      </c>
      <c r="F1753" s="1274" t="str">
        <f>VLOOKUP($B1753,DG!A:D,DG!$D$2,)</f>
        <v>mét</v>
      </c>
      <c r="G1753" s="1276">
        <f>(1.2+2.4)*G1747*0</f>
        <v>0</v>
      </c>
      <c r="H1753" s="1353">
        <f t="shared" si="68"/>
        <v>0</v>
      </c>
      <c r="I1753" s="1277"/>
      <c r="J1753" s="1277"/>
      <c r="K1753" s="1278"/>
      <c r="L1753" s="1125">
        <v>400</v>
      </c>
    </row>
    <row r="1754" spans="1:12" s="1279" customFormat="1" ht="20.100000000000001" customHeight="1">
      <c r="A1754" s="1377">
        <f t="shared" si="69"/>
        <v>0</v>
      </c>
      <c r="B1754" s="1378" t="s">
        <v>272</v>
      </c>
      <c r="C1754" s="1286"/>
      <c r="D1754" s="1274">
        <f>VLOOKUP($B1754,DG!A:D,DG!$B$2,)</f>
        <v>0</v>
      </c>
      <c r="E1754" s="1275" t="str">
        <f>VLOOKUP($B1754,DG!A:D,DG!$C$2,)&amp;": töø tuû LBS ñeán MBA"</f>
        <v>Cáp 24KV C/XLPE/PVC 50mm2: töø tuû LBS ñeán MBA</v>
      </c>
      <c r="F1754" s="1274" t="str">
        <f>VLOOKUP($B1754,DG!A:D,DG!$D$2,)</f>
        <v>mét</v>
      </c>
      <c r="G1754" s="1276">
        <f>G1747*1.2*0</f>
        <v>0</v>
      </c>
      <c r="H1754" s="1353">
        <f t="shared" si="68"/>
        <v>0</v>
      </c>
      <c r="I1754" s="1277"/>
      <c r="J1754" s="1277"/>
      <c r="K1754" s="1278"/>
      <c r="L1754" s="1125">
        <v>400</v>
      </c>
    </row>
    <row r="1755" spans="1:12" s="1279" customFormat="1" ht="20.100000000000001" customHeight="1">
      <c r="A1755" s="1377">
        <f t="shared" si="69"/>
        <v>0</v>
      </c>
      <c r="B1755" s="1378" t="s">
        <v>1386</v>
      </c>
      <c r="C1755" s="1286"/>
      <c r="D1755" s="1274">
        <f>VLOOKUP($B1755,DG!A:D,DG!$B$2,)</f>
        <v>0</v>
      </c>
      <c r="E1755" s="1275" t="str">
        <f>VLOOKUP($B1755,DG!A:D,DG!$C$2,)</f>
        <v>Đầu cáp ngầm 24KV 3x50mm2 indoor</v>
      </c>
      <c r="F1755" s="1274" t="str">
        <f>VLOOKUP($B1755,DG!A:D,DG!$D$2,)</f>
        <v>cái</v>
      </c>
      <c r="G1755" s="1276">
        <f>G1747</f>
        <v>0</v>
      </c>
      <c r="H1755" s="1353">
        <f t="shared" si="68"/>
        <v>0</v>
      </c>
      <c r="I1755" s="1277"/>
      <c r="J1755" s="1277"/>
      <c r="K1755" s="1278"/>
      <c r="L1755" s="1125">
        <v>400</v>
      </c>
    </row>
    <row r="1756" spans="1:12" s="1279" customFormat="1" ht="20.100000000000001" customHeight="1">
      <c r="A1756" s="1377">
        <f t="shared" si="69"/>
        <v>0</v>
      </c>
      <c r="B1756" s="1378" t="s">
        <v>1727</v>
      </c>
      <c r="C1756" s="1286"/>
      <c r="D1756" s="1274" t="str">
        <f>VLOOKUP($B1756,DG!A:D,DG!$B$2,)</f>
        <v>07.4312</v>
      </c>
      <c r="E1756" s="1275" t="str">
        <f>VLOOKUP($B1756,DG!A:D,DG!$C$2,)</f>
        <v>Lắp đầu cáp trung thế 3x50mm2, 70mm2</v>
      </c>
      <c r="F1756" s="1274" t="str">
        <f>VLOOKUP($B1756,DG!A:D,DG!$D$2,)</f>
        <v>cái</v>
      </c>
      <c r="G1756" s="1276">
        <f>G1752+G1755</f>
        <v>0</v>
      </c>
      <c r="H1756" s="1353">
        <f t="shared" si="68"/>
        <v>0</v>
      </c>
      <c r="I1756" s="1277"/>
      <c r="J1756" s="1277"/>
      <c r="K1756" s="1278"/>
      <c r="L1756" s="1125">
        <v>400</v>
      </c>
    </row>
    <row r="1757" spans="1:12" s="1279" customFormat="1" ht="20.100000000000001" customHeight="1">
      <c r="A1757" s="1377">
        <f t="shared" si="69"/>
        <v>0</v>
      </c>
      <c r="B1757" s="1378" t="s">
        <v>1234</v>
      </c>
      <c r="C1757" s="1286"/>
      <c r="D1757" s="1274" t="str">
        <f>VLOOKUP($B1757,DG!A:D,DG!$B$2,)</f>
        <v>03.1405</v>
      </c>
      <c r="E1757" s="1275" t="str">
        <f>VLOOKUP($B1757,DG!A:D,DG!$C$2,)</f>
        <v>Lắp cáp trong ống bảo vệ trong TBA loại &lt;=6kg</v>
      </c>
      <c r="F1757" s="1274" t="str">
        <f>VLOOKUP($B1757,DG!A:D,DG!$D$2,)</f>
        <v>mét</v>
      </c>
      <c r="G1757" s="1276">
        <f>G1749+G1753</f>
        <v>0</v>
      </c>
      <c r="H1757" s="1353">
        <f t="shared" si="68"/>
        <v>0</v>
      </c>
      <c r="I1757" s="1277"/>
      <c r="J1757" s="1277"/>
      <c r="K1757" s="1278"/>
      <c r="L1757" s="1125">
        <v>400</v>
      </c>
    </row>
    <row r="1758" spans="1:12" s="1279" customFormat="1" ht="20.100000000000001" customHeight="1">
      <c r="A1758" s="1377">
        <f t="shared" si="69"/>
        <v>0</v>
      </c>
      <c r="B1758" s="1378" t="s">
        <v>1231</v>
      </c>
      <c r="C1758" s="1286"/>
      <c r="D1758" s="1274" t="str">
        <f>VLOOKUP($B1758,DG!A:D,DG!$B$2,)</f>
        <v>03.1402</v>
      </c>
      <c r="E1758" s="1275" t="str">
        <f>VLOOKUP($B1758,DG!A:D,DG!$C$2,)</f>
        <v>Lắp cáp trong ống bảo vệ trong TBA loại &lt;=2kg</v>
      </c>
      <c r="F1758" s="1274" t="str">
        <f>VLOOKUP($B1758,DG!A:D,DG!$D$2,)</f>
        <v>mét</v>
      </c>
      <c r="G1758" s="1276">
        <f>G1750+G1754</f>
        <v>0</v>
      </c>
      <c r="H1758" s="1353">
        <f t="shared" si="68"/>
        <v>0</v>
      </c>
      <c r="I1758" s="1277"/>
      <c r="J1758" s="1277"/>
      <c r="K1758" s="1278"/>
      <c r="L1758" s="1125">
        <v>400</v>
      </c>
    </row>
    <row r="1759" spans="1:12" s="1279" customFormat="1" ht="20.100000000000001" customHeight="1">
      <c r="A1759" s="1377">
        <f t="shared" si="69"/>
        <v>0</v>
      </c>
      <c r="B1759" s="1378" t="s">
        <v>1577</v>
      </c>
      <c r="C1759" s="1286"/>
      <c r="D1759" s="1274" t="str">
        <f>VLOOKUP($B1759,DG!A:D,DG!$B$2,)</f>
        <v>04.4201</v>
      </c>
      <c r="E1759" s="1275" t="str">
        <f>VLOOKUP($B1759,DG!A:D,DG!$C$2,)</f>
        <v>Lắp cáp đồng xuống thiết bị D ≤ 95mm2</v>
      </c>
      <c r="F1759" s="1274" t="str">
        <f>VLOOKUP($B1759,DG!A:D,DG!$D$2,)</f>
        <v>m</v>
      </c>
      <c r="G1759" s="1276">
        <f>G1751</f>
        <v>0</v>
      </c>
      <c r="H1759" s="1353">
        <f t="shared" si="68"/>
        <v>0</v>
      </c>
      <c r="I1759" s="1277"/>
      <c r="J1759" s="1277"/>
      <c r="K1759" s="1278"/>
      <c r="L1759" s="1125">
        <v>400</v>
      </c>
    </row>
    <row r="1760" spans="1:12" s="1279" customFormat="1" ht="20.100000000000001" customHeight="1">
      <c r="A1760" s="1377">
        <f t="shared" si="69"/>
        <v>0</v>
      </c>
      <c r="B1760" s="1378" t="s">
        <v>1382</v>
      </c>
      <c r="C1760" s="1286"/>
      <c r="D1760" s="1274">
        <f>VLOOKUP($B1760,DG!A:D,DG!$B$2,)</f>
        <v>0</v>
      </c>
      <c r="E1760" s="1275" t="str">
        <f>VLOOKUP($B1760,DG!A:D,DG!$C$2,)</f>
        <v>Dây rút cáp</v>
      </c>
      <c r="F1760" s="1274" t="str">
        <f>VLOOKUP($B1760,DG!A:D,DG!$D$2,)</f>
        <v>bọc</v>
      </c>
      <c r="G1760" s="1276">
        <f>G1747*2</f>
        <v>0</v>
      </c>
      <c r="H1760" s="1353">
        <f t="shared" si="68"/>
        <v>0</v>
      </c>
      <c r="I1760" s="1277"/>
      <c r="J1760" s="1277"/>
      <c r="K1760" s="1278"/>
      <c r="L1760" s="1125">
        <v>400</v>
      </c>
    </row>
    <row r="1761" spans="1:12" s="1279" customFormat="1" ht="20.100000000000001" customHeight="1">
      <c r="A1761" s="1377">
        <f t="shared" si="69"/>
        <v>0</v>
      </c>
      <c r="B1761" s="1582"/>
      <c r="C1761" s="1280">
        <f>IF(G1761&gt;0,C1747+1,C1747)</f>
        <v>0</v>
      </c>
      <c r="D1761" s="1281"/>
      <c r="E1761" s="1292" t="s">
        <v>3843</v>
      </c>
      <c r="F1761" s="1280" t="s">
        <v>2449</v>
      </c>
      <c r="G1761" s="1283">
        <f>G1613</f>
        <v>0</v>
      </c>
      <c r="H1761" s="1353">
        <f t="shared" si="68"/>
        <v>0</v>
      </c>
      <c r="I1761" s="1277"/>
      <c r="J1761" s="1277"/>
      <c r="K1761" s="1312"/>
      <c r="L1761" s="1125">
        <v>400</v>
      </c>
    </row>
    <row r="1762" spans="1:12" s="1279" customFormat="1" ht="20.100000000000001" customHeight="1">
      <c r="A1762" s="1377">
        <f>IF(A1761&gt;0,1,0)</f>
        <v>0</v>
      </c>
      <c r="B1762" s="1582"/>
      <c r="C1762" s="1273"/>
      <c r="D1762" s="1284"/>
      <c r="E1762" s="1638" t="s">
        <v>2342</v>
      </c>
      <c r="F1762" s="1273"/>
      <c r="G1762" s="1293"/>
      <c r="H1762" s="1353">
        <f t="shared" si="68"/>
        <v>0</v>
      </c>
      <c r="I1762" s="1277"/>
      <c r="J1762" s="1277"/>
      <c r="K1762" s="1312"/>
      <c r="L1762" s="1125">
        <v>400</v>
      </c>
    </row>
    <row r="1763" spans="1:12" s="1279" customFormat="1" ht="20.100000000000001" customHeight="1">
      <c r="A1763" s="1377">
        <f t="shared" si="69"/>
        <v>0</v>
      </c>
      <c r="B1763" s="1378" t="s">
        <v>704</v>
      </c>
      <c r="C1763" s="1286"/>
      <c r="D1763" s="1274">
        <f>VLOOKUP($B1763,DG!A:D,DG!$B$2,)</f>
        <v>0</v>
      </c>
      <c r="E1763" s="1275" t="str">
        <f>VLOOKUP($B1763,DG!A:D,DG!$C$2,)&amp;": 9m/1pha"</f>
        <v>Cáp 24KV C/XLPE/PVC 25mm2: 9m/1pha</v>
      </c>
      <c r="F1763" s="1274" t="str">
        <f>VLOOKUP($B1763,DG!A:D,DG!$D$2,)</f>
        <v>mét</v>
      </c>
      <c r="G1763" s="1287">
        <f>G1761*(9)*3</f>
        <v>0</v>
      </c>
      <c r="H1763" s="1353">
        <f t="shared" si="68"/>
        <v>0</v>
      </c>
      <c r="I1763" s="1277"/>
      <c r="J1763" s="1277"/>
      <c r="K1763" s="1312"/>
      <c r="L1763" s="1125">
        <v>400</v>
      </c>
    </row>
    <row r="1764" spans="1:12" s="1279" customFormat="1" ht="20.100000000000001" customHeight="1">
      <c r="A1764" s="1377">
        <f t="shared" si="69"/>
        <v>0</v>
      </c>
      <c r="B1764" s="1378" t="s">
        <v>704</v>
      </c>
      <c r="C1764" s="1286"/>
      <c r="D1764" s="1274">
        <f>VLOOKUP($B1764,DG!A:D,DG!$B$2,)</f>
        <v>0</v>
      </c>
      <c r="E1764" s="1275" t="str">
        <f>VLOOKUP($B1764,DG!A:D,DG!$C$2,)&amp;": 1m/1pha ñaáu noái  LA"</f>
        <v>Cáp 24KV C/XLPE/PVC 25mm2: 1m/1pha ñaáu noái  LA</v>
      </c>
      <c r="F1764" s="1274" t="str">
        <f>VLOOKUP($B1764,DG!A:D,DG!$D$2,)</f>
        <v>mét</v>
      </c>
      <c r="G1764" s="1350">
        <f>G1761*3*1*0</f>
        <v>0</v>
      </c>
      <c r="H1764" s="1353">
        <f t="shared" si="68"/>
        <v>0</v>
      </c>
      <c r="I1764" s="1277"/>
      <c r="J1764" s="1277"/>
      <c r="K1764" s="1312"/>
      <c r="L1764" s="1125">
        <v>400</v>
      </c>
    </row>
    <row r="1765" spans="1:12" s="1279" customFormat="1" ht="20.100000000000001" customHeight="1">
      <c r="A1765" s="1377">
        <f t="shared" si="69"/>
        <v>0</v>
      </c>
      <c r="B1765" s="1378" t="s">
        <v>1145</v>
      </c>
      <c r="C1765" s="1286"/>
      <c r="D1765" s="1274">
        <f>VLOOKUP($B1765,DG!A:D,DG!$B$2,)</f>
        <v>0</v>
      </c>
      <c r="E1765" s="1275" t="str">
        <f>VLOOKUP($B1765,DG!A:D,DG!$C$2,)</f>
        <v>Kẹp ép cỡ dây 25mm2</v>
      </c>
      <c r="F1765" s="1274" t="str">
        <f>VLOOKUP($B1765,DG!A:D,DG!$D$2,)</f>
        <v>cái</v>
      </c>
      <c r="G1765" s="1344">
        <f>G1761*3*2</f>
        <v>0</v>
      </c>
      <c r="H1765" s="1353">
        <f t="shared" si="68"/>
        <v>0</v>
      </c>
      <c r="I1765" s="1277"/>
      <c r="J1765" s="1277"/>
      <c r="K1765" s="1278"/>
      <c r="L1765" s="1125">
        <v>400</v>
      </c>
    </row>
    <row r="1766" spans="1:12" s="1279" customFormat="1" ht="20.100000000000001" customHeight="1">
      <c r="A1766" s="1377">
        <f t="shared" si="69"/>
        <v>0</v>
      </c>
      <c r="B1766" s="1378" t="s">
        <v>554</v>
      </c>
      <c r="C1766" s="1286"/>
      <c r="D1766" s="1274">
        <f>VLOOKUP($B1766,DG!A:D,DG!$B$2,)</f>
        <v>0</v>
      </c>
      <c r="E1766" s="1275" t="str">
        <f>VLOOKUP($B1766,DG!A:D,DG!$C$2,)&amp;" + LA"</f>
        <v>Bass LI bắt FCO + LA</v>
      </c>
      <c r="F1766" s="1274" t="str">
        <f>VLOOKUP($B1766,DG!A:D,DG!$D$2,)</f>
        <v>Bộ</v>
      </c>
      <c r="G1766" s="1344">
        <f>G1761*3*2</f>
        <v>0</v>
      </c>
      <c r="H1766" s="1353">
        <f t="shared" si="68"/>
        <v>0</v>
      </c>
      <c r="I1766" s="1277"/>
      <c r="J1766" s="1277"/>
      <c r="K1766" s="1278"/>
      <c r="L1766" s="1125">
        <v>400</v>
      </c>
    </row>
    <row r="1767" spans="1:12" s="1279" customFormat="1" ht="20.100000000000001" customHeight="1">
      <c r="A1767" s="1377">
        <f t="shared" si="69"/>
        <v>0</v>
      </c>
      <c r="B1767" s="1378" t="s">
        <v>1531</v>
      </c>
      <c r="C1767" s="1286"/>
      <c r="D1767" s="1274" t="str">
        <f>VLOOKUP($B1767,DG!A:D,DG!$B$2,)</f>
        <v>04.3007</v>
      </c>
      <c r="E1767" s="1275" t="str">
        <f>VLOOKUP($B1767,DG!A:D,DG!$C$2,)</f>
        <v>Kẹp quai 2/0</v>
      </c>
      <c r="F1767" s="1274" t="str">
        <f>VLOOKUP($B1767,DG!A:D,DG!$D$2,)</f>
        <v>cái</v>
      </c>
      <c r="G1767" s="1344">
        <f>G1761*3</f>
        <v>0</v>
      </c>
      <c r="H1767" s="1353">
        <f t="shared" si="68"/>
        <v>0</v>
      </c>
      <c r="I1767" s="1277"/>
      <c r="J1767" s="1277"/>
      <c r="K1767" s="1312"/>
      <c r="L1767" s="1125">
        <v>400</v>
      </c>
    </row>
    <row r="1768" spans="1:12" s="1279" customFormat="1" ht="20.100000000000001" customHeight="1">
      <c r="A1768" s="1377">
        <f t="shared" si="69"/>
        <v>0</v>
      </c>
      <c r="B1768" s="1378" t="s">
        <v>1529</v>
      </c>
      <c r="C1768" s="1286"/>
      <c r="D1768" s="1274" t="str">
        <f>VLOOKUP($B1768,DG!A:D,DG!$B$2,)</f>
        <v>04.3007</v>
      </c>
      <c r="E1768" s="1275" t="str">
        <f>VLOOKUP($B1768,DG!A:D,DG!$C$2,)&amp;": "</f>
        <v xml:space="preserve">Kẹp hotline 2/0: </v>
      </c>
      <c r="F1768" s="1274" t="str">
        <f>VLOOKUP($B1768,DG!A:D,DG!$D$2,)</f>
        <v>cái</v>
      </c>
      <c r="G1768" s="1287"/>
      <c r="H1768" s="1353">
        <f t="shared" si="68"/>
        <v>0</v>
      </c>
      <c r="I1768" s="1277"/>
      <c r="J1768" s="1277"/>
      <c r="K1768" s="1312"/>
      <c r="L1768" s="1125">
        <v>400</v>
      </c>
    </row>
    <row r="1769" spans="1:12" s="1279" customFormat="1" ht="20.100000000000001" customHeight="1">
      <c r="A1769" s="1377">
        <f t="shared" si="69"/>
        <v>0</v>
      </c>
      <c r="B1769" s="1378" t="s">
        <v>703</v>
      </c>
      <c r="C1769" s="1312"/>
      <c r="D1769" s="1274">
        <f>VLOOKUP($B1769,DG!A:D,DG!$B$2,)</f>
        <v>0</v>
      </c>
      <c r="E1769" s="1275" t="str">
        <f>VLOOKUP($B1769,DG!A:D,DG!$C$2,)</f>
        <v xml:space="preserve">Sứ đứng 24KV </v>
      </c>
      <c r="F1769" s="1274" t="str">
        <f>VLOOKUP($B1769,DG!A:D,DG!$D$2,)</f>
        <v>cái</v>
      </c>
      <c r="G1769" s="1287"/>
      <c r="H1769" s="1353">
        <f t="shared" si="68"/>
        <v>0</v>
      </c>
      <c r="I1769" s="1277"/>
      <c r="J1769" s="1277"/>
      <c r="K1769" s="1312"/>
      <c r="L1769" s="1125">
        <v>400</v>
      </c>
    </row>
    <row r="1770" spans="1:12" s="1279" customFormat="1" ht="20.100000000000001" customHeight="1">
      <c r="A1770" s="1377">
        <f t="shared" si="69"/>
        <v>0</v>
      </c>
      <c r="B1770" s="1378" t="s">
        <v>1298</v>
      </c>
      <c r="C1770" s="1286"/>
      <c r="D1770" s="1274">
        <f>VLOOKUP($B1770,DG!A:D,DG!$B$2,)</f>
        <v>0</v>
      </c>
      <c r="E1770" s="1275" t="str">
        <f>VLOOKUP($B1770,DG!A:D,DG!$C$2,)</f>
        <v>Chân sứ đứng D20</v>
      </c>
      <c r="F1770" s="1274" t="str">
        <f>VLOOKUP($B1770,DG!A:D,DG!$D$2,)</f>
        <v>cái</v>
      </c>
      <c r="G1770" s="1287"/>
      <c r="H1770" s="1353">
        <f t="shared" si="68"/>
        <v>0</v>
      </c>
      <c r="I1770" s="1277"/>
      <c r="J1770" s="1277"/>
      <c r="K1770" s="1312"/>
      <c r="L1770" s="1125">
        <v>400</v>
      </c>
    </row>
    <row r="1771" spans="1:12" s="1279" customFormat="1" ht="20.100000000000001" customHeight="1">
      <c r="A1771" s="1377">
        <f t="shared" si="69"/>
        <v>0</v>
      </c>
      <c r="B1771" s="1378" t="s">
        <v>442</v>
      </c>
      <c r="C1771" s="1286"/>
      <c r="D1771" s="1274">
        <f>VLOOKUP($B1771,DG!A:D,DG!$B$2,)</f>
        <v>0</v>
      </c>
      <c r="E1771" s="1275" t="str">
        <f>VLOOKUP($B1771,DG!A:D,DG!$C$2,)</f>
        <v>Sứ treo polymer</v>
      </c>
      <c r="F1771" s="1274" t="str">
        <f>VLOOKUP($B1771,DG!A:D,DG!$D$2,)</f>
        <v>chuỗi</v>
      </c>
      <c r="G1771" s="1344">
        <f>G1761*6*0</f>
        <v>0</v>
      </c>
      <c r="H1771" s="1353">
        <f t="shared" si="68"/>
        <v>0</v>
      </c>
      <c r="I1771" s="1277"/>
      <c r="J1771" s="1277"/>
      <c r="K1771" s="1312"/>
      <c r="L1771" s="1125">
        <v>400</v>
      </c>
    </row>
    <row r="1772" spans="1:12" s="1279" customFormat="1" ht="20.100000000000001" customHeight="1">
      <c r="A1772" s="1377">
        <f t="shared" si="69"/>
        <v>0</v>
      </c>
      <c r="B1772" s="1378" t="s">
        <v>1617</v>
      </c>
      <c r="C1772" s="1286"/>
      <c r="D1772" s="1274" t="str">
        <f>VLOOKUP($B1772,DG!A:D,DG!$B$2,)</f>
        <v>06.1115</v>
      </c>
      <c r="E1772" s="1275" t="str">
        <f>VLOOKUP($B1772,DG!A:D,DG!$C$2,)</f>
        <v>Lắp sứ đứng 24KV</v>
      </c>
      <c r="F1772" s="1274" t="str">
        <f>VLOOKUP($B1772,DG!A:D,DG!$D$2,)</f>
        <v>bộ</v>
      </c>
      <c r="G1772" s="1287"/>
      <c r="H1772" s="1353">
        <f t="shared" si="68"/>
        <v>0</v>
      </c>
      <c r="I1772" s="1277"/>
      <c r="J1772" s="1277"/>
      <c r="K1772" s="1312"/>
      <c r="L1772" s="1125">
        <v>400</v>
      </c>
    </row>
    <row r="1773" spans="1:12" s="1279" customFormat="1" ht="20.100000000000001" customHeight="1">
      <c r="A1773" s="1377">
        <f t="shared" si="69"/>
        <v>0</v>
      </c>
      <c r="B1773" s="1378" t="s">
        <v>236</v>
      </c>
      <c r="C1773" s="1286"/>
      <c r="D1773" s="1274" t="str">
        <f>VLOOKUP($B1773,DG!A:D,DG!$B$2,)</f>
        <v>06.1115</v>
      </c>
      <c r="E1773" s="1275" t="str">
        <f>VLOOKUP($B1773,DG!A:D,DG!$C$2,)</f>
        <v>Tháo sứ đứng 24KV</v>
      </c>
      <c r="F1773" s="1274" t="str">
        <f>VLOOKUP($B1773,DG!A:D,DG!$D$2,)</f>
        <v>bộ</v>
      </c>
      <c r="G1773" s="1287"/>
      <c r="H1773" s="1353">
        <f t="shared" si="68"/>
        <v>0</v>
      </c>
      <c r="I1773" s="1277"/>
      <c r="J1773" s="1277"/>
      <c r="K1773" s="1312"/>
      <c r="L1773" s="1125">
        <v>400</v>
      </c>
    </row>
    <row r="1774" spans="1:12" s="1279" customFormat="1" ht="20.100000000000001" customHeight="1">
      <c r="A1774" s="1377">
        <f t="shared" si="69"/>
        <v>0</v>
      </c>
      <c r="B1774" s="1378" t="s">
        <v>1559</v>
      </c>
      <c r="C1774" s="1286"/>
      <c r="D1774" s="1274" t="str">
        <f>VLOOKUP($B1774,DG!A:D,DG!$B$2,)</f>
        <v>06.2201</v>
      </c>
      <c r="E1774" s="1275" t="str">
        <f>VLOOKUP($B1774,DG!A:D,DG!$C$2,)</f>
        <v>Lắp chuỗi sứ néo Polymer</v>
      </c>
      <c r="F1774" s="1274" t="str">
        <f>VLOOKUP($B1774,DG!A:D,DG!$D$2,)</f>
        <v>chuỗi</v>
      </c>
      <c r="G1774" s="1287">
        <f>G1771</f>
        <v>0</v>
      </c>
      <c r="H1774" s="1353">
        <f t="shared" ref="H1774:H1837" si="70">IF(L1774=$L$23,G1774+I1774-J1774,0)</f>
        <v>0</v>
      </c>
      <c r="I1774" s="1277"/>
      <c r="J1774" s="1277"/>
      <c r="K1774" s="1312"/>
      <c r="L1774" s="1125">
        <v>400</v>
      </c>
    </row>
    <row r="1775" spans="1:12" s="1279" customFormat="1" ht="20.100000000000001" customHeight="1">
      <c r="A1775" s="1377">
        <f t="shared" si="69"/>
        <v>0</v>
      </c>
      <c r="B1775" s="1378" t="s">
        <v>1577</v>
      </c>
      <c r="C1775" s="1286"/>
      <c r="D1775" s="1274" t="str">
        <f>VLOOKUP($B1775,DG!A:D,DG!$B$2,)</f>
        <v>04.4201</v>
      </c>
      <c r="E1775" s="1275" t="str">
        <f>VLOOKUP($B1775,DG!A:D,DG!$C$2,)</f>
        <v>Lắp cáp đồng xuống thiết bị D ≤ 95mm2</v>
      </c>
      <c r="F1775" s="1274" t="str">
        <f>VLOOKUP($B1775,DG!A:D,DG!$D$2,)</f>
        <v>m</v>
      </c>
      <c r="G1775" s="1287">
        <f>G1763+G1764</f>
        <v>0</v>
      </c>
      <c r="H1775" s="1353">
        <f t="shared" si="70"/>
        <v>0</v>
      </c>
      <c r="I1775" s="1277"/>
      <c r="J1775" s="1277"/>
      <c r="K1775" s="1312"/>
      <c r="L1775" s="1125">
        <v>400</v>
      </c>
    </row>
    <row r="1776" spans="1:12" s="1279" customFormat="1" ht="20.100000000000001" customHeight="1">
      <c r="A1776" s="1377">
        <f t="shared" si="69"/>
        <v>0</v>
      </c>
      <c r="B1776" s="1582"/>
      <c r="C1776" s="1280">
        <f>IF(G1776&gt;0,C1761+1,C1761)</f>
        <v>0</v>
      </c>
      <c r="D1776" s="1281"/>
      <c r="E1776" s="1292" t="s">
        <v>3807</v>
      </c>
      <c r="F1776" s="1280" t="s">
        <v>2449</v>
      </c>
      <c r="G1776" s="1283">
        <f>G1642*0</f>
        <v>0</v>
      </c>
      <c r="H1776" s="1353">
        <f t="shared" si="70"/>
        <v>0</v>
      </c>
      <c r="I1776" s="1277"/>
      <c r="J1776" s="1277"/>
      <c r="K1776" s="1278"/>
      <c r="L1776" s="1125">
        <v>400</v>
      </c>
    </row>
    <row r="1777" spans="1:12" s="1279" customFormat="1" ht="20.100000000000001" customHeight="1">
      <c r="A1777" s="1377">
        <f>IF(A1776&gt;0,1,0)</f>
        <v>0</v>
      </c>
      <c r="B1777" s="1582"/>
      <c r="C1777" s="1273"/>
      <c r="D1777" s="1284"/>
      <c r="E1777" s="1638" t="s">
        <v>2342</v>
      </c>
      <c r="F1777" s="1273"/>
      <c r="G1777" s="1293"/>
      <c r="H1777" s="1353">
        <f t="shared" si="70"/>
        <v>0</v>
      </c>
      <c r="I1777" s="1277"/>
      <c r="J1777" s="1277"/>
      <c r="K1777" s="1278"/>
      <c r="L1777" s="1125">
        <v>400</v>
      </c>
    </row>
    <row r="1778" spans="1:12" s="1279" customFormat="1" ht="20.100000000000001" customHeight="1">
      <c r="A1778" s="1377">
        <f t="shared" si="69"/>
        <v>0</v>
      </c>
      <c r="B1778" s="1582" t="s">
        <v>1541</v>
      </c>
      <c r="C1778" s="1286"/>
      <c r="D1778" s="1274" t="str">
        <f>VLOOKUP($B1778,DG!A:D,DG!$B$2,)</f>
        <v>04.8003</v>
      </c>
      <c r="E1778" s="1275" t="str">
        <f>VLOOKUP($B1778,DG!A:D,DG!$C$2,)</f>
        <v xml:space="preserve">Ống PVC D90x3,8mm </v>
      </c>
      <c r="F1778" s="1274" t="str">
        <f>VLOOKUP($B1778,DG!A:D,DG!$D$2,)</f>
        <v>m</v>
      </c>
      <c r="G1778" s="1287">
        <f>G1776*2</f>
        <v>0</v>
      </c>
      <c r="H1778" s="1353">
        <f t="shared" si="70"/>
        <v>0</v>
      </c>
      <c r="I1778" s="1277"/>
      <c r="J1778" s="1277"/>
      <c r="K1778" s="1278"/>
      <c r="L1778" s="1125">
        <v>400</v>
      </c>
    </row>
    <row r="1779" spans="1:12" s="1279" customFormat="1" ht="20.100000000000001" customHeight="1">
      <c r="A1779" s="1377">
        <f t="shared" si="69"/>
        <v>0</v>
      </c>
      <c r="B1779" s="1582" t="s">
        <v>86</v>
      </c>
      <c r="C1779" s="1286"/>
      <c r="D1779" s="1274">
        <f>VLOOKUP($B1779,DG!A:D,DG!$B$2,)</f>
        <v>0</v>
      </c>
      <c r="E1779" s="1275" t="str">
        <f>VLOOKUP($B1779,DG!A:D,DG!$C$2,)</f>
        <v>Co  90 độ PVC 90</v>
      </c>
      <c r="F1779" s="1274" t="str">
        <f>VLOOKUP($B1779,DG!A:D,DG!$D$2,)</f>
        <v>cái</v>
      </c>
      <c r="G1779" s="1287">
        <f>G1776</f>
        <v>0</v>
      </c>
      <c r="H1779" s="1353">
        <f t="shared" si="70"/>
        <v>0</v>
      </c>
      <c r="I1779" s="1277"/>
      <c r="J1779" s="1277"/>
      <c r="K1779" s="1278"/>
      <c r="L1779" s="1125">
        <v>400</v>
      </c>
    </row>
    <row r="1780" spans="1:12" s="1279" customFormat="1" ht="20.100000000000001" customHeight="1">
      <c r="A1780" s="1377">
        <f t="shared" si="69"/>
        <v>0</v>
      </c>
      <c r="B1780" s="1582" t="s">
        <v>948</v>
      </c>
      <c r="C1780" s="1286"/>
      <c r="D1780" s="1274">
        <f>VLOOKUP($B1780,DG!A:D,DG!$B$2,)</f>
        <v>0</v>
      </c>
      <c r="E1780" s="1275" t="str">
        <f>VLOOKUP($B1780,DG!A:D,DG!$C$2,)</f>
        <v>Khâu ven răng trong D90</v>
      </c>
      <c r="F1780" s="1274" t="str">
        <f>VLOOKUP($B1780,DG!A:D,DG!$D$2,)</f>
        <v>cái</v>
      </c>
      <c r="G1780" s="1287">
        <f>G1776*2</f>
        <v>0</v>
      </c>
      <c r="H1780" s="1353">
        <f t="shared" si="70"/>
        <v>0</v>
      </c>
      <c r="I1780" s="1277"/>
      <c r="J1780" s="1277"/>
      <c r="K1780" s="1278"/>
      <c r="L1780" s="1125">
        <v>400</v>
      </c>
    </row>
    <row r="1781" spans="1:12" s="1279" customFormat="1" ht="20.100000000000001" customHeight="1">
      <c r="A1781" s="1377">
        <f t="shared" si="69"/>
        <v>0</v>
      </c>
      <c r="B1781" s="1582" t="s">
        <v>947</v>
      </c>
      <c r="C1781" s="1286"/>
      <c r="D1781" s="1274">
        <f>VLOOKUP($B1781,DG!A:D,DG!$B$2,)</f>
        <v>0</v>
      </c>
      <c r="E1781" s="1275" t="str">
        <f>VLOOKUP($B1781,DG!A:D,DG!$C$2,)</f>
        <v>Khâu ven răng ngoài D90</v>
      </c>
      <c r="F1781" s="1274" t="str">
        <f>VLOOKUP($B1781,DG!A:D,DG!$D$2,)</f>
        <v>cái</v>
      </c>
      <c r="G1781" s="1287">
        <f>G1780</f>
        <v>0</v>
      </c>
      <c r="H1781" s="1353">
        <f t="shared" si="70"/>
        <v>0</v>
      </c>
      <c r="I1781" s="1277"/>
      <c r="J1781" s="1277"/>
      <c r="K1781" s="1278"/>
      <c r="L1781" s="1125">
        <v>400</v>
      </c>
    </row>
    <row r="1782" spans="1:12" s="1279" customFormat="1" ht="20.100000000000001" customHeight="1">
      <c r="A1782" s="1377">
        <f t="shared" si="69"/>
        <v>0</v>
      </c>
      <c r="B1782" s="1378"/>
      <c r="C1782" s="1280">
        <f>IF(G1782&gt;0,C1776+1,C1776)</f>
        <v>0</v>
      </c>
      <c r="D1782" s="1281"/>
      <c r="E1782" s="1292" t="s">
        <v>3827</v>
      </c>
      <c r="F1782" s="1280" t="s">
        <v>2449</v>
      </c>
      <c r="G1782" s="1351">
        <f>G1723</f>
        <v>0</v>
      </c>
      <c r="H1782" s="1353">
        <f t="shared" si="70"/>
        <v>0</v>
      </c>
      <c r="I1782" s="1277"/>
      <c r="J1782" s="1277"/>
      <c r="K1782" s="1312"/>
      <c r="L1782" s="1125">
        <v>400</v>
      </c>
    </row>
    <row r="1783" spans="1:12" s="1279" customFormat="1" ht="20.100000000000001" customHeight="1">
      <c r="A1783" s="1377">
        <f>IF(A1782&gt;0,1,0)</f>
        <v>0</v>
      </c>
      <c r="B1783" s="1378"/>
      <c r="C1783" s="1273"/>
      <c r="D1783" s="1284"/>
      <c r="E1783" s="1638" t="s">
        <v>2342</v>
      </c>
      <c r="F1783" s="1273"/>
      <c r="G1783" s="1287"/>
      <c r="H1783" s="1353">
        <f t="shared" si="70"/>
        <v>0</v>
      </c>
      <c r="I1783" s="1277"/>
      <c r="J1783" s="1277"/>
      <c r="K1783" s="1312"/>
      <c r="L1783" s="1125">
        <v>400</v>
      </c>
    </row>
    <row r="1784" spans="1:12" s="1279" customFormat="1" ht="20.100000000000001" customHeight="1">
      <c r="A1784" s="1377">
        <f t="shared" si="69"/>
        <v>0</v>
      </c>
      <c r="B1784" s="1625" t="s">
        <v>613</v>
      </c>
      <c r="C1784" s="1286"/>
      <c r="D1784" s="1274">
        <f>VLOOKUP($B1784,DG!A:D,DG!$B$2,)</f>
        <v>0</v>
      </c>
      <c r="E1784" s="1275" t="str">
        <f>VLOOKUP($B1784,DG!A:D,DG!$C$2,)&amp;":  "&amp;2&amp;" x 9m/pha "</f>
        <v xml:space="preserve">Cáp đồng bọc CV200:  2 x 9m/pha </v>
      </c>
      <c r="F1784" s="1274" t="str">
        <f>VLOOKUP($B1784,DG!A:D,DG!$D$2,)</f>
        <v>mét</v>
      </c>
      <c r="G1784" s="1348">
        <f>9*3*G1782*2</f>
        <v>0</v>
      </c>
      <c r="H1784" s="1353">
        <f t="shared" si="70"/>
        <v>0</v>
      </c>
      <c r="I1784" s="1277"/>
      <c r="J1784" s="1277"/>
      <c r="K1784" s="1312"/>
      <c r="L1784" s="1125">
        <v>400</v>
      </c>
    </row>
    <row r="1785" spans="1:12" s="1279" customFormat="1" ht="20.100000000000001" customHeight="1">
      <c r="A1785" s="1377">
        <f t="shared" si="69"/>
        <v>0</v>
      </c>
      <c r="B1785" s="1625" t="s">
        <v>613</v>
      </c>
      <c r="C1785" s="1286"/>
      <c r="D1785" s="1274">
        <f>VLOOKUP($B1785,DG!A:D,DG!$B$2,)</f>
        <v>0</v>
      </c>
      <c r="E1785" s="1275" t="e">
        <f>VLOOKUP($B1785,DG!A:D,DG!$C$2,)&amp;":  "&amp;#REF!&amp;" x 9m/trung tính "</f>
        <v>#REF!</v>
      </c>
      <c r="F1785" s="1274" t="str">
        <f>VLOOKUP($B1785,DG!A:D,DG!$D$2,)</f>
        <v>mét</v>
      </c>
      <c r="G1785" s="1348">
        <f>9*G1782</f>
        <v>0</v>
      </c>
      <c r="H1785" s="1353">
        <f t="shared" si="70"/>
        <v>0</v>
      </c>
      <c r="I1785" s="1277"/>
      <c r="J1785" s="1277"/>
      <c r="K1785" s="1312"/>
      <c r="L1785" s="1125">
        <v>400</v>
      </c>
    </row>
    <row r="1786" spans="1:12" s="1279" customFormat="1" ht="20.100000000000001" customHeight="1">
      <c r="A1786" s="1377">
        <f t="shared" si="69"/>
        <v>0</v>
      </c>
      <c r="B1786" s="1582" t="s">
        <v>450</v>
      </c>
      <c r="C1786" s="1286"/>
      <c r="D1786" s="1274" t="str">
        <f>VLOOKUP($B1786,DG!A:D,DG!$B$2,)</f>
        <v>03.4008</v>
      </c>
      <c r="E1786" s="1275" t="str">
        <f>VLOOKUP($B1786,DG!A:D,DG!$C$2,)&amp;": "</f>
        <v xml:space="preserve">Đầu cosse ép Cu 200mm2: </v>
      </c>
      <c r="F1786" s="1274" t="str">
        <f>VLOOKUP($B1786,DG!A:D,DG!$D$2,)</f>
        <v>cái</v>
      </c>
      <c r="G1786" s="1287">
        <f>G1782*2*7</f>
        <v>0</v>
      </c>
      <c r="H1786" s="1353">
        <f t="shared" si="70"/>
        <v>0</v>
      </c>
      <c r="I1786" s="1277"/>
      <c r="J1786" s="1277"/>
      <c r="K1786" s="1312"/>
      <c r="L1786" s="1125">
        <v>400</v>
      </c>
    </row>
    <row r="1787" spans="1:12" s="1279" customFormat="1" ht="20.100000000000001" customHeight="1">
      <c r="A1787" s="1377">
        <f t="shared" si="69"/>
        <v>0</v>
      </c>
      <c r="B1787" s="1582" t="s">
        <v>615</v>
      </c>
      <c r="C1787" s="1286"/>
      <c r="D1787" s="1274">
        <f>VLOOKUP($B1787,DG!A:D,DG!$B$2,)</f>
        <v>0</v>
      </c>
      <c r="E1787" s="1275" t="str">
        <f>VLOOKUP($B1787,DG!A:D,DG!$C$2,)&amp;": "</f>
        <v xml:space="preserve">Chụp đầu cosse  200mm2: </v>
      </c>
      <c r="F1787" s="1274" t="str">
        <f>VLOOKUP($B1787,DG!A:D,DG!$D$2,)</f>
        <v>cái</v>
      </c>
      <c r="G1787" s="1287">
        <f>G1786</f>
        <v>0</v>
      </c>
      <c r="H1787" s="1353">
        <f t="shared" si="70"/>
        <v>0</v>
      </c>
      <c r="I1787" s="1277"/>
      <c r="J1787" s="1277"/>
      <c r="K1787" s="1312"/>
      <c r="L1787" s="1125">
        <v>400</v>
      </c>
    </row>
    <row r="1788" spans="1:12" s="1279" customFormat="1" ht="20.100000000000001" customHeight="1">
      <c r="A1788" s="1377">
        <f t="shared" si="69"/>
        <v>0</v>
      </c>
      <c r="B1788" s="1582" t="s">
        <v>1072</v>
      </c>
      <c r="C1788" s="1286"/>
      <c r="D1788" s="1274">
        <f>VLOOKUP($B1788,DG!A:D,DG!$B$2,)</f>
        <v>0</v>
      </c>
      <c r="E1788" s="1275" t="str">
        <f>VLOOKUP($B1788,DG!A:D,DG!$C$2,)</f>
        <v xml:space="preserve">Ống PVC D114x4,9mm </v>
      </c>
      <c r="F1788" s="1274" t="str">
        <f>VLOOKUP($B1788,DG!A:D,DG!$D$2,)</f>
        <v>m</v>
      </c>
      <c r="G1788" s="1348"/>
      <c r="H1788" s="1353">
        <f t="shared" si="70"/>
        <v>0</v>
      </c>
      <c r="I1788" s="1277"/>
      <c r="J1788" s="1277"/>
      <c r="K1788" s="1312"/>
      <c r="L1788" s="1125">
        <v>400</v>
      </c>
    </row>
    <row r="1789" spans="1:12" s="1279" customFormat="1" ht="20.100000000000001" customHeight="1">
      <c r="A1789" s="1377">
        <f t="shared" si="69"/>
        <v>0</v>
      </c>
      <c r="B1789" s="1378" t="s">
        <v>739</v>
      </c>
      <c r="C1789" s="1286"/>
      <c r="D1789" s="1274" t="str">
        <f>VLOOKUP($B1789,DG!A:D,DG!$B$2,)</f>
        <v>06.3231</v>
      </c>
      <c r="E1789" s="1275" t="str">
        <f>VLOOKUP($B1789,DG!A:D,DG!$C$2,)&amp;": CD-250"</f>
        <v>Cổ dê kẹp ống PVC Ø 114: CD-250</v>
      </c>
      <c r="F1789" s="1274" t="s">
        <v>2503</v>
      </c>
      <c r="G1789" s="1287">
        <f>G1782*1</f>
        <v>0</v>
      </c>
      <c r="H1789" s="1353">
        <f t="shared" si="70"/>
        <v>0</v>
      </c>
      <c r="I1789" s="1277"/>
      <c r="J1789" s="1277"/>
      <c r="K1789" s="1312"/>
      <c r="L1789" s="1125">
        <v>400</v>
      </c>
    </row>
    <row r="1790" spans="1:12" s="1279" customFormat="1" ht="20.100000000000001" customHeight="1">
      <c r="A1790" s="1377">
        <f t="shared" si="69"/>
        <v>0</v>
      </c>
      <c r="B1790" s="1378" t="s">
        <v>739</v>
      </c>
      <c r="C1790" s="1286"/>
      <c r="D1790" s="1274" t="str">
        <f>VLOOKUP($B1790,DG!A:D,DG!$B$2,)</f>
        <v>06.3231</v>
      </c>
      <c r="E1790" s="1275" t="str">
        <f>VLOOKUP($B1790,DG!A:D,DG!$C$2,)&amp;": CD-280"</f>
        <v>Cổ dê kẹp ống PVC Ø 114: CD-280</v>
      </c>
      <c r="F1790" s="1274" t="s">
        <v>2503</v>
      </c>
      <c r="G1790" s="1287">
        <f>G1782*1</f>
        <v>0</v>
      </c>
      <c r="H1790" s="1353">
        <f t="shared" si="70"/>
        <v>0</v>
      </c>
      <c r="I1790" s="1277"/>
      <c r="J1790" s="1277"/>
      <c r="K1790" s="1312"/>
      <c r="L1790" s="1125">
        <v>400</v>
      </c>
    </row>
    <row r="1791" spans="1:12" s="1279" customFormat="1" ht="20.100000000000001" customHeight="1">
      <c r="A1791" s="1377">
        <f t="shared" si="69"/>
        <v>0</v>
      </c>
      <c r="B1791" s="1378" t="s">
        <v>739</v>
      </c>
      <c r="C1791" s="1286"/>
      <c r="D1791" s="1274" t="str">
        <f>VLOOKUP($B1791,DG!A:D,DG!$B$2,)</f>
        <v>06.3231</v>
      </c>
      <c r="E1791" s="1275" t="str">
        <f>VLOOKUP($B1791,DG!A:D,DG!$C$2,)&amp;": CD-320"</f>
        <v>Cổ dê kẹp ống PVC Ø 114: CD-320</v>
      </c>
      <c r="F1791" s="1274" t="s">
        <v>2503</v>
      </c>
      <c r="G1791" s="1287">
        <f>G1782*1</f>
        <v>0</v>
      </c>
      <c r="H1791" s="1353">
        <f t="shared" si="70"/>
        <v>0</v>
      </c>
      <c r="I1791" s="1277"/>
      <c r="J1791" s="1277"/>
      <c r="K1791" s="1312"/>
      <c r="L1791" s="1125">
        <v>400</v>
      </c>
    </row>
    <row r="1792" spans="1:12" s="1279" customFormat="1" ht="20.100000000000001" customHeight="1">
      <c r="A1792" s="1377">
        <f t="shared" si="69"/>
        <v>0</v>
      </c>
      <c r="B1792" s="1629" t="s">
        <v>382</v>
      </c>
      <c r="C1792" s="1286"/>
      <c r="D1792" s="1274">
        <f>VLOOKUP($B1792,DG!A:D,DG!$B$2,)</f>
        <v>0</v>
      </c>
      <c r="E1792" s="1275" t="str">
        <f>VLOOKUP($B1792,DG!A:D,DG!$C$2,)&amp;": CD-320"</f>
        <v>Chụp đầu cực FCO (bộ 2 cái): CD-320</v>
      </c>
      <c r="F1792" s="1274" t="s">
        <v>2503</v>
      </c>
      <c r="G1792" s="1287"/>
      <c r="H1792" s="1353">
        <f t="shared" si="70"/>
        <v>0</v>
      </c>
      <c r="I1792" s="1277"/>
      <c r="J1792" s="1277"/>
      <c r="K1792" s="1312"/>
      <c r="L1792" s="1125">
        <v>400</v>
      </c>
    </row>
    <row r="1793" spans="1:12" s="1279" customFormat="1" ht="20.100000000000001" customHeight="1">
      <c r="A1793" s="1377">
        <f t="shared" si="69"/>
        <v>0</v>
      </c>
      <c r="B1793" s="1629" t="s">
        <v>380</v>
      </c>
      <c r="C1793" s="1286"/>
      <c r="D1793" s="1274">
        <f>VLOOKUP($B1793,DG!A:D,DG!$B$2,)</f>
        <v>0</v>
      </c>
      <c r="E1793" s="1275" t="str">
        <f>VLOOKUP($B1793,DG!A:D,DG!$C$2,)&amp;": CD-320"</f>
        <v>Chụp đầu cực LA: CD-320</v>
      </c>
      <c r="F1793" s="1274" t="s">
        <v>2503</v>
      </c>
      <c r="G1793" s="1287"/>
      <c r="H1793" s="1353">
        <f t="shared" si="70"/>
        <v>0</v>
      </c>
      <c r="I1793" s="1277"/>
      <c r="J1793" s="1277"/>
      <c r="K1793" s="1312"/>
      <c r="L1793" s="1125">
        <v>400</v>
      </c>
    </row>
    <row r="1794" spans="1:12" s="1279" customFormat="1" ht="20.100000000000001" customHeight="1">
      <c r="A1794" s="1377">
        <f t="shared" si="69"/>
        <v>0</v>
      </c>
      <c r="B1794" s="1629" t="s">
        <v>381</v>
      </c>
      <c r="C1794" s="1286"/>
      <c r="D1794" s="1274">
        <f>VLOOKUP($B1794,DG!A:D,DG!$B$2,)</f>
        <v>0</v>
      </c>
      <c r="E1794" s="1275" t="str">
        <f>VLOOKUP($B1794,DG!A:D,DG!$C$2,)&amp;": CD-320"</f>
        <v>Chụp đầu MBA: CD-320</v>
      </c>
      <c r="F1794" s="1274" t="s">
        <v>2503</v>
      </c>
      <c r="G1794" s="1287"/>
      <c r="H1794" s="1353">
        <f t="shared" si="70"/>
        <v>0</v>
      </c>
      <c r="I1794" s="1277"/>
      <c r="J1794" s="1277"/>
      <c r="K1794" s="1312"/>
      <c r="L1794" s="1125">
        <v>400</v>
      </c>
    </row>
    <row r="1795" spans="1:12" s="1279" customFormat="1" ht="20.100000000000001" customHeight="1">
      <c r="A1795" s="1377">
        <f t="shared" si="69"/>
        <v>0</v>
      </c>
      <c r="B1795" s="1378" t="s">
        <v>1161</v>
      </c>
      <c r="C1795" s="1286"/>
      <c r="D1795" s="1274" t="str">
        <f>VLOOKUP($B1795,DG!A:D,DG!$B$2,)</f>
        <v>06.2110</v>
      </c>
      <c r="E1795" s="1275" t="str">
        <f>VLOOKUP($B1795,DG!A:D,DG!$C$2,)</f>
        <v>Lắp cổ dề</v>
      </c>
      <c r="F1795" s="1274" t="str">
        <f>VLOOKUP($B1795,DG!A:D,DG!$D$2,)</f>
        <v>bộ</v>
      </c>
      <c r="G1795" s="1287">
        <f>G1782*3</f>
        <v>0</v>
      </c>
      <c r="H1795" s="1353">
        <f t="shared" si="70"/>
        <v>0</v>
      </c>
      <c r="I1795" s="1277"/>
      <c r="J1795" s="1277"/>
      <c r="K1795" s="1312"/>
      <c r="L1795" s="1125">
        <v>400</v>
      </c>
    </row>
    <row r="1796" spans="1:12" s="1279" customFormat="1" ht="20.100000000000001" customHeight="1">
      <c r="A1796" s="1377">
        <f t="shared" si="69"/>
        <v>0</v>
      </c>
      <c r="B1796" s="1582" t="s">
        <v>2229</v>
      </c>
      <c r="C1796" s="1286"/>
      <c r="D1796" s="1274">
        <f>VLOOKUP($B1796,DG!A:D,DG!$B$2,)</f>
        <v>0</v>
      </c>
      <c r="E1796" s="1275" t="str">
        <f>VLOOKUP($B1796,DG!A:D,DG!$C$2,)</f>
        <v>Khâu ven răng trong D114</v>
      </c>
      <c r="F1796" s="1274" t="str">
        <f>VLOOKUP($B1796,DG!A:D,DG!$D$2,)</f>
        <v>cái</v>
      </c>
      <c r="G1796" s="1287">
        <f>G1782*2</f>
        <v>0</v>
      </c>
      <c r="H1796" s="1353">
        <f t="shared" si="70"/>
        <v>0</v>
      </c>
      <c r="I1796" s="1277"/>
      <c r="J1796" s="1277"/>
      <c r="K1796" s="1312"/>
      <c r="L1796" s="1125">
        <v>400</v>
      </c>
    </row>
    <row r="1797" spans="1:12" s="1279" customFormat="1" ht="20.100000000000001" customHeight="1">
      <c r="A1797" s="1377">
        <f t="shared" si="69"/>
        <v>0</v>
      </c>
      <c r="B1797" s="1582" t="s">
        <v>2230</v>
      </c>
      <c r="C1797" s="1286"/>
      <c r="D1797" s="1274">
        <f>VLOOKUP($B1797,DG!A:D,DG!$B$2,)</f>
        <v>0</v>
      </c>
      <c r="E1797" s="1275" t="str">
        <f>VLOOKUP($B1797,DG!A:D,DG!$C$2,)&amp;": "</f>
        <v xml:space="preserve">Khâu ven răng ngoài D114: </v>
      </c>
      <c r="F1797" s="1274" t="str">
        <f>VLOOKUP($B1797,DG!A:D,DG!$D$2,)</f>
        <v>cái</v>
      </c>
      <c r="G1797" s="1287">
        <f>G1796</f>
        <v>0</v>
      </c>
      <c r="H1797" s="1353">
        <f t="shared" si="70"/>
        <v>0</v>
      </c>
      <c r="I1797" s="1277"/>
      <c r="J1797" s="1277"/>
      <c r="K1797" s="1312"/>
      <c r="L1797" s="1125">
        <v>400</v>
      </c>
    </row>
    <row r="1798" spans="1:12" s="1279" customFormat="1" ht="20.100000000000001" customHeight="1">
      <c r="A1798" s="1377">
        <f t="shared" si="69"/>
        <v>0</v>
      </c>
      <c r="B1798" s="1582" t="s">
        <v>2136</v>
      </c>
      <c r="C1798" s="1286"/>
      <c r="D1798" s="1274">
        <f>VLOOKUP($B1798,DG!A:D,DG!$B$2,)</f>
        <v>0</v>
      </c>
      <c r="E1798" s="1275" t="str">
        <f>VLOOKUP($B1798,DG!A:D,DG!$C$2,)&amp;": "</f>
        <v xml:space="preserve">Keo dán ống PVC (100gr): </v>
      </c>
      <c r="F1798" s="1274" t="str">
        <f>VLOOKUP($B1798,DG!A:D,DG!$D$2,)</f>
        <v>tuýp</v>
      </c>
      <c r="G1798" s="1287">
        <f>G1782</f>
        <v>0</v>
      </c>
      <c r="H1798" s="1353">
        <f t="shared" si="70"/>
        <v>0</v>
      </c>
      <c r="I1798" s="1277"/>
      <c r="J1798" s="1277"/>
      <c r="K1798" s="1312"/>
      <c r="L1798" s="1125">
        <v>400</v>
      </c>
    </row>
    <row r="1799" spans="1:12" s="1279" customFormat="1" ht="20.100000000000001" customHeight="1">
      <c r="A1799" s="1377">
        <f t="shared" si="69"/>
        <v>0</v>
      </c>
      <c r="B1799" s="1378" t="s">
        <v>6</v>
      </c>
      <c r="C1799" s="1286"/>
      <c r="D1799" s="1274"/>
      <c r="E1799" s="1275" t="str">
        <f>VLOOKUP($B1799,DG!A:D,DG!$C$2,)&amp;":"</f>
        <v>Keo silicon bít miệng ống:</v>
      </c>
      <c r="F1799" s="1274" t="str">
        <f>VLOOKUP($B1799,DG!A:D,DG!$D$2,)</f>
        <v>ống</v>
      </c>
      <c r="G1799" s="1287">
        <f>G1798</f>
        <v>0</v>
      </c>
      <c r="H1799" s="1353">
        <f t="shared" si="70"/>
        <v>0</v>
      </c>
      <c r="I1799" s="1277"/>
      <c r="J1799" s="1277"/>
      <c r="K1799" s="1278"/>
      <c r="L1799" s="1125">
        <v>400</v>
      </c>
    </row>
    <row r="1800" spans="1:12" s="1279" customFormat="1" ht="20.100000000000001" customHeight="1">
      <c r="A1800" s="1377">
        <f t="shared" si="69"/>
        <v>0</v>
      </c>
      <c r="B1800" s="1378" t="s">
        <v>677</v>
      </c>
      <c r="C1800" s="1286"/>
      <c r="D1800" s="1274">
        <f>VLOOKUP($B1800,DG!A:D,DG!$B$2,)</f>
        <v>0</v>
      </c>
      <c r="E1800" s="1275" t="str">
        <f>VLOOKUP($B1800,DG!A:D,DG!$C$2,)&amp;":"</f>
        <v>Băng keo cách điện:</v>
      </c>
      <c r="F1800" s="1274" t="str">
        <f>VLOOKUP($B1800,DG!A:D,DG!$D$2,)</f>
        <v>cuộn</v>
      </c>
      <c r="G1800" s="1287">
        <f>G1799</f>
        <v>0</v>
      </c>
      <c r="H1800" s="1353">
        <f t="shared" si="70"/>
        <v>0</v>
      </c>
      <c r="I1800" s="1277"/>
      <c r="J1800" s="1277"/>
      <c r="K1800" s="1312"/>
      <c r="L1800" s="1125">
        <v>400</v>
      </c>
    </row>
    <row r="1801" spans="1:12" s="1279" customFormat="1" ht="20.100000000000001" customHeight="1">
      <c r="A1801" s="1377">
        <f t="shared" si="69"/>
        <v>0</v>
      </c>
      <c r="B1801" s="1378" t="s">
        <v>248</v>
      </c>
      <c r="C1801" s="1286"/>
      <c r="D1801" s="1274" t="str">
        <f>VLOOKUP($B1801,DG!A:D,DG!$B$2,)</f>
        <v>04.4203</v>
      </c>
      <c r="E1801" s="1275" t="str">
        <f>VLOOKUP($B1801,DG!A:D,DG!$C$2,)&amp;":"</f>
        <v>Lắp cáp đồng xuống thiết bị D &gt; 150mm2:</v>
      </c>
      <c r="F1801" s="1274" t="str">
        <f>VLOOKUP($B1801,DG!A:D,DG!$D$2,)</f>
        <v>m</v>
      </c>
      <c r="G1801" s="1287">
        <f>G1784+G1785</f>
        <v>0</v>
      </c>
      <c r="H1801" s="1353">
        <f t="shared" si="70"/>
        <v>0</v>
      </c>
      <c r="I1801" s="1277"/>
      <c r="J1801" s="1277"/>
      <c r="K1801" s="1312"/>
      <c r="L1801" s="1125">
        <v>400</v>
      </c>
    </row>
    <row r="1802" spans="1:12" s="1279" customFormat="1" ht="20.100000000000001" customHeight="1">
      <c r="A1802" s="1377">
        <f t="shared" si="69"/>
        <v>0</v>
      </c>
      <c r="B1802" s="1378"/>
      <c r="C1802" s="1280">
        <f>IF(G1802&gt;0,C1782+1,C1782)</f>
        <v>0</v>
      </c>
      <c r="D1802" s="1281"/>
      <c r="E1802" s="1292" t="s">
        <v>3828</v>
      </c>
      <c r="F1802" s="1280" t="s">
        <v>2449</v>
      </c>
      <c r="G1802" s="1351"/>
      <c r="H1802" s="1353">
        <f t="shared" si="70"/>
        <v>0</v>
      </c>
      <c r="I1802" s="1277"/>
      <c r="J1802" s="1277"/>
      <c r="K1802" s="1312"/>
      <c r="L1802" s="1125">
        <v>400</v>
      </c>
    </row>
    <row r="1803" spans="1:12" s="1352" customFormat="1" ht="20.100000000000001" customHeight="1">
      <c r="A1803" s="1377">
        <f>IF(A1802&gt;0,1,0)</f>
        <v>0</v>
      </c>
      <c r="B1803" s="1626"/>
      <c r="C1803" s="1273"/>
      <c r="D1803" s="1284"/>
      <c r="E1803" s="1638" t="s">
        <v>2342</v>
      </c>
      <c r="F1803" s="1273"/>
      <c r="G1803" s="1293"/>
      <c r="H1803" s="1353">
        <f t="shared" si="70"/>
        <v>0</v>
      </c>
      <c r="I1803" s="1277"/>
      <c r="J1803" s="1277"/>
      <c r="K1803" s="1312"/>
      <c r="L1803" s="1125">
        <v>400</v>
      </c>
    </row>
    <row r="1804" spans="1:12" s="1279" customFormat="1" ht="20.100000000000001" customHeight="1">
      <c r="A1804" s="1377">
        <f t="shared" si="69"/>
        <v>0</v>
      </c>
      <c r="B1804" s="1582" t="s">
        <v>1875</v>
      </c>
      <c r="C1804" s="1312"/>
      <c r="D1804" s="1274" t="str">
        <f>VLOOKUP($B1804,DG!A:D,DG!$B$2,)</f>
        <v>03.1401</v>
      </c>
      <c r="E1804" s="1310" t="str">
        <f>VLOOKUP($B1804,DG!A:D,DG!$C$2,)</f>
        <v xml:space="preserve">Cáp CVV 4x2,5mm2  </v>
      </c>
      <c r="F1804" s="1353" t="str">
        <f>VLOOKUP($B1804,DG!A:D,DG!$D$2,)</f>
        <v>mét</v>
      </c>
      <c r="G1804" s="1287">
        <f>G1802*26</f>
        <v>0</v>
      </c>
      <c r="H1804" s="1353">
        <f t="shared" si="70"/>
        <v>0</v>
      </c>
      <c r="I1804" s="1342"/>
      <c r="J1804" s="1342"/>
      <c r="K1804" s="1312"/>
      <c r="L1804" s="1125">
        <v>400</v>
      </c>
    </row>
    <row r="1805" spans="1:12" s="1279" customFormat="1" ht="20.100000000000001" customHeight="1">
      <c r="A1805" s="1377">
        <f t="shared" si="69"/>
        <v>0</v>
      </c>
      <c r="B1805" s="1582" t="s">
        <v>247</v>
      </c>
      <c r="C1805" s="1312"/>
      <c r="D1805" s="1274" t="str">
        <f>VLOOKUP($B1805,DG!A:D,DG!$B$2,)</f>
        <v>05.6101</v>
      </c>
      <c r="E1805" s="1310" t="str">
        <f>VLOOKUP($B1805,DG!A:D,DG!$C$2,)</f>
        <v>Xà kẹp TU, TI U50x32x4 350</v>
      </c>
      <c r="F1805" s="1353" t="str">
        <f>VLOOKUP($B1805,DG!A:D,DG!$D$2,)</f>
        <v>Bộ</v>
      </c>
      <c r="G1805" s="1287">
        <f>G1802*24</f>
        <v>0</v>
      </c>
      <c r="H1805" s="1353">
        <f t="shared" si="70"/>
        <v>0</v>
      </c>
      <c r="I1805" s="1342"/>
      <c r="J1805" s="1342"/>
      <c r="K1805" s="1312"/>
      <c r="L1805" s="1125">
        <v>400</v>
      </c>
    </row>
    <row r="1806" spans="1:12" s="1279" customFormat="1" ht="20.100000000000001" customHeight="1">
      <c r="A1806" s="1377">
        <f t="shared" si="69"/>
        <v>0</v>
      </c>
      <c r="B1806" s="1582" t="s">
        <v>2048</v>
      </c>
      <c r="C1806" s="1312"/>
      <c r="D1806" s="1274" t="str">
        <f>VLOOKUP($B1806,DG!A:D,DG!$B$2,)</f>
        <v>05.6401</v>
      </c>
      <c r="E1806" s="1310" t="str">
        <f>VLOOKUP($B1806,DG!A:D,DG!$C$2,)</f>
        <v>Lắp xà đỡ ≤ 25kg</v>
      </c>
      <c r="F1806" s="1353" t="str">
        <f>VLOOKUP($B1806,DG!A:D,DG!$D$2,)</f>
        <v>bộ</v>
      </c>
      <c r="G1806" s="1287">
        <f>G1802</f>
        <v>0</v>
      </c>
      <c r="H1806" s="1353">
        <f t="shared" si="70"/>
        <v>0</v>
      </c>
      <c r="I1806" s="1342"/>
      <c r="J1806" s="1342"/>
      <c r="K1806" s="1312"/>
      <c r="L1806" s="1125">
        <v>400</v>
      </c>
    </row>
    <row r="1807" spans="1:12" s="1279" customFormat="1" ht="20.100000000000001" customHeight="1">
      <c r="A1807" s="1377">
        <f t="shared" si="69"/>
        <v>0</v>
      </c>
      <c r="B1807" s="1582" t="s">
        <v>1918</v>
      </c>
      <c r="C1807" s="1286"/>
      <c r="D1807" s="1274" t="str">
        <f>VLOOKUP($B1807,DG!A:D,DG!$B$2,)</f>
        <v>03.4001</v>
      </c>
      <c r="E1807" s="1310" t="str">
        <f>VLOOKUP($B1807,DG!A:D,DG!$C$2,)</f>
        <v xml:space="preserve">Đầu cosse ép Cu 2,5mm2 + bao PVC </v>
      </c>
      <c r="F1807" s="1353" t="str">
        <f>VLOOKUP($B1807,DG!A:D,DG!$D$2,)</f>
        <v>cái</v>
      </c>
      <c r="G1807" s="1287">
        <f>G1802*16</f>
        <v>0</v>
      </c>
      <c r="H1807" s="1353">
        <f t="shared" si="70"/>
        <v>0</v>
      </c>
      <c r="I1807" s="1342"/>
      <c r="J1807" s="1342"/>
      <c r="K1807" s="1312"/>
      <c r="L1807" s="1125">
        <v>400</v>
      </c>
    </row>
    <row r="1808" spans="1:12" s="1279" customFormat="1" ht="20.100000000000001" customHeight="1">
      <c r="A1808" s="1377">
        <f t="shared" si="69"/>
        <v>0</v>
      </c>
      <c r="B1808" s="1582" t="s">
        <v>1562</v>
      </c>
      <c r="C1808" s="1286"/>
      <c r="D1808" s="1274">
        <f>VLOOKUP($B1808,DG!A:D,DG!$B$2,)</f>
        <v>0</v>
      </c>
      <c r="E1808" s="1310" t="str">
        <f>VLOOKUP($B1808,DG!A:D,DG!$C$2,)</f>
        <v>Dây điện đôi 16/10</v>
      </c>
      <c r="F1808" s="1353" t="str">
        <f>VLOOKUP($B1808,DG!A:D,DG!$D$2,)</f>
        <v>mét</v>
      </c>
      <c r="G1808" s="1287">
        <f>2*G1802</f>
        <v>0</v>
      </c>
      <c r="H1808" s="1353">
        <f t="shared" si="70"/>
        <v>0</v>
      </c>
      <c r="I1808" s="1342"/>
      <c r="J1808" s="1342"/>
      <c r="K1808" s="1312"/>
      <c r="L1808" s="1125">
        <v>400</v>
      </c>
    </row>
    <row r="1809" spans="1:12" s="1279" customFormat="1" ht="20.100000000000001" customHeight="1">
      <c r="A1809" s="1377">
        <f t="shared" si="69"/>
        <v>0</v>
      </c>
      <c r="B1809" s="1582" t="s">
        <v>1144</v>
      </c>
      <c r="C1809" s="1286"/>
      <c r="D1809" s="1274">
        <f>VLOOKUP($B1809,DG!A:D,DG!$B$2,)</f>
        <v>0</v>
      </c>
      <c r="E1809" s="1310" t="str">
        <f>VLOOKUP($B1809,DG!A:D,DG!$C$2,)&amp;" (ñaáu TU )"</f>
        <v>Kẹp ép cỡ dây 25mm2 (ñaáu TU )</v>
      </c>
      <c r="F1809" s="1353" t="str">
        <f>VLOOKUP($B1809,DG!A:D,DG!$D$2,)</f>
        <v>cái</v>
      </c>
      <c r="G1809" s="1287">
        <f>+G1802*3</f>
        <v>0</v>
      </c>
      <c r="H1809" s="1353">
        <f t="shared" si="70"/>
        <v>0</v>
      </c>
      <c r="I1809" s="1342"/>
      <c r="J1809" s="1342"/>
      <c r="K1809" s="1312"/>
      <c r="L1809" s="1125">
        <v>400</v>
      </c>
    </row>
    <row r="1810" spans="1:12" s="1279" customFormat="1" ht="20.100000000000001" customHeight="1">
      <c r="A1810" s="1377">
        <f t="shared" si="69"/>
        <v>0</v>
      </c>
      <c r="B1810" s="1582" t="s">
        <v>2203</v>
      </c>
      <c r="C1810" s="1286"/>
      <c r="D1810" s="1274" t="str">
        <f>VLOOKUP($B1810,DG!A:D,DG!$B$2,)</f>
        <v>07.2403</v>
      </c>
      <c r="E1810" s="1310" t="str">
        <f>VLOOKUP($B1810,DG!A:D,DG!$C$2,)</f>
        <v>Ống PVC D42x2,1mm</v>
      </c>
      <c r="F1810" s="1353" t="str">
        <f>VLOOKUP($B1810,DG!A:D,DG!$D$2,)</f>
        <v>m</v>
      </c>
      <c r="G1810" s="1287">
        <f>G1802*16</f>
        <v>0</v>
      </c>
      <c r="H1810" s="1353">
        <f t="shared" si="70"/>
        <v>0</v>
      </c>
      <c r="I1810" s="1342"/>
      <c r="J1810" s="1342"/>
      <c r="K1810" s="1312"/>
      <c r="L1810" s="1125">
        <v>400</v>
      </c>
    </row>
    <row r="1811" spans="1:12" s="1279" customFormat="1" ht="20.100000000000001" customHeight="1">
      <c r="A1811" s="1377">
        <f t="shared" si="69"/>
        <v>0</v>
      </c>
      <c r="B1811" s="1378" t="s">
        <v>205</v>
      </c>
      <c r="C1811" s="1286"/>
      <c r="D1811" s="1274" t="str">
        <f>VLOOKUP($B1811,DG!A:D,DG!$B$2,)</f>
        <v>06.3231</v>
      </c>
      <c r="E1811" s="1310" t="str">
        <f>VLOOKUP($B1811,DG!A:D,DG!$C$2,)</f>
        <v>Cổ dê giữ ống PVC D42</v>
      </c>
      <c r="F1811" s="1353" t="s">
        <v>2503</v>
      </c>
      <c r="G1811" s="1287">
        <f>3*G1802</f>
        <v>0</v>
      </c>
      <c r="H1811" s="1353">
        <f t="shared" si="70"/>
        <v>0</v>
      </c>
      <c r="I1811" s="1342"/>
      <c r="J1811" s="1342"/>
      <c r="K1811" s="1312"/>
      <c r="L1811" s="1125">
        <v>400</v>
      </c>
    </row>
    <row r="1812" spans="1:12" s="1279" customFormat="1" ht="20.100000000000001" customHeight="1">
      <c r="A1812" s="1377">
        <f t="shared" ref="A1812:A1873" si="71">IF(H1812&gt;0,1,0)</f>
        <v>0</v>
      </c>
      <c r="B1812" s="1582" t="s">
        <v>1668</v>
      </c>
      <c r="C1812" s="1286"/>
      <c r="D1812" s="1274">
        <f>VLOOKUP($B1812,DG!A:D,DG!$B$2,)</f>
        <v>0</v>
      </c>
      <c r="E1812" s="1310" t="str">
        <f>VLOOKUP($B1812,DG!A:D,DG!$C$2,)</f>
        <v>Co 90 độ PVC 42</v>
      </c>
      <c r="F1812" s="1353" t="str">
        <f>VLOOKUP($B1812,DG!A:D,DG!$D$2,)</f>
        <v>cái</v>
      </c>
      <c r="G1812" s="1287">
        <f>G1802*5</f>
        <v>0</v>
      </c>
      <c r="H1812" s="1353">
        <f t="shared" si="70"/>
        <v>0</v>
      </c>
      <c r="I1812" s="1342"/>
      <c r="J1812" s="1342"/>
      <c r="K1812" s="1312"/>
      <c r="L1812" s="1125">
        <v>400</v>
      </c>
    </row>
    <row r="1813" spans="1:12" s="1279" customFormat="1" ht="20.100000000000001" customHeight="1">
      <c r="A1813" s="1377">
        <f t="shared" si="71"/>
        <v>0</v>
      </c>
      <c r="B1813" s="1582" t="s">
        <v>1080</v>
      </c>
      <c r="C1813" s="1286"/>
      <c r="D1813" s="1274">
        <f>VLOOKUP($B1813,DG!A:D,DG!$B$2,)</f>
        <v>0</v>
      </c>
      <c r="E1813" s="1310" t="str">
        <f>VLOOKUP($B1813,DG!A:D,DG!$C$2,)</f>
        <v>Co chữ T ống PVC 42</v>
      </c>
      <c r="F1813" s="1353" t="str">
        <f>VLOOKUP($B1813,DG!A:D,DG!$D$2,)</f>
        <v>cái</v>
      </c>
      <c r="G1813" s="1287">
        <f>G1802*5</f>
        <v>0</v>
      </c>
      <c r="H1813" s="1353">
        <f t="shared" si="70"/>
        <v>0</v>
      </c>
      <c r="I1813" s="1342"/>
      <c r="J1813" s="1342"/>
      <c r="K1813" s="1312"/>
      <c r="L1813" s="1125">
        <v>400</v>
      </c>
    </row>
    <row r="1814" spans="1:12" s="1279" customFormat="1" ht="20.100000000000001" customHeight="1">
      <c r="A1814" s="1377">
        <f t="shared" si="71"/>
        <v>0</v>
      </c>
      <c r="B1814" s="1582" t="s">
        <v>1966</v>
      </c>
      <c r="C1814" s="1286"/>
      <c r="D1814" s="1274">
        <f>VLOOKUP($B1814,DG!A:D,DG!$B$2,)</f>
        <v>0</v>
      </c>
      <c r="E1814" s="1310" t="str">
        <f>VLOOKUP($B1814,DG!A:D,DG!$C$2,)</f>
        <v>Nối thẳng ống PVC 42</v>
      </c>
      <c r="F1814" s="1353" t="str">
        <f>VLOOKUP($B1814,DG!A:D,DG!$D$2,)</f>
        <v>cái</v>
      </c>
      <c r="G1814" s="1287">
        <f>G1802</f>
        <v>0</v>
      </c>
      <c r="H1814" s="1353">
        <f t="shared" si="70"/>
        <v>0</v>
      </c>
      <c r="I1814" s="1342"/>
      <c r="J1814" s="1342"/>
      <c r="K1814" s="1312"/>
      <c r="L1814" s="1125">
        <v>400</v>
      </c>
    </row>
    <row r="1815" spans="1:12" s="1279" customFormat="1" ht="20.100000000000001" customHeight="1">
      <c r="A1815" s="1377">
        <f t="shared" si="71"/>
        <v>0</v>
      </c>
      <c r="B1815" s="1582" t="s">
        <v>734</v>
      </c>
      <c r="C1815" s="1286"/>
      <c r="D1815" s="1274">
        <f>VLOOKUP($B1815,DG!A:D,DG!$B$2,)</f>
        <v>0</v>
      </c>
      <c r="E1815" s="1310" t="str">
        <f>VLOOKUP($B1815,DG!A:D,DG!$C$2,)</f>
        <v>Keo dán ống PVC (500gr)</v>
      </c>
      <c r="F1815" s="1353" t="str">
        <f>VLOOKUP($B1815,DG!A:D,DG!$D$2,)</f>
        <v>lon</v>
      </c>
      <c r="G1815" s="1287">
        <f>G1802</f>
        <v>0</v>
      </c>
      <c r="H1815" s="1353">
        <f t="shared" si="70"/>
        <v>0</v>
      </c>
      <c r="I1815" s="1342"/>
      <c r="J1815" s="1342"/>
      <c r="K1815" s="1312"/>
      <c r="L1815" s="1125">
        <v>400</v>
      </c>
    </row>
    <row r="1816" spans="1:12" s="1279" customFormat="1" ht="20.100000000000001" customHeight="1">
      <c r="A1816" s="1377">
        <f t="shared" si="71"/>
        <v>0</v>
      </c>
      <c r="B1816" s="1378" t="s">
        <v>677</v>
      </c>
      <c r="C1816" s="1286"/>
      <c r="D1816" s="1274">
        <f>VLOOKUP($B1816,DG!A:D,DG!$B$2,)</f>
        <v>0</v>
      </c>
      <c r="E1816" s="1310" t="str">
        <f>VLOOKUP($B1816,DG!A:D,DG!$C$2,)</f>
        <v>Băng keo cách điện</v>
      </c>
      <c r="F1816" s="1353" t="str">
        <f>VLOOKUP($B1816,DG!A:D,DG!$D$2,)</f>
        <v>cuộn</v>
      </c>
      <c r="G1816" s="1287">
        <f>G1802</f>
        <v>0</v>
      </c>
      <c r="H1816" s="1353">
        <f t="shared" si="70"/>
        <v>0</v>
      </c>
      <c r="I1816" s="1277"/>
      <c r="J1816" s="1277"/>
      <c r="K1816" s="1312"/>
      <c r="L1816" s="1125">
        <v>400</v>
      </c>
    </row>
    <row r="1817" spans="1:12" s="1279" customFormat="1" ht="20.100000000000001" customHeight="1">
      <c r="A1817" s="1377">
        <f t="shared" si="71"/>
        <v>0</v>
      </c>
      <c r="B1817" s="1582" t="s">
        <v>2182</v>
      </c>
      <c r="C1817" s="1286"/>
      <c r="D1817" s="1274">
        <f>VLOOKUP($B1817,DG!A:D,DG!$B$2,)</f>
        <v>0</v>
      </c>
      <c r="E1817" s="1310" t="str">
        <f>VLOOKUP($B1817,DG!A:D,DG!$C$2,)</f>
        <v>Khâu ven răng trong D42</v>
      </c>
      <c r="F1817" s="1353" t="str">
        <f>VLOOKUP($B1817,DG!A:D,DG!$D$2,)</f>
        <v>cái</v>
      </c>
      <c r="G1817" s="1287">
        <f>G1802</f>
        <v>0</v>
      </c>
      <c r="H1817" s="1353">
        <f t="shared" si="70"/>
        <v>0</v>
      </c>
      <c r="I1817" s="1277"/>
      <c r="J1817" s="1277"/>
      <c r="K1817" s="1312"/>
      <c r="L1817" s="1125">
        <v>400</v>
      </c>
    </row>
    <row r="1818" spans="1:12" s="1279" customFormat="1" ht="20.100000000000001" customHeight="1">
      <c r="A1818" s="1377">
        <f t="shared" si="71"/>
        <v>0</v>
      </c>
      <c r="B1818" s="1378" t="s">
        <v>989</v>
      </c>
      <c r="C1818" s="1286"/>
      <c r="D1818" s="1274">
        <f>VLOOKUP($B1818,DG!A:D,DG!$B$2,)</f>
        <v>0</v>
      </c>
      <c r="E1818" s="1310" t="str">
        <f>VLOOKUP($B1818,DG!A:D,DG!$C$2,)</f>
        <v>Khâu ven răng ngoài D42</v>
      </c>
      <c r="F1818" s="1353" t="str">
        <f>VLOOKUP($B1818,DG!A:D,DG!$D$2,)</f>
        <v>cái</v>
      </c>
      <c r="G1818" s="1287">
        <f>G1802</f>
        <v>0</v>
      </c>
      <c r="H1818" s="1353">
        <f t="shared" si="70"/>
        <v>0</v>
      </c>
      <c r="I1818" s="1277"/>
      <c r="J1818" s="1277"/>
      <c r="K1818" s="1312"/>
      <c r="L1818" s="1125">
        <v>400</v>
      </c>
    </row>
    <row r="1819" spans="1:12" s="1279" customFormat="1" ht="20.100000000000001" customHeight="1">
      <c r="A1819" s="1377">
        <f t="shared" si="71"/>
        <v>0</v>
      </c>
      <c r="B1819" s="1378" t="s">
        <v>320</v>
      </c>
      <c r="C1819" s="1286"/>
      <c r="D1819" s="1274" t="str">
        <f>VLOOKUP($B1819,DG!A:D,DG!$B$2,)</f>
        <v>06.3231</v>
      </c>
      <c r="E1819" s="1310" t="str">
        <f>VLOOKUP($B1819,DG!A:D,DG!$C$2,)</f>
        <v>Cổ dê CDĐKĐT( bắt thùng điện kế)</v>
      </c>
      <c r="F1819" s="1353" t="s">
        <v>2503</v>
      </c>
      <c r="G1819" s="1344">
        <f>G1802*2</f>
        <v>0</v>
      </c>
      <c r="H1819" s="1353">
        <f t="shared" si="70"/>
        <v>0</v>
      </c>
      <c r="I1819" s="1277"/>
      <c r="J1819" s="1277"/>
      <c r="K1819" s="1278"/>
      <c r="L1819" s="1125">
        <v>400</v>
      </c>
    </row>
    <row r="1820" spans="1:12" s="1279" customFormat="1" ht="20.100000000000001" customHeight="1">
      <c r="A1820" s="1377">
        <f t="shared" si="71"/>
        <v>0</v>
      </c>
      <c r="B1820" s="1378" t="s">
        <v>1968</v>
      </c>
      <c r="C1820" s="1286"/>
      <c r="D1820" s="1274" t="str">
        <f>VLOOKUP($B1820,DG!A:D,DG!$B$2,)</f>
        <v>05.1101</v>
      </c>
      <c r="E1820" s="1310" t="str">
        <f>VLOOKUP($B1820,DG!A:D,DG!$C$2,)</f>
        <v>Thùng điện kế 450x300x200mm đo đếm trung thế</v>
      </c>
      <c r="F1820" s="1353" t="str">
        <f>VLOOKUP($B1820,DG!A:D,DG!$D$2,)</f>
        <v>cái</v>
      </c>
      <c r="G1820" s="1287">
        <f>G1802</f>
        <v>0</v>
      </c>
      <c r="H1820" s="1353">
        <f t="shared" si="70"/>
        <v>0</v>
      </c>
      <c r="I1820" s="1277"/>
      <c r="J1820" s="1277"/>
      <c r="K1820" s="1312"/>
      <c r="L1820" s="1125">
        <v>400</v>
      </c>
    </row>
    <row r="1821" spans="1:12" s="1279" customFormat="1" ht="20.100000000000001" customHeight="1">
      <c r="A1821" s="1377">
        <f t="shared" si="71"/>
        <v>0</v>
      </c>
      <c r="B1821" s="1378" t="s">
        <v>6</v>
      </c>
      <c r="C1821" s="1286"/>
      <c r="D1821" s="1274">
        <f>VLOOKUP($B1821,DG!A:D,DG!$B$2,)</f>
        <v>0</v>
      </c>
      <c r="E1821" s="1310" t="str">
        <f>VLOOKUP($B1821,DG!A:D,DG!$C$2,)</f>
        <v>Keo silicon bít miệng ống</v>
      </c>
      <c r="F1821" s="1353" t="str">
        <f>VLOOKUP($B1821,DG!A:D,DG!$D$2,)</f>
        <v>ống</v>
      </c>
      <c r="G1821" s="1287">
        <f>G1802</f>
        <v>0</v>
      </c>
      <c r="H1821" s="1353">
        <f t="shared" si="70"/>
        <v>0</v>
      </c>
      <c r="I1821" s="1277"/>
      <c r="J1821" s="1277"/>
      <c r="K1821" s="1312"/>
      <c r="L1821" s="1125">
        <v>400</v>
      </c>
    </row>
    <row r="1822" spans="1:12" s="1279" customFormat="1" ht="20.100000000000001" customHeight="1">
      <c r="A1822" s="1377">
        <f t="shared" si="71"/>
        <v>0</v>
      </c>
      <c r="B1822" s="1378" t="s">
        <v>2201</v>
      </c>
      <c r="C1822" s="1286"/>
      <c r="D1822" s="1274">
        <f>VLOOKUP($B1822,DG!A:D,DG!$B$2,)</f>
        <v>0</v>
      </c>
      <c r="E1822" s="1310" t="str">
        <f>VLOOKUP($B1822,DG!A:D,DG!$C$2,)</f>
        <v>Dây đồng trần mềm dẹt</v>
      </c>
      <c r="F1822" s="1353" t="str">
        <f>VLOOKUP($B1822,DG!A:D,DG!$D$2,)</f>
        <v>mét</v>
      </c>
      <c r="G1822" s="1287">
        <f>G1802*4</f>
        <v>0</v>
      </c>
      <c r="H1822" s="1353">
        <f t="shared" si="70"/>
        <v>0</v>
      </c>
      <c r="I1822" s="1277"/>
      <c r="J1822" s="1277"/>
      <c r="K1822" s="1312"/>
      <c r="L1822" s="1125">
        <v>400</v>
      </c>
    </row>
    <row r="1823" spans="1:12" s="1279" customFormat="1" ht="20.100000000000001" customHeight="1">
      <c r="A1823" s="1377">
        <f t="shared" si="71"/>
        <v>0</v>
      </c>
      <c r="B1823" s="1378" t="s">
        <v>1249</v>
      </c>
      <c r="C1823" s="1286"/>
      <c r="D1823" s="1274" t="str">
        <f>VLOOKUP($B1823,DG!A:D,DG!$B$2,)</f>
        <v>06.3191</v>
      </c>
      <c r="E1823" s="1310" t="str">
        <f>VLOOKUP($B1823,DG!A:D,DG!$C$2,)</f>
        <v>Bảng tên trạm, bảng báo nguy hiểm + đinh vít</v>
      </c>
      <c r="F1823" s="1353" t="str">
        <f>VLOOKUP($B1823,DG!A:D,DG!$D$2,)</f>
        <v>bộ</v>
      </c>
      <c r="G1823" s="1276">
        <f>G1802</f>
        <v>0</v>
      </c>
      <c r="H1823" s="1353">
        <f t="shared" si="70"/>
        <v>0</v>
      </c>
      <c r="I1823" s="1277"/>
      <c r="J1823" s="1277"/>
      <c r="K1823" s="1312"/>
      <c r="L1823" s="1125">
        <v>400</v>
      </c>
    </row>
    <row r="1824" spans="1:12" s="1279" customFormat="1" ht="20.100000000000001" customHeight="1">
      <c r="A1824" s="1377">
        <f t="shared" si="71"/>
        <v>0</v>
      </c>
      <c r="B1824" s="1378" t="s">
        <v>1383</v>
      </c>
      <c r="C1824" s="1286"/>
      <c r="D1824" s="1274">
        <f>VLOOKUP($B1824,DG!A:D,DG!$B$2,)</f>
        <v>0</v>
      </c>
      <c r="E1824" s="1310" t="str">
        <f>VLOOKUP($B1824,DG!A:D,DG!$C$2,)&amp;" baét thuøng ÑKÑT"</f>
        <v>Boulon 12x60+ 2 long đền vuông D14-50x50x3/Zn baét thuøng ÑKÑT</v>
      </c>
      <c r="F1824" s="1353" t="str">
        <f>VLOOKUP($B1824,DG!A:D,DG!$D$2,)</f>
        <v>bộ</v>
      </c>
      <c r="G1824" s="1287">
        <f>4*G1802*0</f>
        <v>0</v>
      </c>
      <c r="H1824" s="1353">
        <f t="shared" si="70"/>
        <v>0</v>
      </c>
      <c r="I1824" s="1277"/>
      <c r="J1824" s="1277"/>
      <c r="K1824" s="1312"/>
      <c r="L1824" s="1125">
        <v>400</v>
      </c>
    </row>
    <row r="1825" spans="1:12" s="1279" customFormat="1" ht="20.100000000000001" customHeight="1">
      <c r="A1825" s="1377">
        <f t="shared" si="71"/>
        <v>0</v>
      </c>
      <c r="B1825" s="1378"/>
      <c r="C1825" s="1319"/>
      <c r="D1825" s="1320"/>
      <c r="E1825" s="1306" t="s">
        <v>3829</v>
      </c>
      <c r="F1825" s="1306"/>
      <c r="G1825" s="1321"/>
      <c r="H1825" s="1353">
        <f t="shared" si="70"/>
        <v>0</v>
      </c>
      <c r="I1825" s="1306"/>
      <c r="J1825" s="1306"/>
      <c r="K1825" s="1354"/>
      <c r="L1825" s="1125">
        <v>400</v>
      </c>
    </row>
    <row r="1826" spans="1:12" s="1279" customFormat="1" ht="20.100000000000001" customHeight="1">
      <c r="A1826" s="1377">
        <f t="shared" si="71"/>
        <v>0</v>
      </c>
      <c r="B1826" s="1378" t="s">
        <v>996</v>
      </c>
      <c r="C1826" s="1286"/>
      <c r="D1826" s="1274" t="str">
        <f>VLOOKUP($B1826,DG!A:D,DG!$B$2,)</f>
        <v>02.5114</v>
      </c>
      <c r="E1826" s="1310" t="s">
        <v>3830</v>
      </c>
      <c r="F1826" s="1353" t="str">
        <f>VLOOKUP($B1826,DG!A:D,DG!$D$2,)</f>
        <v>cái</v>
      </c>
      <c r="G1826" s="1287"/>
      <c r="H1826" s="1353">
        <f t="shared" si="70"/>
        <v>0</v>
      </c>
      <c r="I1826" s="1277"/>
      <c r="J1826" s="1277"/>
      <c r="K1826" s="1312" t="s">
        <v>3831</v>
      </c>
      <c r="L1826" s="1125">
        <v>400</v>
      </c>
    </row>
    <row r="1827" spans="1:12" s="1279" customFormat="1" ht="20.100000000000001" customHeight="1">
      <c r="A1827" s="1377">
        <f t="shared" si="71"/>
        <v>0</v>
      </c>
      <c r="B1827" s="1378" t="s">
        <v>1959</v>
      </c>
      <c r="C1827" s="1286"/>
      <c r="D1827" s="1274" t="str">
        <f>VLOOKUP($B1827,DG!A:D,DG!$B$2,)</f>
        <v>05.6011</v>
      </c>
      <c r="E1827" s="1310" t="s">
        <v>2525</v>
      </c>
      <c r="F1827" s="1353" t="str">
        <f>VLOOKUP($B1827,DG!A:D,DG!$D$2,)</f>
        <v>bộ</v>
      </c>
      <c r="G1827" s="1287"/>
      <c r="H1827" s="1353">
        <f t="shared" si="70"/>
        <v>0</v>
      </c>
      <c r="I1827" s="1277"/>
      <c r="J1827" s="1277"/>
      <c r="K1827" s="1278"/>
      <c r="L1827" s="1125">
        <v>400</v>
      </c>
    </row>
    <row r="1828" spans="1:12" s="1279" customFormat="1" ht="20.100000000000001" customHeight="1">
      <c r="A1828" s="1377">
        <f t="shared" si="71"/>
        <v>0</v>
      </c>
      <c r="B1828" s="1378"/>
      <c r="C1828" s="1355"/>
      <c r="D1828" s="1356"/>
      <c r="E1828" s="1306"/>
      <c r="F1828" s="1357"/>
      <c r="G1828" s="1358"/>
      <c r="H1828" s="1353">
        <f t="shared" si="70"/>
        <v>0</v>
      </c>
      <c r="I1828" s="1359"/>
      <c r="J1828" s="1360"/>
      <c r="K1828" s="1309"/>
      <c r="L1828" s="1125"/>
    </row>
    <row r="1829" spans="1:12" s="1279" customFormat="1" ht="20.100000000000001" customHeight="1">
      <c r="A1829" s="1377">
        <f t="shared" si="71"/>
        <v>0</v>
      </c>
      <c r="B1829" s="1378"/>
      <c r="C1829" s="1361"/>
      <c r="E1829" s="1362"/>
      <c r="G1829" s="1363"/>
      <c r="H1829" s="1353">
        <f t="shared" si="70"/>
        <v>0</v>
      </c>
      <c r="L1829" s="1125"/>
    </row>
    <row r="1830" spans="1:12" s="1279" customFormat="1" ht="20.100000000000001" customHeight="1">
      <c r="A1830" s="1377">
        <f t="shared" si="71"/>
        <v>0</v>
      </c>
      <c r="B1830" s="1619"/>
      <c r="C1830" s="1131" t="e">
        <f>"BAÛNG TOÅNG HÔÏP VAÄT LIEÄU, NHAÂN COÂNG, MAÙY THI COÂNG : "&amp;#REF!&amp;" TRAÏM 3P_560KVA ÑO ÑEÁM TRUNG THEÁ"</f>
        <v>#REF!</v>
      </c>
      <c r="D1830" s="1131"/>
      <c r="E1830" s="1131"/>
      <c r="F1830" s="1131"/>
      <c r="G1830" s="1131"/>
      <c r="H1830" s="1353">
        <f t="shared" si="70"/>
        <v>0</v>
      </c>
      <c r="I1830" s="1364"/>
      <c r="J1830" s="1364"/>
      <c r="K1830" s="1365"/>
      <c r="L1830" s="1125"/>
    </row>
    <row r="1831" spans="1:12" s="1279" customFormat="1" ht="20.100000000000001" customHeight="1">
      <c r="A1831" s="1377">
        <f t="shared" si="71"/>
        <v>0</v>
      </c>
      <c r="B1831" s="1582"/>
      <c r="C1831" s="1304"/>
      <c r="D1831" s="1305"/>
      <c r="E1831" s="1306" t="s">
        <v>3771</v>
      </c>
      <c r="F1831" s="1307"/>
      <c r="G1831" s="1308"/>
      <c r="H1831" s="1353">
        <f t="shared" si="70"/>
        <v>0</v>
      </c>
      <c r="I1831" s="1307"/>
      <c r="J1831" s="1307"/>
      <c r="K1831" s="1309"/>
      <c r="L1831" s="1125">
        <v>560</v>
      </c>
    </row>
    <row r="1832" spans="1:12" s="1279" customFormat="1" ht="20.100000000000001" customHeight="1">
      <c r="A1832" s="1377">
        <f t="shared" si="71"/>
        <v>0</v>
      </c>
      <c r="B1832" s="1583" t="s">
        <v>2285</v>
      </c>
      <c r="C1832" s="1286">
        <f>IF(G1832&gt;0,1,0)</f>
        <v>0</v>
      </c>
      <c r="D1832" s="1274" t="str">
        <f>VLOOKUP($B1832,DG!A:D,DG!$B$2,)</f>
        <v>01.1146</v>
      </c>
      <c r="E1832" s="1275" t="str">
        <f>VLOOKUP($B1832,DG!A:D,DG!$C$2,)</f>
        <v>Máy biến áp 22/0,4kV- 560kVA</v>
      </c>
      <c r="F1832" s="1274" t="str">
        <f>VLOOKUP($B1832,DG!A:D,DG!$D$2,)</f>
        <v>máy</v>
      </c>
      <c r="G1832" s="1286">
        <f>K14</f>
        <v>0</v>
      </c>
      <c r="H1832" s="1353">
        <f t="shared" si="70"/>
        <v>0</v>
      </c>
      <c r="I1832" s="1310"/>
      <c r="J1832" s="1310"/>
      <c r="K1832" s="1311"/>
      <c r="L1832" s="1125">
        <v>560</v>
      </c>
    </row>
    <row r="1833" spans="1:12" s="1279" customFormat="1" ht="20.100000000000001" customHeight="1">
      <c r="A1833" s="1377">
        <f t="shared" si="71"/>
        <v>0</v>
      </c>
      <c r="B1833" s="1583" t="s">
        <v>1704</v>
      </c>
      <c r="C1833" s="1286">
        <f>IF(G1833&gt;0,C1832+1,C1832)</f>
        <v>0</v>
      </c>
      <c r="D1833" s="1274" t="str">
        <f>VLOOKUP($B1833,DG!A:D,DG!$B$2,)</f>
        <v>02.3155</v>
      </c>
      <c r="E1833" s="1275" t="str">
        <f>VLOOKUP($B1833,DG!A:D,DG!$C$2,)</f>
        <v>FCO 24kV - 100A</v>
      </c>
      <c r="F1833" s="1274" t="str">
        <f>VLOOKUP($B1833,DG!A:D,DG!$D$2,)</f>
        <v>cái</v>
      </c>
      <c r="G1833" s="1287">
        <f>G1832*3</f>
        <v>0</v>
      </c>
      <c r="H1833" s="1353">
        <f t="shared" si="70"/>
        <v>0</v>
      </c>
      <c r="I1833" s="1277"/>
      <c r="J1833" s="1277"/>
      <c r="K1833" s="1312"/>
      <c r="L1833" s="1125">
        <v>560</v>
      </c>
    </row>
    <row r="1834" spans="1:12" s="1279" customFormat="1" ht="20.100000000000001" customHeight="1">
      <c r="A1834" s="1377">
        <f t="shared" si="71"/>
        <v>0</v>
      </c>
      <c r="B1834" s="1583" t="s">
        <v>4783</v>
      </c>
      <c r="C1834" s="1286">
        <f t="shared" ref="C1834:C1844" si="72">IF(G1834&gt;0,C1833+1,C1833)</f>
        <v>0</v>
      </c>
      <c r="D1834" s="1274">
        <f>VLOOKUP($B1834,DG!A:D,DG!$B$2,)</f>
        <v>0</v>
      </c>
      <c r="E1834" s="1275" t="str">
        <f>VLOOKUP($B1834,DG!A:D,DG!$C$2,)</f>
        <v>Dây chảy 25K</v>
      </c>
      <c r="F1834" s="1274" t="str">
        <f>VLOOKUP($B1834,DG!A:D,DG!$D$2,)</f>
        <v>Sợi</v>
      </c>
      <c r="G1834" s="1287">
        <f>G1833</f>
        <v>0</v>
      </c>
      <c r="H1834" s="1353">
        <f t="shared" si="70"/>
        <v>0</v>
      </c>
      <c r="I1834" s="1277"/>
      <c r="J1834" s="1277"/>
      <c r="K1834" s="1312"/>
      <c r="L1834" s="1125">
        <v>560</v>
      </c>
    </row>
    <row r="1835" spans="1:12" s="1279" customFormat="1" ht="20.100000000000001" customHeight="1">
      <c r="A1835" s="1377">
        <f t="shared" si="71"/>
        <v>0</v>
      </c>
      <c r="B1835" s="1582" t="s">
        <v>1406</v>
      </c>
      <c r="C1835" s="1286">
        <f t="shared" si="72"/>
        <v>0</v>
      </c>
      <c r="D1835" s="1274" t="str">
        <f>VLOOKUP($B1835,DG!A:D,DG!$B$2,)</f>
        <v>02.5114</v>
      </c>
      <c r="E1835" s="1275" t="str">
        <f>VLOOKUP($B1835,DG!A:D,DG!$C$2,)</f>
        <v>LA 18kV 10kA</v>
      </c>
      <c r="F1835" s="1274" t="str">
        <f>VLOOKUP($B1835,DG!A:D,DG!$D$2,)</f>
        <v>cái</v>
      </c>
      <c r="G1835" s="1287">
        <f>G1833</f>
        <v>0</v>
      </c>
      <c r="H1835" s="1353">
        <f t="shared" si="70"/>
        <v>0</v>
      </c>
      <c r="I1835" s="1277"/>
      <c r="J1835" s="1277"/>
      <c r="K1835" s="1312"/>
      <c r="L1835" s="1125">
        <v>560</v>
      </c>
    </row>
    <row r="1836" spans="1:12" s="1279" customFormat="1" ht="20.100000000000001" customHeight="1">
      <c r="A1836" s="1377">
        <f t="shared" si="71"/>
        <v>0</v>
      </c>
      <c r="B1836" s="1583" t="s">
        <v>899</v>
      </c>
      <c r="C1836" s="1286">
        <f t="shared" si="72"/>
        <v>0</v>
      </c>
      <c r="D1836" s="1274" t="str">
        <f>VLOOKUP($B1836,DG!A:D,DG!$B$2,)</f>
        <v>02.8404</v>
      </c>
      <c r="E1836" s="1275" t="str">
        <f>VLOOKUP($B1836,DG!A:D,DG!$C$2,)&amp;": bao gồm giaù nôùi"</f>
        <v>MCCB 3 cực 400V -1000A - 50KA: bao gồm giaù nôùi</v>
      </c>
      <c r="F1836" s="1274" t="str">
        <f>VLOOKUP($B1836,DG!A:D,DG!$D$2,)</f>
        <v>cái</v>
      </c>
      <c r="G1836" s="1287">
        <f>G1832</f>
        <v>0</v>
      </c>
      <c r="H1836" s="1353">
        <f t="shared" si="70"/>
        <v>0</v>
      </c>
      <c r="I1836" s="1277"/>
      <c r="J1836" s="1277"/>
      <c r="K1836" s="1312"/>
      <c r="L1836" s="1125">
        <v>560</v>
      </c>
    </row>
    <row r="1837" spans="1:12" s="1279" customFormat="1" ht="20.100000000000001" customHeight="1">
      <c r="A1837" s="1377">
        <f t="shared" si="71"/>
        <v>0</v>
      </c>
      <c r="B1837" s="1583" t="s">
        <v>1250</v>
      </c>
      <c r="C1837" s="1286">
        <f>IF(G1837&gt;0,C1836+1,C1836)</f>
        <v>0</v>
      </c>
      <c r="D1837" s="1274" t="str">
        <f>VLOOKUP($B1837,DG!A:D,DG!$B$2,)</f>
        <v>02.8403</v>
      </c>
      <c r="E1837" s="1275" t="str">
        <f>VLOOKUP($B1837,DG!A:D,DG!$C$2,)&amp;": bao gồm giaù nôùi"</f>
        <v>MCCB 3 cực 400V -800A - 50KA: bao gồm giaù nôùi</v>
      </c>
      <c r="F1837" s="1274" t="str">
        <f>VLOOKUP($B1837,DG!A:D,DG!$D$2,)</f>
        <v>cái</v>
      </c>
      <c r="G1837" s="1287">
        <f>G1832</f>
        <v>0</v>
      </c>
      <c r="H1837" s="1353">
        <f t="shared" si="70"/>
        <v>0</v>
      </c>
      <c r="I1837" s="1277"/>
      <c r="J1837" s="1277"/>
      <c r="K1837" s="1312"/>
      <c r="L1837" s="1125">
        <v>560</v>
      </c>
    </row>
    <row r="1838" spans="1:12" s="1279" customFormat="1" ht="20.100000000000001" customHeight="1">
      <c r="A1838" s="1377">
        <f t="shared" si="71"/>
        <v>0</v>
      </c>
      <c r="B1838" s="1583" t="s">
        <v>202</v>
      </c>
      <c r="C1838" s="1286">
        <f>IF(G1838&gt;0,C1837+1,C1837)</f>
        <v>0</v>
      </c>
      <c r="D1838" s="1274" t="str">
        <f>VLOOKUP($B1838,DG!A:D,DG!$B$2,)</f>
        <v>02.8401</v>
      </c>
      <c r="E1838" s="1275" t="str">
        <f>VLOOKUP($B1838,DG!A:D,DG!$C$2,)</f>
        <v>MCCB 3 cực 400V-100A - 30KA</v>
      </c>
      <c r="F1838" s="1274" t="str">
        <f>VLOOKUP($B1838,DG!A:D,DG!$D$2,)</f>
        <v>cái</v>
      </c>
      <c r="G1838" s="1287">
        <f>G1832*2</f>
        <v>0</v>
      </c>
      <c r="H1838" s="1353">
        <f t="shared" ref="H1838:H1901" si="73">IF(L1838=$L$23,G1838+I1838-J1838,0)</f>
        <v>0</v>
      </c>
      <c r="I1838" s="1277"/>
      <c r="J1838" s="1277"/>
      <c r="K1838" s="1312"/>
      <c r="L1838" s="1125">
        <v>560</v>
      </c>
    </row>
    <row r="1839" spans="1:12" s="1279" customFormat="1" ht="20.100000000000001" customHeight="1">
      <c r="A1839" s="1377">
        <f t="shared" si="71"/>
        <v>0</v>
      </c>
      <c r="B1839" s="1583" t="s">
        <v>953</v>
      </c>
      <c r="C1839" s="1286">
        <f>IF(G1839&gt;0,C1838+1,C1838)</f>
        <v>0</v>
      </c>
      <c r="D1839" s="1274" t="str">
        <f>VLOOKUP($B1839,DG!A:D,DG!$B$2,)</f>
        <v>02.8401</v>
      </c>
      <c r="E1839" s="1275" t="str">
        <f>VLOOKUP($B1839,DG!A:D,DG!$C$2,)</f>
        <v>MCCB 3 cực 400V-75A - 10KA</v>
      </c>
      <c r="F1839" s="1274" t="str">
        <f>VLOOKUP($B1839,DG!A:D,DG!$D$2,)</f>
        <v>cái</v>
      </c>
      <c r="G1839" s="1287">
        <f>G1832</f>
        <v>0</v>
      </c>
      <c r="H1839" s="1353">
        <f t="shared" si="73"/>
        <v>0</v>
      </c>
      <c r="I1839" s="1277"/>
      <c r="J1839" s="1277"/>
      <c r="K1839" s="1312"/>
      <c r="L1839" s="1125">
        <v>560</v>
      </c>
    </row>
    <row r="1840" spans="1:12" s="1279" customFormat="1" ht="20.100000000000001" customHeight="1">
      <c r="A1840" s="1377">
        <f t="shared" si="71"/>
        <v>0</v>
      </c>
      <c r="B1840" s="1583" t="s">
        <v>1251</v>
      </c>
      <c r="C1840" s="1286">
        <f>IF(G1840&gt;0,C1839+1,C1839)</f>
        <v>0</v>
      </c>
      <c r="D1840" s="1274" t="str">
        <f>VLOOKUP($B1840,DG!A:D,DG!$B$2,)</f>
        <v>02.8401</v>
      </c>
      <c r="E1840" s="1275" t="str">
        <f>VLOOKUP($B1840,DG!A:D,DG!$C$2,)</f>
        <v>MCCB 3 cực 400V-50A - 25KA</v>
      </c>
      <c r="F1840" s="1274" t="str">
        <f>VLOOKUP($B1840,DG!A:D,DG!$D$2,)</f>
        <v>cái</v>
      </c>
      <c r="G1840" s="1287">
        <f>G1832</f>
        <v>0</v>
      </c>
      <c r="H1840" s="1353">
        <f t="shared" si="73"/>
        <v>0</v>
      </c>
      <c r="I1840" s="1277"/>
      <c r="J1840" s="1277"/>
      <c r="K1840" s="1312"/>
      <c r="L1840" s="1125">
        <v>560</v>
      </c>
    </row>
    <row r="1841" spans="1:12" s="1279" customFormat="1" ht="20.100000000000001" customHeight="1">
      <c r="A1841" s="1377">
        <f t="shared" si="71"/>
        <v>0</v>
      </c>
      <c r="B1841" s="1583" t="s">
        <v>1515</v>
      </c>
      <c r="C1841" s="1286">
        <f>IF(G1841&gt;0,C1836+1,C1836)</f>
        <v>0</v>
      </c>
      <c r="D1841" s="1274" t="str">
        <f>VLOOKUP($B1841,DG!A:D,DG!$B$2,)</f>
        <v>02.8534</v>
      </c>
      <c r="E1841" s="1275" t="str">
        <f>VLOOKUP($B1841,DG!A:D,DG!$C$2,)</f>
        <v>Tủ tụ bù hạ thế 250kVAr</v>
      </c>
      <c r="F1841" s="1274" t="str">
        <f>VLOOKUP($B1841,DG!A:D,DG!$D$2,)</f>
        <v>tủ</v>
      </c>
      <c r="G1841" s="1287">
        <f>G1832</f>
        <v>0</v>
      </c>
      <c r="H1841" s="1353">
        <f t="shared" si="73"/>
        <v>0</v>
      </c>
      <c r="I1841" s="1277"/>
      <c r="J1841" s="1277"/>
      <c r="K1841" s="1312"/>
      <c r="L1841" s="1125">
        <v>560</v>
      </c>
    </row>
    <row r="1842" spans="1:12" s="1279" customFormat="1" ht="20.100000000000001" customHeight="1">
      <c r="A1842" s="1377">
        <f t="shared" si="71"/>
        <v>0</v>
      </c>
      <c r="B1842" s="1583" t="s">
        <v>4784</v>
      </c>
      <c r="C1842" s="1286">
        <f t="shared" si="72"/>
        <v>0</v>
      </c>
      <c r="D1842" s="1274" t="str">
        <f>VLOOKUP($B1842,DG!A:D,DG!$B$2,)</f>
        <v>02.1124</v>
      </c>
      <c r="E1842" s="1275" t="str">
        <f>VLOOKUP($B1842,DG!A:D,DG!$C$2,)</f>
        <v>Biến dòng 24kV  15/5A</v>
      </c>
      <c r="F1842" s="1274" t="str">
        <f>VLOOKUP($B1842,DG!A:D,DG!$D$2,)</f>
        <v>cái</v>
      </c>
      <c r="G1842" s="1313">
        <f>G1832*3</f>
        <v>0</v>
      </c>
      <c r="H1842" s="1353">
        <f t="shared" si="73"/>
        <v>0</v>
      </c>
      <c r="I1842" s="1277"/>
      <c r="J1842" s="1277"/>
      <c r="K1842" s="1314" t="s">
        <v>2666</v>
      </c>
      <c r="L1842" s="1125">
        <v>560</v>
      </c>
    </row>
    <row r="1843" spans="1:12" s="1279" customFormat="1" ht="20.100000000000001" customHeight="1">
      <c r="A1843" s="1377">
        <f t="shared" si="71"/>
        <v>0</v>
      </c>
      <c r="B1843" s="1583" t="s">
        <v>4782</v>
      </c>
      <c r="C1843" s="1286">
        <f t="shared" si="72"/>
        <v>0</v>
      </c>
      <c r="D1843" s="1274" t="str">
        <f>VLOOKUP($B1843,DG!A:D,DG!$B$2,)</f>
        <v>02.1114</v>
      </c>
      <c r="E1843" s="1275" t="str">
        <f>VLOOKUP($B1843,DG!A:D,DG!$C$2,)</f>
        <v>Biến điện áp 12000/120(60)V</v>
      </c>
      <c r="F1843" s="1274" t="str">
        <f>VLOOKUP($B1843,DG!A:D,DG!$D$2,)</f>
        <v>cái</v>
      </c>
      <c r="G1843" s="1313">
        <f>G1842</f>
        <v>0</v>
      </c>
      <c r="H1843" s="1353">
        <f t="shared" si="73"/>
        <v>0</v>
      </c>
      <c r="I1843" s="1277"/>
      <c r="J1843" s="1277"/>
      <c r="K1843" s="1314" t="s">
        <v>2666</v>
      </c>
      <c r="L1843" s="1125">
        <v>560</v>
      </c>
    </row>
    <row r="1844" spans="1:12" s="1279" customFormat="1" ht="20.100000000000001" customHeight="1">
      <c r="A1844" s="1377">
        <f t="shared" si="71"/>
        <v>0</v>
      </c>
      <c r="B1844" s="1589" t="s">
        <v>1890</v>
      </c>
      <c r="C1844" s="1286">
        <f t="shared" si="72"/>
        <v>0</v>
      </c>
      <c r="D1844" s="1274">
        <f>VLOOKUP($B1844,DG!A:D,DG!$B$2,)</f>
        <v>0</v>
      </c>
      <c r="E1844" s="1275" t="str">
        <f>VLOOKUP($B1844,DG!A:D,DG!$C$2,)</f>
        <v>Điện kế 3 pha điện tử 600V-5A</v>
      </c>
      <c r="F1844" s="1274" t="str">
        <f>VLOOKUP($B1844,DG!A:D,DG!$D$2,)</f>
        <v>cái</v>
      </c>
      <c r="G1844" s="1313">
        <f>G1832</f>
        <v>0</v>
      </c>
      <c r="H1844" s="1353">
        <f t="shared" si="73"/>
        <v>0</v>
      </c>
      <c r="I1844" s="1277"/>
      <c r="J1844" s="1277"/>
      <c r="K1844" s="1315" t="s">
        <v>2666</v>
      </c>
      <c r="L1844" s="1125">
        <v>560</v>
      </c>
    </row>
    <row r="1845" spans="1:12" s="1279" customFormat="1" ht="20.100000000000001" customHeight="1">
      <c r="A1845" s="1377">
        <f t="shared" si="71"/>
        <v>0</v>
      </c>
      <c r="B1845" s="1582"/>
      <c r="C1845" s="1316"/>
      <c r="D1845" s="1317"/>
      <c r="E1845" s="1271"/>
      <c r="F1845" s="1316"/>
      <c r="G1845" s="1318"/>
      <c r="H1845" s="1353">
        <f t="shared" si="73"/>
        <v>0</v>
      </c>
      <c r="I1845" s="1271"/>
      <c r="J1845" s="1316"/>
      <c r="K1845" s="1309"/>
      <c r="L1845" s="1125">
        <v>560</v>
      </c>
    </row>
    <row r="1846" spans="1:12" s="1279" customFormat="1" ht="20.100000000000001" customHeight="1">
      <c r="A1846" s="1377">
        <f t="shared" si="71"/>
        <v>0</v>
      </c>
      <c r="B1846" s="1582"/>
      <c r="C1846" s="1319"/>
      <c r="D1846" s="1320"/>
      <c r="E1846" s="1306" t="s">
        <v>3772</v>
      </c>
      <c r="F1846" s="1306"/>
      <c r="G1846" s="1321"/>
      <c r="H1846" s="1353">
        <f t="shared" si="73"/>
        <v>0</v>
      </c>
      <c r="I1846" s="1306"/>
      <c r="J1846" s="1306"/>
      <c r="K1846" s="1309"/>
      <c r="L1846" s="1125">
        <v>560</v>
      </c>
    </row>
    <row r="1847" spans="1:12" s="1279" customFormat="1" ht="20.100000000000001" customHeight="1">
      <c r="A1847" s="1377">
        <f t="shared" si="71"/>
        <v>0</v>
      </c>
      <c r="B1847" s="1622"/>
      <c r="C1847" s="1322">
        <f>IF(G1847&gt;0,1,0)</f>
        <v>0</v>
      </c>
      <c r="D1847" s="1323"/>
      <c r="E1847" s="1324" t="s">
        <v>3810</v>
      </c>
      <c r="F1847" s="1325" t="s">
        <v>2340</v>
      </c>
      <c r="G1847" s="1326">
        <f>G1832*2*0</f>
        <v>0</v>
      </c>
      <c r="H1847" s="1353">
        <f t="shared" si="73"/>
        <v>0</v>
      </c>
      <c r="I1847" s="1327"/>
      <c r="J1847" s="1327"/>
      <c r="K1847" s="1312"/>
      <c r="L1847" s="1125">
        <v>560</v>
      </c>
    </row>
    <row r="1848" spans="1:12" s="1279" customFormat="1" ht="20.100000000000001" customHeight="1">
      <c r="A1848" s="1377">
        <f t="shared" si="71"/>
        <v>0</v>
      </c>
      <c r="B1848" s="1378" t="s">
        <v>116</v>
      </c>
      <c r="C1848" s="1328"/>
      <c r="D1848" s="1274"/>
      <c r="E1848" s="1329" t="str">
        <f>VLOOKUP($B1848,DG!A:D,DG!$C$2,)</f>
        <v>Trụ BTLT 12m F350 dự ứng lực</v>
      </c>
      <c r="F1848" s="1274" t="str">
        <f>VLOOKUP($B1848,DG!A:D,DG!$D$2,)</f>
        <v>trụ</v>
      </c>
      <c r="G1848" s="1330">
        <f>G1847</f>
        <v>0</v>
      </c>
      <c r="H1848" s="1353">
        <f t="shared" si="73"/>
        <v>0</v>
      </c>
      <c r="I1848" s="1310"/>
      <c r="J1848" s="1273"/>
      <c r="K1848" s="1312"/>
      <c r="L1848" s="1125">
        <v>560</v>
      </c>
    </row>
    <row r="1849" spans="1:12" s="1279" customFormat="1" ht="20.100000000000001" customHeight="1">
      <c r="A1849" s="1377">
        <f t="shared" si="71"/>
        <v>0</v>
      </c>
      <c r="B1849" s="1378" t="s">
        <v>1867</v>
      </c>
      <c r="C1849" s="1328"/>
      <c r="D1849" s="1274"/>
      <c r="E1849" s="1329" t="str">
        <f>VLOOKUP($B1849,DG!A:D,DG!$C$2,)</f>
        <v>Vật liệu dựng trụ</v>
      </c>
      <c r="F1849" s="1274" t="str">
        <f>VLOOKUP($B1849,DG!A:D,DG!$D$2,)</f>
        <v>trụ</v>
      </c>
      <c r="G1849" s="1330">
        <f>G1848</f>
        <v>0</v>
      </c>
      <c r="H1849" s="1353">
        <f t="shared" si="73"/>
        <v>0</v>
      </c>
      <c r="I1849" s="1273"/>
      <c r="J1849" s="1273"/>
      <c r="K1849" s="1312"/>
      <c r="L1849" s="1125">
        <v>560</v>
      </c>
    </row>
    <row r="1850" spans="1:12" s="1279" customFormat="1" ht="20.100000000000001" customHeight="1">
      <c r="A1850" s="1377">
        <f t="shared" si="71"/>
        <v>0</v>
      </c>
      <c r="B1850" s="1378" t="s">
        <v>648</v>
      </c>
      <c r="C1850" s="1328"/>
      <c r="D1850" s="1274" t="str">
        <f>VLOOKUP($B1850,DG!A:D,DG!$B$2,)</f>
        <v>04.9203</v>
      </c>
      <c r="E1850" s="1329" t="str">
        <f>VLOOKUP($B1850,DG!A:D,DG!$C$2,)</f>
        <v>Dựng trụ BTLT 12m trong TBA bằng thủ công + cơ giới</v>
      </c>
      <c r="F1850" s="1274" t="str">
        <f>VLOOKUP($B1850,DG!A:D,DG!$D$2,)</f>
        <v>trụ</v>
      </c>
      <c r="G1850" s="1330">
        <f>G1848</f>
        <v>0</v>
      </c>
      <c r="H1850" s="1353">
        <f t="shared" si="73"/>
        <v>0</v>
      </c>
      <c r="I1850" s="1310"/>
      <c r="J1850" s="1310"/>
      <c r="K1850" s="1312"/>
      <c r="L1850" s="1125">
        <v>560</v>
      </c>
    </row>
    <row r="1851" spans="1:12" s="1279" customFormat="1" ht="20.100000000000001" customHeight="1">
      <c r="A1851" s="1377">
        <f t="shared" si="71"/>
        <v>0</v>
      </c>
      <c r="B1851" s="1622"/>
      <c r="C1851" s="1322">
        <f>IF(G1851&gt;0,1,0)</f>
        <v>0</v>
      </c>
      <c r="D1851" s="1323"/>
      <c r="E1851" s="1324" t="s">
        <v>3811</v>
      </c>
      <c r="F1851" s="1325" t="s">
        <v>2340</v>
      </c>
      <c r="G1851" s="1326">
        <f>G1832*2*0</f>
        <v>0</v>
      </c>
      <c r="H1851" s="1353">
        <f t="shared" si="73"/>
        <v>0</v>
      </c>
      <c r="I1851" s="1327"/>
      <c r="J1851" s="1327"/>
      <c r="K1851" s="1278"/>
      <c r="L1851" s="1125">
        <v>560</v>
      </c>
    </row>
    <row r="1852" spans="1:12" s="1279" customFormat="1" ht="20.100000000000001" customHeight="1">
      <c r="A1852" s="1377">
        <f t="shared" si="71"/>
        <v>0</v>
      </c>
      <c r="B1852" s="1378" t="s">
        <v>115</v>
      </c>
      <c r="C1852" s="1328"/>
      <c r="D1852" s="1274"/>
      <c r="E1852" s="1329" t="str">
        <f>VLOOKUP($B1852,DG!A:D,DG!$C$2,)</f>
        <v>Trụ BTLT 10,5m F350 dự ứng lực</v>
      </c>
      <c r="F1852" s="1274" t="str">
        <f>VLOOKUP($B1852,DG!A:D,DG!$D$2,)</f>
        <v>trụ</v>
      </c>
      <c r="G1852" s="1330">
        <f>G1851</f>
        <v>0</v>
      </c>
      <c r="H1852" s="1353">
        <f t="shared" si="73"/>
        <v>0</v>
      </c>
      <c r="I1852" s="1310"/>
      <c r="J1852" s="1273"/>
      <c r="K1852" s="1278"/>
      <c r="L1852" s="1125">
        <v>560</v>
      </c>
    </row>
    <row r="1853" spans="1:12" s="1279" customFormat="1" ht="20.100000000000001" customHeight="1">
      <c r="A1853" s="1377">
        <f t="shared" si="71"/>
        <v>0</v>
      </c>
      <c r="B1853" s="1378" t="s">
        <v>1867</v>
      </c>
      <c r="C1853" s="1328"/>
      <c r="D1853" s="1274"/>
      <c r="E1853" s="1329" t="str">
        <f>VLOOKUP($B1853,DG!A:D,DG!$C$2,)</f>
        <v>Vật liệu dựng trụ</v>
      </c>
      <c r="F1853" s="1274" t="str">
        <f>VLOOKUP($B1853,DG!A:D,DG!$D$2,)</f>
        <v>trụ</v>
      </c>
      <c r="G1853" s="1330">
        <f>G1852</f>
        <v>0</v>
      </c>
      <c r="H1853" s="1353">
        <f t="shared" si="73"/>
        <v>0</v>
      </c>
      <c r="I1853" s="1273"/>
      <c r="J1853" s="1273"/>
      <c r="K1853" s="1278"/>
      <c r="L1853" s="1125">
        <v>560</v>
      </c>
    </row>
    <row r="1854" spans="1:12" s="1279" customFormat="1" ht="20.100000000000001" customHeight="1">
      <c r="A1854" s="1377">
        <f t="shared" si="71"/>
        <v>0</v>
      </c>
      <c r="B1854" s="1378" t="s">
        <v>649</v>
      </c>
      <c r="C1854" s="1328"/>
      <c r="D1854" s="1274" t="str">
        <f>VLOOKUP($B1854,DG!A:D,DG!$B$2,)</f>
        <v>04.9203</v>
      </c>
      <c r="E1854" s="1329" t="str">
        <f>VLOOKUP($B1854,DG!A:D,DG!$C$2,)</f>
        <v>Dựng trụ BTLT 10,5m trong TBA bằng thủ công + cơ giới</v>
      </c>
      <c r="F1854" s="1274" t="str">
        <f>VLOOKUP($B1854,DG!A:D,DG!$D$2,)</f>
        <v>trụ</v>
      </c>
      <c r="G1854" s="1330">
        <f>G1852</f>
        <v>0</v>
      </c>
      <c r="H1854" s="1353">
        <f t="shared" si="73"/>
        <v>0</v>
      </c>
      <c r="I1854" s="1310"/>
      <c r="J1854" s="1310"/>
      <c r="K1854" s="1278"/>
      <c r="L1854" s="1125">
        <v>560</v>
      </c>
    </row>
    <row r="1855" spans="1:12" s="1279" customFormat="1" ht="20.100000000000001" customHeight="1">
      <c r="A1855" s="1377">
        <f t="shared" si="71"/>
        <v>0</v>
      </c>
      <c r="B1855" s="1623"/>
      <c r="C1855" s="1280">
        <f>IF(G1855&gt;0,C1847+1,C1847)</f>
        <v>0</v>
      </c>
      <c r="D1855" s="1323"/>
      <c r="E1855" s="1324" t="s">
        <v>2416</v>
      </c>
      <c r="F1855" s="1325" t="s">
        <v>2391</v>
      </c>
      <c r="G1855" s="1331">
        <f>G1847</f>
        <v>0</v>
      </c>
      <c r="H1855" s="1353">
        <f t="shared" si="73"/>
        <v>0</v>
      </c>
      <c r="I1855" s="1273"/>
      <c r="J1855" s="1273"/>
      <c r="K1855" s="1312"/>
      <c r="L1855" s="1125">
        <v>560</v>
      </c>
    </row>
    <row r="1856" spans="1:12" s="1279" customFormat="1" ht="20.100000000000001" customHeight="1">
      <c r="A1856" s="1377">
        <f t="shared" si="71"/>
        <v>0</v>
      </c>
      <c r="B1856" s="1589" t="s">
        <v>641</v>
      </c>
      <c r="C1856" s="1328"/>
      <c r="D1856" s="1274" t="str">
        <f>VLOOKUP($B1856,DG!A:D,DG!$B$2,)</f>
        <v>04.4001</v>
      </c>
      <c r="E1856" s="1332" t="str">
        <f>VLOOKUP($B1856,DG!A:D,DG!$C$2,)</f>
        <v>Đà cản BTCT 1,2m</v>
      </c>
      <c r="F1856" s="1288" t="str">
        <f>VLOOKUP($B1856,DG!A:D,DG!$D$2,)</f>
        <v>cái</v>
      </c>
      <c r="G1856" s="1330">
        <f>G1855</f>
        <v>0</v>
      </c>
      <c r="H1856" s="1353">
        <f t="shared" si="73"/>
        <v>0</v>
      </c>
      <c r="I1856" s="1310"/>
      <c r="J1856" s="1273"/>
      <c r="K1856" s="1312"/>
      <c r="L1856" s="1125">
        <v>560</v>
      </c>
    </row>
    <row r="1857" spans="1:12" s="1279" customFormat="1" ht="20.100000000000001" customHeight="1">
      <c r="A1857" s="1377">
        <f t="shared" si="71"/>
        <v>0</v>
      </c>
      <c r="B1857" s="1589" t="s">
        <v>570</v>
      </c>
      <c r="C1857" s="1328"/>
      <c r="D1857" s="1288"/>
      <c r="E1857" s="1332" t="str">
        <f>VLOOKUP($B1857,DG!A:D,DG!$C$2,)</f>
        <v>Boulon 22x650+ 2 long đền vuông D24-50x50x3/Zn</v>
      </c>
      <c r="F1857" s="1288" t="str">
        <f>VLOOKUP($B1857,DG!A:D,DG!$D$2,)</f>
        <v>bộ</v>
      </c>
      <c r="G1857" s="1330">
        <f>G1856</f>
        <v>0</v>
      </c>
      <c r="H1857" s="1353">
        <f t="shared" si="73"/>
        <v>0</v>
      </c>
      <c r="I1857" s="1332"/>
      <c r="J1857" s="1273"/>
      <c r="K1857" s="1312"/>
      <c r="L1857" s="1125">
        <v>560</v>
      </c>
    </row>
    <row r="1858" spans="1:12" s="1279" customFormat="1" ht="20.100000000000001" customHeight="1">
      <c r="A1858" s="1377">
        <f t="shared" si="71"/>
        <v>0</v>
      </c>
      <c r="B1858" s="1589" t="str">
        <f>IF(chitiet!F5=1,"MDD1",IF(chitiet!F5=2,"MDD2",IF(chitiet!F5=3,"MDD3",IF(chitiet!F5=4,"MDD4"))))</f>
        <v>MDD3</v>
      </c>
      <c r="C1858" s="1328"/>
      <c r="D1858" s="1288" t="str">
        <f>VLOOKUP($B1858,DG!A:D,DG!$B$2,)</f>
        <v>03.1013</v>
      </c>
      <c r="E1858" s="1332" t="str">
        <f>VLOOKUP($B1858,DG!A:D,DG!$C$2,)</f>
        <v>Đào hố móng đất cấp 3 sâu &gt;1m DT&lt;5m2</v>
      </c>
      <c r="F1858" s="1288" t="str">
        <f>VLOOKUP($B1858,DG!A:D,DG!$D$2,)</f>
        <v>m3</v>
      </c>
      <c r="G1858" s="1333">
        <f>1.45*G1856</f>
        <v>0</v>
      </c>
      <c r="H1858" s="1353">
        <f t="shared" si="73"/>
        <v>0</v>
      </c>
      <c r="I1858" s="1334"/>
      <c r="J1858" s="1273"/>
      <c r="K1858" s="1312"/>
      <c r="L1858" s="1125">
        <v>560</v>
      </c>
    </row>
    <row r="1859" spans="1:12" s="1279" customFormat="1" ht="20.100000000000001" customHeight="1">
      <c r="A1859" s="1377">
        <f t="shared" si="71"/>
        <v>0</v>
      </c>
      <c r="B1859" s="1589" t="str">
        <f>IF(chitiet!F5=1,"MDAP1",IF(chitiet!F5=2,"MDAP2",IF(chitiet!F5=3,"MDAP3",IF(chitiet!F5=4,"MDAP4"))))</f>
        <v>MDAP3</v>
      </c>
      <c r="C1859" s="1328"/>
      <c r="D1859" s="1288" t="str">
        <f>VLOOKUP($B1859,DG!A:D,DG!$B$2,)</f>
        <v>03.4113</v>
      </c>
      <c r="E1859" s="1332" t="str">
        <f>VLOOKUP($B1859,DG!A:D,DG!$C$2,)</f>
        <v>Đắp đất hố móng, độ chặt k=0,95</v>
      </c>
      <c r="F1859" s="1288" t="str">
        <f>VLOOKUP($B1859,DG!A:D,DG!$D$2,)</f>
        <v>m3</v>
      </c>
      <c r="G1859" s="1335">
        <f>1.37*G1855</f>
        <v>0</v>
      </c>
      <c r="H1859" s="1353">
        <f t="shared" si="73"/>
        <v>0</v>
      </c>
      <c r="I1859" s="1334"/>
      <c r="J1859" s="1273"/>
      <c r="K1859" s="1312"/>
      <c r="L1859" s="1125">
        <v>560</v>
      </c>
    </row>
    <row r="1860" spans="1:12" s="1279" customFormat="1" ht="20.100000000000001" customHeight="1">
      <c r="A1860" s="1377">
        <f t="shared" si="71"/>
        <v>0</v>
      </c>
      <c r="B1860" s="1623"/>
      <c r="C1860" s="1280">
        <f>IF(G1860&gt;0,C1852+1,C1852)</f>
        <v>0</v>
      </c>
      <c r="D1860" s="1323"/>
      <c r="E1860" s="1324" t="s">
        <v>3812</v>
      </c>
      <c r="F1860" s="1325" t="s">
        <v>2391</v>
      </c>
      <c r="G1860" s="1331">
        <f>G1851*0</f>
        <v>0</v>
      </c>
      <c r="H1860" s="1353">
        <f t="shared" si="73"/>
        <v>0</v>
      </c>
      <c r="I1860" s="1273"/>
      <c r="J1860" s="1273"/>
      <c r="K1860" s="1278"/>
      <c r="L1860" s="1125">
        <v>560</v>
      </c>
    </row>
    <row r="1861" spans="1:12" s="1279" customFormat="1" ht="20.100000000000001" customHeight="1">
      <c r="A1861" s="1377">
        <f t="shared" si="71"/>
        <v>0</v>
      </c>
      <c r="B1861" s="1589" t="s">
        <v>641</v>
      </c>
      <c r="C1861" s="1328"/>
      <c r="D1861" s="1274" t="str">
        <f>VLOOKUP($B1861,DG!A:D,DG!$B$2,)</f>
        <v>04.4001</v>
      </c>
      <c r="E1861" s="1332" t="str">
        <f>VLOOKUP($B1861,DG!A:D,DG!$C$2,)</f>
        <v>Đà cản BTCT 1,2m</v>
      </c>
      <c r="F1861" s="1288" t="str">
        <f>VLOOKUP($B1861,DG!A:D,DG!$D$2,)</f>
        <v>cái</v>
      </c>
      <c r="G1861" s="1330">
        <f>G1860</f>
        <v>0</v>
      </c>
      <c r="H1861" s="1353">
        <f t="shared" si="73"/>
        <v>0</v>
      </c>
      <c r="I1861" s="1310"/>
      <c r="J1861" s="1273"/>
      <c r="K1861" s="1278"/>
      <c r="L1861" s="1125">
        <v>560</v>
      </c>
    </row>
    <row r="1862" spans="1:12" s="1279" customFormat="1" ht="20.100000000000001" customHeight="1">
      <c r="A1862" s="1377">
        <f t="shared" si="71"/>
        <v>0</v>
      </c>
      <c r="B1862" s="1589" t="s">
        <v>570</v>
      </c>
      <c r="C1862" s="1328"/>
      <c r="D1862" s="1288"/>
      <c r="E1862" s="1332" t="str">
        <f>VLOOKUP($B1862,DG!A:D,DG!$C$2,)</f>
        <v>Boulon 22x650+ 2 long đền vuông D24-50x50x3/Zn</v>
      </c>
      <c r="F1862" s="1288" t="str">
        <f>VLOOKUP($B1862,DG!A:D,DG!$D$2,)</f>
        <v>bộ</v>
      </c>
      <c r="G1862" s="1330">
        <f>G1861</f>
        <v>0</v>
      </c>
      <c r="H1862" s="1353">
        <f t="shared" si="73"/>
        <v>0</v>
      </c>
      <c r="I1862" s="1332"/>
      <c r="J1862" s="1273"/>
      <c r="K1862" s="1278"/>
      <c r="L1862" s="1125">
        <v>560</v>
      </c>
    </row>
    <row r="1863" spans="1:12" s="1279" customFormat="1" ht="20.100000000000001" customHeight="1">
      <c r="A1863" s="1377">
        <f t="shared" si="71"/>
        <v>0</v>
      </c>
      <c r="B1863" s="1589" t="str">
        <f>IF(chitiet!F5=1,"MDD1",IF(chitiet!F5=2,"MDD2",IF(chitiet!F5=3,"MDD3",IF(chitiet!F5=4,"MDD4"))))</f>
        <v>MDD3</v>
      </c>
      <c r="C1863" s="1328"/>
      <c r="D1863" s="1288" t="str">
        <f>VLOOKUP($B1863,DG!A:D,DG!$B$2,)</f>
        <v>03.1013</v>
      </c>
      <c r="E1863" s="1332" t="str">
        <f>VLOOKUP($B1863,DG!A:D,DG!$C$2,)</f>
        <v>Đào hố móng đất cấp 3 sâu &gt;1m DT&lt;5m2</v>
      </c>
      <c r="F1863" s="1288" t="str">
        <f>VLOOKUP($B1863,DG!A:D,DG!$D$2,)</f>
        <v>m3</v>
      </c>
      <c r="G1863" s="1335">
        <f>1.48*G1861</f>
        <v>0</v>
      </c>
      <c r="H1863" s="1353">
        <f t="shared" si="73"/>
        <v>0</v>
      </c>
      <c r="I1863" s="1334"/>
      <c r="J1863" s="1273"/>
      <c r="K1863" s="1278"/>
      <c r="L1863" s="1125">
        <v>560</v>
      </c>
    </row>
    <row r="1864" spans="1:12" s="1279" customFormat="1" ht="20.100000000000001" customHeight="1">
      <c r="A1864" s="1377">
        <f t="shared" si="71"/>
        <v>0</v>
      </c>
      <c r="B1864" s="1589" t="str">
        <f>IF(chitiet!F5=1,"MDAP1",IF(chitiet!F5=2,"MDAP2",IF(chitiet!F5=3,"MDAP3",IF(chitiet!F5=4,"MDAP4"))))</f>
        <v>MDAP3</v>
      </c>
      <c r="C1864" s="1328"/>
      <c r="D1864" s="1288" t="str">
        <f>VLOOKUP($B1864,DG!A:D,DG!$B$2,)</f>
        <v>03.4113</v>
      </c>
      <c r="E1864" s="1332" t="str">
        <f>VLOOKUP($B1864,DG!A:D,DG!$C$2,)</f>
        <v>Đắp đất hố móng, độ chặt k=0,95</v>
      </c>
      <c r="F1864" s="1288" t="str">
        <f>VLOOKUP($B1864,DG!A:D,DG!$D$2,)</f>
        <v>m3</v>
      </c>
      <c r="G1864" s="1335">
        <f>1.39*G1860</f>
        <v>0</v>
      </c>
      <c r="H1864" s="1353">
        <f t="shared" si="73"/>
        <v>0</v>
      </c>
      <c r="I1864" s="1334"/>
      <c r="J1864" s="1273"/>
      <c r="K1864" s="1278"/>
      <c r="L1864" s="1125">
        <v>560</v>
      </c>
    </row>
    <row r="1865" spans="1:12" s="1279" customFormat="1" ht="20.100000000000001" customHeight="1">
      <c r="A1865" s="1377">
        <f t="shared" si="71"/>
        <v>0</v>
      </c>
      <c r="B1865" s="1582"/>
      <c r="C1865" s="1280">
        <f>IF(G1865&gt;0,C1855+1,C1855)</f>
        <v>0</v>
      </c>
      <c r="D1865" s="1336"/>
      <c r="E1865" s="1324" t="s">
        <v>3813</v>
      </c>
      <c r="F1865" s="1322" t="s">
        <v>2449</v>
      </c>
      <c r="G1865" s="1337">
        <f>G1832*1</f>
        <v>0</v>
      </c>
      <c r="H1865" s="1353">
        <f t="shared" si="73"/>
        <v>0</v>
      </c>
      <c r="I1865" s="1338"/>
      <c r="J1865" s="1338"/>
      <c r="K1865" s="1278"/>
      <c r="L1865" s="1125">
        <v>560</v>
      </c>
    </row>
    <row r="1866" spans="1:12" s="1279" customFormat="1" ht="20.100000000000001" customHeight="1">
      <c r="A1866" s="1377">
        <f>IF(A1865&gt;0,1,0)</f>
        <v>0</v>
      </c>
      <c r="B1866" s="1582"/>
      <c r="C1866" s="1273"/>
      <c r="D1866" s="1339"/>
      <c r="E1866" s="1637" t="s">
        <v>2342</v>
      </c>
      <c r="F1866" s="1286"/>
      <c r="G1866" s="1287"/>
      <c r="H1866" s="1353">
        <f t="shared" si="73"/>
        <v>0</v>
      </c>
      <c r="I1866" s="1340"/>
      <c r="J1866" s="1340"/>
      <c r="K1866" s="1278"/>
      <c r="L1866" s="1125">
        <v>560</v>
      </c>
    </row>
    <row r="1867" spans="1:12" s="1279" customFormat="1" ht="20.100000000000001" customHeight="1">
      <c r="A1867" s="1377">
        <f t="shared" si="71"/>
        <v>0</v>
      </c>
      <c r="B1867" s="1378" t="s">
        <v>1441</v>
      </c>
      <c r="C1867" s="1273"/>
      <c r="D1867" s="1288" t="str">
        <f>VLOOKUP($B1867,DG!A:D,DG!$B$2,)</f>
        <v>05.6105</v>
      </c>
      <c r="E1867" s="1275" t="str">
        <f>VLOOKUP($B1867,DG!A:D,DG!$C$2,)&amp;": 2 cái"</f>
        <v>Đà U200x80x5x2800 đỡ MBA: 2 cái</v>
      </c>
      <c r="F1867" s="1274" t="str">
        <f>VLOOKUP($B1867,DG!A:D,DG!$D$2,)</f>
        <v>kg</v>
      </c>
      <c r="G1867" s="1276">
        <f>52.049*G1865*2</f>
        <v>0</v>
      </c>
      <c r="H1867" s="1353">
        <f t="shared" si="73"/>
        <v>0</v>
      </c>
      <c r="I1867" s="1310"/>
      <c r="J1867" s="1310"/>
      <c r="K1867" s="1278"/>
      <c r="L1867" s="1125">
        <v>560</v>
      </c>
    </row>
    <row r="1868" spans="1:12" s="1279" customFormat="1" ht="20.100000000000001" customHeight="1">
      <c r="A1868" s="1377">
        <f t="shared" si="71"/>
        <v>0</v>
      </c>
      <c r="B1868" s="1378" t="s">
        <v>1167</v>
      </c>
      <c r="C1868" s="1273"/>
      <c r="D1868" s="1288" t="str">
        <f>VLOOKUP($B1868,DG!A:D,DG!$B$2,)</f>
        <v>05.6101</v>
      </c>
      <c r="E1868" s="1275" t="str">
        <f>VLOOKUP($B1868,DG!A:D,DG!$C$2,)&amp;": 4 cái"</f>
        <v>Đà U100x46x4.5x400 : 4 cái</v>
      </c>
      <c r="F1868" s="1274" t="str">
        <f>VLOOKUP($B1868,DG!A:D,DG!$D$2,)</f>
        <v>kg</v>
      </c>
      <c r="G1868" s="1276">
        <f>G1865*2.713*4</f>
        <v>0</v>
      </c>
      <c r="H1868" s="1353">
        <f t="shared" si="73"/>
        <v>0</v>
      </c>
      <c r="I1868" s="1310"/>
      <c r="J1868" s="1310"/>
      <c r="K1868" s="1278"/>
      <c r="L1868" s="1125">
        <v>560</v>
      </c>
    </row>
    <row r="1869" spans="1:12" s="1279" customFormat="1" ht="20.100000000000001" customHeight="1">
      <c r="A1869" s="1377">
        <f t="shared" si="71"/>
        <v>0</v>
      </c>
      <c r="B1869" s="1378" t="s">
        <v>1168</v>
      </c>
      <c r="C1869" s="1273"/>
      <c r="D1869" s="1288" t="str">
        <f>VLOOKUP($B1869,DG!A:D,DG!$B$2,)</f>
        <v>05.6101</v>
      </c>
      <c r="E1869" s="1275" t="str">
        <f>VLOOKUP($B1869,DG!A:D,DG!$C$2,)&amp;": 2 cái"</f>
        <v>Đà U100x46x5x800 : 2 cái</v>
      </c>
      <c r="F1869" s="1274" t="str">
        <f>VLOOKUP($B1869,DG!A:D,DG!$D$2,)</f>
        <v>kg</v>
      </c>
      <c r="G1869" s="1276">
        <f>G1865*5.426*2</f>
        <v>0</v>
      </c>
      <c r="H1869" s="1353">
        <f t="shared" si="73"/>
        <v>0</v>
      </c>
      <c r="I1869" s="1310"/>
      <c r="J1869" s="1310"/>
      <c r="K1869" s="1278"/>
      <c r="L1869" s="1125">
        <v>560</v>
      </c>
    </row>
    <row r="1870" spans="1:12" s="1279" customFormat="1" ht="20.100000000000001" customHeight="1">
      <c r="A1870" s="1377">
        <f t="shared" si="71"/>
        <v>0</v>
      </c>
      <c r="B1870" s="1582" t="s">
        <v>1834</v>
      </c>
      <c r="C1870" s="1273"/>
      <c r="D1870" s="1288">
        <f>VLOOKUP($B1870,DG!A:D,DG!$B$2,)</f>
        <v>0</v>
      </c>
      <c r="E1870" s="1275" t="str">
        <f>VLOOKUP($B1870,DG!A:D,DG!$C$2,)</f>
        <v>Boulon 16x400VRS+ 4 long đền vuông D18-50x50x3/Zn</v>
      </c>
      <c r="F1870" s="1274" t="str">
        <f>VLOOKUP($B1870,DG!A:D,DG!$D$2,)</f>
        <v>bộ</v>
      </c>
      <c r="G1870" s="1287">
        <f>G1865*10</f>
        <v>0</v>
      </c>
      <c r="H1870" s="1353">
        <f t="shared" si="73"/>
        <v>0</v>
      </c>
      <c r="I1870" s="1310"/>
      <c r="J1870" s="1310"/>
      <c r="K1870" s="1278"/>
      <c r="L1870" s="1125">
        <v>560</v>
      </c>
    </row>
    <row r="1871" spans="1:12" s="1279" customFormat="1" ht="20.100000000000001" customHeight="1">
      <c r="A1871" s="1377">
        <f t="shared" si="71"/>
        <v>0</v>
      </c>
      <c r="B1871" s="1582" t="s">
        <v>1113</v>
      </c>
      <c r="C1871" s="1273"/>
      <c r="D1871" s="1288">
        <f>VLOOKUP($B1871,DG!A:D,DG!$B$2,)</f>
        <v>0</v>
      </c>
      <c r="E1871" s="1275" t="str">
        <f>VLOOKUP($B1871,DG!A:D,DG!$C$2,)</f>
        <v>Boulon 16x400+ 2 long đền vuông D18-50x50x3/Zn</v>
      </c>
      <c r="F1871" s="1274" t="str">
        <f>VLOOKUP($B1871,DG!A:D,DG!$D$2,)</f>
        <v>bộ</v>
      </c>
      <c r="G1871" s="1287">
        <f>G1865*2</f>
        <v>0</v>
      </c>
      <c r="H1871" s="1353">
        <f t="shared" si="73"/>
        <v>0</v>
      </c>
      <c r="I1871" s="1310"/>
      <c r="J1871" s="1310"/>
      <c r="K1871" s="1278"/>
      <c r="L1871" s="1125">
        <v>560</v>
      </c>
    </row>
    <row r="1872" spans="1:12" s="1279" customFormat="1" ht="20.100000000000001" customHeight="1">
      <c r="A1872" s="1377">
        <f t="shared" si="71"/>
        <v>0</v>
      </c>
      <c r="B1872" s="1582" t="s">
        <v>1109</v>
      </c>
      <c r="C1872" s="1273"/>
      <c r="D1872" s="1288">
        <f>VLOOKUP($B1872,DG!A:D,DG!$B$2,)</f>
        <v>0</v>
      </c>
      <c r="E1872" s="1275" t="str">
        <f>VLOOKUP($B1872,DG!A:D,DG!$C$2,)</f>
        <v>Boulon 16x350+ 2 long đền vuông D18-50x50x3/Zn</v>
      </c>
      <c r="F1872" s="1274" t="str">
        <f>VLOOKUP($B1872,DG!A:D,DG!$D$2,)</f>
        <v>bộ</v>
      </c>
      <c r="G1872" s="1287">
        <f>G1865*12</f>
        <v>0</v>
      </c>
      <c r="H1872" s="1353">
        <f t="shared" si="73"/>
        <v>0</v>
      </c>
      <c r="I1872" s="1310"/>
      <c r="J1872" s="1310"/>
      <c r="K1872" s="1278"/>
      <c r="L1872" s="1125">
        <v>560</v>
      </c>
    </row>
    <row r="1873" spans="1:12" s="1279" customFormat="1" ht="20.100000000000001" customHeight="1">
      <c r="A1873" s="1377">
        <f t="shared" si="71"/>
        <v>0</v>
      </c>
      <c r="B1873" s="1582" t="s">
        <v>2304</v>
      </c>
      <c r="C1873" s="1273"/>
      <c r="D1873" s="1288" t="str">
        <f>VLOOKUP($B1873,DG!A:D,DG!$B$2,)</f>
        <v>05.6044</v>
      </c>
      <c r="E1873" s="1275" t="str">
        <f>VLOOKUP($B1873,DG!A:D,DG!$C$2,)</f>
        <v>Lắp xà cột Pi loại ≤140kg/xà</v>
      </c>
      <c r="F1873" s="1288" t="str">
        <f>VLOOKUP($B1873,DG!A:D,DG!$D$2,)</f>
        <v>bộ</v>
      </c>
      <c r="G1873" s="1287">
        <f>G1865</f>
        <v>0</v>
      </c>
      <c r="H1873" s="1353">
        <f t="shared" si="73"/>
        <v>0</v>
      </c>
      <c r="I1873" s="1310"/>
      <c r="J1873" s="1310"/>
      <c r="K1873" s="1278"/>
      <c r="L1873" s="1125">
        <v>560</v>
      </c>
    </row>
    <row r="1874" spans="1:12" s="1279" customFormat="1" ht="20.100000000000001" customHeight="1">
      <c r="A1874" s="1377">
        <f t="shared" ref="A1874:A1937" si="74">IF(H1874&gt;0,1,0)</f>
        <v>0</v>
      </c>
      <c r="B1874" s="1582"/>
      <c r="C1874" s="1280">
        <f>IF(G1874&gt;0,C1865+1,C1865)</f>
        <v>0</v>
      </c>
      <c r="D1874" s="1281"/>
      <c r="E1874" s="1341" t="s">
        <v>3844</v>
      </c>
      <c r="F1874" s="1280" t="s">
        <v>2449</v>
      </c>
      <c r="G1874" s="1283">
        <f>G1865*2</f>
        <v>0</v>
      </c>
      <c r="H1874" s="1353">
        <f t="shared" si="73"/>
        <v>0</v>
      </c>
      <c r="I1874" s="1342"/>
      <c r="J1874" s="1342"/>
      <c r="K1874" s="1278"/>
      <c r="L1874" s="1125">
        <v>560</v>
      </c>
    </row>
    <row r="1875" spans="1:12" s="1279" customFormat="1" ht="20.100000000000001" customHeight="1">
      <c r="A1875" s="1377">
        <f>IF(A1874&gt;0,1,0)</f>
        <v>0</v>
      </c>
      <c r="B1875" s="1582"/>
      <c r="C1875" s="1273"/>
      <c r="D1875" s="1288"/>
      <c r="E1875" s="1637" t="s">
        <v>2342</v>
      </c>
      <c r="F1875" s="1286"/>
      <c r="G1875" s="1287"/>
      <c r="H1875" s="1353">
        <f t="shared" si="73"/>
        <v>0</v>
      </c>
      <c r="I1875" s="1342"/>
      <c r="J1875" s="1342"/>
      <c r="K1875" s="1278"/>
      <c r="L1875" s="1125">
        <v>560</v>
      </c>
    </row>
    <row r="1876" spans="1:12" s="1279" customFormat="1" ht="20.100000000000001" customHeight="1">
      <c r="A1876" s="1377">
        <f t="shared" si="74"/>
        <v>0</v>
      </c>
      <c r="B1876" s="1589" t="s">
        <v>2075</v>
      </c>
      <c r="C1876" s="1273"/>
      <c r="D1876" s="1288">
        <f>VLOOKUP($B1876,DG!A:D,DG!$B$2,)</f>
        <v>0</v>
      </c>
      <c r="E1876" s="1275" t="str">
        <f>VLOOKUP($B1876,DG!A:D,DG!$C$2,)</f>
        <v>Sắt góc L75 x75 x8</v>
      </c>
      <c r="F1876" s="1288" t="str">
        <f>VLOOKUP($B1876,DG!A:D,DG!$D$2,)</f>
        <v>kg</v>
      </c>
      <c r="G1876" s="1276">
        <f>G1874*9.42*(2.6+3*0.07)*2</f>
        <v>0</v>
      </c>
      <c r="H1876" s="1353">
        <f t="shared" si="73"/>
        <v>0</v>
      </c>
      <c r="I1876" s="1310"/>
      <c r="J1876" s="1310"/>
      <c r="K1876" s="1278"/>
      <c r="L1876" s="1125">
        <v>560</v>
      </c>
    </row>
    <row r="1877" spans="1:12" s="1279" customFormat="1" ht="20.100000000000001" customHeight="1">
      <c r="A1877" s="1377">
        <f t="shared" si="74"/>
        <v>0</v>
      </c>
      <c r="B1877" s="1582" t="s">
        <v>1837</v>
      </c>
      <c r="C1877" s="1273"/>
      <c r="D1877" s="1288">
        <f>VLOOKUP($B1877,DG!A:D,DG!$B$2,)</f>
        <v>0</v>
      </c>
      <c r="E1877" s="1275" t="str">
        <f>VLOOKUP($B1877,DG!A:D,DG!$C$2,)</f>
        <v>Boulon 16x300VRS+ 4 long đền vuông D18-50x50x3/Zn</v>
      </c>
      <c r="F1877" s="1288" t="str">
        <f>VLOOKUP($B1877,DG!A:D,DG!$D$2,)</f>
        <v>bộ</v>
      </c>
      <c r="G1877" s="1287">
        <f>G1874*2</f>
        <v>0</v>
      </c>
      <c r="H1877" s="1353">
        <f t="shared" si="73"/>
        <v>0</v>
      </c>
      <c r="I1877" s="1310"/>
      <c r="J1877" s="1310"/>
      <c r="K1877" s="1278"/>
      <c r="L1877" s="1125">
        <v>560</v>
      </c>
    </row>
    <row r="1878" spans="1:12" s="1279" customFormat="1" ht="20.100000000000001" customHeight="1">
      <c r="A1878" s="1377">
        <f t="shared" si="74"/>
        <v>0</v>
      </c>
      <c r="B1878" s="1582" t="s">
        <v>1662</v>
      </c>
      <c r="C1878" s="1273"/>
      <c r="D1878" s="1288">
        <f>VLOOKUP($B1878,DG!A:D,DG!$B$2,)</f>
        <v>0</v>
      </c>
      <c r="E1878" s="1275" t="str">
        <f>VLOOKUP($B1878,DG!A:D,DG!$C$2,)</f>
        <v>Boulon 16x300+ 2 long đền vuông D18-50x50x3/Zn</v>
      </c>
      <c r="F1878" s="1288" t="str">
        <f>VLOOKUP($B1878,DG!A:D,DG!$D$2,)</f>
        <v>bộ</v>
      </c>
      <c r="G1878" s="1287">
        <f>G1874*2</f>
        <v>0</v>
      </c>
      <c r="H1878" s="1353">
        <f t="shared" si="73"/>
        <v>0</v>
      </c>
      <c r="I1878" s="1310"/>
      <c r="J1878" s="1310"/>
      <c r="K1878" s="1278"/>
      <c r="L1878" s="1125">
        <v>560</v>
      </c>
    </row>
    <row r="1879" spans="1:12" s="1279" customFormat="1" ht="20.100000000000001" customHeight="1">
      <c r="A1879" s="1377">
        <f t="shared" si="74"/>
        <v>0</v>
      </c>
      <c r="B1879" s="1582" t="s">
        <v>1661</v>
      </c>
      <c r="C1879" s="1273"/>
      <c r="D1879" s="1288">
        <f>VLOOKUP($B1879,DG!A:D,DG!$B$2,)</f>
        <v>0</v>
      </c>
      <c r="E1879" s="1275" t="str">
        <f>VLOOKUP($B1879,DG!A:D,DG!$C$2,)</f>
        <v>Boulon 16x250+ 2 long đền vuông D18-50x50x3/Zn</v>
      </c>
      <c r="F1879" s="1288" t="str">
        <f>VLOOKUP($B1879,DG!A:D,DG!$D$2,)</f>
        <v>bộ</v>
      </c>
      <c r="G1879" s="1287">
        <f>G1878</f>
        <v>0</v>
      </c>
      <c r="H1879" s="1353">
        <f t="shared" si="73"/>
        <v>0</v>
      </c>
      <c r="I1879" s="1310"/>
      <c r="J1879" s="1310"/>
      <c r="K1879" s="1278"/>
      <c r="L1879" s="1125">
        <v>560</v>
      </c>
    </row>
    <row r="1880" spans="1:12" s="1279" customFormat="1" ht="20.100000000000001" customHeight="1">
      <c r="A1880" s="1377">
        <f t="shared" si="74"/>
        <v>0</v>
      </c>
      <c r="B1880" s="1582" t="s">
        <v>2304</v>
      </c>
      <c r="C1880" s="1273"/>
      <c r="D1880" s="1288" t="str">
        <f>VLOOKUP($B1880,DG!A:D,DG!$B$2,)</f>
        <v>05.6044</v>
      </c>
      <c r="E1880" s="1275" t="str">
        <f>VLOOKUP($B1880,DG!A:D,DG!$C$2,)</f>
        <v>Lắp xà cột Pi loại ≤140kg/xà</v>
      </c>
      <c r="F1880" s="1288" t="str">
        <f>VLOOKUP($B1880,DG!A:D,DG!$D$2,)</f>
        <v>bộ</v>
      </c>
      <c r="G1880" s="1287">
        <f>G1874/2</f>
        <v>0</v>
      </c>
      <c r="H1880" s="1353">
        <f t="shared" si="73"/>
        <v>0</v>
      </c>
      <c r="I1880" s="1310"/>
      <c r="J1880" s="1310"/>
      <c r="K1880" s="1278"/>
      <c r="L1880" s="1125">
        <v>560</v>
      </c>
    </row>
    <row r="1881" spans="1:12" s="1279" customFormat="1" ht="20.100000000000001" customHeight="1">
      <c r="A1881" s="1377">
        <f t="shared" si="74"/>
        <v>0</v>
      </c>
      <c r="B1881" s="1582"/>
      <c r="C1881" s="1280">
        <f>IF(G1881&gt;0,C1874+1,C1874)</f>
        <v>0</v>
      </c>
      <c r="D1881" s="1281"/>
      <c r="E1881" s="1341" t="s">
        <v>3845</v>
      </c>
      <c r="F1881" s="1280" t="s">
        <v>2449</v>
      </c>
      <c r="G1881" s="1283">
        <f>G1832*1</f>
        <v>0</v>
      </c>
      <c r="H1881" s="1353">
        <f t="shared" si="73"/>
        <v>0</v>
      </c>
      <c r="I1881" s="1342"/>
      <c r="J1881" s="1342"/>
      <c r="K1881" s="1278"/>
      <c r="L1881" s="1125">
        <v>560</v>
      </c>
    </row>
    <row r="1882" spans="1:12" s="1279" customFormat="1" ht="20.100000000000001" customHeight="1">
      <c r="A1882" s="1377">
        <f>IF(A1881&gt;0,1,0)</f>
        <v>0</v>
      </c>
      <c r="B1882" s="1582"/>
      <c r="C1882" s="1273"/>
      <c r="D1882" s="1284"/>
      <c r="E1882" s="1637" t="s">
        <v>2342</v>
      </c>
      <c r="F1882" s="1286"/>
      <c r="G1882" s="1287"/>
      <c r="H1882" s="1353">
        <f t="shared" si="73"/>
        <v>0</v>
      </c>
      <c r="I1882" s="1342"/>
      <c r="J1882" s="1342"/>
      <c r="K1882" s="1278"/>
      <c r="L1882" s="1125">
        <v>560</v>
      </c>
    </row>
    <row r="1883" spans="1:12" s="1279" customFormat="1" ht="20.100000000000001" customHeight="1">
      <c r="A1883" s="1377">
        <f t="shared" si="74"/>
        <v>0</v>
      </c>
      <c r="B1883" s="1589" t="s">
        <v>2075</v>
      </c>
      <c r="C1883" s="1273"/>
      <c r="D1883" s="1288">
        <f>VLOOKUP($B1883,DG!A:D,DG!$B$2,)</f>
        <v>0</v>
      </c>
      <c r="E1883" s="1275" t="str">
        <f>VLOOKUP($B1883,DG!A:D,DG!$C$2,)</f>
        <v>Sắt góc L75 x75 x8</v>
      </c>
      <c r="F1883" s="1288" t="str">
        <f>VLOOKUP($B1883,DG!A:D,DG!$D$2,)</f>
        <v>kg</v>
      </c>
      <c r="G1883" s="1276">
        <f>G1881*9.42*(2.6+3*0.07)</f>
        <v>0</v>
      </c>
      <c r="H1883" s="1353">
        <f t="shared" si="73"/>
        <v>0</v>
      </c>
      <c r="I1883" s="1310"/>
      <c r="J1883" s="1310"/>
      <c r="K1883" s="1278"/>
      <c r="L1883" s="1125">
        <v>560</v>
      </c>
    </row>
    <row r="1884" spans="1:12" s="1279" customFormat="1" ht="20.100000000000001" customHeight="1">
      <c r="A1884" s="1377">
        <f t="shared" si="74"/>
        <v>0</v>
      </c>
      <c r="B1884" s="1582" t="s">
        <v>1661</v>
      </c>
      <c r="C1884" s="1273"/>
      <c r="D1884" s="1288">
        <f>VLOOKUP($B1884,DG!A:D,DG!$B$2,)</f>
        <v>0</v>
      </c>
      <c r="E1884" s="1275" t="str">
        <f>VLOOKUP($B1884,DG!A:D,DG!$C$2,)</f>
        <v>Boulon 16x250+ 2 long đền vuông D18-50x50x3/Zn</v>
      </c>
      <c r="F1884" s="1288" t="str">
        <f>VLOOKUP($B1884,DG!A:D,DG!$D$2,)</f>
        <v>bộ</v>
      </c>
      <c r="G1884" s="1287">
        <f>G1881</f>
        <v>0</v>
      </c>
      <c r="H1884" s="1353">
        <f t="shared" si="73"/>
        <v>0</v>
      </c>
      <c r="I1884" s="1310"/>
      <c r="J1884" s="1310"/>
      <c r="K1884" s="1278"/>
      <c r="L1884" s="1125">
        <v>560</v>
      </c>
    </row>
    <row r="1885" spans="1:12" s="1279" customFormat="1" ht="20.100000000000001" customHeight="1">
      <c r="A1885" s="1377">
        <f t="shared" si="74"/>
        <v>0</v>
      </c>
      <c r="B1885" s="1582" t="s">
        <v>1662</v>
      </c>
      <c r="C1885" s="1273"/>
      <c r="D1885" s="1288">
        <f>VLOOKUP($B1885,DG!A:D,DG!$B$2,)</f>
        <v>0</v>
      </c>
      <c r="E1885" s="1275" t="str">
        <f>VLOOKUP($B1885,DG!A:D,DG!$C$2,)</f>
        <v>Boulon 16x300+ 2 long đền vuông D18-50x50x3/Zn</v>
      </c>
      <c r="F1885" s="1288" t="str">
        <f>VLOOKUP($B1885,DG!A:D,DG!$D$2,)</f>
        <v>bộ</v>
      </c>
      <c r="G1885" s="1287">
        <f>G1881</f>
        <v>0</v>
      </c>
      <c r="H1885" s="1353">
        <f t="shared" si="73"/>
        <v>0</v>
      </c>
      <c r="I1885" s="1310"/>
      <c r="J1885" s="1310"/>
      <c r="K1885" s="1278"/>
      <c r="L1885" s="1125">
        <v>560</v>
      </c>
    </row>
    <row r="1886" spans="1:12" s="1279" customFormat="1" ht="20.100000000000001" customHeight="1">
      <c r="A1886" s="1377">
        <f t="shared" si="74"/>
        <v>0</v>
      </c>
      <c r="B1886" s="1582" t="s">
        <v>30</v>
      </c>
      <c r="C1886" s="1273"/>
      <c r="D1886" s="1288">
        <f>VLOOKUP($B1886,DG!A:D,DG!$B$2,)</f>
        <v>0</v>
      </c>
      <c r="E1886" s="1275" t="str">
        <f>VLOOKUP($B1886,DG!A:D,DG!$C$2,)</f>
        <v>Bass LI bắt FCO</v>
      </c>
      <c r="F1886" s="1288" t="str">
        <f>VLOOKUP($B1886,DG!A:D,DG!$D$2,)</f>
        <v>Bộ</v>
      </c>
      <c r="G1886" s="1287">
        <f>G1833*2</f>
        <v>0</v>
      </c>
      <c r="H1886" s="1353">
        <f t="shared" si="73"/>
        <v>0</v>
      </c>
      <c r="I1886" s="1310"/>
      <c r="J1886" s="1310"/>
      <c r="K1886" s="1278"/>
      <c r="L1886" s="1125">
        <v>560</v>
      </c>
    </row>
    <row r="1887" spans="1:12" s="1279" customFormat="1" ht="20.100000000000001" customHeight="1">
      <c r="A1887" s="1377">
        <f t="shared" si="74"/>
        <v>0</v>
      </c>
      <c r="B1887" s="1582" t="s">
        <v>2304</v>
      </c>
      <c r="C1887" s="1273"/>
      <c r="D1887" s="1288" t="str">
        <f>VLOOKUP($B1887,DG!A:D,DG!$B$2,)</f>
        <v>05.6044</v>
      </c>
      <c r="E1887" s="1275" t="str">
        <f>VLOOKUP($B1887,DG!A:D,DG!$C$2,)</f>
        <v>Lắp xà cột Pi loại ≤140kg/xà</v>
      </c>
      <c r="F1887" s="1288" t="str">
        <f>VLOOKUP($B1887,DG!A:D,DG!$D$2,)</f>
        <v>bộ</v>
      </c>
      <c r="G1887" s="1287">
        <f>G1832</f>
        <v>0</v>
      </c>
      <c r="H1887" s="1353">
        <f t="shared" si="73"/>
        <v>0</v>
      </c>
      <c r="I1887" s="1310"/>
      <c r="J1887" s="1310"/>
      <c r="K1887" s="1278"/>
      <c r="L1887" s="1125">
        <v>560</v>
      </c>
    </row>
    <row r="1888" spans="1:12" s="1279" customFormat="1" ht="20.100000000000001" customHeight="1">
      <c r="A1888" s="1377">
        <f t="shared" si="74"/>
        <v>0</v>
      </c>
      <c r="B1888" s="1582"/>
      <c r="C1888" s="1280">
        <f>IF(G1888&gt;0,C1881+1,C1881)</f>
        <v>0</v>
      </c>
      <c r="D1888" s="1281"/>
      <c r="E1888" s="1341" t="s">
        <v>3816</v>
      </c>
      <c r="F1888" s="1280" t="s">
        <v>2449</v>
      </c>
      <c r="G1888" s="1283">
        <f>G1832*2</f>
        <v>0</v>
      </c>
      <c r="H1888" s="1353">
        <f t="shared" si="73"/>
        <v>0</v>
      </c>
      <c r="I1888" s="1342"/>
      <c r="J1888" s="1342"/>
      <c r="K1888" s="1278"/>
      <c r="L1888" s="1125">
        <v>560</v>
      </c>
    </row>
    <row r="1889" spans="1:12" s="1279" customFormat="1" ht="20.100000000000001" customHeight="1">
      <c r="A1889" s="1377">
        <f>IF(A1888&gt;0,1,0)</f>
        <v>0</v>
      </c>
      <c r="B1889" s="1582"/>
      <c r="C1889" s="1273"/>
      <c r="D1889" s="1284"/>
      <c r="E1889" s="1637" t="s">
        <v>2342</v>
      </c>
      <c r="F1889" s="1286"/>
      <c r="G1889" s="1287"/>
      <c r="H1889" s="1353">
        <f t="shared" si="73"/>
        <v>0</v>
      </c>
      <c r="I1889" s="1342"/>
      <c r="J1889" s="1342"/>
      <c r="K1889" s="1278"/>
      <c r="L1889" s="1125">
        <v>560</v>
      </c>
    </row>
    <row r="1890" spans="1:12" s="1279" customFormat="1" ht="20.100000000000001" customHeight="1">
      <c r="A1890" s="1377">
        <f t="shared" si="74"/>
        <v>0</v>
      </c>
      <c r="B1890" s="1582" t="s">
        <v>2075</v>
      </c>
      <c r="C1890" s="1273"/>
      <c r="D1890" s="1288">
        <f>VLOOKUP($B1890,DG!A:D,DG!$B$2,)</f>
        <v>0</v>
      </c>
      <c r="E1890" s="1275" t="str">
        <f>VLOOKUP($B1890,DG!A:D,DG!$C$2,)</f>
        <v>Sắt góc L75 x75 x8</v>
      </c>
      <c r="F1890" s="1288" t="str">
        <f>VLOOKUP($B1890,DG!A:D,DG!$D$2,)</f>
        <v>kg</v>
      </c>
      <c r="G1890" s="1276">
        <f>G1888*9.42*2.6</f>
        <v>0</v>
      </c>
      <c r="H1890" s="1353">
        <f t="shared" si="73"/>
        <v>0</v>
      </c>
      <c r="I1890" s="1310"/>
      <c r="J1890" s="1310"/>
      <c r="K1890" s="1278"/>
      <c r="L1890" s="1125">
        <v>560</v>
      </c>
    </row>
    <row r="1891" spans="1:12" s="1279" customFormat="1" ht="20.100000000000001" customHeight="1">
      <c r="A1891" s="1377">
        <f t="shared" si="74"/>
        <v>0</v>
      </c>
      <c r="B1891" s="1582" t="s">
        <v>1113</v>
      </c>
      <c r="C1891" s="1273"/>
      <c r="D1891" s="1288">
        <f>VLOOKUP($B1891,DG!A:D,DG!$B$2,)</f>
        <v>0</v>
      </c>
      <c r="E1891" s="1275" t="str">
        <f>VLOOKUP($B1891,DG!A:D,DG!$C$2,)</f>
        <v>Boulon 16x400+ 2 long đền vuông D18-50x50x3/Zn</v>
      </c>
      <c r="F1891" s="1288" t="str">
        <f>VLOOKUP($B1891,DG!A:D,DG!$D$2,)</f>
        <v>bộ</v>
      </c>
      <c r="G1891" s="1287">
        <f>G1888*2</f>
        <v>0</v>
      </c>
      <c r="H1891" s="1353">
        <f t="shared" si="73"/>
        <v>0</v>
      </c>
      <c r="I1891" s="1310"/>
      <c r="J1891" s="1310"/>
      <c r="K1891" s="1278"/>
      <c r="L1891" s="1125">
        <v>560</v>
      </c>
    </row>
    <row r="1892" spans="1:12" s="1279" customFormat="1" ht="20.100000000000001" customHeight="1">
      <c r="A1892" s="1377">
        <f t="shared" si="74"/>
        <v>0</v>
      </c>
      <c r="B1892" s="1582" t="s">
        <v>139</v>
      </c>
      <c r="C1892" s="1273"/>
      <c r="D1892" s="1288">
        <f>VLOOKUP($B1892,DG!A:D,DG!$B$2,)</f>
        <v>0</v>
      </c>
      <c r="E1892" s="1275" t="str">
        <f>VLOOKUP($B1892,DG!A:D,DG!$C$2,)</f>
        <v>Boulon 12x40+ 2 long đền vuông D14-50x50x3/Zn</v>
      </c>
      <c r="F1892" s="1288" t="str">
        <f>VLOOKUP($B1892,DG!A:D,DG!$D$2,)</f>
        <v>bộ</v>
      </c>
      <c r="G1892" s="1287">
        <f>G1888*2</f>
        <v>0</v>
      </c>
      <c r="H1892" s="1353">
        <f t="shared" si="73"/>
        <v>0</v>
      </c>
      <c r="I1892" s="1310"/>
      <c r="J1892" s="1310"/>
      <c r="K1892" s="1278"/>
      <c r="L1892" s="1125">
        <v>560</v>
      </c>
    </row>
    <row r="1893" spans="1:12" s="1279" customFormat="1" ht="20.100000000000001" customHeight="1">
      <c r="A1893" s="1377">
        <f t="shared" si="74"/>
        <v>0</v>
      </c>
      <c r="B1893" s="1582" t="s">
        <v>2304</v>
      </c>
      <c r="C1893" s="1273"/>
      <c r="D1893" s="1288" t="str">
        <f>VLOOKUP($B1893,DG!A:D,DG!$B$2,)</f>
        <v>05.6044</v>
      </c>
      <c r="E1893" s="1275" t="str">
        <f>VLOOKUP($B1893,DG!A:D,DG!$C$2,)</f>
        <v>Lắp xà cột Pi loại ≤140kg/xà</v>
      </c>
      <c r="F1893" s="1288" t="str">
        <f>VLOOKUP($B1893,DG!A:D,DG!$D$2,)</f>
        <v>bộ</v>
      </c>
      <c r="G1893" s="1287">
        <f>G1888/2</f>
        <v>0</v>
      </c>
      <c r="H1893" s="1353">
        <f t="shared" si="73"/>
        <v>0</v>
      </c>
      <c r="I1893" s="1310"/>
      <c r="J1893" s="1310"/>
      <c r="K1893" s="1278"/>
      <c r="L1893" s="1125">
        <v>560</v>
      </c>
    </row>
    <row r="1894" spans="1:12" s="1279" customFormat="1" ht="20.100000000000001" customHeight="1">
      <c r="A1894" s="1377">
        <f t="shared" si="74"/>
        <v>0</v>
      </c>
      <c r="B1894" s="1582" t="s">
        <v>218</v>
      </c>
      <c r="C1894" s="1273"/>
      <c r="D1894" s="1288" t="str">
        <f>VLOOKUP($B1894,DG!A:D,DG!$B$2,)</f>
        <v>02.1115</v>
      </c>
      <c r="E1894" s="1275" t="str">
        <f>VLOOKUP($B1894,DG!A:D,DG!$C$2,)</f>
        <v>Bốc dỡ xà, thép thanh</v>
      </c>
      <c r="F1894" s="1288" t="str">
        <f>VLOOKUP($B1894,DG!A:D,DG!$D$2,)</f>
        <v>tấn</v>
      </c>
      <c r="G1894" s="1276">
        <f>0.05*0</f>
        <v>0</v>
      </c>
      <c r="H1894" s="1353">
        <f t="shared" si="73"/>
        <v>0</v>
      </c>
      <c r="I1894" s="1310"/>
      <c r="J1894" s="1310"/>
      <c r="K1894" s="1278"/>
      <c r="L1894" s="1125">
        <v>560</v>
      </c>
    </row>
    <row r="1895" spans="1:12" s="1279" customFormat="1" ht="20.100000000000001" customHeight="1">
      <c r="A1895" s="1377">
        <f t="shared" si="74"/>
        <v>0</v>
      </c>
      <c r="B1895" s="1582" t="s">
        <v>1662</v>
      </c>
      <c r="C1895" s="1273"/>
      <c r="D1895" s="1288">
        <f>VLOOKUP($B1895,DG!A:D,DG!$B$2,)</f>
        <v>0</v>
      </c>
      <c r="E1895" s="1275" t="str">
        <f>VLOOKUP($B1895,DG!A:D,DG!$C$2,)</f>
        <v>Boulon 16x300+ 2 long đền vuông D18-50x50x3/Zn</v>
      </c>
      <c r="F1895" s="1274" t="s">
        <v>2503</v>
      </c>
      <c r="G1895" s="1287">
        <f>G1888*2*0</f>
        <v>0</v>
      </c>
      <c r="H1895" s="1353">
        <f t="shared" si="73"/>
        <v>0</v>
      </c>
      <c r="I1895" s="1310"/>
      <c r="J1895" s="1310"/>
      <c r="K1895" s="1278"/>
      <c r="L1895" s="1125">
        <v>560</v>
      </c>
    </row>
    <row r="1896" spans="1:12" s="1279" customFormat="1" ht="20.100000000000001" customHeight="1">
      <c r="A1896" s="1377">
        <f t="shared" si="74"/>
        <v>0</v>
      </c>
      <c r="B1896" s="1582" t="s">
        <v>1661</v>
      </c>
      <c r="C1896" s="1273"/>
      <c r="D1896" s="1288">
        <f>VLOOKUP($B1896,DG!A:D,DG!$B$2,)</f>
        <v>0</v>
      </c>
      <c r="E1896" s="1275" t="str">
        <f>VLOOKUP($B1896,DG!A:D,DG!$C$2,)</f>
        <v>Boulon 16x250+ 2 long đền vuông D18-50x50x3/Zn</v>
      </c>
      <c r="F1896" s="1274" t="s">
        <v>2503</v>
      </c>
      <c r="G1896" s="1287">
        <f>2*G1888*2*0</f>
        <v>0</v>
      </c>
      <c r="H1896" s="1353">
        <f t="shared" si="73"/>
        <v>0</v>
      </c>
      <c r="I1896" s="1310"/>
      <c r="J1896" s="1310"/>
      <c r="K1896" s="1278"/>
      <c r="L1896" s="1125">
        <v>560</v>
      </c>
    </row>
    <row r="1897" spans="1:12" s="1279" customFormat="1" ht="20.100000000000001" customHeight="1" collapsed="1">
      <c r="A1897" s="1377">
        <f t="shared" si="74"/>
        <v>0</v>
      </c>
      <c r="B1897" s="1582"/>
      <c r="C1897" s="1280">
        <f>IF(G1897&gt;0,C1888+1,C1888)</f>
        <v>0</v>
      </c>
      <c r="D1897" s="1281"/>
      <c r="E1897" s="1341" t="s">
        <v>3846</v>
      </c>
      <c r="F1897" s="1280" t="s">
        <v>2449</v>
      </c>
      <c r="G1897" s="1283">
        <f>G1832*2*0</f>
        <v>0</v>
      </c>
      <c r="H1897" s="1353">
        <f t="shared" si="73"/>
        <v>0</v>
      </c>
      <c r="I1897" s="1277"/>
      <c r="J1897" s="1277"/>
      <c r="K1897" s="1312"/>
      <c r="L1897" s="1125">
        <v>560</v>
      </c>
    </row>
    <row r="1898" spans="1:12" s="1279" customFormat="1" ht="20.100000000000001" customHeight="1">
      <c r="A1898" s="1377">
        <f>IF(A1897&gt;0,1,0)</f>
        <v>0</v>
      </c>
      <c r="B1898" s="1582"/>
      <c r="C1898" s="1273"/>
      <c r="D1898" s="1284"/>
      <c r="E1898" s="1637" t="s">
        <v>2342</v>
      </c>
      <c r="F1898" s="1286"/>
      <c r="G1898" s="1287"/>
      <c r="H1898" s="1353">
        <f t="shared" si="73"/>
        <v>0</v>
      </c>
      <c r="I1898" s="1277"/>
      <c r="J1898" s="1277"/>
      <c r="K1898" s="1312"/>
      <c r="L1898" s="1125">
        <v>560</v>
      </c>
    </row>
    <row r="1899" spans="1:12" s="1279" customFormat="1" ht="20.100000000000001" customHeight="1">
      <c r="A1899" s="1377">
        <f t="shared" si="74"/>
        <v>0</v>
      </c>
      <c r="B1899" s="1582" t="s">
        <v>2075</v>
      </c>
      <c r="C1899" s="1273"/>
      <c r="D1899" s="1288">
        <f>VLOOKUP($B1899,DG!A:D,DG!$B$2,)</f>
        <v>0</v>
      </c>
      <c r="E1899" s="1275" t="str">
        <f>VLOOKUP($B1899,DG!A:D,DG!$C$2,)</f>
        <v>Sắt góc L75 x75 x8</v>
      </c>
      <c r="F1899" s="1274" t="s">
        <v>2310</v>
      </c>
      <c r="G1899" s="1276">
        <f>G1897*9.02*(2.2+4*0.07)*2</f>
        <v>0</v>
      </c>
      <c r="H1899" s="1353">
        <f t="shared" si="73"/>
        <v>0</v>
      </c>
      <c r="I1899" s="1277"/>
      <c r="J1899" s="1277"/>
      <c r="K1899" s="1312"/>
      <c r="L1899" s="1125">
        <v>560</v>
      </c>
    </row>
    <row r="1900" spans="1:12" s="1279" customFormat="1" ht="20.100000000000001" customHeight="1">
      <c r="A1900" s="1377">
        <f t="shared" si="74"/>
        <v>0</v>
      </c>
      <c r="B1900" s="1582" t="s">
        <v>1065</v>
      </c>
      <c r="C1900" s="1273"/>
      <c r="D1900" s="1288">
        <f>VLOOKUP($B1900,DG!A:D,DG!$B$2,)</f>
        <v>0</v>
      </c>
      <c r="E1900" s="1275" t="str">
        <f>VLOOKUP($B1900,DG!A:D,DG!$C$2,)&amp;" (Thanh choáng 810)"</f>
        <v>Sắt góc L50 x50 x5 (Thanh choáng 810)</v>
      </c>
      <c r="F1900" s="1274" t="s">
        <v>2310</v>
      </c>
      <c r="G1900" s="1276">
        <f>G1897*3.77*0.81*4</f>
        <v>0</v>
      </c>
      <c r="H1900" s="1353">
        <f t="shared" si="73"/>
        <v>0</v>
      </c>
      <c r="I1900" s="1277"/>
      <c r="J1900" s="1277"/>
      <c r="K1900" s="1312"/>
      <c r="L1900" s="1125">
        <v>560</v>
      </c>
    </row>
    <row r="1901" spans="1:12" s="1279" customFormat="1" ht="20.100000000000001" customHeight="1">
      <c r="A1901" s="1377">
        <f t="shared" si="74"/>
        <v>0</v>
      </c>
      <c r="B1901" s="1582" t="s">
        <v>1662</v>
      </c>
      <c r="C1901" s="1273"/>
      <c r="D1901" s="1288">
        <f>VLOOKUP($B1901,DG!A:D,DG!$B$2,)</f>
        <v>0</v>
      </c>
      <c r="E1901" s="1275" t="str">
        <f>VLOOKUP($B1901,DG!A:D,DG!$C$2,)</f>
        <v>Boulon 16x300+ 2 long đền vuông D18-50x50x3/Zn</v>
      </c>
      <c r="F1901" s="1274" t="s">
        <v>2503</v>
      </c>
      <c r="G1901" s="1287">
        <f>G1897*2</f>
        <v>0</v>
      </c>
      <c r="H1901" s="1353">
        <f t="shared" si="73"/>
        <v>0</v>
      </c>
      <c r="I1901" s="1277"/>
      <c r="J1901" s="1277"/>
      <c r="K1901" s="1312"/>
      <c r="L1901" s="1125">
        <v>560</v>
      </c>
    </row>
    <row r="1902" spans="1:12" s="1279" customFormat="1" ht="20.100000000000001" customHeight="1">
      <c r="A1902" s="1377">
        <f t="shared" si="74"/>
        <v>0</v>
      </c>
      <c r="B1902" s="1582" t="s">
        <v>1839</v>
      </c>
      <c r="C1902" s="1273"/>
      <c r="D1902" s="1288">
        <f>VLOOKUP($B1902,DG!A:D,DG!$B$2,)</f>
        <v>0</v>
      </c>
      <c r="E1902" s="1275" t="str">
        <f>VLOOKUP($B1902,DG!A:D,DG!$C$2,)</f>
        <v>Boulon 16x50+ 2 long đền vuông D18-50x50x3/Zn</v>
      </c>
      <c r="F1902" s="1274" t="s">
        <v>2503</v>
      </c>
      <c r="G1902" s="1287">
        <f>G1897*4</f>
        <v>0</v>
      </c>
      <c r="H1902" s="1353">
        <f t="shared" ref="H1902:H1965" si="75">IF(L1902=$L$23,G1902+I1902-J1902,0)</f>
        <v>0</v>
      </c>
      <c r="I1902" s="1277"/>
      <c r="J1902" s="1277"/>
      <c r="K1902" s="1312"/>
      <c r="L1902" s="1125">
        <v>560</v>
      </c>
    </row>
    <row r="1903" spans="1:12" s="1279" customFormat="1" ht="20.100000000000001" customHeight="1">
      <c r="A1903" s="1377">
        <f t="shared" si="74"/>
        <v>0</v>
      </c>
      <c r="B1903" s="1582" t="s">
        <v>1837</v>
      </c>
      <c r="C1903" s="1273"/>
      <c r="D1903" s="1288">
        <f>VLOOKUP($B1903,DG!A:D,DG!$B$2,)</f>
        <v>0</v>
      </c>
      <c r="E1903" s="1275" t="str">
        <f>VLOOKUP($B1903,DG!A:D,DG!$C$2,)</f>
        <v>Boulon 16x300VRS+ 4 long đền vuông D18-50x50x3/Zn</v>
      </c>
      <c r="F1903" s="1274" t="s">
        <v>2503</v>
      </c>
      <c r="G1903" s="1287">
        <f>G1897*4</f>
        <v>0</v>
      </c>
      <c r="H1903" s="1353">
        <f t="shared" si="75"/>
        <v>0</v>
      </c>
      <c r="I1903" s="1277"/>
      <c r="J1903" s="1277"/>
      <c r="K1903" s="1312"/>
      <c r="L1903" s="1125">
        <v>560</v>
      </c>
    </row>
    <row r="1904" spans="1:12" s="1279" customFormat="1" ht="20.100000000000001" customHeight="1">
      <c r="A1904" s="1377">
        <f t="shared" si="74"/>
        <v>0</v>
      </c>
      <c r="B1904" s="1582" t="s">
        <v>520</v>
      </c>
      <c r="C1904" s="1273"/>
      <c r="D1904" s="1288" t="str">
        <f>VLOOKUP($B1904,DG!A:D,DG!$B$2,)</f>
        <v>05.6203</v>
      </c>
      <c r="E1904" s="1275" t="str">
        <f>VLOOKUP($B1904,DG!A:D,DG!$C$2,)</f>
        <v>Lắp xà néo ≤ 100kg</v>
      </c>
      <c r="F1904" s="1274" t="s">
        <v>2503</v>
      </c>
      <c r="G1904" s="1287">
        <f>G1897</f>
        <v>0</v>
      </c>
      <c r="H1904" s="1353">
        <f t="shared" si="75"/>
        <v>0</v>
      </c>
      <c r="I1904" s="1277"/>
      <c r="J1904" s="1277"/>
      <c r="K1904" s="1312"/>
      <c r="L1904" s="1125">
        <v>560</v>
      </c>
    </row>
    <row r="1905" spans="1:12" s="1279" customFormat="1" ht="20.100000000000001" customHeight="1">
      <c r="A1905" s="1377">
        <f t="shared" si="74"/>
        <v>0</v>
      </c>
      <c r="B1905" s="1582"/>
      <c r="C1905" s="1280">
        <f>IF(G1905&gt;0,C1897+1,C1897)</f>
        <v>0</v>
      </c>
      <c r="D1905" s="1281"/>
      <c r="E1905" s="1341" t="s">
        <v>3818</v>
      </c>
      <c r="F1905" s="1280" t="s">
        <v>2449</v>
      </c>
      <c r="G1905" s="1283">
        <f>G1832*1*0</f>
        <v>0</v>
      </c>
      <c r="H1905" s="1353">
        <f t="shared" si="75"/>
        <v>0</v>
      </c>
      <c r="I1905" s="1277"/>
      <c r="J1905" s="1277"/>
      <c r="K1905" s="1312"/>
      <c r="L1905" s="1125">
        <v>560</v>
      </c>
    </row>
    <row r="1906" spans="1:12" s="1279" customFormat="1" ht="20.100000000000001" customHeight="1">
      <c r="A1906" s="1377">
        <f>IF(A1905&gt;0,1,0)</f>
        <v>0</v>
      </c>
      <c r="B1906" s="1582"/>
      <c r="C1906" s="1273"/>
      <c r="D1906" s="1284"/>
      <c r="E1906" s="1637" t="s">
        <v>2342</v>
      </c>
      <c r="F1906" s="1286"/>
      <c r="G1906" s="1287"/>
      <c r="H1906" s="1353">
        <f t="shared" si="75"/>
        <v>0</v>
      </c>
      <c r="I1906" s="1277"/>
      <c r="J1906" s="1277"/>
      <c r="K1906" s="1312"/>
      <c r="L1906" s="1125">
        <v>560</v>
      </c>
    </row>
    <row r="1907" spans="1:12" s="1279" customFormat="1" ht="20.100000000000001" customHeight="1">
      <c r="A1907" s="1377">
        <f t="shared" si="74"/>
        <v>0</v>
      </c>
      <c r="B1907" s="1582" t="s">
        <v>2075</v>
      </c>
      <c r="C1907" s="1273"/>
      <c r="D1907" s="1288">
        <f>VLOOKUP($B1907,DG!A:D,DG!$B$2,)</f>
        <v>0</v>
      </c>
      <c r="E1907" s="1275" t="str">
        <f>VLOOKUP($B1907,DG!A:D,DG!$C$2,)</f>
        <v>Sắt góc L75 x75 x8</v>
      </c>
      <c r="F1907" s="1274" t="s">
        <v>2310</v>
      </c>
      <c r="G1907" s="1276">
        <f>G1905*9.02*(2.4+4*0.07)</f>
        <v>0</v>
      </c>
      <c r="H1907" s="1353">
        <f t="shared" si="75"/>
        <v>0</v>
      </c>
      <c r="I1907" s="1277"/>
      <c r="J1907" s="1277"/>
      <c r="K1907" s="1312"/>
      <c r="L1907" s="1125">
        <v>560</v>
      </c>
    </row>
    <row r="1908" spans="1:12" s="1279" customFormat="1" ht="20.100000000000001" customHeight="1">
      <c r="A1908" s="1377">
        <f t="shared" si="74"/>
        <v>0</v>
      </c>
      <c r="B1908" s="1582" t="s">
        <v>1065</v>
      </c>
      <c r="C1908" s="1273"/>
      <c r="D1908" s="1288">
        <f>VLOOKUP($B1908,DG!A:D,DG!$B$2,)</f>
        <v>0</v>
      </c>
      <c r="E1908" s="1275" t="str">
        <f>VLOOKUP($B1908,DG!A:D,DG!$C$2,)&amp;" (Thanh choáng 810)"</f>
        <v>Sắt góc L50 x50 x5 (Thanh choáng 810)</v>
      </c>
      <c r="F1908" s="1274" t="s">
        <v>2310</v>
      </c>
      <c r="G1908" s="1276">
        <f>G1905*3.77*0.81*2</f>
        <v>0</v>
      </c>
      <c r="H1908" s="1353">
        <f t="shared" si="75"/>
        <v>0</v>
      </c>
      <c r="I1908" s="1277"/>
      <c r="J1908" s="1277"/>
      <c r="K1908" s="1312"/>
      <c r="L1908" s="1125">
        <v>560</v>
      </c>
    </row>
    <row r="1909" spans="1:12" s="1279" customFormat="1" ht="20.100000000000001" customHeight="1">
      <c r="A1909" s="1377">
        <f t="shared" si="74"/>
        <v>0</v>
      </c>
      <c r="B1909" s="1582" t="s">
        <v>1109</v>
      </c>
      <c r="C1909" s="1273"/>
      <c r="D1909" s="1288">
        <f>VLOOKUP($B1909,DG!A:D,DG!$B$2,)</f>
        <v>0</v>
      </c>
      <c r="E1909" s="1275" t="str">
        <f>VLOOKUP($B1909,DG!A:D,DG!$C$2,)</f>
        <v>Boulon 16x350+ 2 long đền vuông D18-50x50x3/Zn</v>
      </c>
      <c r="F1909" s="1274" t="s">
        <v>2503</v>
      </c>
      <c r="G1909" s="1287">
        <f>G1905*2</f>
        <v>0</v>
      </c>
      <c r="H1909" s="1353">
        <f t="shared" si="75"/>
        <v>0</v>
      </c>
      <c r="I1909" s="1277"/>
      <c r="J1909" s="1277"/>
      <c r="K1909" s="1312"/>
      <c r="L1909" s="1125">
        <v>560</v>
      </c>
    </row>
    <row r="1910" spans="1:12" s="1279" customFormat="1" ht="20.100000000000001" customHeight="1">
      <c r="A1910" s="1377">
        <f t="shared" si="74"/>
        <v>0</v>
      </c>
      <c r="B1910" s="1582" t="s">
        <v>1839</v>
      </c>
      <c r="C1910" s="1273"/>
      <c r="D1910" s="1288">
        <f>VLOOKUP($B1910,DG!A:D,DG!$B$2,)</f>
        <v>0</v>
      </c>
      <c r="E1910" s="1275" t="str">
        <f>VLOOKUP($B1910,DG!A:D,DG!$C$2,)</f>
        <v>Boulon 16x50+ 2 long đền vuông D18-50x50x3/Zn</v>
      </c>
      <c r="F1910" s="1274" t="s">
        <v>2503</v>
      </c>
      <c r="G1910" s="1287">
        <f>G1905*2</f>
        <v>0</v>
      </c>
      <c r="H1910" s="1353">
        <f t="shared" si="75"/>
        <v>0</v>
      </c>
      <c r="I1910" s="1277"/>
      <c r="J1910" s="1277"/>
      <c r="K1910" s="1312"/>
      <c r="L1910" s="1125">
        <v>560</v>
      </c>
    </row>
    <row r="1911" spans="1:12" s="1279" customFormat="1" ht="20.100000000000001" customHeight="1">
      <c r="A1911" s="1377">
        <f t="shared" si="74"/>
        <v>0</v>
      </c>
      <c r="B1911" s="1582" t="s">
        <v>1788</v>
      </c>
      <c r="C1911" s="1273"/>
      <c r="D1911" s="1288">
        <f>VLOOKUP($B1911,DG!A:D,DG!$B$2,)</f>
        <v>0</v>
      </c>
      <c r="E1911" s="1275" t="str">
        <f>VLOOKUP($B1911,DG!A:D,DG!$C$2,)</f>
        <v>Bass LI bắt FCO</v>
      </c>
      <c r="F1911" s="1274" t="s">
        <v>2503</v>
      </c>
      <c r="G1911" s="1287">
        <f>IF(G1905&gt;0,3,)</f>
        <v>0</v>
      </c>
      <c r="H1911" s="1353">
        <f t="shared" si="75"/>
        <v>0</v>
      </c>
      <c r="I1911" s="1277"/>
      <c r="J1911" s="1277"/>
      <c r="K1911" s="1312"/>
      <c r="L1911" s="1125">
        <v>560</v>
      </c>
    </row>
    <row r="1912" spans="1:12" s="1279" customFormat="1" ht="20.100000000000001" customHeight="1">
      <c r="A1912" s="1377">
        <f t="shared" si="74"/>
        <v>0</v>
      </c>
      <c r="B1912" s="1582" t="s">
        <v>1018</v>
      </c>
      <c r="C1912" s="1273"/>
      <c r="D1912" s="1288" t="str">
        <f>VLOOKUP($B1912,DG!A:D,DG!$B$2,)</f>
        <v>06.3231</v>
      </c>
      <c r="E1912" s="1275" t="str">
        <f>VLOOKUP($B1912,DG!A:D,DG!$C$2,)</f>
        <v xml:space="preserve">Cổ dê chống lắc 8x80x800 </v>
      </c>
      <c r="F1912" s="1274" t="s">
        <v>2503</v>
      </c>
      <c r="G1912" s="1287">
        <f>G1905*0</f>
        <v>0</v>
      </c>
      <c r="H1912" s="1353">
        <f t="shared" si="75"/>
        <v>0</v>
      </c>
      <c r="I1912" s="1277"/>
      <c r="J1912" s="1277"/>
      <c r="K1912" s="1312"/>
      <c r="L1912" s="1125">
        <v>560</v>
      </c>
    </row>
    <row r="1913" spans="1:12" s="1279" customFormat="1" ht="20.100000000000001" customHeight="1">
      <c r="A1913" s="1377">
        <f t="shared" si="74"/>
        <v>0</v>
      </c>
      <c r="B1913" s="1582" t="s">
        <v>1473</v>
      </c>
      <c r="C1913" s="1273"/>
      <c r="D1913" s="1288" t="str">
        <f>VLOOKUP($B1913,DG!A:D,DG!$B$2,)</f>
        <v>05.6102</v>
      </c>
      <c r="E1913" s="1275" t="str">
        <f>VLOOKUP($B1913,DG!A:D,DG!$C$2,)</f>
        <v>Lắp xà đỡ ≤ 50kg</v>
      </c>
      <c r="F1913" s="1274" t="s">
        <v>2503</v>
      </c>
      <c r="G1913" s="1287">
        <f>G1905</f>
        <v>0</v>
      </c>
      <c r="H1913" s="1353">
        <f t="shared" si="75"/>
        <v>0</v>
      </c>
      <c r="I1913" s="1277"/>
      <c r="J1913" s="1277"/>
      <c r="K1913" s="1312"/>
      <c r="L1913" s="1125">
        <v>560</v>
      </c>
    </row>
    <row r="1914" spans="1:12" s="1279" customFormat="1" ht="20.100000000000001" customHeight="1">
      <c r="A1914" s="1377">
        <f t="shared" si="74"/>
        <v>0</v>
      </c>
      <c r="B1914" s="1582"/>
      <c r="C1914" s="1280">
        <f>IF(G1914&gt;0,C1905+1,C1905)</f>
        <v>0</v>
      </c>
      <c r="D1914" s="1281"/>
      <c r="E1914" s="1341" t="s">
        <v>3819</v>
      </c>
      <c r="F1914" s="1280" t="s">
        <v>2449</v>
      </c>
      <c r="G1914" s="1283">
        <f>G1832</f>
        <v>0</v>
      </c>
      <c r="H1914" s="1353">
        <f t="shared" si="75"/>
        <v>0</v>
      </c>
      <c r="I1914" s="1277"/>
      <c r="J1914" s="1277"/>
      <c r="K1914" s="1312"/>
      <c r="L1914" s="1125">
        <v>560</v>
      </c>
    </row>
    <row r="1915" spans="1:12" s="1279" customFormat="1" ht="20.100000000000001" customHeight="1">
      <c r="A1915" s="1377">
        <f>IF(A1914&gt;0,1,0)</f>
        <v>0</v>
      </c>
      <c r="B1915" s="1624"/>
      <c r="C1915" s="1273"/>
      <c r="D1915" s="1284"/>
      <c r="E1915" s="1637" t="s">
        <v>2342</v>
      </c>
      <c r="F1915" s="1286"/>
      <c r="G1915" s="1287"/>
      <c r="H1915" s="1353">
        <f t="shared" si="75"/>
        <v>0</v>
      </c>
      <c r="I1915" s="1277"/>
      <c r="J1915" s="1277"/>
      <c r="K1915" s="1312"/>
      <c r="L1915" s="1125">
        <v>560</v>
      </c>
    </row>
    <row r="1916" spans="1:12" s="1279" customFormat="1" ht="20.100000000000001" customHeight="1">
      <c r="A1916" s="1377">
        <f t="shared" si="74"/>
        <v>0</v>
      </c>
      <c r="B1916" s="1582" t="s">
        <v>1063</v>
      </c>
      <c r="C1916" s="1273"/>
      <c r="D1916" s="1274">
        <f>VLOOKUP($B1916,DG!A:D,DG!$B$2,)</f>
        <v>0</v>
      </c>
      <c r="E1916" s="1275" t="str">
        <f>VLOOKUP($B1916,DG!A:D,DG!$C$2,)</f>
        <v>Cáp đồng trần M25mm2</v>
      </c>
      <c r="F1916" s="1288" t="str">
        <f>VLOOKUP($B1916,DG!A:D,DG!$D$2,)</f>
        <v>kg</v>
      </c>
      <c r="G1916" s="1276">
        <f>H3*0.224*G1914</f>
        <v>0</v>
      </c>
      <c r="H1916" s="1353">
        <f t="shared" si="75"/>
        <v>0</v>
      </c>
      <c r="I1916" s="1277"/>
      <c r="J1916" s="1277"/>
      <c r="K1916" s="1312"/>
      <c r="L1916" s="1125">
        <v>560</v>
      </c>
    </row>
    <row r="1917" spans="1:12" s="1279" customFormat="1" ht="20.100000000000001" customHeight="1">
      <c r="A1917" s="1377">
        <f t="shared" si="74"/>
        <v>0</v>
      </c>
      <c r="B1917" s="1582" t="s">
        <v>1063</v>
      </c>
      <c r="C1917" s="1273"/>
      <c r="D1917" s="1274">
        <f>VLOOKUP($B1917,DG!A:D,DG!$B$2,)</f>
        <v>0</v>
      </c>
      <c r="E1917" s="1275" t="str">
        <f>VLOOKUP($B1917,DG!A:D,DG!$C$2,)&amp;": 17m noái leân voû caùc thieát bò"</f>
        <v>Cáp đồng trần M25mm2: 17m noái leân voû caùc thieát bò</v>
      </c>
      <c r="F1917" s="1274" t="str">
        <f>VLOOKUP($B1917,DG!A:D,DG!$D$2,)</f>
        <v>kg</v>
      </c>
      <c r="G1917" s="1276">
        <f>17*0.224*G1914*0</f>
        <v>0</v>
      </c>
      <c r="H1917" s="1353">
        <f t="shared" si="75"/>
        <v>0</v>
      </c>
      <c r="I1917" s="1277"/>
      <c r="J1917" s="1277"/>
      <c r="K1917" s="1312"/>
      <c r="L1917" s="1125">
        <v>560</v>
      </c>
    </row>
    <row r="1918" spans="1:12" s="1279" customFormat="1" ht="20.100000000000001" customHeight="1">
      <c r="A1918" s="1377">
        <f t="shared" si="74"/>
        <v>0</v>
      </c>
      <c r="B1918" s="1378" t="s">
        <v>1560</v>
      </c>
      <c r="C1918" s="1273"/>
      <c r="D1918" s="1274">
        <f>VLOOKUP($B1918,DG!A:D,DG!$B$2,)</f>
        <v>0</v>
      </c>
      <c r="E1918" s="1275" t="str">
        <f>VLOOKUP($B1918,DG!A:D,DG!$C$2,)</f>
        <v>Cọc tiếp đất Ø 16- 2,4m + kẹp cọc</v>
      </c>
      <c r="F1918" s="1288" t="str">
        <f>VLOOKUP($B1918,DG!A:D,DG!$D$2,)</f>
        <v>bộ</v>
      </c>
      <c r="G1918" s="1287">
        <f>H2*G1914</f>
        <v>0</v>
      </c>
      <c r="H1918" s="1353">
        <f t="shared" si="75"/>
        <v>0</v>
      </c>
      <c r="I1918" s="1277"/>
      <c r="J1918" s="1277"/>
      <c r="K1918" s="1312"/>
      <c r="L1918" s="1125">
        <v>560</v>
      </c>
    </row>
    <row r="1919" spans="1:12" s="1279" customFormat="1" ht="20.100000000000001" customHeight="1">
      <c r="A1919" s="1377">
        <f t="shared" si="74"/>
        <v>0</v>
      </c>
      <c r="B1919" s="1378" t="s">
        <v>1542</v>
      </c>
      <c r="C1919" s="1273"/>
      <c r="D1919" s="1274" t="str">
        <f>VLOOKUP($B1919,DG!A:D,DG!$B$2,)</f>
        <v>07.2403</v>
      </c>
      <c r="E1919" s="1275" t="str">
        <f>VLOOKUP($B1919,DG!A:D,DG!$C$2,)</f>
        <v xml:space="preserve">Ống PVC D21x1,6mm </v>
      </c>
      <c r="F1919" s="1274" t="str">
        <f>VLOOKUP($B1919,DG!A:D,DG!$D$2,)</f>
        <v>m</v>
      </c>
      <c r="G1919" s="1287">
        <f>G1914*12</f>
        <v>0</v>
      </c>
      <c r="H1919" s="1353">
        <f t="shared" si="75"/>
        <v>0</v>
      </c>
      <c r="I1919" s="1277"/>
      <c r="J1919" s="1277"/>
      <c r="K1919" s="1278"/>
      <c r="L1919" s="1125">
        <v>560</v>
      </c>
    </row>
    <row r="1920" spans="1:12" s="1279" customFormat="1" ht="20.100000000000001" customHeight="1">
      <c r="A1920" s="1377">
        <f t="shared" si="74"/>
        <v>0</v>
      </c>
      <c r="B1920" s="1587" t="s">
        <v>1631</v>
      </c>
      <c r="C1920" s="1273"/>
      <c r="D1920" s="1274">
        <f>VLOOKUP($B1920,DG!A:D,DG!$B$2,)</f>
        <v>0</v>
      </c>
      <c r="E1920" s="1275" t="str">
        <f>VLOOKUP($B1920,DG!A:D,DG!$C$2,)&amp; " bắt dây trung tính "</f>
        <v xml:space="preserve">Kẹp ép WR cỡ dây 50mm2 bắt dây trung tính </v>
      </c>
      <c r="F1920" s="1288" t="str">
        <f>VLOOKUP($B1920,DG!A:D,DG!$D$2,)</f>
        <v>cái</v>
      </c>
      <c r="G1920" s="1287">
        <f>2*G1914</f>
        <v>0</v>
      </c>
      <c r="H1920" s="1353">
        <f t="shared" si="75"/>
        <v>0</v>
      </c>
      <c r="I1920" s="1277"/>
      <c r="J1920" s="1277"/>
      <c r="K1920" s="1312"/>
      <c r="L1920" s="1125">
        <v>560</v>
      </c>
    </row>
    <row r="1921" spans="1:12" s="1279" customFormat="1" ht="20.100000000000001" customHeight="1">
      <c r="A1921" s="1377">
        <f t="shared" si="74"/>
        <v>0</v>
      </c>
      <c r="B1921" s="1587" t="s">
        <v>824</v>
      </c>
      <c r="C1921" s="1343"/>
      <c r="D1921" s="1274" t="str">
        <f>VLOOKUP($B1921,DG!A:D,DG!$B$2,)</f>
        <v>04.3107</v>
      </c>
      <c r="E1921" s="1275" t="str">
        <f>VLOOKUP($B1921,DG!A:D,DG!$C$2,)&amp;":bắt lưới TĐ"</f>
        <v>Ốc xiết cáp cỡ 25mm2:bắt lưới TĐ</v>
      </c>
      <c r="F1921" s="1288" t="str">
        <f>VLOOKUP($B1921,DG!A:D,DG!$D$2,)</f>
        <v>cái</v>
      </c>
      <c r="G1921" s="1287">
        <f>G1914*14</f>
        <v>0</v>
      </c>
      <c r="H1921" s="1353">
        <f t="shared" si="75"/>
        <v>0</v>
      </c>
      <c r="I1921" s="1277"/>
      <c r="J1921" s="1277"/>
      <c r="K1921" s="1312"/>
      <c r="L1921" s="1125">
        <v>560</v>
      </c>
    </row>
    <row r="1922" spans="1:12" s="1279" customFormat="1" ht="20.100000000000001" customHeight="1">
      <c r="A1922" s="1377">
        <f t="shared" si="74"/>
        <v>0</v>
      </c>
      <c r="B1922" s="1378" t="s">
        <v>440</v>
      </c>
      <c r="C1922" s="1273"/>
      <c r="D1922" s="1274">
        <f>VLOOKUP($B1922,DG!A:D,DG!$B$2,)</f>
        <v>0</v>
      </c>
      <c r="E1922" s="1275" t="str">
        <f>VLOOKUP($B1922,DG!A:D,DG!$C$2,)</f>
        <v>Boulon 12x30+ 2 long đền vuông D14-50x50x3/Zn</v>
      </c>
      <c r="F1922" s="1288" t="str">
        <f>VLOOKUP($B1922,DG!A:D,DG!$D$2,)</f>
        <v>bộ</v>
      </c>
      <c r="G1922" s="1287">
        <f>G1914*1</f>
        <v>0</v>
      </c>
      <c r="H1922" s="1353">
        <f t="shared" si="75"/>
        <v>0</v>
      </c>
      <c r="I1922" s="1277"/>
      <c r="J1922" s="1277"/>
      <c r="K1922" s="1312"/>
      <c r="L1922" s="1125">
        <v>560</v>
      </c>
    </row>
    <row r="1923" spans="1:12" s="1279" customFormat="1" ht="20.100000000000001" customHeight="1">
      <c r="A1923" s="1377">
        <f t="shared" si="74"/>
        <v>0</v>
      </c>
      <c r="B1923" s="1378" t="s">
        <v>104</v>
      </c>
      <c r="C1923" s="1273"/>
      <c r="D1923" s="1274" t="str">
        <f>VLOOKUP($B1923,DG!A:D,DG!$B$2,)</f>
        <v>03.4001</v>
      </c>
      <c r="E1923" s="1275" t="str">
        <f>VLOOKUP($B1923,DG!A:D,DG!$C$2,)</f>
        <v>Đầu cosse ép Cu 25mm2</v>
      </c>
      <c r="F1923" s="1288" t="str">
        <f>VLOOKUP($B1923,DG!A:D,DG!$D$2,)</f>
        <v>cái</v>
      </c>
      <c r="G1923" s="1287">
        <f>G1922*2</f>
        <v>0</v>
      </c>
      <c r="H1923" s="1353">
        <f t="shared" si="75"/>
        <v>0</v>
      </c>
      <c r="I1923" s="1277"/>
      <c r="J1923" s="1277"/>
      <c r="K1923" s="1312"/>
      <c r="L1923" s="1125">
        <v>560</v>
      </c>
    </row>
    <row r="1924" spans="1:12" s="1279" customFormat="1" ht="20.100000000000001" customHeight="1">
      <c r="A1924" s="1377">
        <f t="shared" si="74"/>
        <v>0</v>
      </c>
      <c r="B1924" s="1378" t="s">
        <v>528</v>
      </c>
      <c r="C1924" s="1273"/>
      <c r="D1924" s="1274" t="str">
        <f>VLOOKUP($B1924,DG!A:D,DG!$B$2,)</f>
        <v>06.3231</v>
      </c>
      <c r="E1924" s="1275" t="str">
        <f>VLOOKUP($B1924,DG!A:D,DG!$C$2,)&amp;": CD-250 01 bộ"</f>
        <v>Cổ dê kẹp ống PVC  21: CD-250 01 bộ</v>
      </c>
      <c r="F1924" s="1274" t="str">
        <f>VLOOKUP($B1924,DG!A:D,DG!$D$2,)</f>
        <v>bộ</v>
      </c>
      <c r="G1924" s="1345">
        <f>G1914*0.415</f>
        <v>0</v>
      </c>
      <c r="H1924" s="1353">
        <f t="shared" si="75"/>
        <v>0</v>
      </c>
      <c r="I1924" s="1277"/>
      <c r="J1924" s="1277"/>
      <c r="K1924" s="1278"/>
      <c r="L1924" s="1125">
        <v>560</v>
      </c>
    </row>
    <row r="1925" spans="1:12" s="1279" customFormat="1" ht="20.100000000000001" customHeight="1">
      <c r="A1925" s="1377">
        <f t="shared" si="74"/>
        <v>0</v>
      </c>
      <c r="B1925" s="1378" t="s">
        <v>528</v>
      </c>
      <c r="C1925" s="1273"/>
      <c r="D1925" s="1274" t="str">
        <f>VLOOKUP($B1925,DG!A:D,DG!$B$2,)</f>
        <v>06.3231</v>
      </c>
      <c r="E1925" s="1275" t="str">
        <f>VLOOKUP($B1925,DG!A:D,DG!$C$2,)&amp;": CD-280 01 bộ"</f>
        <v>Cổ dê kẹp ống PVC  21: CD-280 01 bộ</v>
      </c>
      <c r="F1925" s="1274" t="str">
        <f>VLOOKUP($B1925,DG!A:D,DG!$D$2,)</f>
        <v>bộ</v>
      </c>
      <c r="G1925" s="1345">
        <f>G1914*0.452</f>
        <v>0</v>
      </c>
      <c r="H1925" s="1353">
        <f t="shared" si="75"/>
        <v>0</v>
      </c>
      <c r="I1925" s="1277"/>
      <c r="J1925" s="1277"/>
      <c r="K1925" s="1278"/>
      <c r="L1925" s="1125">
        <v>560</v>
      </c>
    </row>
    <row r="1926" spans="1:12" s="1279" customFormat="1" ht="20.100000000000001" customHeight="1">
      <c r="A1926" s="1377">
        <f t="shared" si="74"/>
        <v>0</v>
      </c>
      <c r="B1926" s="1378" t="s">
        <v>528</v>
      </c>
      <c r="C1926" s="1273"/>
      <c r="D1926" s="1274" t="str">
        <f>VLOOKUP($B1926,DG!A:D,DG!$B$2,)</f>
        <v>06.3231</v>
      </c>
      <c r="E1926" s="1275" t="str">
        <f>VLOOKUP($B1926,DG!A:D,DG!$C$2,)&amp;": CD-320 01 bộ"</f>
        <v>Cổ dê kẹp ống PVC  21: CD-320 01 bộ</v>
      </c>
      <c r="F1926" s="1274" t="str">
        <f>VLOOKUP($B1926,DG!A:D,DG!$D$2,)</f>
        <v>bộ</v>
      </c>
      <c r="G1926" s="1345">
        <f>G1914*0.501</f>
        <v>0</v>
      </c>
      <c r="H1926" s="1353">
        <f t="shared" si="75"/>
        <v>0</v>
      </c>
      <c r="I1926" s="1277"/>
      <c r="J1926" s="1277"/>
      <c r="K1926" s="1278"/>
      <c r="L1926" s="1125">
        <v>560</v>
      </c>
    </row>
    <row r="1927" spans="1:12" s="1279" customFormat="1" ht="20.100000000000001" customHeight="1">
      <c r="A1927" s="1377">
        <f t="shared" si="74"/>
        <v>0</v>
      </c>
      <c r="B1927" s="1378" t="s">
        <v>1161</v>
      </c>
      <c r="C1927" s="1273"/>
      <c r="D1927" s="1274" t="str">
        <f>VLOOKUP($B1927,DG!A:D,DG!$B$2,)</f>
        <v>06.2110</v>
      </c>
      <c r="E1927" s="1275" t="str">
        <f>VLOOKUP($B1927,DG!A:D,DG!$C$2,)</f>
        <v>Lắp cổ dề</v>
      </c>
      <c r="F1927" s="1274" t="str">
        <f>VLOOKUP($B1927,DG!A:D,DG!$D$2,)</f>
        <v>bộ</v>
      </c>
      <c r="G1927" s="1287">
        <f>G1914*3</f>
        <v>0</v>
      </c>
      <c r="H1927" s="1353">
        <f t="shared" si="75"/>
        <v>0</v>
      </c>
      <c r="I1927" s="1277"/>
      <c r="J1927" s="1277"/>
      <c r="K1927" s="1278"/>
      <c r="L1927" s="1125">
        <v>560</v>
      </c>
    </row>
    <row r="1928" spans="1:12" s="1279" customFormat="1" ht="20.100000000000001" customHeight="1">
      <c r="A1928" s="1377">
        <f t="shared" si="74"/>
        <v>0</v>
      </c>
      <c r="B1928" s="1378" t="s">
        <v>139</v>
      </c>
      <c r="C1928" s="1273"/>
      <c r="D1928" s="1274">
        <f>VLOOKUP($B1928,DG!A:D,DG!$B$2,)</f>
        <v>0</v>
      </c>
      <c r="E1928" s="1275" t="str">
        <f>VLOOKUP($B1928,DG!A:D,DG!$C$2,)</f>
        <v>Boulon 12x40+ 2 long đền vuông D14-50x50x3/Zn</v>
      </c>
      <c r="F1928" s="1274" t="str">
        <f>VLOOKUP($B1928,DG!A:D,DG!$D$2,)</f>
        <v>bộ</v>
      </c>
      <c r="G1928" s="1287">
        <f>G1914*6</f>
        <v>0</v>
      </c>
      <c r="H1928" s="1353">
        <f t="shared" si="75"/>
        <v>0</v>
      </c>
      <c r="I1928" s="1277"/>
      <c r="J1928" s="1277"/>
      <c r="K1928" s="1278"/>
      <c r="L1928" s="1125">
        <v>560</v>
      </c>
    </row>
    <row r="1929" spans="1:12" s="1279" customFormat="1" ht="20.100000000000001" customHeight="1">
      <c r="A1929" s="1377">
        <f t="shared" si="74"/>
        <v>0</v>
      </c>
      <c r="B1929" s="1378" t="s">
        <v>1383</v>
      </c>
      <c r="C1929" s="1273"/>
      <c r="D1929" s="1274">
        <f>VLOOKUP($B1929,DG!A:D,DG!$B$2,)</f>
        <v>0</v>
      </c>
      <c r="E1929" s="1275" t="str">
        <f>VLOOKUP($B1929,DG!A:D,DG!$C$2,)</f>
        <v>Boulon 12x60+ 2 long đền vuông D14-50x50x3/Zn</v>
      </c>
      <c r="F1929" s="1274" t="str">
        <f>VLOOKUP($B1929,DG!A:D,DG!$D$2,)</f>
        <v>bộ</v>
      </c>
      <c r="G1929" s="1287">
        <f>G1928</f>
        <v>0</v>
      </c>
      <c r="H1929" s="1353">
        <f t="shared" si="75"/>
        <v>0</v>
      </c>
      <c r="I1929" s="1277"/>
      <c r="J1929" s="1277"/>
      <c r="K1929" s="1278"/>
      <c r="L1929" s="1125">
        <v>560</v>
      </c>
    </row>
    <row r="1930" spans="1:12" s="1279" customFormat="1" ht="20.100000000000001" customHeight="1">
      <c r="A1930" s="1377">
        <f t="shared" si="74"/>
        <v>0</v>
      </c>
      <c r="B1930" s="1378" t="s">
        <v>1637</v>
      </c>
      <c r="C1930" s="1273"/>
      <c r="D1930" s="1274">
        <f>VLOOKUP($B1930,DG!A:D,DG!$B$2,)</f>
        <v>0</v>
      </c>
      <c r="E1930" s="1275" t="str">
        <f>VLOOKUP($B1930,DG!A:D,DG!$C$2,)</f>
        <v>Giếng tiếp địa khoan đất</v>
      </c>
      <c r="F1930" s="1274" t="str">
        <f>VLOOKUP($B1930,DG!A:D,DG!$D$2,)</f>
        <v>Cái</v>
      </c>
      <c r="G1930" s="1287">
        <f>K3*G1914</f>
        <v>0</v>
      </c>
      <c r="H1930" s="1353">
        <f t="shared" si="75"/>
        <v>0</v>
      </c>
      <c r="I1930" s="1277"/>
      <c r="J1930" s="1277"/>
      <c r="K1930" s="1312"/>
      <c r="L1930" s="1125">
        <v>560</v>
      </c>
    </row>
    <row r="1931" spans="1:12" s="1279" customFormat="1" ht="20.100000000000001" customHeight="1">
      <c r="A1931" s="1377">
        <f t="shared" si="74"/>
        <v>0</v>
      </c>
      <c r="B1931" s="1378" t="str">
        <f>"DTD"&amp;chitiet!F5</f>
        <v>DTD3</v>
      </c>
      <c r="C1931" s="1286"/>
      <c r="D1931" s="1274" t="str">
        <f>VLOOKUP($B1931,DG!A:D,DG!$B$2,)</f>
        <v>03.3123</v>
      </c>
      <c r="E1931" s="1275" t="str">
        <f>VLOOKUP($B1931,DG!A:D,DG!$C$2,)</f>
        <v>Đào rãnh tiếp địa đất cấp 3</v>
      </c>
      <c r="F1931" s="1288" t="str">
        <f>VLOOKUP($B1931,DG!A:D,DG!$D$2,)</f>
        <v>m3</v>
      </c>
      <c r="G1931" s="1346">
        <f>H3*G1914</f>
        <v>0</v>
      </c>
      <c r="H1931" s="1353">
        <f t="shared" si="75"/>
        <v>0</v>
      </c>
      <c r="I1931" s="1277"/>
      <c r="J1931" s="1277"/>
      <c r="K1931" s="1312"/>
      <c r="L1931" s="1125">
        <v>560</v>
      </c>
    </row>
    <row r="1932" spans="1:12" s="1279" customFormat="1" ht="20.100000000000001" customHeight="1">
      <c r="A1932" s="1377">
        <f t="shared" si="74"/>
        <v>0</v>
      </c>
      <c r="B1932" s="1378" t="str">
        <f>"DATD"&amp;chitiet!F5</f>
        <v>DATD3</v>
      </c>
      <c r="C1932" s="1286"/>
      <c r="D1932" s="1274" t="str">
        <f>VLOOKUP($B1932,DG!A:D,DG!$B$2,)</f>
        <v>03.4123</v>
      </c>
      <c r="E1932" s="1275" t="str">
        <f>VLOOKUP($B1932,DG!A:D,DG!$C$2,)</f>
        <v>Đắp đất rãnh tiếp độ chặt k=0,95</v>
      </c>
      <c r="F1932" s="1288" t="str">
        <f>VLOOKUP($B1932,DG!A:D,DG!$D$2,)</f>
        <v>m3</v>
      </c>
      <c r="G1932" s="1346">
        <f>G1931</f>
        <v>0</v>
      </c>
      <c r="H1932" s="1353">
        <f t="shared" si="75"/>
        <v>0</v>
      </c>
      <c r="I1932" s="1277"/>
      <c r="J1932" s="1277"/>
      <c r="K1932" s="1312"/>
      <c r="L1932" s="1125">
        <v>560</v>
      </c>
    </row>
    <row r="1933" spans="1:12" s="1279" customFormat="1" ht="20.100000000000001" customHeight="1">
      <c r="A1933" s="1377">
        <f t="shared" si="74"/>
        <v>0</v>
      </c>
      <c r="B1933" s="1378" t="s">
        <v>919</v>
      </c>
      <c r="C1933" s="1286"/>
      <c r="D1933" s="1274" t="str">
        <f>VLOOKUP($B1933,DG!A:D,DG!$B$2,)</f>
        <v>04.7001</v>
      </c>
      <c r="E1933" s="1275" t="str">
        <f>VLOOKUP($B1933,DG!A:D,DG!$C$2,)</f>
        <v>Đóng cọc tiếp địa trong TBA</v>
      </c>
      <c r="F1933" s="1288" t="str">
        <f>VLOOKUP($B1933,DG!A:D,DG!$D$2,)</f>
        <v>cọc</v>
      </c>
      <c r="G1933" s="1312">
        <f>G1918</f>
        <v>0</v>
      </c>
      <c r="H1933" s="1353">
        <f t="shared" si="75"/>
        <v>0</v>
      </c>
      <c r="I1933" s="1277"/>
      <c r="J1933" s="1277"/>
      <c r="K1933" s="1312"/>
      <c r="L1933" s="1125">
        <v>560</v>
      </c>
    </row>
    <row r="1934" spans="1:12" s="1279" customFormat="1" ht="20.100000000000001" customHeight="1">
      <c r="A1934" s="1377">
        <f t="shared" si="74"/>
        <v>0</v>
      </c>
      <c r="B1934" s="1378" t="s">
        <v>1470</v>
      </c>
      <c r="C1934" s="1273"/>
      <c r="D1934" s="1274" t="str">
        <f>VLOOKUP($B1934,DG!A:D,DG!$B$2,)</f>
        <v>04.7002</v>
      </c>
      <c r="E1934" s="1275" t="str">
        <f>VLOOKUP($B1934,DG!A:D,DG!$C$2,)</f>
        <v>Kéo dây tiếp địa trong TBA</v>
      </c>
      <c r="F1934" s="1288" t="str">
        <f>VLOOKUP($B1934,DG!A:D,DG!$D$2,)</f>
        <v>mét</v>
      </c>
      <c r="G1934" s="1287">
        <f>G1914*H3</f>
        <v>0</v>
      </c>
      <c r="H1934" s="1353">
        <f t="shared" si="75"/>
        <v>0</v>
      </c>
      <c r="I1934" s="1277"/>
      <c r="J1934" s="1277"/>
      <c r="K1934" s="1312"/>
      <c r="L1934" s="1125">
        <v>560</v>
      </c>
    </row>
    <row r="1935" spans="1:12" s="1279" customFormat="1" ht="20.100000000000001" customHeight="1">
      <c r="A1935" s="1377">
        <f t="shared" si="74"/>
        <v>0</v>
      </c>
      <c r="B1935" s="1582"/>
      <c r="C1935" s="1280">
        <f>IF(G1935&gt;0,C1914+1,C1914)</f>
        <v>0</v>
      </c>
      <c r="D1935" s="1281"/>
      <c r="E1935" s="1282" t="s">
        <v>3847</v>
      </c>
      <c r="F1935" s="1280" t="s">
        <v>2449</v>
      </c>
      <c r="G1935" s="1283">
        <f>G1841</f>
        <v>0</v>
      </c>
      <c r="H1935" s="1353">
        <f t="shared" si="75"/>
        <v>0</v>
      </c>
      <c r="I1935" s="1277"/>
      <c r="J1935" s="1277"/>
      <c r="K1935" s="1278"/>
      <c r="L1935" s="1125">
        <v>560</v>
      </c>
    </row>
    <row r="1936" spans="1:12" s="1279" customFormat="1" ht="20.100000000000001" customHeight="1">
      <c r="A1936" s="1377">
        <f>IF(A1935&gt;0,1,0)</f>
        <v>0</v>
      </c>
      <c r="B1936" s="1582"/>
      <c r="C1936" s="1273"/>
      <c r="D1936" s="1284"/>
      <c r="E1936" s="1637" t="s">
        <v>2342</v>
      </c>
      <c r="F1936" s="1286"/>
      <c r="G1936" s="1287"/>
      <c r="H1936" s="1353">
        <f t="shared" si="75"/>
        <v>0</v>
      </c>
      <c r="I1936" s="1277"/>
      <c r="J1936" s="1277"/>
      <c r="K1936" s="1278"/>
      <c r="L1936" s="1125">
        <v>560</v>
      </c>
    </row>
    <row r="1937" spans="1:15" s="1279" customFormat="1" ht="20.100000000000001" customHeight="1">
      <c r="A1937" s="1377">
        <f t="shared" si="74"/>
        <v>0</v>
      </c>
      <c r="B1937" s="1582" t="s">
        <v>658</v>
      </c>
      <c r="C1937" s="1286"/>
      <c r="D1937" s="1288">
        <f>VLOOKUP($B1937,DG!A:D,DG!$B$2,)</f>
        <v>0</v>
      </c>
      <c r="E1937" s="1289" t="str">
        <f>VLOOKUP($B1937,DG!A:D,DG!$C$2,)</f>
        <v xml:space="preserve">Ximăng </v>
      </c>
      <c r="F1937" s="1288" t="str">
        <f>VLOOKUP($B1937,DG!A:D,DG!$D$2,)</f>
        <v>kg</v>
      </c>
      <c r="G1937" s="1276">
        <f>G1935*L1940</f>
        <v>0</v>
      </c>
      <c r="H1937" s="1353">
        <f t="shared" si="75"/>
        <v>0</v>
      </c>
      <c r="I1937" s="1277"/>
      <c r="J1937" s="1277"/>
      <c r="K1937" s="1278"/>
      <c r="L1937" s="1125">
        <v>560</v>
      </c>
    </row>
    <row r="1938" spans="1:15" s="1279" customFormat="1" ht="20.100000000000001" customHeight="1">
      <c r="A1938" s="1377">
        <f t="shared" ref="A1938:A2001" si="76">IF(H1938&gt;0,1,0)</f>
        <v>0</v>
      </c>
      <c r="B1938" s="1582" t="s">
        <v>4665</v>
      </c>
      <c r="C1938" s="1273"/>
      <c r="D1938" s="1288">
        <f>VLOOKUP($B1938,DG!A:D,DG!$B$2,)</f>
        <v>0</v>
      </c>
      <c r="E1938" s="1289" t="str">
        <f>VLOOKUP($B1938,DG!A:D,DG!$C$2,)</f>
        <v>Cát vàng</v>
      </c>
      <c r="F1938" s="1288" t="str">
        <f>VLOOKUP($B1938,DG!A:D,DG!$D$2,)</f>
        <v>m3</v>
      </c>
      <c r="G1938" s="1276">
        <f>G1935*M1940</f>
        <v>0</v>
      </c>
      <c r="H1938" s="1353">
        <f t="shared" si="75"/>
        <v>0</v>
      </c>
      <c r="I1938" s="1277"/>
      <c r="J1938" s="1277"/>
      <c r="K1938" s="1278"/>
      <c r="L1938" s="1125">
        <v>560</v>
      </c>
    </row>
    <row r="1939" spans="1:15" s="1279" customFormat="1" ht="20.100000000000001" customHeight="1">
      <c r="A1939" s="1377">
        <f t="shared" si="76"/>
        <v>0</v>
      </c>
      <c r="B1939" s="1582" t="s">
        <v>217</v>
      </c>
      <c r="C1939" s="1273"/>
      <c r="D1939" s="1288">
        <f>VLOOKUP($B1939,DG!A:D,DG!$B$2,)</f>
        <v>0</v>
      </c>
      <c r="E1939" s="1289" t="str">
        <f>VLOOKUP($B1939,DG!A:D,DG!$C$2,)</f>
        <v>Đá 1x2</v>
      </c>
      <c r="F1939" s="1288" t="str">
        <f>VLOOKUP($B1939,DG!A:D,DG!$D$2,)</f>
        <v>m3</v>
      </c>
      <c r="G1939" s="1276">
        <f>G1935*N1940</f>
        <v>0</v>
      </c>
      <c r="H1939" s="1353">
        <f t="shared" si="75"/>
        <v>0</v>
      </c>
      <c r="I1939" s="1277"/>
      <c r="J1939" s="1277"/>
      <c r="K1939" s="1278"/>
      <c r="L1939" s="1125">
        <v>560</v>
      </c>
    </row>
    <row r="1940" spans="1:15" s="1279" customFormat="1" ht="20.100000000000001" customHeight="1">
      <c r="A1940" s="1377">
        <f t="shared" si="76"/>
        <v>0</v>
      </c>
      <c r="B1940" s="1582" t="s">
        <v>659</v>
      </c>
      <c r="C1940" s="1286"/>
      <c r="D1940" s="1288" t="str">
        <f>VLOOKUP($B1940,DG!A:D,DG!$B$2,)</f>
        <v>04.1203c</v>
      </c>
      <c r="E1940" s="1289" t="str">
        <f>VLOOKUP($B1940,DG!A:D,DG!$C$2,)</f>
        <v>Đổ bê tông móng trụ &lt;=250cm-M200 đá 1x2</v>
      </c>
      <c r="F1940" s="1288" t="str">
        <f>VLOOKUP($B1940,DG!A:D,DG!$D$2,)</f>
        <v>m3</v>
      </c>
      <c r="G1940" s="1276">
        <f>G1935*(0.4*3*1-2*3.14*0.15^2*0.4)*1.025</f>
        <v>0</v>
      </c>
      <c r="H1940" s="1353">
        <f t="shared" si="75"/>
        <v>0</v>
      </c>
      <c r="I1940" s="1277"/>
      <c r="J1940" s="1277"/>
      <c r="K1940" s="1278"/>
      <c r="L1940" s="1125">
        <v>560</v>
      </c>
      <c r="M1940" s="1291">
        <f>1.025*0.45</f>
        <v>0.46124999999999999</v>
      </c>
      <c r="N1940" s="1291">
        <f>1.025*0.866</f>
        <v>0.88764999999999994</v>
      </c>
      <c r="O1940" s="1466"/>
    </row>
    <row r="1941" spans="1:15" s="1279" customFormat="1" ht="20.100000000000001" customHeight="1">
      <c r="A1941" s="1377">
        <f t="shared" si="76"/>
        <v>0</v>
      </c>
      <c r="B1941" s="1582"/>
      <c r="C1941" s="1280">
        <f>IF(G1941&gt;0,C1935+1,C1935)</f>
        <v>0</v>
      </c>
      <c r="D1941" s="1281"/>
      <c r="E1941" s="1282" t="s">
        <v>3821</v>
      </c>
      <c r="F1941" s="1280" t="s">
        <v>2449</v>
      </c>
      <c r="G1941" s="1283"/>
      <c r="H1941" s="1353">
        <f t="shared" si="75"/>
        <v>0</v>
      </c>
      <c r="I1941" s="1277"/>
      <c r="J1941" s="1277"/>
      <c r="K1941" s="1278"/>
      <c r="L1941" s="1125">
        <v>560</v>
      </c>
    </row>
    <row r="1942" spans="1:15" s="1279" customFormat="1" ht="20.100000000000001" customHeight="1">
      <c r="A1942" s="1377">
        <f>IF(A1941&gt;0,1,0)</f>
        <v>0</v>
      </c>
      <c r="B1942" s="1582"/>
      <c r="C1942" s="1273"/>
      <c r="D1942" s="1284"/>
      <c r="E1942" s="1637" t="s">
        <v>2342</v>
      </c>
      <c r="F1942" s="1286"/>
      <c r="G1942" s="1287"/>
      <c r="H1942" s="1353">
        <f t="shared" si="75"/>
        <v>0</v>
      </c>
      <c r="I1942" s="1277"/>
      <c r="J1942" s="1277"/>
      <c r="K1942" s="1278"/>
      <c r="L1942" s="1125">
        <v>560</v>
      </c>
    </row>
    <row r="1943" spans="1:15" s="1279" customFormat="1" ht="20.100000000000001" customHeight="1">
      <c r="A1943" s="1377">
        <f t="shared" si="76"/>
        <v>0</v>
      </c>
      <c r="B1943" s="1582" t="s">
        <v>658</v>
      </c>
      <c r="C1943" s="1286"/>
      <c r="D1943" s="1288">
        <f>VLOOKUP($B1943,DG!A:D,DG!$B$2,)</f>
        <v>0</v>
      </c>
      <c r="E1943" s="1289" t="str">
        <f>VLOOKUP($B1943,DG!A:D,DG!$C$2,)</f>
        <v xml:space="preserve">Ximăng </v>
      </c>
      <c r="F1943" s="1288" t="str">
        <f>VLOOKUP($B1943,DG!A:D,DG!$D$2,)</f>
        <v>kg</v>
      </c>
      <c r="G1943" s="1276">
        <f>G1946*L1946</f>
        <v>0</v>
      </c>
      <c r="H1943" s="1353">
        <f t="shared" si="75"/>
        <v>0</v>
      </c>
      <c r="I1943" s="1277"/>
      <c r="J1943" s="1277"/>
      <c r="K1943" s="1278"/>
      <c r="L1943" s="1125">
        <v>560</v>
      </c>
    </row>
    <row r="1944" spans="1:15" s="1279" customFormat="1" ht="20.100000000000001" customHeight="1">
      <c r="A1944" s="1377">
        <f t="shared" si="76"/>
        <v>0</v>
      </c>
      <c r="B1944" s="1582" t="s">
        <v>4665</v>
      </c>
      <c r="C1944" s="1273"/>
      <c r="D1944" s="1288">
        <f>VLOOKUP($B1944,DG!A:D,DG!$B$2,)</f>
        <v>0</v>
      </c>
      <c r="E1944" s="1289" t="str">
        <f>VLOOKUP($B1944,DG!A:D,DG!$C$2,)</f>
        <v>Cát vàng</v>
      </c>
      <c r="F1944" s="1288" t="str">
        <f>VLOOKUP($B1944,DG!A:D,DG!$D$2,)</f>
        <v>m3</v>
      </c>
      <c r="G1944" s="1290">
        <f>G1946*M1946</f>
        <v>0</v>
      </c>
      <c r="H1944" s="1353">
        <f t="shared" si="75"/>
        <v>0</v>
      </c>
      <c r="I1944" s="1277"/>
      <c r="J1944" s="1277"/>
      <c r="K1944" s="1278"/>
      <c r="L1944" s="1125">
        <v>560</v>
      </c>
    </row>
    <row r="1945" spans="1:15" s="1279" customFormat="1" ht="20.100000000000001" customHeight="1">
      <c r="A1945" s="1377">
        <f t="shared" si="76"/>
        <v>0</v>
      </c>
      <c r="B1945" s="1582" t="s">
        <v>217</v>
      </c>
      <c r="C1945" s="1273"/>
      <c r="D1945" s="1288">
        <f>VLOOKUP($B1945,DG!A:D,DG!$B$2,)</f>
        <v>0</v>
      </c>
      <c r="E1945" s="1289" t="str">
        <f>VLOOKUP($B1945,DG!A:D,DG!$C$2,)</f>
        <v>Đá 1x2</v>
      </c>
      <c r="F1945" s="1288" t="str">
        <f>VLOOKUP($B1945,DG!A:D,DG!$D$2,)</f>
        <v>m3</v>
      </c>
      <c r="G1945" s="1290">
        <f>G1946*N1946</f>
        <v>0</v>
      </c>
      <c r="H1945" s="1353">
        <f t="shared" si="75"/>
        <v>0</v>
      </c>
      <c r="I1945" s="1277"/>
      <c r="J1945" s="1277"/>
      <c r="K1945" s="1278"/>
      <c r="L1945" s="1125">
        <v>560</v>
      </c>
    </row>
    <row r="1946" spans="1:15" s="1279" customFormat="1" ht="20.100000000000001" customHeight="1">
      <c r="A1946" s="1377">
        <f t="shared" si="76"/>
        <v>0</v>
      </c>
      <c r="B1946" s="1582" t="s">
        <v>659</v>
      </c>
      <c r="C1946" s="1286"/>
      <c r="D1946" s="1288" t="str">
        <f>VLOOKUP($B1946,DG!A:D,DG!$B$2,)</f>
        <v>04.1203c</v>
      </c>
      <c r="E1946" s="1289" t="str">
        <f>VLOOKUP($B1946,DG!A:D,DG!$C$2,)</f>
        <v>Đổ bê tông móng trụ &lt;=250cm-M200 đá 1x2</v>
      </c>
      <c r="F1946" s="1288" t="str">
        <f>VLOOKUP($B1946,DG!A:D,DG!$D$2,)</f>
        <v>m3</v>
      </c>
      <c r="G1946" s="1276">
        <f>G1941*0.2*0.2*(0.2+0.2+0.8+0.8+2*4)</f>
        <v>0</v>
      </c>
      <c r="H1946" s="1353">
        <f t="shared" si="75"/>
        <v>0</v>
      </c>
      <c r="I1946" s="1277"/>
      <c r="J1946" s="1277"/>
      <c r="K1946" s="1278"/>
      <c r="L1946" s="1125">
        <v>560</v>
      </c>
      <c r="M1946" s="1291">
        <f>1.025*0.45</f>
        <v>0.46124999999999999</v>
      </c>
      <c r="N1946" s="1291">
        <f>1.025*0.866</f>
        <v>0.88764999999999994</v>
      </c>
      <c r="O1946" s="1466"/>
    </row>
    <row r="1947" spans="1:15" s="1279" customFormat="1" ht="20.100000000000001" customHeight="1">
      <c r="A1947" s="1377">
        <f t="shared" si="76"/>
        <v>0</v>
      </c>
      <c r="B1947" s="1582"/>
      <c r="C1947" s="1280">
        <f>IF(G1947&gt;0,C1941+1,C1941)</f>
        <v>0</v>
      </c>
      <c r="D1947" s="1281"/>
      <c r="E1947" s="1282" t="s">
        <v>3838</v>
      </c>
      <c r="F1947" s="1280" t="s">
        <v>2449</v>
      </c>
      <c r="G1947" s="1283">
        <f>G1832</f>
        <v>0</v>
      </c>
      <c r="H1947" s="1353">
        <f t="shared" si="75"/>
        <v>0</v>
      </c>
      <c r="I1947" s="1277"/>
      <c r="J1947" s="1277"/>
      <c r="K1947" s="1312"/>
      <c r="L1947" s="1125">
        <v>560</v>
      </c>
    </row>
    <row r="1948" spans="1:15" s="1279" customFormat="1" ht="20.100000000000001" customHeight="1">
      <c r="A1948" s="1377">
        <f>IF(A1947&gt;0,1,0)</f>
        <v>0</v>
      </c>
      <c r="B1948" s="1582"/>
      <c r="C1948" s="1273"/>
      <c r="D1948" s="1284"/>
      <c r="E1948" s="1637" t="s">
        <v>2342</v>
      </c>
      <c r="F1948" s="1286"/>
      <c r="G1948" s="1287"/>
      <c r="H1948" s="1353">
        <f t="shared" si="75"/>
        <v>0</v>
      </c>
      <c r="I1948" s="1277"/>
      <c r="J1948" s="1277"/>
      <c r="K1948" s="1312"/>
      <c r="L1948" s="1125">
        <v>560</v>
      </c>
    </row>
    <row r="1949" spans="1:15" s="1279" customFormat="1" ht="20.100000000000001" customHeight="1">
      <c r="A1949" s="1377">
        <f t="shared" si="76"/>
        <v>0</v>
      </c>
      <c r="B1949" s="1582" t="s">
        <v>1056</v>
      </c>
      <c r="C1949" s="1286"/>
      <c r="D1949" s="1288" t="str">
        <f>VLOOKUP($B1949,DG!A:D,DG!$B$2,)</f>
        <v>05.1102</v>
      </c>
      <c r="E1949" s="1289" t="str">
        <f>VLOOKUP($B1949,DG!A:D,DG!$C$2,)</f>
        <v>Vỏ tủ + khóa tủ</v>
      </c>
      <c r="F1949" s="1288" t="str">
        <f>VLOOKUP($B1949,DG!A:D,DG!$D$2,)</f>
        <v>cái</v>
      </c>
      <c r="G1949" s="1287">
        <f>G1947</f>
        <v>0</v>
      </c>
      <c r="H1949" s="1353">
        <f t="shared" si="75"/>
        <v>0</v>
      </c>
      <c r="I1949" s="1277"/>
      <c r="J1949" s="1277"/>
      <c r="K1949" s="1312"/>
      <c r="L1949" s="1125">
        <v>560</v>
      </c>
    </row>
    <row r="1950" spans="1:15" s="1279" customFormat="1" ht="20.100000000000001" customHeight="1">
      <c r="A1950" s="1377">
        <f t="shared" si="76"/>
        <v>0</v>
      </c>
      <c r="B1950" s="1625" t="s">
        <v>1261</v>
      </c>
      <c r="C1950" s="1286"/>
      <c r="D1950" s="1288" t="str">
        <f>VLOOKUP($B1950,DG!A:D,DG!$B$2,)</f>
        <v>05.1102</v>
      </c>
      <c r="E1950" s="1289" t="str">
        <f>VLOOKUP($B1950,DG!A:D,DG!$C$2,)</f>
        <v>Khung đỡ tủ MCCB và tủ bù</v>
      </c>
      <c r="F1950" s="1288" t="str">
        <f>VLOOKUP($B1950,DG!A:D,DG!$D$2,)</f>
        <v>trọn bộ</v>
      </c>
      <c r="G1950" s="1287"/>
      <c r="H1950" s="1353">
        <f t="shared" si="75"/>
        <v>0</v>
      </c>
      <c r="I1950" s="1277"/>
      <c r="J1950" s="1277"/>
      <c r="K1950" s="1312"/>
      <c r="L1950" s="1125">
        <v>560</v>
      </c>
    </row>
    <row r="1951" spans="1:15" s="1279" customFormat="1" ht="20.100000000000001" customHeight="1">
      <c r="A1951" s="1377">
        <f t="shared" si="76"/>
        <v>0</v>
      </c>
      <c r="B1951" s="1582" t="s">
        <v>1587</v>
      </c>
      <c r="C1951" s="1273"/>
      <c r="D1951" s="1288">
        <f>VLOOKUP($B1951,DG!A:D,DG!$B$2,)</f>
        <v>0</v>
      </c>
      <c r="E1951" s="1289" t="s">
        <v>3848</v>
      </c>
      <c r="F1951" s="1288" t="str">
        <f>VLOOKUP($B1951,DG!A:D,DG!$D$2,)</f>
        <v>bộ</v>
      </c>
      <c r="G1951" s="1293">
        <f>G1947</f>
        <v>0</v>
      </c>
      <c r="H1951" s="1353">
        <f t="shared" si="75"/>
        <v>0</v>
      </c>
      <c r="I1951" s="1277"/>
      <c r="J1951" s="1277"/>
      <c r="K1951" s="1312"/>
      <c r="L1951" s="1125">
        <v>560</v>
      </c>
    </row>
    <row r="1952" spans="1:15" s="1279" customFormat="1" ht="20.100000000000001" customHeight="1">
      <c r="A1952" s="1377">
        <f t="shared" si="76"/>
        <v>0</v>
      </c>
      <c r="B1952" s="1582" t="s">
        <v>897</v>
      </c>
      <c r="C1952" s="1273"/>
      <c r="D1952" s="1288">
        <f>VLOOKUP($B1952,DG!A:D,DG!$B$2,)</f>
        <v>0</v>
      </c>
      <c r="E1952" s="1289" t="str">
        <f>VLOOKUP($B1952,DG!A:D,DG!$C$2,)</f>
        <v xml:space="preserve">Bakelit 550x450 dầy 10mm </v>
      </c>
      <c r="F1952" s="1288" t="str">
        <f>VLOOKUP($B1952,DG!A:D,DG!$D$2,)</f>
        <v>cái</v>
      </c>
      <c r="G1952" s="1293">
        <f>G1947*1*0</f>
        <v>0</v>
      </c>
      <c r="H1952" s="1353">
        <f t="shared" si="75"/>
        <v>0</v>
      </c>
      <c r="I1952" s="1277"/>
      <c r="J1952" s="1277"/>
      <c r="K1952" s="1312"/>
      <c r="L1952" s="1125">
        <v>560</v>
      </c>
    </row>
    <row r="1953" spans="1:13" s="1279" customFormat="1" ht="20.100000000000001" customHeight="1">
      <c r="A1953" s="1377">
        <f t="shared" si="76"/>
        <v>0</v>
      </c>
      <c r="B1953" s="1582" t="s">
        <v>290</v>
      </c>
      <c r="C1953" s="1286"/>
      <c r="D1953" s="1288" t="str">
        <f>VLOOKUP($B1953,DG!A:D,DG!$B$2,)</f>
        <v>06.3191</v>
      </c>
      <c r="E1953" s="1289" t="str">
        <f>VLOOKUP($B1953,DG!A:D,DG!$C$2,)</f>
        <v>Bảng tên trạm, bảng báo nguy hiểm + đinh vít</v>
      </c>
      <c r="F1953" s="1288" t="str">
        <f>VLOOKUP($B1953,DG!A:D,DG!$D$2,)</f>
        <v>bộ</v>
      </c>
      <c r="G1953" s="1287">
        <f>G1949</f>
        <v>0</v>
      </c>
      <c r="H1953" s="1353">
        <f t="shared" si="75"/>
        <v>0</v>
      </c>
      <c r="I1953" s="1277"/>
      <c r="J1953" s="1277"/>
      <c r="K1953" s="1312"/>
      <c r="L1953" s="1125">
        <v>560</v>
      </c>
    </row>
    <row r="1954" spans="1:13" s="1279" customFormat="1" ht="20.100000000000001" customHeight="1">
      <c r="A1954" s="1377">
        <f t="shared" si="76"/>
        <v>0</v>
      </c>
      <c r="B1954" s="1582"/>
      <c r="C1954" s="1280">
        <f>IF(G1954&gt;0,C1947+1,C1947)</f>
        <v>0</v>
      </c>
      <c r="D1954" s="1281"/>
      <c r="E1954" s="1282" t="s">
        <v>3823</v>
      </c>
      <c r="F1954" s="1280" t="s">
        <v>2596</v>
      </c>
      <c r="G1954" s="1347">
        <f>G1832*0</f>
        <v>0</v>
      </c>
      <c r="H1954" s="1353">
        <f t="shared" si="75"/>
        <v>0</v>
      </c>
      <c r="I1954" s="1277"/>
      <c r="J1954" s="1277"/>
      <c r="K1954" s="1278"/>
      <c r="L1954" s="1125">
        <v>560</v>
      </c>
    </row>
    <row r="1955" spans="1:13" s="1279" customFormat="1" ht="20.100000000000001" customHeight="1">
      <c r="A1955" s="1377">
        <f>IF(A1954&gt;0,1,0)</f>
        <v>0</v>
      </c>
      <c r="B1955" s="1582"/>
      <c r="C1955" s="1273"/>
      <c r="D1955" s="1284"/>
      <c r="E1955" s="1637" t="s">
        <v>2342</v>
      </c>
      <c r="F1955" s="1286"/>
      <c r="G1955" s="1348"/>
      <c r="H1955" s="1353">
        <f t="shared" si="75"/>
        <v>0</v>
      </c>
      <c r="I1955" s="1277"/>
      <c r="J1955" s="1277"/>
      <c r="K1955" s="1278"/>
      <c r="L1955" s="1125">
        <v>560</v>
      </c>
    </row>
    <row r="1956" spans="1:13" s="1279" customFormat="1" ht="20.100000000000001" customHeight="1">
      <c r="A1956" s="1377">
        <f t="shared" si="76"/>
        <v>0</v>
      </c>
      <c r="B1956" s="1582" t="s">
        <v>4665</v>
      </c>
      <c r="C1956" s="1286"/>
      <c r="D1956" s="1288">
        <f>VLOOKUP($B1956,DG!A:D,DG!$B$2,)</f>
        <v>0</v>
      </c>
      <c r="E1956" s="1310" t="str">
        <f>VLOOKUP($B1956,DG!A:D,DG!$C$2,)&amp;": 0,315m3/m"</f>
        <v>Cát vàng: 0,315m3/m</v>
      </c>
      <c r="F1956" s="1288" t="str">
        <f>VLOOKUP($B1956,DG!A:D,DG!$D$2,)</f>
        <v>m3</v>
      </c>
      <c r="G1956" s="1276">
        <f>G1954*0.315</f>
        <v>0</v>
      </c>
      <c r="H1956" s="1353">
        <f t="shared" si="75"/>
        <v>0</v>
      </c>
      <c r="I1956" s="1277"/>
      <c r="J1956" s="1277"/>
      <c r="K1956" s="1278"/>
      <c r="L1956" s="1125">
        <v>560</v>
      </c>
    </row>
    <row r="1957" spans="1:13" s="1279" customFormat="1" ht="20.100000000000001" customHeight="1">
      <c r="A1957" s="1377">
        <f t="shared" si="76"/>
        <v>0</v>
      </c>
      <c r="B1957" s="1584" t="s">
        <v>523</v>
      </c>
      <c r="C1957" s="1286"/>
      <c r="D1957" s="1288">
        <f>VLOOKUP($B1957,DG!A:D,DG!$B$2,)</f>
        <v>0</v>
      </c>
      <c r="E1957" s="1310" t="str">
        <f>VLOOKUP($B1957,DG!A:D,DG!$C$2,)&amp;": 0,092m3/m"</f>
        <v>Đá 2x4: 0,092m3/m</v>
      </c>
      <c r="F1957" s="1288" t="str">
        <f>VLOOKUP($B1957,DG!A:D,DG!$D$2,)</f>
        <v>m3</v>
      </c>
      <c r="G1957" s="1276">
        <f>0.092*G1954</f>
        <v>0</v>
      </c>
      <c r="H1957" s="1353">
        <f t="shared" si="75"/>
        <v>0</v>
      </c>
      <c r="I1957" s="1277"/>
      <c r="J1957" s="1277"/>
      <c r="K1957" s="1278"/>
      <c r="L1957" s="1125">
        <v>560</v>
      </c>
    </row>
    <row r="1958" spans="1:13" s="1279" customFormat="1" ht="20.100000000000001" customHeight="1">
      <c r="A1958" s="1377">
        <f t="shared" si="76"/>
        <v>0</v>
      </c>
      <c r="B1958" s="1584" t="s">
        <v>1728</v>
      </c>
      <c r="C1958" s="1286"/>
      <c r="D1958" s="1288">
        <f>VLOOKUP($B1958,DG!A:D,DG!$B$2,)</f>
        <v>0</v>
      </c>
      <c r="E1958" s="1310" t="str">
        <f>VLOOKUP($B1958,DG!A:D,DG!$C$2,)&amp;": 3,3vieân/m"</f>
        <v>Gạch tàu: 3,3vieân/m</v>
      </c>
      <c r="F1958" s="1288" t="str">
        <f>VLOOKUP($B1958,DG!A:D,DG!$D$2,)</f>
        <v>viên</v>
      </c>
      <c r="G1958" s="1276">
        <f>3.3*G1954</f>
        <v>0</v>
      </c>
      <c r="H1958" s="1353">
        <f t="shared" si="75"/>
        <v>0</v>
      </c>
      <c r="I1958" s="1277"/>
      <c r="J1958" s="1277"/>
      <c r="K1958" s="1278"/>
      <c r="L1958" s="1125">
        <v>560</v>
      </c>
    </row>
    <row r="1959" spans="1:13" s="1279" customFormat="1" ht="20.100000000000001" customHeight="1">
      <c r="A1959" s="1377">
        <f t="shared" si="76"/>
        <v>0</v>
      </c>
      <c r="B1959" s="1584" t="s">
        <v>1729</v>
      </c>
      <c r="C1959" s="1286"/>
      <c r="D1959" s="1288">
        <f>VLOOKUP($B1959,DG!A:D,DG!$B$2,)</f>
        <v>0</v>
      </c>
      <c r="E1959" s="1310" t="str">
        <f>VLOOKUP($B1959,DG!A:D,DG!$C$2,)&amp;": 0,4m2/m"</f>
        <v>Tấm nilông màu cảnh báo: 0,4m2/m</v>
      </c>
      <c r="F1959" s="1288" t="str">
        <f>VLOOKUP($B1959,DG!A:D,DG!$D$2,)</f>
        <v>m2</v>
      </c>
      <c r="G1959" s="1276">
        <f>0.4*G1954</f>
        <v>0</v>
      </c>
      <c r="H1959" s="1353">
        <f t="shared" si="75"/>
        <v>0</v>
      </c>
      <c r="I1959" s="1277"/>
      <c r="J1959" s="1277"/>
      <c r="K1959" s="1278"/>
      <c r="L1959" s="1125">
        <v>560</v>
      </c>
    </row>
    <row r="1960" spans="1:13" s="1279" customFormat="1" ht="20.100000000000001" customHeight="1">
      <c r="A1960" s="1377">
        <f t="shared" si="76"/>
        <v>0</v>
      </c>
      <c r="B1960" s="1584" t="s">
        <v>1570</v>
      </c>
      <c r="C1960" s="1273"/>
      <c r="D1960" s="1288">
        <f>VLOOKUP($B1960,DG!A:D,DG!$B$2,)</f>
        <v>0</v>
      </c>
      <c r="E1960" s="1310" t="str">
        <f>VLOOKUP($B1960,DG!A:D,DG!$C$2,)</f>
        <v>Ống PVC D140x6,7mm</v>
      </c>
      <c r="F1960" s="1288" t="str">
        <f>VLOOKUP($B1960,DG!A:D,DG!$D$2,)</f>
        <v>m</v>
      </c>
      <c r="G1960" s="1276">
        <f>1*G1954</f>
        <v>0</v>
      </c>
      <c r="H1960" s="1353">
        <f t="shared" si="75"/>
        <v>0</v>
      </c>
      <c r="I1960" s="1277"/>
      <c r="J1960" s="1277"/>
      <c r="K1960" s="1278"/>
      <c r="L1960" s="1125">
        <v>560</v>
      </c>
    </row>
    <row r="1961" spans="1:13" s="1279" customFormat="1" ht="20.100000000000001" customHeight="1">
      <c r="A1961" s="1377">
        <f t="shared" si="76"/>
        <v>0</v>
      </c>
      <c r="B1961" s="1584" t="s">
        <v>1731</v>
      </c>
      <c r="C1961" s="1286"/>
      <c r="D1961" s="1288" t="str">
        <f>VLOOKUP($B1961,DG!A:D,DG!$B$2,)</f>
        <v>03.7000</v>
      </c>
      <c r="E1961" s="1310" t="str">
        <f>VLOOKUP($B1961,DG!A:D,DG!$C$2,)&amp;" + ñaép ñaù"</f>
        <v>Đắp cát  + ñaép ñaù</v>
      </c>
      <c r="F1961" s="1288" t="str">
        <f>VLOOKUP($B1961,DG!A:D,DG!$D$2,)</f>
        <v>m3</v>
      </c>
      <c r="G1961" s="1276">
        <f>G1956+G1957</f>
        <v>0</v>
      </c>
      <c r="H1961" s="1353">
        <f t="shared" si="75"/>
        <v>0</v>
      </c>
      <c r="I1961" s="1277"/>
      <c r="J1961" s="1277"/>
      <c r="K1961" s="1278"/>
      <c r="L1961" s="1125">
        <v>560</v>
      </c>
    </row>
    <row r="1962" spans="1:13" s="1279" customFormat="1" ht="20.100000000000001" customHeight="1">
      <c r="A1962" s="1377">
        <f t="shared" si="76"/>
        <v>0</v>
      </c>
      <c r="B1962" s="1584" t="s">
        <v>145</v>
      </c>
      <c r="C1962" s="1286"/>
      <c r="D1962" s="1288" t="str">
        <f>VLOOKUP($B1962,DG!A:D,DG!$B$2,)</f>
        <v>03.3103</v>
      </c>
      <c r="E1962" s="1310" t="str">
        <f>VLOOKUP($B1962,DG!A:D,DG!$C$2,)&amp;" : 0,48m3/m"</f>
        <v>Đào mương cáp ngầm đất cấp 3 : 0,48m3/m</v>
      </c>
      <c r="F1962" s="1288" t="str">
        <f>VLOOKUP($B1962,DG!A:D,DG!$D$2,)</f>
        <v>m3</v>
      </c>
      <c r="G1962" s="1276">
        <f>G1954*0.48</f>
        <v>0</v>
      </c>
      <c r="H1962" s="1353">
        <f t="shared" si="75"/>
        <v>0</v>
      </c>
      <c r="I1962" s="1277"/>
      <c r="J1962" s="1277"/>
      <c r="K1962" s="1278"/>
      <c r="L1962" s="1125">
        <v>560</v>
      </c>
    </row>
    <row r="1963" spans="1:13" s="1279" customFormat="1" ht="20.100000000000001" customHeight="1">
      <c r="A1963" s="1377">
        <f t="shared" si="76"/>
        <v>0</v>
      </c>
      <c r="B1963" s="1584" t="s">
        <v>532</v>
      </c>
      <c r="C1963" s="1286"/>
      <c r="D1963" s="1288" t="str">
        <f>VLOOKUP($B1963,DG!A:D,DG!$B$2,)</f>
        <v>03.3203</v>
      </c>
      <c r="E1963" s="1310" t="str">
        <f>VLOOKUP($B1963,DG!A:D,DG!$C$2,)&amp;" : 0,073m3/m"</f>
        <v>Đắp đất mương cáp ngầm, đất cấp 3 : 0,073m3/m</v>
      </c>
      <c r="F1963" s="1288" t="str">
        <f>VLOOKUP($B1963,DG!A:D,DG!$D$2,)</f>
        <v>m3</v>
      </c>
      <c r="G1963" s="1276">
        <f>G1954*0.073</f>
        <v>0</v>
      </c>
      <c r="H1963" s="1353">
        <f t="shared" si="75"/>
        <v>0</v>
      </c>
      <c r="I1963" s="1277"/>
      <c r="J1963" s="1277"/>
      <c r="K1963" s="1278"/>
      <c r="L1963" s="1125">
        <v>560</v>
      </c>
      <c r="M1963" s="1349">
        <v>0.47499999999999998</v>
      </c>
    </row>
    <row r="1964" spans="1:13" s="1279" customFormat="1" ht="20.100000000000001" customHeight="1">
      <c r="A1964" s="1377">
        <f t="shared" si="76"/>
        <v>0</v>
      </c>
      <c r="B1964" s="1582"/>
      <c r="C1964" s="1280">
        <f>IF(G1964&gt;0,C1954+1,C1954)</f>
        <v>0</v>
      </c>
      <c r="D1964" s="1281"/>
      <c r="E1964" s="1282" t="s">
        <v>3824</v>
      </c>
      <c r="F1964" s="1280" t="s">
        <v>2449</v>
      </c>
      <c r="G1964" s="1283">
        <f>G1973</f>
        <v>0</v>
      </c>
      <c r="H1964" s="1353">
        <f t="shared" si="75"/>
        <v>0</v>
      </c>
      <c r="I1964" s="1277"/>
      <c r="J1964" s="1277"/>
      <c r="K1964" s="1278"/>
      <c r="L1964" s="1125">
        <v>560</v>
      </c>
      <c r="M1964" s="1349">
        <v>0.88100000000000001</v>
      </c>
    </row>
    <row r="1965" spans="1:13" s="1279" customFormat="1" ht="20.100000000000001" customHeight="1">
      <c r="A1965" s="1377">
        <f>IF(A1964&gt;0,1,0)</f>
        <v>0</v>
      </c>
      <c r="B1965" s="1582"/>
      <c r="C1965" s="1273"/>
      <c r="D1965" s="1284"/>
      <c r="E1965" s="1637" t="s">
        <v>2342</v>
      </c>
      <c r="F1965" s="1286"/>
      <c r="G1965" s="1348"/>
      <c r="H1965" s="1353">
        <f t="shared" si="75"/>
        <v>0</v>
      </c>
      <c r="I1965" s="1277"/>
      <c r="J1965" s="1277"/>
      <c r="K1965" s="1278"/>
      <c r="L1965" s="1125">
        <v>560</v>
      </c>
    </row>
    <row r="1966" spans="1:13" s="1279" customFormat="1" ht="20.100000000000001" customHeight="1">
      <c r="A1966" s="1377">
        <f t="shared" si="76"/>
        <v>0</v>
      </c>
      <c r="B1966" s="1582" t="s">
        <v>628</v>
      </c>
      <c r="C1966" s="1286"/>
      <c r="D1966" s="1288" t="str">
        <f>VLOOKUP($B1966,DG!A:D,DG!$B$2,)</f>
        <v>07.2204</v>
      </c>
      <c r="E1966" s="1289" t="str">
        <f>VLOOKUP($B1966,DG!A:D,DG!$C$2,)</f>
        <v>ÔÁng sắt tráng kẽm D140</v>
      </c>
      <c r="F1966" s="1288" t="str">
        <f>VLOOKUP($B1966,DG!A:D,DG!$D$2,)</f>
        <v>mét</v>
      </c>
      <c r="G1966" s="1276">
        <f>G1964*5*0</f>
        <v>0</v>
      </c>
      <c r="H1966" s="1353">
        <f t="shared" ref="H1966:H2029" si="77">IF(L1966=$L$23,G1966+I1966-J1966,0)</f>
        <v>0</v>
      </c>
      <c r="I1966" s="1277"/>
      <c r="J1966" s="1277"/>
      <c r="K1966" s="1278"/>
      <c r="L1966" s="1125">
        <v>560</v>
      </c>
    </row>
    <row r="1967" spans="1:13" s="1279" customFormat="1" ht="20.100000000000001" customHeight="1">
      <c r="A1967" s="1377">
        <f t="shared" si="76"/>
        <v>0</v>
      </c>
      <c r="B1967" s="1584" t="s">
        <v>476</v>
      </c>
      <c r="C1967" s="1273"/>
      <c r="D1967" s="1288">
        <f>VLOOKUP($B1967,DG!A:D,DG!$B$2,)</f>
        <v>0</v>
      </c>
      <c r="E1967" s="1289" t="str">
        <f>VLOOKUP($B1967,DG!A:D,DG!$C$2,)</f>
        <v>Co sừng 90 độ PVC 140</v>
      </c>
      <c r="F1967" s="1288" t="str">
        <f>VLOOKUP($B1967,DG!A:D,DG!$D$2,)</f>
        <v>cái</v>
      </c>
      <c r="G1967" s="1276">
        <f>G1964*0</f>
        <v>0</v>
      </c>
      <c r="H1967" s="1353">
        <f t="shared" si="77"/>
        <v>0</v>
      </c>
      <c r="I1967" s="1277"/>
      <c r="J1967" s="1277"/>
      <c r="K1967" s="1278"/>
      <c r="L1967" s="1125">
        <v>560</v>
      </c>
    </row>
    <row r="1968" spans="1:13" s="1279" customFormat="1" ht="20.100000000000001" customHeight="1">
      <c r="A1968" s="1377">
        <f t="shared" si="76"/>
        <v>0</v>
      </c>
      <c r="B1968" s="1582" t="s">
        <v>121</v>
      </c>
      <c r="C1968" s="1286"/>
      <c r="D1968" s="1288" t="str">
        <f>VLOOKUP($B1968,DG!A:D,DG!$B$2,)</f>
        <v>06.3231</v>
      </c>
      <c r="E1968" s="1289" t="str">
        <f>VLOOKUP($B1968,DG!A:D,DG!$C$2,)</f>
        <v>Cổ dê giữ ống STK D140 vào tường+Boulon+long đền+tắc ke sắt</v>
      </c>
      <c r="F1968" s="1288" t="str">
        <f>VLOOKUP($B1968,DG!A:D,DG!$D$2,)</f>
        <v>bộ</v>
      </c>
      <c r="G1968" s="1276">
        <f>G1964*2*0</f>
        <v>0</v>
      </c>
      <c r="H1968" s="1353">
        <f t="shared" si="77"/>
        <v>0</v>
      </c>
      <c r="I1968" s="1277"/>
      <c r="J1968" s="1277"/>
      <c r="K1968" s="1278"/>
      <c r="L1968" s="1125">
        <v>560</v>
      </c>
    </row>
    <row r="1969" spans="1:12" s="1279" customFormat="1" ht="20.100000000000001" customHeight="1">
      <c r="A1969" s="1377">
        <f t="shared" si="76"/>
        <v>0</v>
      </c>
      <c r="B1969" s="1378" t="s">
        <v>1442</v>
      </c>
      <c r="C1969" s="1286"/>
      <c r="D1969" s="1288">
        <f>VLOOKUP($B1969,DG!A:D,DG!$B$2,)</f>
        <v>0</v>
      </c>
      <c r="E1969" s="1289" t="str">
        <f>VLOOKUP($B1969,DG!A:D,DG!$C$2,)</f>
        <v>Giá đỡ cáp ngầm (V63x6)</v>
      </c>
      <c r="F1969" s="1288" t="str">
        <f>VLOOKUP($B1969,DG!A:D,DG!$D$2,)</f>
        <v>bộ</v>
      </c>
      <c r="G1969" s="1276">
        <f>G1964*0</f>
        <v>0</v>
      </c>
      <c r="H1969" s="1353">
        <f t="shared" si="77"/>
        <v>0</v>
      </c>
      <c r="I1969" s="1277"/>
      <c r="J1969" s="1277"/>
      <c r="K1969" s="1278"/>
      <c r="L1969" s="1125">
        <v>560</v>
      </c>
    </row>
    <row r="1970" spans="1:12" s="1279" customFormat="1" ht="20.100000000000001" customHeight="1">
      <c r="A1970" s="1377">
        <f t="shared" si="76"/>
        <v>0</v>
      </c>
      <c r="B1970" s="1378" t="s">
        <v>2200</v>
      </c>
      <c r="C1970" s="1286"/>
      <c r="D1970" s="1288">
        <f>VLOOKUP($B1970,DG!A:D,DG!$B$2,)</f>
        <v>0</v>
      </c>
      <c r="E1970" s="1289" t="str">
        <f>VLOOKUP($B1970,DG!A:D,DG!$C$2,)</f>
        <v>Giá đỡ cáp trung hạ thế</v>
      </c>
      <c r="F1970" s="1288" t="str">
        <f>VLOOKUP($B1970,DG!A:D,DG!$D$2,)</f>
        <v>bộ</v>
      </c>
      <c r="G1970" s="1276">
        <f>G1964</f>
        <v>0</v>
      </c>
      <c r="H1970" s="1353">
        <f t="shared" si="77"/>
        <v>0</v>
      </c>
      <c r="I1970" s="1277"/>
      <c r="J1970" s="1277"/>
      <c r="K1970" s="1278"/>
      <c r="L1970" s="1125">
        <v>560</v>
      </c>
    </row>
    <row r="1971" spans="1:12" s="1279" customFormat="1" ht="20.100000000000001" customHeight="1">
      <c r="A1971" s="1377">
        <f t="shared" si="76"/>
        <v>0</v>
      </c>
      <c r="B1971" s="1582" t="s">
        <v>1443</v>
      </c>
      <c r="C1971" s="1273"/>
      <c r="D1971" s="1288" t="str">
        <f>VLOOKUP($B1971,DG!A:D,DG!$B$2,)</f>
        <v>05.6101</v>
      </c>
      <c r="E1971" s="1289" t="str">
        <f>VLOOKUP($B1971,DG!A:D,DG!$C$2,)</f>
        <v>Lắp Giá đỡ cáp</v>
      </c>
      <c r="F1971" s="1288" t="str">
        <f>VLOOKUP($B1971,DG!A:D,DG!$D$2,)</f>
        <v>bộ</v>
      </c>
      <c r="G1971" s="1276">
        <f>G1969+G1970</f>
        <v>0</v>
      </c>
      <c r="H1971" s="1353">
        <f t="shared" si="77"/>
        <v>0</v>
      </c>
      <c r="I1971" s="1277"/>
      <c r="J1971" s="1277"/>
      <c r="K1971" s="1278"/>
      <c r="L1971" s="1125">
        <v>560</v>
      </c>
    </row>
    <row r="1972" spans="1:12" s="1279" customFormat="1" ht="20.100000000000001" customHeight="1">
      <c r="A1972" s="1377">
        <f t="shared" si="76"/>
        <v>0</v>
      </c>
      <c r="B1972" s="1582" t="s">
        <v>290</v>
      </c>
      <c r="C1972" s="1286"/>
      <c r="D1972" s="1288" t="str">
        <f>VLOOKUP($B1972,DG!A:D,DG!$B$2,)</f>
        <v>06.3191</v>
      </c>
      <c r="E1972" s="1289" t="str">
        <f>VLOOKUP($B1972,DG!A:D,DG!$C$2,)</f>
        <v>Bảng tên trạm, bảng báo nguy hiểm + đinh vít</v>
      </c>
      <c r="F1972" s="1288" t="str">
        <f>VLOOKUP($B1972,DG!A:D,DG!$D$2,)</f>
        <v>bộ</v>
      </c>
      <c r="G1972" s="1276">
        <f>G1964*0</f>
        <v>0</v>
      </c>
      <c r="H1972" s="1353">
        <f t="shared" si="77"/>
        <v>0</v>
      </c>
      <c r="I1972" s="1277"/>
      <c r="J1972" s="1277"/>
      <c r="K1972" s="1278"/>
      <c r="L1972" s="1125">
        <v>560</v>
      </c>
    </row>
    <row r="1973" spans="1:12" s="1279" customFormat="1" ht="20.100000000000001" customHeight="1">
      <c r="A1973" s="1377">
        <f t="shared" si="76"/>
        <v>0</v>
      </c>
      <c r="B1973" s="1582"/>
      <c r="C1973" s="1280">
        <f>IF(G1973&gt;0,C1964+1,C1964)</f>
        <v>0</v>
      </c>
      <c r="D1973" s="1281"/>
      <c r="E1973" s="1292" t="s">
        <v>3825</v>
      </c>
      <c r="F1973" s="1280" t="s">
        <v>2449</v>
      </c>
      <c r="G1973" s="1283">
        <f>G1832*0</f>
        <v>0</v>
      </c>
      <c r="H1973" s="1353">
        <f t="shared" si="77"/>
        <v>0</v>
      </c>
      <c r="I1973" s="1277"/>
      <c r="J1973" s="1277"/>
      <c r="K1973" s="1278"/>
      <c r="L1973" s="1125">
        <v>560</v>
      </c>
    </row>
    <row r="1974" spans="1:12" s="1279" customFormat="1" ht="20.100000000000001" customHeight="1">
      <c r="A1974" s="1377">
        <f>IF(A1973&gt;0,1,0)</f>
        <v>0</v>
      </c>
      <c r="B1974" s="1582"/>
      <c r="C1974" s="1273"/>
      <c r="D1974" s="1284"/>
      <c r="E1974" s="1638" t="s">
        <v>2342</v>
      </c>
      <c r="F1974" s="1273"/>
      <c r="G1974" s="1293"/>
      <c r="H1974" s="1353">
        <f t="shared" si="77"/>
        <v>0</v>
      </c>
      <c r="I1974" s="1277"/>
      <c r="J1974" s="1277"/>
      <c r="K1974" s="1278"/>
      <c r="L1974" s="1125">
        <v>560</v>
      </c>
    </row>
    <row r="1975" spans="1:12" s="1279" customFormat="1" ht="20.100000000000001" customHeight="1">
      <c r="A1975" s="1377">
        <f t="shared" si="76"/>
        <v>0</v>
      </c>
      <c r="B1975" s="1378" t="s">
        <v>473</v>
      </c>
      <c r="C1975" s="1286"/>
      <c r="D1975" s="1274">
        <f>VLOOKUP($B1975,DG!A:D,DG!$B$2,)</f>
        <v>0</v>
      </c>
      <c r="E1975" s="1275" t="str">
        <f>VLOOKUP($B1975,DG!A:D,DG!$C$2,)&amp;": trong möông vaø leân MBA"</f>
        <v>Cáp 24kV C/XLPE/DSTA/PVC3x50: trong möông vaø leân MBA</v>
      </c>
      <c r="F1975" s="1274" t="str">
        <f>VLOOKUP($B1975,DG!A:D,DG!$D$2,)</f>
        <v>mét</v>
      </c>
      <c r="G1975" s="1276">
        <f>G1954+G1973*8</f>
        <v>0</v>
      </c>
      <c r="H1975" s="1353">
        <f t="shared" si="77"/>
        <v>0</v>
      </c>
      <c r="I1975" s="1277"/>
      <c r="J1975" s="1277"/>
      <c r="K1975" s="1278"/>
      <c r="L1975" s="1125">
        <v>560</v>
      </c>
    </row>
    <row r="1976" spans="1:12" s="1279" customFormat="1" ht="20.100000000000001" customHeight="1">
      <c r="A1976" s="1377">
        <f t="shared" si="76"/>
        <v>0</v>
      </c>
      <c r="B1976" s="1378" t="s">
        <v>272</v>
      </c>
      <c r="C1976" s="1286"/>
      <c r="D1976" s="1274">
        <f>VLOOKUP($B1976,DG!A:D,DG!$B$2,)</f>
        <v>0</v>
      </c>
      <c r="E1976" s="1275" t="str">
        <f>VLOOKUP($B1976,DG!A:D,DG!$C$2,)&amp;": trung tính"</f>
        <v>Cáp 24KV C/XLPE/PVC 50mm2: trung tính</v>
      </c>
      <c r="F1976" s="1274" t="str">
        <f>VLOOKUP($B1976,DG!A:D,DG!$D$2,)</f>
        <v>mét</v>
      </c>
      <c r="G1976" s="1276">
        <f>G1975</f>
        <v>0</v>
      </c>
      <c r="H1976" s="1353">
        <f t="shared" si="77"/>
        <v>0</v>
      </c>
      <c r="I1976" s="1277"/>
      <c r="J1976" s="1277"/>
      <c r="K1976" s="1278"/>
      <c r="L1976" s="1125">
        <v>560</v>
      </c>
    </row>
    <row r="1977" spans="1:12" s="1279" customFormat="1" ht="20.100000000000001" customHeight="1">
      <c r="A1977" s="1377">
        <f t="shared" si="76"/>
        <v>0</v>
      </c>
      <c r="B1977" s="1378" t="s">
        <v>272</v>
      </c>
      <c r="C1977" s="1286"/>
      <c r="D1977" s="1274">
        <f>VLOOKUP($B1977,DG!A:D,DG!$B$2,)</f>
        <v>0</v>
      </c>
      <c r="E1977" s="1275" t="str">
        <f>VLOOKUP($B1977,DG!A:D,DG!$C$2,)&amp;": 0,5m/pha töø FCO xuoáng MBA"</f>
        <v>Cáp 24KV C/XLPE/PVC 50mm2: 0,5m/pha töø FCO xuoáng MBA</v>
      </c>
      <c r="F1977" s="1274" t="str">
        <f>VLOOKUP($B1977,DG!A:D,DG!$D$2,)</f>
        <v>mét</v>
      </c>
      <c r="G1977" s="1276">
        <f>G1973*0.5*3*0</f>
        <v>0</v>
      </c>
      <c r="H1977" s="1353">
        <f t="shared" si="77"/>
        <v>0</v>
      </c>
      <c r="I1977" s="1277"/>
      <c r="J1977" s="1277"/>
      <c r="K1977" s="1278"/>
      <c r="L1977" s="1125">
        <v>560</v>
      </c>
    </row>
    <row r="1978" spans="1:12" s="1279" customFormat="1" ht="20.100000000000001" customHeight="1">
      <c r="A1978" s="1377">
        <f t="shared" si="76"/>
        <v>0</v>
      </c>
      <c r="B1978" s="1378" t="s">
        <v>1385</v>
      </c>
      <c r="C1978" s="1286"/>
      <c r="D1978" s="1274">
        <f>VLOOKUP($B1978,DG!A:D,DG!$B$2,)</f>
        <v>0</v>
      </c>
      <c r="E1978" s="1275" t="str">
        <f>VLOOKUP($B1978,DG!A:D,DG!$C$2,)</f>
        <v>Đầu cáp ngầm 24KV 3x50mm2 outdoor</v>
      </c>
      <c r="F1978" s="1274" t="str">
        <f>VLOOKUP($B1978,DG!A:D,DG!$D$2,)</f>
        <v>cái</v>
      </c>
      <c r="G1978" s="1276">
        <f>G1973</f>
        <v>0</v>
      </c>
      <c r="H1978" s="1353">
        <f t="shared" si="77"/>
        <v>0</v>
      </c>
      <c r="I1978" s="1277"/>
      <c r="J1978" s="1277"/>
      <c r="K1978" s="1278"/>
      <c r="L1978" s="1125">
        <v>560</v>
      </c>
    </row>
    <row r="1979" spans="1:12" s="1279" customFormat="1" ht="20.100000000000001" customHeight="1">
      <c r="A1979" s="1377">
        <f t="shared" si="76"/>
        <v>0</v>
      </c>
      <c r="B1979" s="1378" t="s">
        <v>473</v>
      </c>
      <c r="C1979" s="1286"/>
      <c r="D1979" s="1274">
        <f>VLOOKUP($B1979,DG!A:D,DG!$B$2,)</f>
        <v>0</v>
      </c>
      <c r="E1979" s="1275" t="str">
        <f>VLOOKUP($B1979,DG!A:D,DG!$C$2,)&amp;": töø tuû LBS ñeán MBA"</f>
        <v>Cáp 24kV C/XLPE/DSTA/PVC3x50: töø tuû LBS ñeán MBA</v>
      </c>
      <c r="F1979" s="1274" t="str">
        <f>VLOOKUP($B1979,DG!A:D,DG!$D$2,)</f>
        <v>mét</v>
      </c>
      <c r="G1979" s="1276">
        <f>(1.2+2.4)*G1973*0</f>
        <v>0</v>
      </c>
      <c r="H1979" s="1353">
        <f t="shared" si="77"/>
        <v>0</v>
      </c>
      <c r="I1979" s="1277"/>
      <c r="J1979" s="1277"/>
      <c r="K1979" s="1278"/>
      <c r="L1979" s="1125">
        <v>560</v>
      </c>
    </row>
    <row r="1980" spans="1:12" s="1279" customFormat="1" ht="20.100000000000001" customHeight="1">
      <c r="A1980" s="1377">
        <f t="shared" si="76"/>
        <v>0</v>
      </c>
      <c r="B1980" s="1378" t="s">
        <v>272</v>
      </c>
      <c r="C1980" s="1286"/>
      <c r="D1980" s="1274">
        <f>VLOOKUP($B1980,DG!A:D,DG!$B$2,)</f>
        <v>0</v>
      </c>
      <c r="E1980" s="1275" t="str">
        <f>VLOOKUP($B1980,DG!A:D,DG!$C$2,)&amp;": töø tuû LBS ñeán MBA"</f>
        <v>Cáp 24KV C/XLPE/PVC 50mm2: töø tuû LBS ñeán MBA</v>
      </c>
      <c r="F1980" s="1274" t="str">
        <f>VLOOKUP($B1980,DG!A:D,DG!$D$2,)</f>
        <v>mét</v>
      </c>
      <c r="G1980" s="1276">
        <f>G1973*1.2*0</f>
        <v>0</v>
      </c>
      <c r="H1980" s="1353">
        <f t="shared" si="77"/>
        <v>0</v>
      </c>
      <c r="I1980" s="1277"/>
      <c r="J1980" s="1277"/>
      <c r="K1980" s="1278"/>
      <c r="L1980" s="1125">
        <v>560</v>
      </c>
    </row>
    <row r="1981" spans="1:12" s="1279" customFormat="1" ht="20.100000000000001" customHeight="1">
      <c r="A1981" s="1377">
        <f t="shared" si="76"/>
        <v>0</v>
      </c>
      <c r="B1981" s="1378" t="s">
        <v>1386</v>
      </c>
      <c r="C1981" s="1286"/>
      <c r="D1981" s="1274">
        <f>VLOOKUP($B1981,DG!A:D,DG!$B$2,)</f>
        <v>0</v>
      </c>
      <c r="E1981" s="1275" t="str">
        <f>VLOOKUP($B1981,DG!A:D,DG!$C$2,)</f>
        <v>Đầu cáp ngầm 24KV 3x50mm2 indoor</v>
      </c>
      <c r="F1981" s="1274" t="str">
        <f>VLOOKUP($B1981,DG!A:D,DG!$D$2,)</f>
        <v>cái</v>
      </c>
      <c r="G1981" s="1276">
        <f>G1973</f>
        <v>0</v>
      </c>
      <c r="H1981" s="1353">
        <f t="shared" si="77"/>
        <v>0</v>
      </c>
      <c r="I1981" s="1277"/>
      <c r="J1981" s="1277"/>
      <c r="K1981" s="1278"/>
      <c r="L1981" s="1125">
        <v>560</v>
      </c>
    </row>
    <row r="1982" spans="1:12" s="1279" customFormat="1" ht="20.100000000000001" customHeight="1">
      <c r="A1982" s="1377">
        <f t="shared" si="76"/>
        <v>0</v>
      </c>
      <c r="B1982" s="1378" t="s">
        <v>1727</v>
      </c>
      <c r="C1982" s="1286"/>
      <c r="D1982" s="1274" t="str">
        <f>VLOOKUP($B1982,DG!A:D,DG!$B$2,)</f>
        <v>07.4312</v>
      </c>
      <c r="E1982" s="1275" t="str">
        <f>VLOOKUP($B1982,DG!A:D,DG!$C$2,)</f>
        <v>Lắp đầu cáp trung thế 3x50mm2, 70mm2</v>
      </c>
      <c r="F1982" s="1274" t="str">
        <f>VLOOKUP($B1982,DG!A:D,DG!$D$2,)</f>
        <v>cái</v>
      </c>
      <c r="G1982" s="1276">
        <f>G1978+G1981</f>
        <v>0</v>
      </c>
      <c r="H1982" s="1353">
        <f t="shared" si="77"/>
        <v>0</v>
      </c>
      <c r="I1982" s="1277"/>
      <c r="J1982" s="1277"/>
      <c r="K1982" s="1278"/>
      <c r="L1982" s="1125">
        <v>560</v>
      </c>
    </row>
    <row r="1983" spans="1:12" s="1279" customFormat="1" ht="20.100000000000001" customHeight="1">
      <c r="A1983" s="1377">
        <f t="shared" si="76"/>
        <v>0</v>
      </c>
      <c r="B1983" s="1378" t="s">
        <v>1234</v>
      </c>
      <c r="C1983" s="1286"/>
      <c r="D1983" s="1274" t="str">
        <f>VLOOKUP($B1983,DG!A:D,DG!$B$2,)</f>
        <v>03.1405</v>
      </c>
      <c r="E1983" s="1275" t="str">
        <f>VLOOKUP($B1983,DG!A:D,DG!$C$2,)</f>
        <v>Lắp cáp trong ống bảo vệ trong TBA loại &lt;=6kg</v>
      </c>
      <c r="F1983" s="1274" t="str">
        <f>VLOOKUP($B1983,DG!A:D,DG!$D$2,)</f>
        <v>mét</v>
      </c>
      <c r="G1983" s="1276">
        <f>G1975+G1979</f>
        <v>0</v>
      </c>
      <c r="H1983" s="1353">
        <f t="shared" si="77"/>
        <v>0</v>
      </c>
      <c r="I1983" s="1277"/>
      <c r="J1983" s="1277"/>
      <c r="K1983" s="1278"/>
      <c r="L1983" s="1125">
        <v>560</v>
      </c>
    </row>
    <row r="1984" spans="1:12" s="1279" customFormat="1" ht="20.100000000000001" customHeight="1">
      <c r="A1984" s="1377">
        <f t="shared" si="76"/>
        <v>0</v>
      </c>
      <c r="B1984" s="1378" t="s">
        <v>1231</v>
      </c>
      <c r="C1984" s="1286"/>
      <c r="D1984" s="1274" t="str">
        <f>VLOOKUP($B1984,DG!A:D,DG!$B$2,)</f>
        <v>03.1402</v>
      </c>
      <c r="E1984" s="1275" t="str">
        <f>VLOOKUP($B1984,DG!A:D,DG!$C$2,)</f>
        <v>Lắp cáp trong ống bảo vệ trong TBA loại &lt;=2kg</v>
      </c>
      <c r="F1984" s="1274" t="str">
        <f>VLOOKUP($B1984,DG!A:D,DG!$D$2,)</f>
        <v>mét</v>
      </c>
      <c r="G1984" s="1276">
        <f>G1976+G1980</f>
        <v>0</v>
      </c>
      <c r="H1984" s="1353">
        <f t="shared" si="77"/>
        <v>0</v>
      </c>
      <c r="I1984" s="1277"/>
      <c r="J1984" s="1277"/>
      <c r="K1984" s="1278"/>
      <c r="L1984" s="1125">
        <v>560</v>
      </c>
    </row>
    <row r="1985" spans="1:12" s="1279" customFormat="1" ht="20.100000000000001" customHeight="1">
      <c r="A1985" s="1377">
        <f t="shared" si="76"/>
        <v>0</v>
      </c>
      <c r="B1985" s="1378" t="s">
        <v>1577</v>
      </c>
      <c r="C1985" s="1286"/>
      <c r="D1985" s="1274" t="str">
        <f>VLOOKUP($B1985,DG!A:D,DG!$B$2,)</f>
        <v>04.4201</v>
      </c>
      <c r="E1985" s="1275" t="str">
        <f>VLOOKUP($B1985,DG!A:D,DG!$C$2,)</f>
        <v>Lắp cáp đồng xuống thiết bị D ≤ 95mm2</v>
      </c>
      <c r="F1985" s="1274" t="str">
        <f>VLOOKUP($B1985,DG!A:D,DG!$D$2,)</f>
        <v>m</v>
      </c>
      <c r="G1985" s="1276">
        <f>G1977</f>
        <v>0</v>
      </c>
      <c r="H1985" s="1353">
        <f t="shared" si="77"/>
        <v>0</v>
      </c>
      <c r="I1985" s="1277"/>
      <c r="J1985" s="1277"/>
      <c r="K1985" s="1278"/>
      <c r="L1985" s="1125">
        <v>560</v>
      </c>
    </row>
    <row r="1986" spans="1:12" s="1279" customFormat="1" ht="20.100000000000001" customHeight="1">
      <c r="A1986" s="1377">
        <f t="shared" si="76"/>
        <v>0</v>
      </c>
      <c r="B1986" s="1378" t="s">
        <v>1382</v>
      </c>
      <c r="C1986" s="1286"/>
      <c r="D1986" s="1274">
        <f>VLOOKUP($B1986,DG!A:D,DG!$B$2,)</f>
        <v>0</v>
      </c>
      <c r="E1986" s="1275" t="str">
        <f>VLOOKUP($B1986,DG!A:D,DG!$C$2,)</f>
        <v>Dây rút cáp</v>
      </c>
      <c r="F1986" s="1274" t="str">
        <f>VLOOKUP($B1986,DG!A:D,DG!$D$2,)</f>
        <v>bọc</v>
      </c>
      <c r="G1986" s="1276">
        <f>G1973*2</f>
        <v>0</v>
      </c>
      <c r="H1986" s="1353">
        <f t="shared" si="77"/>
        <v>0</v>
      </c>
      <c r="I1986" s="1277"/>
      <c r="J1986" s="1277"/>
      <c r="K1986" s="1278"/>
      <c r="L1986" s="1125">
        <v>560</v>
      </c>
    </row>
    <row r="1987" spans="1:12" s="1279" customFormat="1" ht="20.100000000000001" customHeight="1">
      <c r="A1987" s="1377">
        <f t="shared" si="76"/>
        <v>0</v>
      </c>
      <c r="B1987" s="1582"/>
      <c r="C1987" s="1280">
        <f>IF(G1987&gt;0,C1973+1,C1973)</f>
        <v>0</v>
      </c>
      <c r="D1987" s="1281"/>
      <c r="E1987" s="1292" t="s">
        <v>3843</v>
      </c>
      <c r="F1987" s="1280" t="s">
        <v>2449</v>
      </c>
      <c r="G1987" s="1283">
        <f>G1832</f>
        <v>0</v>
      </c>
      <c r="H1987" s="1353">
        <f t="shared" si="77"/>
        <v>0</v>
      </c>
      <c r="I1987" s="1277"/>
      <c r="J1987" s="1277"/>
      <c r="K1987" s="1312"/>
      <c r="L1987" s="1125">
        <v>560</v>
      </c>
    </row>
    <row r="1988" spans="1:12" s="1279" customFormat="1" ht="20.100000000000001" customHeight="1">
      <c r="A1988" s="1377">
        <f>IF(A1987&gt;0,1,0)</f>
        <v>0</v>
      </c>
      <c r="B1988" s="1582"/>
      <c r="C1988" s="1273"/>
      <c r="D1988" s="1284"/>
      <c r="E1988" s="1638" t="s">
        <v>2342</v>
      </c>
      <c r="F1988" s="1273"/>
      <c r="G1988" s="1293"/>
      <c r="H1988" s="1353">
        <f t="shared" si="77"/>
        <v>0</v>
      </c>
      <c r="I1988" s="1277"/>
      <c r="J1988" s="1277"/>
      <c r="K1988" s="1312"/>
      <c r="L1988" s="1125">
        <v>560</v>
      </c>
    </row>
    <row r="1989" spans="1:12" s="1279" customFormat="1" ht="20.100000000000001" customHeight="1">
      <c r="A1989" s="1377">
        <f t="shared" si="76"/>
        <v>0</v>
      </c>
      <c r="B1989" s="1378" t="s">
        <v>704</v>
      </c>
      <c r="C1989" s="1286"/>
      <c r="D1989" s="1274">
        <f>VLOOKUP($B1989,DG!A:D,DG!$B$2,)</f>
        <v>0</v>
      </c>
      <c r="E1989" s="1275" t="str">
        <f>VLOOKUP($B1989,DG!A:D,DG!$C$2,)&amp;": 9m/1pha"</f>
        <v>Cáp 24KV C/XLPE/PVC 25mm2: 9m/1pha</v>
      </c>
      <c r="F1989" s="1274" t="str">
        <f>VLOOKUP($B1989,DG!A:D,DG!$D$2,)</f>
        <v>mét</v>
      </c>
      <c r="G1989" s="1287">
        <f>G1987*(9)*3</f>
        <v>0</v>
      </c>
      <c r="H1989" s="1353">
        <f t="shared" si="77"/>
        <v>0</v>
      </c>
      <c r="I1989" s="1277"/>
      <c r="J1989" s="1277"/>
      <c r="K1989" s="1312"/>
      <c r="L1989" s="1125">
        <v>560</v>
      </c>
    </row>
    <row r="1990" spans="1:12" s="1279" customFormat="1" ht="20.100000000000001" customHeight="1">
      <c r="A1990" s="1377">
        <f t="shared" si="76"/>
        <v>0</v>
      </c>
      <c r="B1990" s="1378" t="s">
        <v>1631</v>
      </c>
      <c r="C1990" s="1286"/>
      <c r="D1990" s="1274">
        <f>VLOOKUP($B1990,DG!A:D,DG!$B$2,)</f>
        <v>0</v>
      </c>
      <c r="E1990" s="1275" t="str">
        <f>VLOOKUP($B1990,DG!A:D,DG!$C$2,)</f>
        <v>Kẹp ép WR cỡ dây 50mm2</v>
      </c>
      <c r="F1990" s="1274" t="str">
        <f>VLOOKUP($B1990,DG!A:D,DG!$D$2,)</f>
        <v>cái</v>
      </c>
      <c r="G1990" s="1348">
        <f>G1987*6*0</f>
        <v>0</v>
      </c>
      <c r="H1990" s="1353">
        <f t="shared" si="77"/>
        <v>0</v>
      </c>
      <c r="I1990" s="1277"/>
      <c r="J1990" s="1277"/>
      <c r="K1990" s="1312"/>
      <c r="L1990" s="1125">
        <v>560</v>
      </c>
    </row>
    <row r="1991" spans="1:12" s="1279" customFormat="1" ht="20.100000000000001" customHeight="1">
      <c r="A1991" s="1377">
        <f t="shared" si="76"/>
        <v>0</v>
      </c>
      <c r="B1991" s="1378" t="s">
        <v>1145</v>
      </c>
      <c r="C1991" s="1286"/>
      <c r="D1991" s="1274">
        <f>VLOOKUP($B1991,DG!A:D,DG!$B$2,)</f>
        <v>0</v>
      </c>
      <c r="E1991" s="1275" t="str">
        <f>VLOOKUP($B1991,DG!A:D,DG!$C$2,)</f>
        <v>Kẹp ép cỡ dây 25mm2</v>
      </c>
      <c r="F1991" s="1274" t="str">
        <f>VLOOKUP($B1991,DG!A:D,DG!$D$2,)</f>
        <v>cái</v>
      </c>
      <c r="G1991" s="1287">
        <f>G1987*3*2</f>
        <v>0</v>
      </c>
      <c r="H1991" s="1353">
        <f t="shared" si="77"/>
        <v>0</v>
      </c>
      <c r="I1991" s="1277"/>
      <c r="J1991" s="1277"/>
      <c r="K1991" s="1278"/>
      <c r="L1991" s="1125">
        <v>560</v>
      </c>
    </row>
    <row r="1992" spans="1:12" s="1279" customFormat="1" ht="20.100000000000001" customHeight="1">
      <c r="A1992" s="1377">
        <f t="shared" si="76"/>
        <v>0</v>
      </c>
      <c r="B1992" s="1378" t="s">
        <v>554</v>
      </c>
      <c r="C1992" s="1286"/>
      <c r="D1992" s="1274">
        <f>VLOOKUP($B1992,DG!A:D,DG!$B$2,)</f>
        <v>0</v>
      </c>
      <c r="E1992" s="1275" t="str">
        <f>VLOOKUP($B1992,DG!A:D,DG!$C$2,)</f>
        <v>Bass LI bắt FCO</v>
      </c>
      <c r="F1992" s="1274" t="str">
        <f>VLOOKUP($B1992,DG!A:D,DG!$D$2,)</f>
        <v>Bộ</v>
      </c>
      <c r="G1992" s="1287">
        <f>G1987*3*2</f>
        <v>0</v>
      </c>
      <c r="H1992" s="1353">
        <f t="shared" si="77"/>
        <v>0</v>
      </c>
      <c r="I1992" s="1277"/>
      <c r="J1992" s="1277"/>
      <c r="K1992" s="1278"/>
      <c r="L1992" s="1125">
        <v>560</v>
      </c>
    </row>
    <row r="1993" spans="1:12" s="1279" customFormat="1" ht="20.100000000000001" customHeight="1">
      <c r="A1993" s="1377">
        <f t="shared" si="76"/>
        <v>0</v>
      </c>
      <c r="B1993" s="1378" t="s">
        <v>1531</v>
      </c>
      <c r="C1993" s="1286"/>
      <c r="D1993" s="1274" t="str">
        <f>VLOOKUP($B1993,DG!A:D,DG!$B$2,)</f>
        <v>04.3007</v>
      </c>
      <c r="E1993" s="1275" t="str">
        <f>VLOOKUP($B1993,DG!A:D,DG!$C$2,)</f>
        <v>Kẹp quai 2/0</v>
      </c>
      <c r="F1993" s="1274" t="str">
        <f>VLOOKUP($B1993,DG!A:D,DG!$D$2,)</f>
        <v>cái</v>
      </c>
      <c r="G1993" s="1287">
        <f>G1987*3</f>
        <v>0</v>
      </c>
      <c r="H1993" s="1353">
        <f t="shared" si="77"/>
        <v>0</v>
      </c>
      <c r="I1993" s="1277"/>
      <c r="J1993" s="1277"/>
      <c r="K1993" s="1312"/>
      <c r="L1993" s="1125">
        <v>560</v>
      </c>
    </row>
    <row r="1994" spans="1:12" s="1279" customFormat="1" ht="20.100000000000001" customHeight="1">
      <c r="A1994" s="1377">
        <f t="shared" si="76"/>
        <v>0</v>
      </c>
      <c r="B1994" s="1378" t="s">
        <v>1529</v>
      </c>
      <c r="C1994" s="1286"/>
      <c r="D1994" s="1274" t="str">
        <f>VLOOKUP($B1994,DG!A:D,DG!$B$2,)</f>
        <v>04.3007</v>
      </c>
      <c r="E1994" s="1275" t="str">
        <f>VLOOKUP($B1994,DG!A:D,DG!$C$2,)&amp;": "</f>
        <v xml:space="preserve">Kẹp hotline 2/0: </v>
      </c>
      <c r="F1994" s="1274" t="str">
        <f>VLOOKUP($B1994,DG!A:D,DG!$D$2,)</f>
        <v>cái</v>
      </c>
      <c r="G1994" s="1287">
        <f>G1993</f>
        <v>0</v>
      </c>
      <c r="H1994" s="1353">
        <f t="shared" si="77"/>
        <v>0</v>
      </c>
      <c r="I1994" s="1277"/>
      <c r="J1994" s="1277"/>
      <c r="K1994" s="1312"/>
      <c r="L1994" s="1125">
        <v>560</v>
      </c>
    </row>
    <row r="1995" spans="1:12" s="1279" customFormat="1" ht="20.100000000000001" customHeight="1">
      <c r="A1995" s="1377">
        <f t="shared" si="76"/>
        <v>0</v>
      </c>
      <c r="B1995" s="1378" t="s">
        <v>703</v>
      </c>
      <c r="C1995" s="1312"/>
      <c r="D1995" s="1274">
        <f>VLOOKUP($B1995,DG!A:D,DG!$B$2,)</f>
        <v>0</v>
      </c>
      <c r="E1995" s="1275" t="str">
        <f>VLOOKUP($B1995,DG!A:D,DG!$C$2,)</f>
        <v xml:space="preserve">Sứ đứng 24KV </v>
      </c>
      <c r="F1995" s="1274" t="str">
        <f>VLOOKUP($B1995,DG!A:D,DG!$D$2,)</f>
        <v>cái</v>
      </c>
      <c r="G1995" s="1287">
        <f>G1987*9</f>
        <v>0</v>
      </c>
      <c r="H1995" s="1353">
        <f t="shared" si="77"/>
        <v>0</v>
      </c>
      <c r="I1995" s="1277"/>
      <c r="J1995" s="1277"/>
      <c r="K1995" s="1312"/>
      <c r="L1995" s="1125">
        <v>560</v>
      </c>
    </row>
    <row r="1996" spans="1:12" s="1279" customFormat="1" ht="20.100000000000001" customHeight="1">
      <c r="A1996" s="1377">
        <f t="shared" si="76"/>
        <v>0</v>
      </c>
      <c r="B1996" s="1378" t="s">
        <v>1298</v>
      </c>
      <c r="C1996" s="1286"/>
      <c r="D1996" s="1274">
        <f>VLOOKUP($B1996,DG!A:D,DG!$B$2,)</f>
        <v>0</v>
      </c>
      <c r="E1996" s="1275" t="str">
        <f>VLOOKUP($B1996,DG!A:D,DG!$C$2,)</f>
        <v>Chân sứ đứng D20</v>
      </c>
      <c r="F1996" s="1274" t="str">
        <f>VLOOKUP($B1996,DG!A:D,DG!$D$2,)</f>
        <v>cái</v>
      </c>
      <c r="G1996" s="1287">
        <f>G1995</f>
        <v>0</v>
      </c>
      <c r="H1996" s="1353">
        <f t="shared" si="77"/>
        <v>0</v>
      </c>
      <c r="I1996" s="1277"/>
      <c r="J1996" s="1277"/>
      <c r="K1996" s="1312"/>
      <c r="L1996" s="1125">
        <v>560</v>
      </c>
    </row>
    <row r="1997" spans="1:12" s="1279" customFormat="1" ht="20.100000000000001" customHeight="1">
      <c r="A1997" s="1377">
        <f t="shared" si="76"/>
        <v>0</v>
      </c>
      <c r="B1997" s="1378" t="s">
        <v>442</v>
      </c>
      <c r="C1997" s="1286"/>
      <c r="D1997" s="1274">
        <f>VLOOKUP($B1997,DG!A:D,DG!$B$2,)</f>
        <v>0</v>
      </c>
      <c r="E1997" s="1275" t="str">
        <f>VLOOKUP($B1997,DG!A:D,DG!$C$2,)</f>
        <v>Sứ treo polymer</v>
      </c>
      <c r="F1997" s="1274" t="str">
        <f>VLOOKUP($B1997,DG!A:D,DG!$D$2,)</f>
        <v>chuỗi</v>
      </c>
      <c r="G1997" s="1344">
        <f>G1987*6*0</f>
        <v>0</v>
      </c>
      <c r="H1997" s="1353">
        <f t="shared" si="77"/>
        <v>0</v>
      </c>
      <c r="I1997" s="1277"/>
      <c r="J1997" s="1277"/>
      <c r="K1997" s="1312"/>
      <c r="L1997" s="1125">
        <v>560</v>
      </c>
    </row>
    <row r="1998" spans="1:12" s="1279" customFormat="1" ht="20.100000000000001" customHeight="1">
      <c r="A1998" s="1377">
        <f t="shared" si="76"/>
        <v>0</v>
      </c>
      <c r="B1998" s="1378" t="s">
        <v>1617</v>
      </c>
      <c r="C1998" s="1286"/>
      <c r="D1998" s="1274" t="str">
        <f>VLOOKUP($B1998,DG!A:D,DG!$B$2,)</f>
        <v>06.1115</v>
      </c>
      <c r="E1998" s="1275" t="str">
        <f>VLOOKUP($B1998,DG!A:D,DG!$C$2,)</f>
        <v>Lắp sứ đứng 24KV</v>
      </c>
      <c r="F1998" s="1274" t="str">
        <f>VLOOKUP($B1998,DG!A:D,DG!$D$2,)</f>
        <v>bộ</v>
      </c>
      <c r="G1998" s="1287">
        <f>G1996</f>
        <v>0</v>
      </c>
      <c r="H1998" s="1353">
        <f t="shared" si="77"/>
        <v>0</v>
      </c>
      <c r="I1998" s="1277"/>
      <c r="J1998" s="1277"/>
      <c r="K1998" s="1312"/>
      <c r="L1998" s="1125">
        <v>560</v>
      </c>
    </row>
    <row r="1999" spans="1:12" s="1279" customFormat="1" ht="20.100000000000001" customHeight="1">
      <c r="A1999" s="1377">
        <f t="shared" si="76"/>
        <v>0</v>
      </c>
      <c r="B1999" s="1378" t="s">
        <v>236</v>
      </c>
      <c r="C1999" s="1286"/>
      <c r="D1999" s="1274" t="str">
        <f>VLOOKUP($B1999,DG!A:D,DG!$B$2,)</f>
        <v>06.1115</v>
      </c>
      <c r="E1999" s="1275" t="str">
        <f>VLOOKUP($B1999,DG!A:D,DG!$C$2,)</f>
        <v>Tháo sứ đứng 24KV</v>
      </c>
      <c r="F1999" s="1274" t="str">
        <f>VLOOKUP($B1999,DG!A:D,DG!$D$2,)</f>
        <v>bộ</v>
      </c>
      <c r="G1999" s="1287"/>
      <c r="H1999" s="1353">
        <f t="shared" si="77"/>
        <v>0</v>
      </c>
      <c r="I1999" s="1277"/>
      <c r="J1999" s="1277"/>
      <c r="K1999" s="1312"/>
      <c r="L1999" s="1125">
        <v>560</v>
      </c>
    </row>
    <row r="2000" spans="1:12" s="1279" customFormat="1" ht="20.100000000000001" customHeight="1">
      <c r="A2000" s="1377">
        <f t="shared" si="76"/>
        <v>0</v>
      </c>
      <c r="B2000" s="1378" t="s">
        <v>1559</v>
      </c>
      <c r="C2000" s="1286"/>
      <c r="D2000" s="1274" t="str">
        <f>VLOOKUP($B2000,DG!A:D,DG!$B$2,)</f>
        <v>06.2201</v>
      </c>
      <c r="E2000" s="1275" t="str">
        <f>VLOOKUP($B2000,DG!A:D,DG!$C$2,)</f>
        <v>Lắp chuỗi sứ néo Polymer</v>
      </c>
      <c r="F2000" s="1274" t="str">
        <f>VLOOKUP($B2000,DG!A:D,DG!$D$2,)</f>
        <v>chuỗi</v>
      </c>
      <c r="G2000" s="1287">
        <f>G1997</f>
        <v>0</v>
      </c>
      <c r="H2000" s="1353">
        <f t="shared" si="77"/>
        <v>0</v>
      </c>
      <c r="I2000" s="1277"/>
      <c r="J2000" s="1277"/>
      <c r="K2000" s="1312"/>
      <c r="L2000" s="1125">
        <v>560</v>
      </c>
    </row>
    <row r="2001" spans="1:12" s="1279" customFormat="1" ht="20.100000000000001" customHeight="1">
      <c r="A2001" s="1377">
        <f t="shared" si="76"/>
        <v>0</v>
      </c>
      <c r="B2001" s="1378" t="s">
        <v>1577</v>
      </c>
      <c r="C2001" s="1286"/>
      <c r="D2001" s="1274" t="str">
        <f>VLOOKUP($B2001,DG!A:D,DG!$B$2,)</f>
        <v>04.4201</v>
      </c>
      <c r="E2001" s="1275" t="str">
        <f>VLOOKUP($B2001,DG!A:D,DG!$C$2,)</f>
        <v>Lắp cáp đồng xuống thiết bị D ≤ 95mm2</v>
      </c>
      <c r="F2001" s="1274" t="str">
        <f>VLOOKUP($B2001,DG!A:D,DG!$D$2,)</f>
        <v>m</v>
      </c>
      <c r="G2001" s="1287">
        <f>G1989</f>
        <v>0</v>
      </c>
      <c r="H2001" s="1353">
        <f t="shared" si="77"/>
        <v>0</v>
      </c>
      <c r="I2001" s="1277"/>
      <c r="J2001" s="1277"/>
      <c r="K2001" s="1312"/>
      <c r="L2001" s="1125">
        <v>560</v>
      </c>
    </row>
    <row r="2002" spans="1:12" s="1279" customFormat="1" ht="20.100000000000001" customHeight="1">
      <c r="A2002" s="1377">
        <f t="shared" ref="A2002:A2065" si="78">IF(H2002&gt;0,1,0)</f>
        <v>0</v>
      </c>
      <c r="B2002" s="1582"/>
      <c r="C2002" s="1280">
        <f>IF(G2002&gt;0,C1987+1,C1987)</f>
        <v>0</v>
      </c>
      <c r="D2002" s="1281"/>
      <c r="E2002" s="1292" t="s">
        <v>3807</v>
      </c>
      <c r="F2002" s="1280" t="s">
        <v>2449</v>
      </c>
      <c r="G2002" s="1283">
        <f>G1865</f>
        <v>0</v>
      </c>
      <c r="H2002" s="1353">
        <f t="shared" si="77"/>
        <v>0</v>
      </c>
      <c r="I2002" s="1277"/>
      <c r="J2002" s="1277"/>
      <c r="K2002" s="1278"/>
      <c r="L2002" s="1125">
        <v>560</v>
      </c>
    </row>
    <row r="2003" spans="1:12" s="1279" customFormat="1" ht="20.100000000000001" customHeight="1">
      <c r="A2003" s="1377">
        <f>IF(A2002&gt;0,1,0)</f>
        <v>0</v>
      </c>
      <c r="B2003" s="1582"/>
      <c r="C2003" s="1273"/>
      <c r="D2003" s="1284"/>
      <c r="E2003" s="1638" t="s">
        <v>2342</v>
      </c>
      <c r="F2003" s="1273"/>
      <c r="G2003" s="1293"/>
      <c r="H2003" s="1353">
        <f t="shared" si="77"/>
        <v>0</v>
      </c>
      <c r="I2003" s="1277"/>
      <c r="J2003" s="1277"/>
      <c r="K2003" s="1278"/>
      <c r="L2003" s="1125">
        <v>560</v>
      </c>
    </row>
    <row r="2004" spans="1:12" s="1279" customFormat="1" ht="20.100000000000001" customHeight="1">
      <c r="A2004" s="1377">
        <f t="shared" si="78"/>
        <v>0</v>
      </c>
      <c r="B2004" s="1582" t="s">
        <v>1541</v>
      </c>
      <c r="C2004" s="1286"/>
      <c r="D2004" s="1274" t="str">
        <f>VLOOKUP($B2004,DG!A:D,DG!$B$2,)</f>
        <v>04.8003</v>
      </c>
      <c r="E2004" s="1275" t="str">
        <f>VLOOKUP($B2004,DG!A:D,DG!$C$2,)</f>
        <v xml:space="preserve">Ống PVC D90x3,8mm </v>
      </c>
      <c r="F2004" s="1274" t="str">
        <f>VLOOKUP($B2004,DG!A:D,DG!$D$2,)</f>
        <v>m</v>
      </c>
      <c r="G2004" s="1287">
        <f>G2002*2</f>
        <v>0</v>
      </c>
      <c r="H2004" s="1353">
        <f t="shared" si="77"/>
        <v>0</v>
      </c>
      <c r="I2004" s="1277"/>
      <c r="J2004" s="1277"/>
      <c r="K2004" s="1278"/>
      <c r="L2004" s="1125">
        <v>560</v>
      </c>
    </row>
    <row r="2005" spans="1:12" s="1279" customFormat="1" ht="20.100000000000001" customHeight="1">
      <c r="A2005" s="1377">
        <f t="shared" si="78"/>
        <v>0</v>
      </c>
      <c r="B2005" s="1582" t="s">
        <v>86</v>
      </c>
      <c r="C2005" s="1286"/>
      <c r="D2005" s="1274">
        <f>VLOOKUP($B2005,DG!A:D,DG!$B$2,)</f>
        <v>0</v>
      </c>
      <c r="E2005" s="1275" t="str">
        <f>VLOOKUP($B2005,DG!A:D,DG!$C$2,)</f>
        <v>Co  90 độ PVC 90</v>
      </c>
      <c r="F2005" s="1274" t="str">
        <f>VLOOKUP($B2005,DG!A:D,DG!$D$2,)</f>
        <v>cái</v>
      </c>
      <c r="G2005" s="1287">
        <f>G2002*2</f>
        <v>0</v>
      </c>
      <c r="H2005" s="1353">
        <f t="shared" si="77"/>
        <v>0</v>
      </c>
      <c r="I2005" s="1277"/>
      <c r="J2005" s="1277"/>
      <c r="K2005" s="1278"/>
      <c r="L2005" s="1125">
        <v>560</v>
      </c>
    </row>
    <row r="2006" spans="1:12" s="1279" customFormat="1" ht="20.100000000000001" customHeight="1">
      <c r="A2006" s="1377">
        <f t="shared" si="78"/>
        <v>0</v>
      </c>
      <c r="B2006" s="1582" t="s">
        <v>948</v>
      </c>
      <c r="C2006" s="1286"/>
      <c r="D2006" s="1274">
        <f>VLOOKUP($B2006,DG!A:D,DG!$B$2,)</f>
        <v>0</v>
      </c>
      <c r="E2006" s="1275" t="str">
        <f>VLOOKUP($B2006,DG!A:D,DG!$C$2,)</f>
        <v>Khâu ven răng trong D90</v>
      </c>
      <c r="F2006" s="1274" t="str">
        <f>VLOOKUP($B2006,DG!A:D,DG!$D$2,)</f>
        <v>cái</v>
      </c>
      <c r="G2006" s="1287">
        <f>G2002*1*0</f>
        <v>0</v>
      </c>
      <c r="H2006" s="1353">
        <f t="shared" si="77"/>
        <v>0</v>
      </c>
      <c r="I2006" s="1277"/>
      <c r="J2006" s="1277"/>
      <c r="K2006" s="1278"/>
      <c r="L2006" s="1125">
        <v>560</v>
      </c>
    </row>
    <row r="2007" spans="1:12" s="1279" customFormat="1" ht="20.100000000000001" customHeight="1">
      <c r="A2007" s="1377">
        <f t="shared" si="78"/>
        <v>0</v>
      </c>
      <c r="B2007" s="1582" t="s">
        <v>947</v>
      </c>
      <c r="C2007" s="1286"/>
      <c r="D2007" s="1274">
        <f>VLOOKUP($B2007,DG!A:D,DG!$B$2,)</f>
        <v>0</v>
      </c>
      <c r="E2007" s="1275" t="str">
        <f>VLOOKUP($B2007,DG!A:D,DG!$C$2,)</f>
        <v>Khâu ven răng ngoài D90</v>
      </c>
      <c r="F2007" s="1274" t="str">
        <f>VLOOKUP($B2007,DG!A:D,DG!$D$2,)</f>
        <v>cái</v>
      </c>
      <c r="G2007" s="1287">
        <f>G2006</f>
        <v>0</v>
      </c>
      <c r="H2007" s="1353">
        <f t="shared" si="77"/>
        <v>0</v>
      </c>
      <c r="I2007" s="1277"/>
      <c r="J2007" s="1277"/>
      <c r="K2007" s="1278"/>
      <c r="L2007" s="1125">
        <v>560</v>
      </c>
    </row>
    <row r="2008" spans="1:12" s="1279" customFormat="1" ht="20.100000000000001" customHeight="1">
      <c r="A2008" s="1377">
        <f t="shared" si="78"/>
        <v>0</v>
      </c>
      <c r="B2008" s="1378"/>
      <c r="C2008" s="1280">
        <f>IF(G2008&gt;0,C2002+1,C2002)</f>
        <v>0</v>
      </c>
      <c r="D2008" s="1281"/>
      <c r="E2008" s="1292" t="s">
        <v>3849</v>
      </c>
      <c r="F2008" s="1280" t="s">
        <v>2449</v>
      </c>
      <c r="G2008" s="1351">
        <f>G1947</f>
        <v>0</v>
      </c>
      <c r="H2008" s="1353">
        <f t="shared" si="77"/>
        <v>0</v>
      </c>
      <c r="I2008" s="1277"/>
      <c r="J2008" s="1277"/>
      <c r="K2008" s="1312"/>
      <c r="L2008" s="1125">
        <v>560</v>
      </c>
    </row>
    <row r="2009" spans="1:12" s="1279" customFormat="1" ht="20.100000000000001" customHeight="1">
      <c r="A2009" s="1377">
        <f>IF(A2008&gt;0,1,0)</f>
        <v>0</v>
      </c>
      <c r="B2009" s="1378"/>
      <c r="C2009" s="1273"/>
      <c r="D2009" s="1284"/>
      <c r="E2009" s="1638" t="s">
        <v>2342</v>
      </c>
      <c r="F2009" s="1273"/>
      <c r="G2009" s="1287"/>
      <c r="H2009" s="1353">
        <f t="shared" si="77"/>
        <v>0</v>
      </c>
      <c r="I2009" s="1277"/>
      <c r="J2009" s="1277"/>
      <c r="K2009" s="1312"/>
      <c r="L2009" s="1125">
        <v>560</v>
      </c>
    </row>
    <row r="2010" spans="1:12" s="1279" customFormat="1" ht="20.100000000000001" customHeight="1">
      <c r="A2010" s="1377">
        <f t="shared" si="78"/>
        <v>0</v>
      </c>
      <c r="B2010" s="1582" t="s">
        <v>1252</v>
      </c>
      <c r="C2010" s="1286"/>
      <c r="D2010" s="1274">
        <f>VLOOKUP($B2010,DG!A:D,DG!$B$2,)</f>
        <v>0</v>
      </c>
      <c r="E2010" s="1275" t="e">
        <f>VLOOKUP($B2010,DG!A:D,DG!$C$2,)&amp;":  "&amp;#REF!&amp;" x 8m/pha "</f>
        <v>#REF!</v>
      </c>
      <c r="F2010" s="1274" t="str">
        <f>VLOOKUP($B2010,DG!A:D,DG!$D$2,)</f>
        <v>mét</v>
      </c>
      <c r="G2010" s="1348">
        <f>2*8*3*G2008</f>
        <v>0</v>
      </c>
      <c r="H2010" s="1353">
        <f t="shared" si="77"/>
        <v>0</v>
      </c>
      <c r="I2010" s="1277"/>
      <c r="J2010" s="1277"/>
      <c r="K2010" s="1312"/>
      <c r="L2010" s="1125">
        <v>560</v>
      </c>
    </row>
    <row r="2011" spans="1:12" s="1279" customFormat="1" ht="20.100000000000001" customHeight="1">
      <c r="A2011" s="1377">
        <f t="shared" si="78"/>
        <v>0</v>
      </c>
      <c r="B2011" s="1582" t="s">
        <v>1252</v>
      </c>
      <c r="C2011" s="1286"/>
      <c r="D2011" s="1274">
        <f>VLOOKUP($B2011,DG!A:D,DG!$B$2,)</f>
        <v>0</v>
      </c>
      <c r="E2011" s="1275" t="e">
        <f>VLOOKUP($B2011,DG!A:D,DG!$C$2,)&amp;":  "&amp;#REF!&amp;" x 11m/trung tính "</f>
        <v>#REF!</v>
      </c>
      <c r="F2011" s="1274" t="str">
        <f>VLOOKUP($B2011,DG!A:D,DG!$D$2,)</f>
        <v>mét</v>
      </c>
      <c r="G2011" s="1348">
        <f>11*G2008</f>
        <v>0</v>
      </c>
      <c r="H2011" s="1353">
        <f t="shared" si="77"/>
        <v>0</v>
      </c>
      <c r="I2011" s="1277"/>
      <c r="J2011" s="1277"/>
      <c r="K2011" s="1312"/>
      <c r="L2011" s="1125">
        <v>560</v>
      </c>
    </row>
    <row r="2012" spans="1:12" s="1279" customFormat="1" ht="20.100000000000001" customHeight="1">
      <c r="A2012" s="1377">
        <f t="shared" si="78"/>
        <v>0</v>
      </c>
      <c r="B2012" s="1582" t="s">
        <v>511</v>
      </c>
      <c r="C2012" s="1286"/>
      <c r="D2012" s="1274">
        <f>VLOOKUP($B2012,DG!A:D,DG!$B$2,)</f>
        <v>0</v>
      </c>
      <c r="E2012" s="1275" t="str">
        <f>VLOOKUP($B2012,DG!A:D,DG!$C$2,)&amp;": ñaáu noái cho MCCB 800A  2sôïi/pha"</f>
        <v>Cáp đồng bọc CV250: ñaáu noái cho MCCB 800A  2sôïi/pha</v>
      </c>
      <c r="F2012" s="1274" t="str">
        <f>VLOOKUP($B2012,DG!A:D,DG!$D$2,)</f>
        <v>mét</v>
      </c>
      <c r="G2012" s="1348">
        <f>2*2*3*G2008</f>
        <v>0</v>
      </c>
      <c r="H2012" s="1353">
        <f t="shared" si="77"/>
        <v>0</v>
      </c>
      <c r="I2012" s="1277"/>
      <c r="J2012" s="1277"/>
      <c r="K2012" s="1312"/>
      <c r="L2012" s="1125">
        <v>560</v>
      </c>
    </row>
    <row r="2013" spans="1:12" s="1279" customFormat="1" ht="20.100000000000001" customHeight="1">
      <c r="A2013" s="1377">
        <f t="shared" si="78"/>
        <v>0</v>
      </c>
      <c r="B2013" s="1582" t="s">
        <v>238</v>
      </c>
      <c r="C2013" s="1286"/>
      <c r="D2013" s="1274">
        <f>VLOOKUP($B2013,DG!A:D,DG!$B$2,)</f>
        <v>0</v>
      </c>
      <c r="E2013" s="1275" t="str">
        <f>VLOOKUP($B2013,DG!A:D,DG!$C$2,)&amp;": ñaáu noái cho MCCB &lt;100A  1sôïi/pha"</f>
        <v>Cáp đồng bọc CV70: ñaáu noái cho MCCB &lt;100A  1sôïi/pha</v>
      </c>
      <c r="F2013" s="1274" t="str">
        <f>VLOOKUP($B2013,DG!A:D,DG!$D$2,)</f>
        <v>mét</v>
      </c>
      <c r="G2013" s="1348">
        <f>1*4*3*G2008</f>
        <v>0</v>
      </c>
      <c r="H2013" s="1353">
        <f t="shared" si="77"/>
        <v>0</v>
      </c>
      <c r="I2013" s="1277"/>
      <c r="J2013" s="1277"/>
      <c r="K2013" s="1312"/>
      <c r="L2013" s="1125">
        <v>560</v>
      </c>
    </row>
    <row r="2014" spans="1:12" s="1279" customFormat="1" ht="20.100000000000001" customHeight="1">
      <c r="A2014" s="1377">
        <f t="shared" si="78"/>
        <v>0</v>
      </c>
      <c r="B2014" s="1582" t="s">
        <v>452</v>
      </c>
      <c r="C2014" s="1286"/>
      <c r="D2014" s="1274" t="str">
        <f>VLOOKUP($B2014,DG!A:D,DG!$B$2,)</f>
        <v>03.4009</v>
      </c>
      <c r="E2014" s="1275" t="str">
        <f>VLOOKUP($B2014,DG!A:D,DG!$C$2,)&amp;": "</f>
        <v xml:space="preserve">Đầu cosse ép Cu 300mm2: </v>
      </c>
      <c r="F2014" s="1274" t="str">
        <f>VLOOKUP($B2014,DG!A:D,DG!$D$2,)</f>
        <v>cái</v>
      </c>
      <c r="G2014" s="1287">
        <f>G2008*14</f>
        <v>0</v>
      </c>
      <c r="H2014" s="1353">
        <f t="shared" si="77"/>
        <v>0</v>
      </c>
      <c r="I2014" s="1277"/>
      <c r="J2014" s="1277"/>
      <c r="K2014" s="1312"/>
      <c r="L2014" s="1125">
        <v>560</v>
      </c>
    </row>
    <row r="2015" spans="1:12" s="1279" customFormat="1" ht="20.100000000000001" customHeight="1">
      <c r="A2015" s="1377">
        <f t="shared" si="78"/>
        <v>0</v>
      </c>
      <c r="B2015" s="1582" t="s">
        <v>451</v>
      </c>
      <c r="C2015" s="1286"/>
      <c r="D2015" s="1274" t="str">
        <f>VLOOKUP($B2015,DG!A:D,DG!$B$2,)</f>
        <v>03.4009</v>
      </c>
      <c r="E2015" s="1275" t="str">
        <f>VLOOKUP($B2015,DG!A:D,DG!$C$2,)&amp;": "</f>
        <v xml:space="preserve">Đầu cosse ép Cu 250mm2: </v>
      </c>
      <c r="F2015" s="1274" t="str">
        <f>VLOOKUP($B2015,DG!A:D,DG!$D$2,)</f>
        <v>cái</v>
      </c>
      <c r="G2015" s="1287">
        <f>6*G2008*2</f>
        <v>0</v>
      </c>
      <c r="H2015" s="1353">
        <f t="shared" si="77"/>
        <v>0</v>
      </c>
      <c r="I2015" s="1277"/>
      <c r="J2015" s="1277"/>
      <c r="K2015" s="1312"/>
      <c r="L2015" s="1125">
        <v>560</v>
      </c>
    </row>
    <row r="2016" spans="1:12" s="1279" customFormat="1" ht="20.100000000000001" customHeight="1">
      <c r="A2016" s="1377">
        <f t="shared" si="78"/>
        <v>0</v>
      </c>
      <c r="B2016" s="1582" t="s">
        <v>1336</v>
      </c>
      <c r="C2016" s="1286"/>
      <c r="D2016" s="1274" t="str">
        <f>VLOOKUP($B2016,DG!A:D,DG!$B$2,)</f>
        <v>03.4003</v>
      </c>
      <c r="E2016" s="1275" t="str">
        <f>VLOOKUP($B2016,DG!A:D,DG!$C$2,)&amp;": "</f>
        <v xml:space="preserve">Đầu cosse ép Cu 70mm2: </v>
      </c>
      <c r="F2016" s="1274" t="str">
        <f>VLOOKUP($B2016,DG!A:D,DG!$D$2,)</f>
        <v>cái</v>
      </c>
      <c r="G2016" s="1287">
        <f>+G2008*4*6</f>
        <v>0</v>
      </c>
      <c r="H2016" s="1353">
        <f t="shared" si="77"/>
        <v>0</v>
      </c>
      <c r="I2016" s="1277"/>
      <c r="J2016" s="1277"/>
      <c r="K2016" s="1312"/>
      <c r="L2016" s="1125">
        <v>560</v>
      </c>
    </row>
    <row r="2017" spans="1:12" s="1279" customFormat="1" ht="20.100000000000001" customHeight="1">
      <c r="A2017" s="1377">
        <f t="shared" si="78"/>
        <v>0</v>
      </c>
      <c r="B2017" s="1582" t="s">
        <v>1005</v>
      </c>
      <c r="C2017" s="1286"/>
      <c r="D2017" s="1274">
        <f>VLOOKUP($B2017,DG!A:D,DG!$B$2,)</f>
        <v>0</v>
      </c>
      <c r="E2017" s="1275" t="str">
        <f>VLOOKUP($B2017,DG!A:D,DG!$C$2,)&amp;": "</f>
        <v xml:space="preserve">Chụp đầu cosse  300mm2: </v>
      </c>
      <c r="F2017" s="1274" t="str">
        <f>VLOOKUP($B2017,DG!A:D,DG!$D$2,)</f>
        <v>cái</v>
      </c>
      <c r="G2017" s="1287">
        <f>G2014</f>
        <v>0</v>
      </c>
      <c r="H2017" s="1353">
        <f t="shared" si="77"/>
        <v>0</v>
      </c>
      <c r="I2017" s="1277"/>
      <c r="J2017" s="1277"/>
      <c r="K2017" s="1312"/>
      <c r="L2017" s="1125">
        <v>560</v>
      </c>
    </row>
    <row r="2018" spans="1:12" s="1279" customFormat="1" ht="20.100000000000001" customHeight="1">
      <c r="A2018" s="1377">
        <f t="shared" si="78"/>
        <v>0</v>
      </c>
      <c r="B2018" s="1582" t="s">
        <v>1102</v>
      </c>
      <c r="C2018" s="1286"/>
      <c r="D2018" s="1274">
        <f>VLOOKUP($B2018,DG!A:D,DG!$B$2,)</f>
        <v>0</v>
      </c>
      <c r="E2018" s="1275" t="str">
        <f>VLOOKUP($B2018,DG!A:D,DG!$C$2,)&amp;": "</f>
        <v xml:space="preserve">Chụp đầu cosse  250mm2: </v>
      </c>
      <c r="F2018" s="1274" t="str">
        <f>VLOOKUP($B2018,DG!A:D,DG!$D$2,)</f>
        <v>cái</v>
      </c>
      <c r="G2018" s="1287">
        <f>G2015</f>
        <v>0</v>
      </c>
      <c r="H2018" s="1353">
        <f t="shared" si="77"/>
        <v>0</v>
      </c>
      <c r="I2018" s="1277"/>
      <c r="J2018" s="1277"/>
      <c r="K2018" s="1312"/>
      <c r="L2018" s="1125">
        <v>560</v>
      </c>
    </row>
    <row r="2019" spans="1:12" s="1279" customFormat="1" ht="20.100000000000001" customHeight="1">
      <c r="A2019" s="1377">
        <f t="shared" si="78"/>
        <v>0</v>
      </c>
      <c r="B2019" s="1582" t="s">
        <v>616</v>
      </c>
      <c r="C2019" s="1286"/>
      <c r="D2019" s="1274">
        <f>VLOOKUP($B2019,DG!A:D,DG!$B$2,)</f>
        <v>0</v>
      </c>
      <c r="E2019" s="1275" t="str">
        <f>VLOOKUP($B2019,DG!A:D,DG!$C$2,)&amp;": "</f>
        <v xml:space="preserve">Chụp đầu cosse  70mm2: </v>
      </c>
      <c r="F2019" s="1274" t="str">
        <f>VLOOKUP($B2019,DG!A:D,DG!$D$2,)</f>
        <v>cái</v>
      </c>
      <c r="G2019" s="1287">
        <f>G2016</f>
        <v>0</v>
      </c>
      <c r="H2019" s="1353">
        <f t="shared" si="77"/>
        <v>0</v>
      </c>
      <c r="I2019" s="1277"/>
      <c r="J2019" s="1277"/>
      <c r="K2019" s="1312"/>
      <c r="L2019" s="1125">
        <v>560</v>
      </c>
    </row>
    <row r="2020" spans="1:12" s="1279" customFormat="1" ht="20.100000000000001" customHeight="1">
      <c r="A2020" s="1377">
        <f t="shared" si="78"/>
        <v>0</v>
      </c>
      <c r="B2020" s="1582" t="s">
        <v>1570</v>
      </c>
      <c r="C2020" s="1286"/>
      <c r="D2020" s="1274">
        <f>VLOOKUP($B2020,DG!A:D,DG!$B$2,)</f>
        <v>0</v>
      </c>
      <c r="E2020" s="1275" t="str">
        <f>VLOOKUP($B2020,DG!A:D,DG!$C$2,)&amp;" : cho caùp xuaát töø MBA-tuû MCCB"</f>
        <v>Ống PVC D140x6,7mm : cho caùp xuaát töø MBA-tuû MCCB</v>
      </c>
      <c r="F2020" s="1274" t="str">
        <f>VLOOKUP($B2020,DG!A:D,DG!$D$2,)</f>
        <v>m</v>
      </c>
      <c r="G2020" s="1842"/>
      <c r="H2020" s="1353">
        <f t="shared" si="77"/>
        <v>0</v>
      </c>
      <c r="I2020" s="1277"/>
      <c r="J2020" s="1277"/>
      <c r="K2020" s="1312"/>
      <c r="L2020" s="1125">
        <v>560</v>
      </c>
    </row>
    <row r="2021" spans="1:12" s="1279" customFormat="1" ht="20.100000000000001" customHeight="1">
      <c r="A2021" s="1377">
        <f t="shared" si="78"/>
        <v>0</v>
      </c>
      <c r="B2021" s="1582" t="s">
        <v>1570</v>
      </c>
      <c r="C2021" s="1286"/>
      <c r="D2021" s="1274">
        <f>VLOOKUP($B2021,DG!A:D,DG!$B$2,)</f>
        <v>0</v>
      </c>
      <c r="E2021" s="1275" t="str">
        <f>VLOOKUP($B2021,DG!A:D,DG!$C$2,)&amp;" : cho caùp xuaát töø tuû MCCB vaùo nhaø xöôûng"</f>
        <v>Ống PVC D140x6,7mm : cho caùp xuaát töø tuû MCCB vaùo nhaø xöôûng</v>
      </c>
      <c r="F2021" s="1274" t="str">
        <f>VLOOKUP($B2021,DG!A:D,DG!$D$2,)</f>
        <v>m</v>
      </c>
      <c r="G2021" s="1348">
        <f>2*3*G2008</f>
        <v>0</v>
      </c>
      <c r="H2021" s="1353">
        <f t="shared" si="77"/>
        <v>0</v>
      </c>
      <c r="I2021" s="1277"/>
      <c r="J2021" s="1277"/>
      <c r="K2021" s="1312"/>
      <c r="L2021" s="1125">
        <v>560</v>
      </c>
    </row>
    <row r="2022" spans="1:12" s="1279" customFormat="1" ht="20.100000000000001" customHeight="1">
      <c r="A2022" s="1377">
        <f t="shared" si="78"/>
        <v>0</v>
      </c>
      <c r="B2022" s="1582" t="s">
        <v>283</v>
      </c>
      <c r="C2022" s="1286"/>
      <c r="D2022" s="1274" t="str">
        <f>VLOOKUP($B2022,DG!A:D,DG!$B$2,)</f>
        <v>04.8003</v>
      </c>
      <c r="E2022" s="1275" t="str">
        <f>VLOOKUP($B2022,DG!A:D,DG!$C$2,)&amp;" : cho caùp xuaát töø tuû MCCB vaùo tuû buø"</f>
        <v>Ống PVC D90x3,8mm  : cho caùp xuaát töø tuû MCCB vaùo tuû buø</v>
      </c>
      <c r="F2022" s="1274" t="str">
        <f>VLOOKUP($B2022,DG!A:D,DG!$D$2,)</f>
        <v>m</v>
      </c>
      <c r="G2022" s="1348">
        <f>1*G2008*0</f>
        <v>0</v>
      </c>
      <c r="H2022" s="1353">
        <f t="shared" si="77"/>
        <v>0</v>
      </c>
      <c r="I2022" s="1277"/>
      <c r="J2022" s="1277"/>
      <c r="K2022" s="1312"/>
      <c r="L2022" s="1125">
        <v>560</v>
      </c>
    </row>
    <row r="2023" spans="1:12" s="1279" customFormat="1" ht="20.100000000000001" customHeight="1">
      <c r="A2023" s="1377">
        <f t="shared" si="78"/>
        <v>0</v>
      </c>
      <c r="B2023" s="1378" t="s">
        <v>1253</v>
      </c>
      <c r="C2023" s="1286"/>
      <c r="D2023" s="1274" t="str">
        <f>VLOOKUP($B2023,DG!A:D,DG!$B$2,)</f>
        <v>06.3231</v>
      </c>
      <c r="E2023" s="1275" t="str">
        <f>VLOOKUP($B2023,DG!A:D,DG!$C$2,)&amp;": CD-250 02 bộ"</f>
        <v>Cổ dê kẹp ống PVC Ø 140: CD-250 02 bộ</v>
      </c>
      <c r="F2023" s="1274" t="str">
        <f>VLOOKUP($B2023,DG!A:D,DG!$D$2,)</f>
        <v>bộ</v>
      </c>
      <c r="G2023" s="1345">
        <f>G2008*1.031*2</f>
        <v>0</v>
      </c>
      <c r="H2023" s="1353">
        <f t="shared" si="77"/>
        <v>0</v>
      </c>
      <c r="I2023" s="1277"/>
      <c r="J2023" s="1277"/>
      <c r="K2023" s="1312"/>
      <c r="L2023" s="1125">
        <v>560</v>
      </c>
    </row>
    <row r="2024" spans="1:12" s="1279" customFormat="1" ht="20.100000000000001" customHeight="1">
      <c r="A2024" s="1377">
        <f t="shared" si="78"/>
        <v>0</v>
      </c>
      <c r="B2024" s="1378" t="s">
        <v>1588</v>
      </c>
      <c r="C2024" s="1286"/>
      <c r="D2024" s="1274" t="str">
        <f>VLOOKUP($B2024,DG!A:D,DG!$B$2,)</f>
        <v>06.3231</v>
      </c>
      <c r="E2024" s="1275" t="str">
        <f>VLOOKUP($B2024,DG!A:D,DG!$C$2,)&amp;": CD-280 02 bộ"</f>
        <v>Cổ dê kẹp ống PVC Ø 140: CD-280 02 bộ</v>
      </c>
      <c r="F2024" s="1274" t="str">
        <f>VLOOKUP($B2024,DG!A:D,DG!$D$2,)</f>
        <v>bộ</v>
      </c>
      <c r="G2024" s="1345">
        <f>G2008*1.031*2</f>
        <v>0</v>
      </c>
      <c r="H2024" s="1353">
        <f t="shared" si="77"/>
        <v>0</v>
      </c>
      <c r="I2024" s="1277"/>
      <c r="J2024" s="1277"/>
      <c r="K2024" s="1312"/>
      <c r="L2024" s="1125">
        <v>560</v>
      </c>
    </row>
    <row r="2025" spans="1:12" s="1279" customFormat="1" ht="20.100000000000001" customHeight="1">
      <c r="A2025" s="1377">
        <f t="shared" si="78"/>
        <v>0</v>
      </c>
      <c r="B2025" s="1378" t="s">
        <v>1161</v>
      </c>
      <c r="C2025" s="1286"/>
      <c r="D2025" s="1274" t="str">
        <f>VLOOKUP($B2025,DG!A:D,DG!$B$2,)</f>
        <v>06.2110</v>
      </c>
      <c r="E2025" s="1275" t="str">
        <f>VLOOKUP($B2025,DG!A:D,DG!$C$2,)</f>
        <v>Lắp cổ dề</v>
      </c>
      <c r="F2025" s="1274" t="str">
        <f>VLOOKUP($B2025,DG!A:D,DG!$D$2,)</f>
        <v>bộ</v>
      </c>
      <c r="G2025" s="1287">
        <f>G2008*2*2</f>
        <v>0</v>
      </c>
      <c r="H2025" s="1353">
        <f t="shared" si="77"/>
        <v>0</v>
      </c>
      <c r="I2025" s="1277"/>
      <c r="J2025" s="1277"/>
      <c r="K2025" s="1312"/>
      <c r="L2025" s="1125">
        <v>560</v>
      </c>
    </row>
    <row r="2026" spans="1:12" s="1279" customFormat="1" ht="20.100000000000001" customHeight="1">
      <c r="A2026" s="1377">
        <f t="shared" si="78"/>
        <v>0</v>
      </c>
      <c r="B2026" s="1615" t="s">
        <v>139</v>
      </c>
      <c r="C2026" s="1286"/>
      <c r="D2026" s="1274">
        <f>VLOOKUP($B2026,DG!A:D,DG!$B$2,)</f>
        <v>0</v>
      </c>
      <c r="E2026" s="1275" t="str">
        <f>VLOOKUP($B2026,DG!A:D,DG!$C$2,)</f>
        <v>Boulon 12x40+ 2 long đền vuông D14-50x50x3/Zn</v>
      </c>
      <c r="F2026" s="1274" t="str">
        <f>VLOOKUP($B2026,DG!A:D,DG!$D$2,)</f>
        <v>bộ</v>
      </c>
      <c r="G2026" s="1287">
        <f>G2008*6</f>
        <v>0</v>
      </c>
      <c r="H2026" s="1353">
        <f t="shared" si="77"/>
        <v>0</v>
      </c>
      <c r="I2026" s="1277"/>
      <c r="J2026" s="1277"/>
      <c r="K2026" s="1312"/>
      <c r="L2026" s="1125">
        <v>560</v>
      </c>
    </row>
    <row r="2027" spans="1:12" s="1279" customFormat="1" ht="20.100000000000001" customHeight="1">
      <c r="A2027" s="1377">
        <f t="shared" si="78"/>
        <v>0</v>
      </c>
      <c r="B2027" s="1615" t="s">
        <v>1383</v>
      </c>
      <c r="C2027" s="1286"/>
      <c r="D2027" s="1274">
        <f>VLOOKUP($B2027,DG!A:D,DG!$B$2,)</f>
        <v>0</v>
      </c>
      <c r="E2027" s="1275" t="str">
        <f>VLOOKUP($B2027,DG!A:D,DG!$C$2,)</f>
        <v>Boulon 12x60+ 2 long đền vuông D14-50x50x3/Zn</v>
      </c>
      <c r="F2027" s="1274" t="str">
        <f>VLOOKUP($B2027,DG!A:D,DG!$D$2,)</f>
        <v>bộ</v>
      </c>
      <c r="G2027" s="1287">
        <f>G2026</f>
        <v>0</v>
      </c>
      <c r="H2027" s="1353">
        <f t="shared" si="77"/>
        <v>0</v>
      </c>
      <c r="I2027" s="1277"/>
      <c r="J2027" s="1277"/>
      <c r="K2027" s="1312"/>
      <c r="L2027" s="1125">
        <v>560</v>
      </c>
    </row>
    <row r="2028" spans="1:12" s="1279" customFormat="1" ht="20.100000000000001" customHeight="1">
      <c r="A2028" s="1377">
        <f t="shared" si="78"/>
        <v>0</v>
      </c>
      <c r="B2028" s="1582" t="s">
        <v>1254</v>
      </c>
      <c r="C2028" s="1286"/>
      <c r="D2028" s="1274">
        <f>VLOOKUP($B2028,DG!A:D,DG!$B$2,)</f>
        <v>0</v>
      </c>
      <c r="E2028" s="1275" t="str">
        <f>VLOOKUP($B2028,DG!A:D,DG!$C$2,)</f>
        <v>Khâu ven răng trong D140</v>
      </c>
      <c r="F2028" s="1274" t="str">
        <f>VLOOKUP($B2028,DG!A:D,DG!$D$2,)</f>
        <v>cái</v>
      </c>
      <c r="G2028" s="1287">
        <f>G2008*2</f>
        <v>0</v>
      </c>
      <c r="H2028" s="1353">
        <f t="shared" si="77"/>
        <v>0</v>
      </c>
      <c r="I2028" s="1277"/>
      <c r="J2028" s="1277"/>
      <c r="K2028" s="1312"/>
      <c r="L2028" s="1125">
        <v>560</v>
      </c>
    </row>
    <row r="2029" spans="1:12" s="1279" customFormat="1" ht="20.100000000000001" customHeight="1">
      <c r="A2029" s="1377">
        <f t="shared" si="78"/>
        <v>0</v>
      </c>
      <c r="B2029" s="1582" t="s">
        <v>1255</v>
      </c>
      <c r="C2029" s="1286"/>
      <c r="D2029" s="1274">
        <f>VLOOKUP($B2029,DG!A:D,DG!$B$2,)</f>
        <v>0</v>
      </c>
      <c r="E2029" s="1275" t="str">
        <f>VLOOKUP($B2029,DG!A:D,DG!$C$2,)&amp;": "</f>
        <v xml:space="preserve">Khâu ven răng ngoài D140: </v>
      </c>
      <c r="F2029" s="1274" t="str">
        <f>VLOOKUP($B2029,DG!A:D,DG!$D$2,)</f>
        <v>cái</v>
      </c>
      <c r="G2029" s="1287">
        <f>G2028</f>
        <v>0</v>
      </c>
      <c r="H2029" s="1353">
        <f t="shared" si="77"/>
        <v>0</v>
      </c>
      <c r="I2029" s="1277"/>
      <c r="J2029" s="1277"/>
      <c r="K2029" s="1312"/>
      <c r="L2029" s="1125">
        <v>560</v>
      </c>
    </row>
    <row r="2030" spans="1:12" s="1279" customFormat="1" ht="20.100000000000001" customHeight="1">
      <c r="A2030" s="1377">
        <f t="shared" si="78"/>
        <v>0</v>
      </c>
      <c r="B2030" s="1582" t="s">
        <v>2136</v>
      </c>
      <c r="C2030" s="1286"/>
      <c r="D2030" s="1274">
        <f>VLOOKUP($B2030,DG!A:D,DG!$B$2,)</f>
        <v>0</v>
      </c>
      <c r="E2030" s="1275" t="str">
        <f>VLOOKUP($B2030,DG!A:D,DG!$C$2,)&amp;": "</f>
        <v xml:space="preserve">Keo dán ống PVC (100gr): </v>
      </c>
      <c r="F2030" s="1274" t="str">
        <f>VLOOKUP($B2030,DG!A:D,DG!$D$2,)</f>
        <v>tuýp</v>
      </c>
      <c r="G2030" s="1287">
        <f>G2008*2</f>
        <v>0</v>
      </c>
      <c r="H2030" s="1353">
        <f t="shared" ref="H2030:H2093" si="79">IF(L2030=$L$23,G2030+I2030-J2030,0)</f>
        <v>0</v>
      </c>
      <c r="I2030" s="1277"/>
      <c r="J2030" s="1277"/>
      <c r="K2030" s="1312"/>
      <c r="L2030" s="1125">
        <v>560</v>
      </c>
    </row>
    <row r="2031" spans="1:12" s="1279" customFormat="1" ht="20.100000000000001" customHeight="1">
      <c r="A2031" s="1377">
        <f t="shared" si="78"/>
        <v>0</v>
      </c>
      <c r="B2031" s="1378" t="s">
        <v>6</v>
      </c>
      <c r="C2031" s="1286"/>
      <c r="D2031" s="1274"/>
      <c r="E2031" s="1275" t="str">
        <f>VLOOKUP($B2031,DG!A:D,DG!$C$2,)&amp;":"</f>
        <v>Keo silicon bít miệng ống:</v>
      </c>
      <c r="F2031" s="1274" t="str">
        <f>VLOOKUP($B2031,DG!A:D,DG!$D$2,)</f>
        <v>ống</v>
      </c>
      <c r="G2031" s="1287">
        <f>G2008*2</f>
        <v>0</v>
      </c>
      <c r="H2031" s="1353">
        <f t="shared" si="79"/>
        <v>0</v>
      </c>
      <c r="I2031" s="1277"/>
      <c r="J2031" s="1277"/>
      <c r="K2031" s="1278"/>
      <c r="L2031" s="1125">
        <v>560</v>
      </c>
    </row>
    <row r="2032" spans="1:12" s="1279" customFormat="1" ht="20.100000000000001" customHeight="1">
      <c r="A2032" s="1377">
        <f t="shared" si="78"/>
        <v>0</v>
      </c>
      <c r="B2032" s="1378" t="s">
        <v>677</v>
      </c>
      <c r="C2032" s="1286"/>
      <c r="D2032" s="1274">
        <f>VLOOKUP($B2032,DG!A:D,DG!$B$2,)</f>
        <v>0</v>
      </c>
      <c r="E2032" s="1275" t="str">
        <f>VLOOKUP($B2032,DG!A:D,DG!$C$2,)&amp;":"</f>
        <v>Băng keo cách điện:</v>
      </c>
      <c r="F2032" s="1274" t="str">
        <f>VLOOKUP($B2032,DG!A:D,DG!$D$2,)</f>
        <v>cuộn</v>
      </c>
      <c r="G2032" s="1287">
        <f>G2008*2</f>
        <v>0</v>
      </c>
      <c r="H2032" s="1353">
        <f t="shared" si="79"/>
        <v>0</v>
      </c>
      <c r="I2032" s="1277"/>
      <c r="J2032" s="1277"/>
      <c r="K2032" s="1312"/>
      <c r="L2032" s="1125">
        <v>560</v>
      </c>
    </row>
    <row r="2033" spans="1:12" s="1279" customFormat="1" ht="20.100000000000001" customHeight="1">
      <c r="A2033" s="1377">
        <f t="shared" si="78"/>
        <v>0</v>
      </c>
      <c r="B2033" s="1378" t="s">
        <v>248</v>
      </c>
      <c r="C2033" s="1286"/>
      <c r="D2033" s="1274" t="str">
        <f>VLOOKUP($B2033,DG!A:D,DG!$B$2,)</f>
        <v>04.4203</v>
      </c>
      <c r="E2033" s="1275" t="str">
        <f>VLOOKUP($B2033,DG!A:D,DG!$C$2,)&amp;":"</f>
        <v>Lắp cáp đồng xuống thiết bị D &gt; 150mm2:</v>
      </c>
      <c r="F2033" s="1274" t="str">
        <f>VLOOKUP($B2033,DG!A:D,DG!$D$2,)</f>
        <v>m</v>
      </c>
      <c r="G2033" s="1287">
        <f>G2010+G2011+G2012</f>
        <v>0</v>
      </c>
      <c r="H2033" s="1353">
        <f t="shared" si="79"/>
        <v>0</v>
      </c>
      <c r="I2033" s="1277"/>
      <c r="J2033" s="1277"/>
      <c r="K2033" s="1312"/>
      <c r="L2033" s="1125">
        <v>560</v>
      </c>
    </row>
    <row r="2034" spans="1:12" s="1279" customFormat="1" ht="20.100000000000001" customHeight="1">
      <c r="A2034" s="1377">
        <f t="shared" si="78"/>
        <v>0</v>
      </c>
      <c r="B2034" s="1378" t="s">
        <v>2059</v>
      </c>
      <c r="C2034" s="1286"/>
      <c r="D2034" s="1274" t="str">
        <f>VLOOKUP($B2034,DG!A:D,DG!$B$2,)</f>
        <v>04.4202</v>
      </c>
      <c r="E2034" s="1275" t="str">
        <f>VLOOKUP($B2034,DG!A:D,DG!$C$2,)&amp;":"</f>
        <v>Lắp cáp đồng xuống thiết bị D ≤ 150mm2:</v>
      </c>
      <c r="F2034" s="1274" t="str">
        <f>VLOOKUP($B2034,DG!A:D,DG!$D$2,)</f>
        <v>m</v>
      </c>
      <c r="G2034" s="1287">
        <f>+G2013</f>
        <v>0</v>
      </c>
      <c r="H2034" s="1353">
        <f t="shared" si="79"/>
        <v>0</v>
      </c>
      <c r="I2034" s="1277"/>
      <c r="J2034" s="1277"/>
      <c r="K2034" s="1312"/>
      <c r="L2034" s="1125">
        <v>560</v>
      </c>
    </row>
    <row r="2035" spans="1:12" s="1279" customFormat="1" ht="20.100000000000001" customHeight="1">
      <c r="A2035" s="1377">
        <f t="shared" si="78"/>
        <v>0</v>
      </c>
      <c r="B2035" s="1378" t="s">
        <v>1249</v>
      </c>
      <c r="C2035" s="1286"/>
      <c r="D2035" s="1274" t="str">
        <f>VLOOKUP($B2035,DG!A:D,DG!$B$2,)</f>
        <v>06.3191</v>
      </c>
      <c r="E2035" s="1275" t="str">
        <f>VLOOKUP($B2035,DG!A:D,DG!$C$2,)&amp;":"</f>
        <v>Bảng tên trạm, bảng báo nguy hiểm + đinh vít:</v>
      </c>
      <c r="F2035" s="1274" t="str">
        <f>VLOOKUP($B2035,DG!A:D,DG!$D$2,)</f>
        <v>bộ</v>
      </c>
      <c r="G2035" s="1287">
        <f>G2008</f>
        <v>0</v>
      </c>
      <c r="H2035" s="1353">
        <f t="shared" si="79"/>
        <v>0</v>
      </c>
      <c r="I2035" s="1277"/>
      <c r="J2035" s="1277"/>
      <c r="K2035" s="1312"/>
      <c r="L2035" s="1125">
        <v>560</v>
      </c>
    </row>
    <row r="2036" spans="1:12" s="1279" customFormat="1" ht="20.100000000000001" customHeight="1">
      <c r="A2036" s="1377">
        <f t="shared" si="78"/>
        <v>0</v>
      </c>
      <c r="B2036" s="1378"/>
      <c r="C2036" s="1280">
        <f>IF(G2036&gt;0,C2008+1,C2008)</f>
        <v>0</v>
      </c>
      <c r="D2036" s="1281"/>
      <c r="E2036" s="1292" t="s">
        <v>3828</v>
      </c>
      <c r="F2036" s="1280" t="s">
        <v>2449</v>
      </c>
      <c r="G2036" s="1351">
        <f>G2008</f>
        <v>0</v>
      </c>
      <c r="H2036" s="1353">
        <f t="shared" si="79"/>
        <v>0</v>
      </c>
      <c r="I2036" s="1277"/>
      <c r="J2036" s="1277"/>
      <c r="K2036" s="1312"/>
      <c r="L2036" s="1125">
        <v>560</v>
      </c>
    </row>
    <row r="2037" spans="1:12" s="1352" customFormat="1" ht="20.100000000000001" customHeight="1">
      <c r="A2037" s="1377">
        <f>IF(A2036&gt;0,1,0)</f>
        <v>0</v>
      </c>
      <c r="B2037" s="1626"/>
      <c r="C2037" s="1273"/>
      <c r="D2037" s="1284"/>
      <c r="E2037" s="1638" t="s">
        <v>2342</v>
      </c>
      <c r="F2037" s="1273"/>
      <c r="G2037" s="1293"/>
      <c r="H2037" s="1353">
        <f t="shared" si="79"/>
        <v>0</v>
      </c>
      <c r="I2037" s="1277"/>
      <c r="J2037" s="1277"/>
      <c r="K2037" s="1312"/>
      <c r="L2037" s="1125">
        <v>560</v>
      </c>
    </row>
    <row r="2038" spans="1:12" s="1279" customFormat="1" ht="20.100000000000001" customHeight="1">
      <c r="A2038" s="1377">
        <f t="shared" si="78"/>
        <v>0</v>
      </c>
      <c r="B2038" s="1582" t="s">
        <v>1875</v>
      </c>
      <c r="C2038" s="1312"/>
      <c r="D2038" s="1274" t="str">
        <f>VLOOKUP($B2038,DG!A:D,DG!$B$2,)</f>
        <v>03.1401</v>
      </c>
      <c r="E2038" s="1310" t="str">
        <f>VLOOKUP($B2038,DG!A:D,DG!$C$2,)</f>
        <v xml:space="preserve">Cáp CVV 4x2,5mm2  </v>
      </c>
      <c r="F2038" s="1353" t="str">
        <f>VLOOKUP($B2038,DG!A:D,DG!$D$2,)</f>
        <v>mét</v>
      </c>
      <c r="G2038" s="1287">
        <f>G2036*26</f>
        <v>0</v>
      </c>
      <c r="H2038" s="1353">
        <f t="shared" si="79"/>
        <v>0</v>
      </c>
      <c r="I2038" s="1342"/>
      <c r="J2038" s="1342"/>
      <c r="K2038" s="1312"/>
      <c r="L2038" s="1125">
        <v>560</v>
      </c>
    </row>
    <row r="2039" spans="1:12" s="1279" customFormat="1" ht="20.100000000000001" customHeight="1">
      <c r="A2039" s="1377">
        <f t="shared" si="78"/>
        <v>0</v>
      </c>
      <c r="B2039" s="1582" t="s">
        <v>247</v>
      </c>
      <c r="C2039" s="1312"/>
      <c r="D2039" s="1274" t="str">
        <f>VLOOKUP($B2039,DG!A:D,DG!$B$2,)</f>
        <v>05.6101</v>
      </c>
      <c r="E2039" s="1310" t="str">
        <f>VLOOKUP($B2039,DG!A:D,DG!$C$2,)</f>
        <v>Xà kẹp TU, TI U50x32x4 350</v>
      </c>
      <c r="F2039" s="1353" t="str">
        <f>VLOOKUP($B2039,DG!A:D,DG!$D$2,)</f>
        <v>Bộ</v>
      </c>
      <c r="G2039" s="1287">
        <f>G2036*12</f>
        <v>0</v>
      </c>
      <c r="H2039" s="1353">
        <f t="shared" si="79"/>
        <v>0</v>
      </c>
      <c r="I2039" s="1342"/>
      <c r="J2039" s="1342"/>
      <c r="K2039" s="1312"/>
      <c r="L2039" s="1125">
        <v>560</v>
      </c>
    </row>
    <row r="2040" spans="1:12" s="1279" customFormat="1" ht="20.100000000000001" customHeight="1">
      <c r="A2040" s="1377">
        <f t="shared" si="78"/>
        <v>0</v>
      </c>
      <c r="B2040" s="1582" t="s">
        <v>471</v>
      </c>
      <c r="C2040" s="1312"/>
      <c r="D2040" s="1274">
        <f>VLOOKUP($B2040,DG!A:D,DG!$B$2,)</f>
        <v>0</v>
      </c>
      <c r="E2040" s="1310" t="str">
        <f>VLOOKUP($B2040,DG!A:D,DG!$C$2,)</f>
        <v>Boulon 10x250+ 2 long đền vuông D14-50x50x3/Zn</v>
      </c>
      <c r="F2040" s="1353" t="str">
        <f>VLOOKUP($B2040,DG!A:D,DG!$D$2,)</f>
        <v>bộ</v>
      </c>
      <c r="G2040" s="1287">
        <f>G2039*4</f>
        <v>0</v>
      </c>
      <c r="H2040" s="1353">
        <f t="shared" si="79"/>
        <v>0</v>
      </c>
      <c r="I2040" s="1342"/>
      <c r="J2040" s="1342"/>
      <c r="K2040" s="1312"/>
      <c r="L2040" s="1125">
        <v>560</v>
      </c>
    </row>
    <row r="2041" spans="1:12" s="1279" customFormat="1" ht="20.100000000000001" customHeight="1">
      <c r="A2041" s="1377">
        <f t="shared" si="78"/>
        <v>0</v>
      </c>
      <c r="B2041" s="1582" t="s">
        <v>1918</v>
      </c>
      <c r="C2041" s="1286"/>
      <c r="D2041" s="1274" t="str">
        <f>VLOOKUP($B2041,DG!A:D,DG!$B$2,)</f>
        <v>03.4001</v>
      </c>
      <c r="E2041" s="1310" t="str">
        <f>VLOOKUP($B2041,DG!A:D,DG!$C$2,)</f>
        <v xml:space="preserve">Đầu cosse ép Cu 2,5mm2 + bao PVC </v>
      </c>
      <c r="F2041" s="1353" t="str">
        <f>VLOOKUP($B2041,DG!A:D,DG!$D$2,)</f>
        <v>cái</v>
      </c>
      <c r="G2041" s="1287">
        <f>G2036*16</f>
        <v>0</v>
      </c>
      <c r="H2041" s="1353">
        <f t="shared" si="79"/>
        <v>0</v>
      </c>
      <c r="I2041" s="1342"/>
      <c r="J2041" s="1342"/>
      <c r="K2041" s="1312"/>
      <c r="L2041" s="1125">
        <v>560</v>
      </c>
    </row>
    <row r="2042" spans="1:12" s="1279" customFormat="1" ht="20.100000000000001" customHeight="1">
      <c r="A2042" s="1377">
        <f t="shared" si="78"/>
        <v>0</v>
      </c>
      <c r="B2042" s="1582" t="s">
        <v>1562</v>
      </c>
      <c r="C2042" s="1286"/>
      <c r="D2042" s="1274">
        <f>VLOOKUP($B2042,DG!A:D,DG!$B$2,)</f>
        <v>0</v>
      </c>
      <c r="E2042" s="1310" t="str">
        <f>VLOOKUP($B2042,DG!A:D,DG!$C$2,)</f>
        <v>Dây điện đôi 16/10</v>
      </c>
      <c r="F2042" s="1353" t="str">
        <f>VLOOKUP($B2042,DG!A:D,DG!$D$2,)</f>
        <v>mét</v>
      </c>
      <c r="G2042" s="1287">
        <f>2*G2036</f>
        <v>0</v>
      </c>
      <c r="H2042" s="1353">
        <f t="shared" si="79"/>
        <v>0</v>
      </c>
      <c r="I2042" s="1342"/>
      <c r="J2042" s="1342"/>
      <c r="K2042" s="1312"/>
      <c r="L2042" s="1125">
        <v>560</v>
      </c>
    </row>
    <row r="2043" spans="1:12" s="1279" customFormat="1" ht="20.100000000000001" customHeight="1">
      <c r="A2043" s="1377">
        <f t="shared" si="78"/>
        <v>0</v>
      </c>
      <c r="B2043" s="1582" t="s">
        <v>1144</v>
      </c>
      <c r="C2043" s="1286"/>
      <c r="D2043" s="1274">
        <f>VLOOKUP($B2043,DG!A:D,DG!$B$2,)</f>
        <v>0</v>
      </c>
      <c r="E2043" s="1310" t="str">
        <f>VLOOKUP($B2043,DG!A:D,DG!$C$2,)&amp;" (ñaáu TU )"</f>
        <v>Kẹp ép cỡ dây 25mm2 (ñaáu TU )</v>
      </c>
      <c r="F2043" s="1353" t="str">
        <f>VLOOKUP($B2043,DG!A:D,DG!$D$2,)</f>
        <v>cái</v>
      </c>
      <c r="G2043" s="1287">
        <f>+G2036*3</f>
        <v>0</v>
      </c>
      <c r="H2043" s="1353">
        <f t="shared" si="79"/>
        <v>0</v>
      </c>
      <c r="I2043" s="1342"/>
      <c r="J2043" s="1342"/>
      <c r="K2043" s="1312"/>
      <c r="L2043" s="1125">
        <v>560</v>
      </c>
    </row>
    <row r="2044" spans="1:12" s="1279" customFormat="1" ht="20.100000000000001" customHeight="1">
      <c r="A2044" s="1377">
        <f t="shared" si="78"/>
        <v>0</v>
      </c>
      <c r="B2044" s="1582" t="s">
        <v>2203</v>
      </c>
      <c r="C2044" s="1286"/>
      <c r="D2044" s="1274" t="str">
        <f>VLOOKUP($B2044,DG!A:D,DG!$B$2,)</f>
        <v>07.2403</v>
      </c>
      <c r="E2044" s="1310" t="str">
        <f>VLOOKUP($B2044,DG!A:D,DG!$C$2,)</f>
        <v>Ống PVC D42x2,1mm</v>
      </c>
      <c r="F2044" s="1353" t="str">
        <f>VLOOKUP($B2044,DG!A:D,DG!$D$2,)</f>
        <v>m</v>
      </c>
      <c r="G2044" s="1287">
        <f>G2036*16</f>
        <v>0</v>
      </c>
      <c r="H2044" s="1353">
        <f t="shared" si="79"/>
        <v>0</v>
      </c>
      <c r="I2044" s="1342"/>
      <c r="J2044" s="1342"/>
      <c r="K2044" s="1312"/>
      <c r="L2044" s="1125">
        <v>560</v>
      </c>
    </row>
    <row r="2045" spans="1:12" s="1279" customFormat="1" ht="20.100000000000001" customHeight="1">
      <c r="A2045" s="1377">
        <f t="shared" si="78"/>
        <v>0</v>
      </c>
      <c r="B2045" s="1378" t="s">
        <v>205</v>
      </c>
      <c r="C2045" s="1286"/>
      <c r="D2045" s="1274" t="str">
        <f>VLOOKUP($B2045,DG!A:D,DG!$B$2,)</f>
        <v>06.3231</v>
      </c>
      <c r="E2045" s="1310" t="str">
        <f>VLOOKUP($B2045,DG!A:D,DG!$C$2,)&amp;": D230 01 bộ"</f>
        <v>Cổ dê giữ ống PVC D42: D230 01 bộ</v>
      </c>
      <c r="F2045" s="1353" t="str">
        <f>VLOOKUP($B2045,DG!A:D,DG!$D$2,)</f>
        <v>bộ</v>
      </c>
      <c r="G2045" s="1345">
        <f>0.459*G2036</f>
        <v>0</v>
      </c>
      <c r="H2045" s="1353">
        <f t="shared" si="79"/>
        <v>0</v>
      </c>
      <c r="I2045" s="1342"/>
      <c r="J2045" s="1342"/>
      <c r="K2045" s="1312"/>
      <c r="L2045" s="1125">
        <v>560</v>
      </c>
    </row>
    <row r="2046" spans="1:12" s="1279" customFormat="1" ht="20.100000000000001" customHeight="1">
      <c r="A2046" s="1377">
        <f t="shared" si="78"/>
        <v>0</v>
      </c>
      <c r="B2046" s="1378" t="s">
        <v>205</v>
      </c>
      <c r="C2046" s="1286"/>
      <c r="D2046" s="1274" t="str">
        <f>VLOOKUP($B2046,DG!A:D,DG!$B$2,)</f>
        <v>06.3231</v>
      </c>
      <c r="E2046" s="1310" t="str">
        <f>VLOOKUP($B2046,DG!A:D,DG!$C$2,)&amp;": D250 01 bộ"</f>
        <v>Cổ dê giữ ống PVC D42: D250 01 bộ</v>
      </c>
      <c r="F2046" s="1353" t="str">
        <f>VLOOKUP($B2046,DG!A:D,DG!$D$2,)</f>
        <v>bộ</v>
      </c>
      <c r="G2046" s="1345">
        <f>0.483*G2036</f>
        <v>0</v>
      </c>
      <c r="H2046" s="1353">
        <f t="shared" si="79"/>
        <v>0</v>
      </c>
      <c r="I2046" s="1342"/>
      <c r="J2046" s="1342"/>
      <c r="K2046" s="1312"/>
      <c r="L2046" s="1125">
        <v>560</v>
      </c>
    </row>
    <row r="2047" spans="1:12" s="1279" customFormat="1" ht="20.100000000000001" customHeight="1">
      <c r="A2047" s="1377">
        <f t="shared" si="78"/>
        <v>0</v>
      </c>
      <c r="B2047" s="1378" t="s">
        <v>205</v>
      </c>
      <c r="C2047" s="1286"/>
      <c r="D2047" s="1274" t="str">
        <f>VLOOKUP($B2047,DG!A:D,DG!$B$2,)</f>
        <v>06.3231</v>
      </c>
      <c r="E2047" s="1310" t="str">
        <f>VLOOKUP($B2047,DG!A:D,DG!$C$2,)&amp;": D280 01 bộ"</f>
        <v>Cổ dê giữ ống PVC D42: D280 01 bộ</v>
      </c>
      <c r="F2047" s="1353" t="str">
        <f>VLOOKUP($B2047,DG!A:D,DG!$D$2,)</f>
        <v>bộ</v>
      </c>
      <c r="G2047" s="1345">
        <f>G2036*0.52</f>
        <v>0</v>
      </c>
      <c r="H2047" s="1353">
        <f t="shared" si="79"/>
        <v>0</v>
      </c>
      <c r="I2047" s="1342"/>
      <c r="J2047" s="1342"/>
      <c r="K2047" s="1312"/>
      <c r="L2047" s="1125">
        <v>560</v>
      </c>
    </row>
    <row r="2048" spans="1:12" s="1279" customFormat="1" ht="20.100000000000001" customHeight="1">
      <c r="A2048" s="1377">
        <f t="shared" si="78"/>
        <v>0</v>
      </c>
      <c r="B2048" s="1378" t="s">
        <v>205</v>
      </c>
      <c r="C2048" s="1286"/>
      <c r="D2048" s="1274" t="str">
        <f>VLOOKUP($B2048,DG!A:D,DG!$B$2,)</f>
        <v>06.3231</v>
      </c>
      <c r="E2048" s="1310" t="str">
        <f>VLOOKUP($B2048,DG!A:D,DG!$C$2,)&amp;": D320 01 bộ"</f>
        <v>Cổ dê giữ ống PVC D42: D320 01 bộ</v>
      </c>
      <c r="F2048" s="1353" t="str">
        <f>VLOOKUP($B2048,DG!A:D,DG!$D$2,)</f>
        <v>bộ</v>
      </c>
      <c r="G2048" s="1345">
        <f>G2036*0.569</f>
        <v>0</v>
      </c>
      <c r="H2048" s="1353">
        <f t="shared" si="79"/>
        <v>0</v>
      </c>
      <c r="I2048" s="1342"/>
      <c r="J2048" s="1342"/>
      <c r="K2048" s="1312"/>
      <c r="L2048" s="1125">
        <v>560</v>
      </c>
    </row>
    <row r="2049" spans="1:12" s="1279" customFormat="1" ht="20.100000000000001" customHeight="1">
      <c r="A2049" s="1377">
        <f t="shared" si="78"/>
        <v>0</v>
      </c>
      <c r="B2049" s="1378" t="s">
        <v>320</v>
      </c>
      <c r="C2049" s="1286"/>
      <c r="D2049" s="1274" t="str">
        <f>VLOOKUP($B2049,DG!A:D,DG!$B$2,)</f>
        <v>06.3231</v>
      </c>
      <c r="E2049" s="1310" t="str">
        <f>VLOOKUP($B2049,DG!A:D,DG!$C$2,)&amp;": D320 02 bộ"</f>
        <v>Cổ dê CDĐKĐT( bắt thùng điện kế): D320 02 bộ</v>
      </c>
      <c r="F2049" s="1353" t="str">
        <f>VLOOKUP($B2049,DG!A:D,DG!$D$2,)</f>
        <v>bộ</v>
      </c>
      <c r="G2049" s="1345">
        <f>G2036*5.85*2</f>
        <v>0</v>
      </c>
      <c r="H2049" s="1353">
        <f t="shared" si="79"/>
        <v>0</v>
      </c>
      <c r="I2049" s="1342"/>
      <c r="J2049" s="1342"/>
      <c r="K2049" s="1312"/>
      <c r="L2049" s="1125">
        <v>560</v>
      </c>
    </row>
    <row r="2050" spans="1:12" s="1279" customFormat="1" ht="20.100000000000001" customHeight="1">
      <c r="A2050" s="1377">
        <f t="shared" si="78"/>
        <v>0</v>
      </c>
      <c r="B2050" s="1378" t="s">
        <v>139</v>
      </c>
      <c r="C2050" s="1286"/>
      <c r="D2050" s="1274">
        <f>VLOOKUP($B2050,DG!A:D,DG!$B$2,)</f>
        <v>0</v>
      </c>
      <c r="E2050" s="1310" t="str">
        <f>VLOOKUP($B2050,DG!A:D,DG!$C$2,)</f>
        <v>Boulon 12x40+ 2 long đền vuông D14-50x50x3/Zn</v>
      </c>
      <c r="F2050" s="1353" t="str">
        <f>VLOOKUP($B2050,DG!A:D,DG!$D$2,)</f>
        <v>bộ</v>
      </c>
      <c r="G2050" s="1287">
        <f>G2052*2</f>
        <v>0</v>
      </c>
      <c r="H2050" s="1353">
        <f t="shared" si="79"/>
        <v>0</v>
      </c>
      <c r="I2050" s="1342"/>
      <c r="J2050" s="1342"/>
      <c r="K2050" s="1312"/>
      <c r="L2050" s="1125">
        <v>560</v>
      </c>
    </row>
    <row r="2051" spans="1:12" s="1279" customFormat="1" ht="20.100000000000001" customHeight="1">
      <c r="A2051" s="1377">
        <f t="shared" si="78"/>
        <v>0</v>
      </c>
      <c r="B2051" s="1378" t="s">
        <v>1383</v>
      </c>
      <c r="C2051" s="1286"/>
      <c r="D2051" s="1274">
        <f>VLOOKUP($B2051,DG!A:D,DG!$B$2,)</f>
        <v>0</v>
      </c>
      <c r="E2051" s="1310" t="str">
        <f>VLOOKUP($B2051,DG!A:D,DG!$C$2,)</f>
        <v>Boulon 12x60+ 2 long đền vuông D14-50x50x3/Zn</v>
      </c>
      <c r="F2051" s="1353" t="str">
        <f>VLOOKUP($B2051,DG!A:D,DG!$D$2,)</f>
        <v>bộ</v>
      </c>
      <c r="G2051" s="1287">
        <f>G2050</f>
        <v>0</v>
      </c>
      <c r="H2051" s="1353">
        <f t="shared" si="79"/>
        <v>0</v>
      </c>
      <c r="I2051" s="1342"/>
      <c r="J2051" s="1342"/>
      <c r="K2051" s="1312"/>
      <c r="L2051" s="1125">
        <v>560</v>
      </c>
    </row>
    <row r="2052" spans="1:12" s="1279" customFormat="1" ht="20.100000000000001" customHeight="1">
      <c r="A2052" s="1377">
        <f t="shared" si="78"/>
        <v>0</v>
      </c>
      <c r="B2052" s="1378" t="s">
        <v>1161</v>
      </c>
      <c r="C2052" s="1286"/>
      <c r="D2052" s="1274" t="str">
        <f>VLOOKUP($B2052,DG!A:D,DG!$B$2,)</f>
        <v>06.2110</v>
      </c>
      <c r="E2052" s="1275" t="str">
        <f>VLOOKUP($B2052,DG!A:D,DG!$C$2,)</f>
        <v>Lắp cổ dề</v>
      </c>
      <c r="F2052" s="1274" t="str">
        <f>VLOOKUP($B2052,DG!A:D,DG!$D$2,)</f>
        <v>bộ</v>
      </c>
      <c r="G2052" s="1287">
        <f>G2036*6</f>
        <v>0</v>
      </c>
      <c r="H2052" s="1353">
        <f t="shared" si="79"/>
        <v>0</v>
      </c>
      <c r="I2052" s="1277"/>
      <c r="J2052" s="1277"/>
      <c r="K2052" s="1312"/>
      <c r="L2052" s="1125">
        <v>560</v>
      </c>
    </row>
    <row r="2053" spans="1:12" s="1279" customFormat="1" ht="20.100000000000001" customHeight="1">
      <c r="A2053" s="1377">
        <f t="shared" si="78"/>
        <v>0</v>
      </c>
      <c r="B2053" s="1582" t="s">
        <v>1668</v>
      </c>
      <c r="C2053" s="1286"/>
      <c r="D2053" s="1274">
        <f>VLOOKUP($B2053,DG!A:D,DG!$B$2,)</f>
        <v>0</v>
      </c>
      <c r="E2053" s="1310" t="str">
        <f>VLOOKUP($B2053,DG!A:D,DG!$C$2,)</f>
        <v>Co 90 độ PVC 42</v>
      </c>
      <c r="F2053" s="1353" t="str">
        <f>VLOOKUP($B2053,DG!A:D,DG!$D$2,)</f>
        <v>cái</v>
      </c>
      <c r="G2053" s="1287">
        <f>G2036*5</f>
        <v>0</v>
      </c>
      <c r="H2053" s="1353">
        <f t="shared" si="79"/>
        <v>0</v>
      </c>
      <c r="I2053" s="1342"/>
      <c r="J2053" s="1342"/>
      <c r="K2053" s="1312"/>
      <c r="L2053" s="1125">
        <v>560</v>
      </c>
    </row>
    <row r="2054" spans="1:12" s="1279" customFormat="1" ht="20.100000000000001" customHeight="1">
      <c r="A2054" s="1377">
        <f t="shared" si="78"/>
        <v>0</v>
      </c>
      <c r="B2054" s="1582" t="s">
        <v>1080</v>
      </c>
      <c r="C2054" s="1286"/>
      <c r="D2054" s="1274">
        <f>VLOOKUP($B2054,DG!A:D,DG!$B$2,)</f>
        <v>0</v>
      </c>
      <c r="E2054" s="1310" t="str">
        <f>VLOOKUP($B2054,DG!A:D,DG!$C$2,)</f>
        <v>Co chữ T ống PVC 42</v>
      </c>
      <c r="F2054" s="1353" t="str">
        <f>VLOOKUP($B2054,DG!A:D,DG!$D$2,)</f>
        <v>cái</v>
      </c>
      <c r="G2054" s="1287">
        <f>G2036*5</f>
        <v>0</v>
      </c>
      <c r="H2054" s="1353">
        <f t="shared" si="79"/>
        <v>0</v>
      </c>
      <c r="I2054" s="1342"/>
      <c r="J2054" s="1342"/>
      <c r="K2054" s="1312"/>
      <c r="L2054" s="1125">
        <v>560</v>
      </c>
    </row>
    <row r="2055" spans="1:12" s="1279" customFormat="1" ht="20.100000000000001" customHeight="1">
      <c r="A2055" s="1377">
        <f t="shared" si="78"/>
        <v>0</v>
      </c>
      <c r="B2055" s="1582" t="s">
        <v>1966</v>
      </c>
      <c r="C2055" s="1286"/>
      <c r="D2055" s="1274">
        <f>VLOOKUP($B2055,DG!A:D,DG!$B$2,)</f>
        <v>0</v>
      </c>
      <c r="E2055" s="1310" t="str">
        <f>VLOOKUP($B2055,DG!A:D,DG!$C$2,)</f>
        <v>Nối thẳng ống PVC 42</v>
      </c>
      <c r="F2055" s="1353" t="str">
        <f>VLOOKUP($B2055,DG!A:D,DG!$D$2,)</f>
        <v>cái</v>
      </c>
      <c r="G2055" s="1287">
        <f>G2036</f>
        <v>0</v>
      </c>
      <c r="H2055" s="1353">
        <f t="shared" si="79"/>
        <v>0</v>
      </c>
      <c r="I2055" s="1342"/>
      <c r="J2055" s="1342"/>
      <c r="K2055" s="1312"/>
      <c r="L2055" s="1125">
        <v>560</v>
      </c>
    </row>
    <row r="2056" spans="1:12" s="1279" customFormat="1" ht="20.100000000000001" customHeight="1">
      <c r="A2056" s="1377">
        <f t="shared" si="78"/>
        <v>0</v>
      </c>
      <c r="B2056" s="1582" t="s">
        <v>734</v>
      </c>
      <c r="C2056" s="1286"/>
      <c r="D2056" s="1274">
        <f>VLOOKUP($B2056,DG!A:D,DG!$B$2,)</f>
        <v>0</v>
      </c>
      <c r="E2056" s="1310" t="str">
        <f>VLOOKUP($B2056,DG!A:D,DG!$C$2,)</f>
        <v>Keo dán ống PVC (500gr)</v>
      </c>
      <c r="F2056" s="1353" t="str">
        <f>VLOOKUP($B2056,DG!A:D,DG!$D$2,)</f>
        <v>lon</v>
      </c>
      <c r="G2056" s="1287">
        <f>G2036</f>
        <v>0</v>
      </c>
      <c r="H2056" s="1353">
        <f t="shared" si="79"/>
        <v>0</v>
      </c>
      <c r="I2056" s="1342"/>
      <c r="J2056" s="1342"/>
      <c r="K2056" s="1312"/>
      <c r="L2056" s="1125">
        <v>560</v>
      </c>
    </row>
    <row r="2057" spans="1:12" s="1279" customFormat="1" ht="20.100000000000001" customHeight="1">
      <c r="A2057" s="1377">
        <f t="shared" si="78"/>
        <v>0</v>
      </c>
      <c r="B2057" s="1378" t="s">
        <v>677</v>
      </c>
      <c r="C2057" s="1286"/>
      <c r="D2057" s="1274">
        <f>VLOOKUP($B2057,DG!A:D,DG!$B$2,)</f>
        <v>0</v>
      </c>
      <c r="E2057" s="1310" t="str">
        <f>VLOOKUP($B2057,DG!A:D,DG!$C$2,)</f>
        <v>Băng keo cách điện</v>
      </c>
      <c r="F2057" s="1353" t="str">
        <f>VLOOKUP($B2057,DG!A:D,DG!$D$2,)</f>
        <v>cuộn</v>
      </c>
      <c r="G2057" s="1287">
        <f>G2036</f>
        <v>0</v>
      </c>
      <c r="H2057" s="1353">
        <f t="shared" si="79"/>
        <v>0</v>
      </c>
      <c r="I2057" s="1277"/>
      <c r="J2057" s="1277"/>
      <c r="K2057" s="1312"/>
      <c r="L2057" s="1125">
        <v>560</v>
      </c>
    </row>
    <row r="2058" spans="1:12" s="1279" customFormat="1" ht="20.100000000000001" customHeight="1">
      <c r="A2058" s="1377">
        <f t="shared" si="78"/>
        <v>0</v>
      </c>
      <c r="B2058" s="1582" t="s">
        <v>2182</v>
      </c>
      <c r="C2058" s="1286"/>
      <c r="D2058" s="1274">
        <f>VLOOKUP($B2058,DG!A:D,DG!$B$2,)</f>
        <v>0</v>
      </c>
      <c r="E2058" s="1310" t="str">
        <f>VLOOKUP($B2058,DG!A:D,DG!$C$2,)</f>
        <v>Khâu ven răng trong D42</v>
      </c>
      <c r="F2058" s="1353" t="str">
        <f>VLOOKUP($B2058,DG!A:D,DG!$D$2,)</f>
        <v>cái</v>
      </c>
      <c r="G2058" s="1287">
        <f>G2036</f>
        <v>0</v>
      </c>
      <c r="H2058" s="1353">
        <f t="shared" si="79"/>
        <v>0</v>
      </c>
      <c r="I2058" s="1277"/>
      <c r="J2058" s="1277"/>
      <c r="K2058" s="1312"/>
      <c r="L2058" s="1125">
        <v>560</v>
      </c>
    </row>
    <row r="2059" spans="1:12" s="1279" customFormat="1" ht="20.100000000000001" customHeight="1">
      <c r="A2059" s="1377">
        <f t="shared" si="78"/>
        <v>0</v>
      </c>
      <c r="B2059" s="1378" t="s">
        <v>989</v>
      </c>
      <c r="C2059" s="1286"/>
      <c r="D2059" s="1274">
        <f>VLOOKUP($B2059,DG!A:D,DG!$B$2,)</f>
        <v>0</v>
      </c>
      <c r="E2059" s="1310" t="str">
        <f>VLOOKUP($B2059,DG!A:D,DG!$C$2,)</f>
        <v>Khâu ven răng ngoài D42</v>
      </c>
      <c r="F2059" s="1353" t="str">
        <f>VLOOKUP($B2059,DG!A:D,DG!$D$2,)</f>
        <v>cái</v>
      </c>
      <c r="G2059" s="1287">
        <f>G2036</f>
        <v>0</v>
      </c>
      <c r="H2059" s="1353">
        <f t="shared" si="79"/>
        <v>0</v>
      </c>
      <c r="I2059" s="1277"/>
      <c r="J2059" s="1277"/>
      <c r="K2059" s="1312"/>
      <c r="L2059" s="1125">
        <v>560</v>
      </c>
    </row>
    <row r="2060" spans="1:12" s="1279" customFormat="1" ht="20.100000000000001" customHeight="1">
      <c r="A2060" s="1377">
        <f t="shared" si="78"/>
        <v>0</v>
      </c>
      <c r="B2060" s="1378" t="s">
        <v>1968</v>
      </c>
      <c r="C2060" s="1286"/>
      <c r="D2060" s="1274" t="str">
        <f>VLOOKUP($B2060,DG!A:D,DG!$B$2,)</f>
        <v>05.1101</v>
      </c>
      <c r="E2060" s="1310" t="str">
        <f>VLOOKUP($B2060,DG!A:D,DG!$C$2,)</f>
        <v>Thùng điện kế 450x300x200mm đo đếm trung thế</v>
      </c>
      <c r="F2060" s="1353" t="str">
        <f>VLOOKUP($B2060,DG!A:D,DG!$D$2,)</f>
        <v>cái</v>
      </c>
      <c r="G2060" s="1287">
        <f>G2036</f>
        <v>0</v>
      </c>
      <c r="H2060" s="1353">
        <f t="shared" si="79"/>
        <v>0</v>
      </c>
      <c r="I2060" s="1277"/>
      <c r="J2060" s="1277"/>
      <c r="K2060" s="1312"/>
      <c r="L2060" s="1125">
        <v>560</v>
      </c>
    </row>
    <row r="2061" spans="1:12" s="1279" customFormat="1" ht="20.100000000000001" customHeight="1">
      <c r="A2061" s="1377">
        <f t="shared" si="78"/>
        <v>0</v>
      </c>
      <c r="B2061" s="1378" t="s">
        <v>6</v>
      </c>
      <c r="C2061" s="1286"/>
      <c r="D2061" s="1274">
        <f>VLOOKUP($B2061,DG!A:D,DG!$B$2,)</f>
        <v>0</v>
      </c>
      <c r="E2061" s="1310" t="str">
        <f>VLOOKUP($B2061,DG!A:D,DG!$C$2,)</f>
        <v>Keo silicon bít miệng ống</v>
      </c>
      <c r="F2061" s="1353" t="str">
        <f>VLOOKUP($B2061,DG!A:D,DG!$D$2,)</f>
        <v>ống</v>
      </c>
      <c r="G2061" s="1287">
        <f>G2036</f>
        <v>0</v>
      </c>
      <c r="H2061" s="1353">
        <f t="shared" si="79"/>
        <v>0</v>
      </c>
      <c r="I2061" s="1277"/>
      <c r="J2061" s="1277"/>
      <c r="K2061" s="1312"/>
      <c r="L2061" s="1125">
        <v>560</v>
      </c>
    </row>
    <row r="2062" spans="1:12" s="1279" customFormat="1" ht="20.100000000000001" customHeight="1">
      <c r="A2062" s="1377">
        <f t="shared" si="78"/>
        <v>0</v>
      </c>
      <c r="B2062" s="1378" t="s">
        <v>2201</v>
      </c>
      <c r="C2062" s="1286"/>
      <c r="D2062" s="1274">
        <f>VLOOKUP($B2062,DG!A:D,DG!$B$2,)</f>
        <v>0</v>
      </c>
      <c r="E2062" s="1310" t="str">
        <f>VLOOKUP($B2062,DG!A:D,DG!$C$2,)</f>
        <v>Dây đồng trần mềm dẹt</v>
      </c>
      <c r="F2062" s="1353" t="str">
        <f>VLOOKUP($B2062,DG!A:D,DG!$D$2,)</f>
        <v>mét</v>
      </c>
      <c r="G2062" s="1287">
        <f>G2036*4</f>
        <v>0</v>
      </c>
      <c r="H2062" s="1353">
        <f t="shared" si="79"/>
        <v>0</v>
      </c>
      <c r="I2062" s="1277"/>
      <c r="J2062" s="1277"/>
      <c r="K2062" s="1312"/>
      <c r="L2062" s="1125">
        <v>560</v>
      </c>
    </row>
    <row r="2063" spans="1:12" s="1279" customFormat="1" ht="20.100000000000001" customHeight="1">
      <c r="A2063" s="1377">
        <f t="shared" si="78"/>
        <v>0</v>
      </c>
      <c r="B2063" s="1378"/>
      <c r="C2063" s="1319"/>
      <c r="D2063" s="1320"/>
      <c r="E2063" s="1306" t="s">
        <v>3829</v>
      </c>
      <c r="F2063" s="1306"/>
      <c r="G2063" s="1321"/>
      <c r="H2063" s="1353">
        <f t="shared" si="79"/>
        <v>0</v>
      </c>
      <c r="I2063" s="1306"/>
      <c r="J2063" s="1306"/>
      <c r="K2063" s="1354"/>
      <c r="L2063" s="1125">
        <v>560</v>
      </c>
    </row>
    <row r="2064" spans="1:12" s="1279" customFormat="1" ht="20.100000000000001" customHeight="1">
      <c r="A2064" s="1377">
        <f t="shared" si="78"/>
        <v>0</v>
      </c>
      <c r="B2064" s="1378" t="s">
        <v>996</v>
      </c>
      <c r="C2064" s="1286"/>
      <c r="D2064" s="1274" t="str">
        <f>VLOOKUP($B2064,DG!A:D,DG!$B$2,)</f>
        <v>02.5114</v>
      </c>
      <c r="E2064" s="1310" t="s">
        <v>3830</v>
      </c>
      <c r="F2064" s="1353" t="str">
        <f>VLOOKUP($B2064,DG!A:D,DG!$D$2,)</f>
        <v>cái</v>
      </c>
      <c r="G2064" s="1287"/>
      <c r="H2064" s="1353">
        <f t="shared" si="79"/>
        <v>0</v>
      </c>
      <c r="I2064" s="1277"/>
      <c r="J2064" s="1277"/>
      <c r="K2064" s="1312" t="s">
        <v>3831</v>
      </c>
      <c r="L2064" s="1125">
        <v>560</v>
      </c>
    </row>
    <row r="2065" spans="1:12" s="1279" customFormat="1" ht="20.100000000000001" customHeight="1">
      <c r="A2065" s="1377">
        <f t="shared" si="78"/>
        <v>0</v>
      </c>
      <c r="B2065" s="1378" t="s">
        <v>1959</v>
      </c>
      <c r="C2065" s="1286"/>
      <c r="D2065" s="1274" t="str">
        <f>VLOOKUP($B2065,DG!A:D,DG!$B$2,)</f>
        <v>05.6011</v>
      </c>
      <c r="E2065" s="1310" t="s">
        <v>2525</v>
      </c>
      <c r="F2065" s="1353" t="str">
        <f>VLOOKUP($B2065,DG!A:D,DG!$D$2,)</f>
        <v>bộ</v>
      </c>
      <c r="G2065" s="1287"/>
      <c r="H2065" s="1353">
        <f t="shared" si="79"/>
        <v>0</v>
      </c>
      <c r="I2065" s="1277"/>
      <c r="J2065" s="1277"/>
      <c r="K2065" s="1278"/>
      <c r="L2065" s="1125">
        <v>560</v>
      </c>
    </row>
    <row r="2066" spans="1:12" s="1279" customFormat="1" ht="20.100000000000001" customHeight="1">
      <c r="A2066" s="1377">
        <f t="shared" ref="A2066:A2127" si="80">IF(H2066&gt;0,1,0)</f>
        <v>0</v>
      </c>
      <c r="B2066" s="1378"/>
      <c r="C2066" s="1355"/>
      <c r="D2066" s="1356"/>
      <c r="E2066" s="1306"/>
      <c r="F2066" s="1357"/>
      <c r="G2066" s="1358"/>
      <c r="H2066" s="1353">
        <f t="shared" si="79"/>
        <v>0</v>
      </c>
      <c r="I2066" s="1359"/>
      <c r="J2066" s="1360"/>
      <c r="K2066" s="1309"/>
      <c r="L2066" s="1125"/>
    </row>
    <row r="2067" spans="1:12" s="1279" customFormat="1" ht="20.100000000000001" customHeight="1">
      <c r="A2067" s="1377">
        <f t="shared" si="80"/>
        <v>0</v>
      </c>
      <c r="B2067" s="1378"/>
      <c r="C2067" s="1361"/>
      <c r="E2067" s="1362"/>
      <c r="G2067" s="1363"/>
      <c r="H2067" s="1353">
        <f t="shared" si="79"/>
        <v>0</v>
      </c>
      <c r="L2067" s="1125"/>
    </row>
    <row r="2068" spans="1:12" s="1279" customFormat="1" ht="20.100000000000001" customHeight="1">
      <c r="A2068" s="1377">
        <f t="shared" si="80"/>
        <v>0</v>
      </c>
      <c r="B2068" s="1619"/>
      <c r="C2068" s="1131" t="e">
        <f>"BAÛNG TOÅNG HÔÏP VAÄT LIEÄU, NHAÂN COÂNG, MAÙY THI COÂNG : "&amp;#REF!&amp;" TRAÏM 3P_630KVA"</f>
        <v>#REF!</v>
      </c>
      <c r="D2068" s="1131"/>
      <c r="E2068" s="1131"/>
      <c r="F2068" s="1131"/>
      <c r="G2068" s="1131"/>
      <c r="H2068" s="1353">
        <f t="shared" si="79"/>
        <v>0</v>
      </c>
      <c r="I2068" s="1364"/>
      <c r="J2068" s="1364"/>
      <c r="K2068" s="1365"/>
      <c r="L2068" s="1125"/>
    </row>
    <row r="2069" spans="1:12" s="1279" customFormat="1" ht="20.100000000000001" customHeight="1">
      <c r="A2069" s="1377">
        <f t="shared" si="80"/>
        <v>0</v>
      </c>
      <c r="B2069" s="1582"/>
      <c r="C2069" s="1304"/>
      <c r="D2069" s="1305"/>
      <c r="E2069" s="1306" t="s">
        <v>3771</v>
      </c>
      <c r="F2069" s="1307"/>
      <c r="G2069" s="1308"/>
      <c r="H2069" s="1353">
        <f t="shared" si="79"/>
        <v>0</v>
      </c>
      <c r="I2069" s="1307"/>
      <c r="J2069" s="1307"/>
      <c r="K2069" s="1309"/>
      <c r="L2069" s="1125">
        <v>630</v>
      </c>
    </row>
    <row r="2070" spans="1:12" s="1279" customFormat="1" ht="20.100000000000001" customHeight="1">
      <c r="A2070" s="1377">
        <f t="shared" si="80"/>
        <v>0</v>
      </c>
      <c r="B2070" s="1583" t="s">
        <v>986</v>
      </c>
      <c r="C2070" s="1286">
        <f>IF(G2070&gt;0,1,0)</f>
        <v>0</v>
      </c>
      <c r="D2070" s="1274" t="str">
        <f>VLOOKUP($B2070,DG!A:D,DG!$B$2,)</f>
        <v>01.1146</v>
      </c>
      <c r="E2070" s="1275" t="str">
        <f>VLOOKUP($B2070,DG!A:D,DG!$C$2,)</f>
        <v>Máy biến áp 22/0,4kV- 630kVA</v>
      </c>
      <c r="F2070" s="1274" t="str">
        <f>VLOOKUP($B2070,DG!A:D,DG!$D$2,)</f>
        <v>máy</v>
      </c>
      <c r="G2070" s="1286">
        <f>K15</f>
        <v>0</v>
      </c>
      <c r="H2070" s="1353">
        <f t="shared" si="79"/>
        <v>0</v>
      </c>
      <c r="I2070" s="1310"/>
      <c r="J2070" s="1310"/>
      <c r="K2070" s="1311"/>
      <c r="L2070" s="1125">
        <v>630</v>
      </c>
    </row>
    <row r="2071" spans="1:12" s="1279" customFormat="1" ht="20.100000000000001" customHeight="1">
      <c r="A2071" s="1377">
        <f t="shared" si="80"/>
        <v>0</v>
      </c>
      <c r="B2071" s="1583" t="s">
        <v>1704</v>
      </c>
      <c r="C2071" s="1286">
        <f>IF(G2071&gt;0,C2070+1,C2070)</f>
        <v>0</v>
      </c>
      <c r="D2071" s="1274" t="str">
        <f>VLOOKUP($B2071,DG!A:D,DG!$B$2,)</f>
        <v>02.3155</v>
      </c>
      <c r="E2071" s="1275" t="str">
        <f>VLOOKUP($B2071,DG!A:D,DG!$C$2,)</f>
        <v>FCO 24kV - 100A</v>
      </c>
      <c r="F2071" s="1274" t="str">
        <f>VLOOKUP($B2071,DG!A:D,DG!$D$2,)</f>
        <v>cái</v>
      </c>
      <c r="G2071" s="1287">
        <f>G2070*3</f>
        <v>0</v>
      </c>
      <c r="H2071" s="1353">
        <f t="shared" si="79"/>
        <v>0</v>
      </c>
      <c r="I2071" s="1277"/>
      <c r="J2071" s="1277"/>
      <c r="K2071" s="1312"/>
      <c r="L2071" s="1125">
        <v>630</v>
      </c>
    </row>
    <row r="2072" spans="1:12" s="1279" customFormat="1" ht="20.100000000000001" customHeight="1">
      <c r="A2072" s="1377">
        <f t="shared" si="80"/>
        <v>0</v>
      </c>
      <c r="B2072" s="1583" t="s">
        <v>4785</v>
      </c>
      <c r="C2072" s="1286">
        <f t="shared" ref="C2072:C2078" si="81">IF(G2072&gt;0,C2071+1,C2071)</f>
        <v>0</v>
      </c>
      <c r="D2072" s="1274">
        <f>VLOOKUP($B2072,DG!A:D,DG!$B$2,)</f>
        <v>0</v>
      </c>
      <c r="E2072" s="1275" t="str">
        <f>VLOOKUP($B2072,DG!A:D,DG!$C$2,)</f>
        <v>Dây chảy 30K</v>
      </c>
      <c r="F2072" s="1274" t="str">
        <f>VLOOKUP($B2072,DG!A:D,DG!$D$2,)</f>
        <v>Sợi</v>
      </c>
      <c r="G2072" s="1287">
        <f>G2071</f>
        <v>0</v>
      </c>
      <c r="H2072" s="1353">
        <f t="shared" si="79"/>
        <v>0</v>
      </c>
      <c r="I2072" s="1277"/>
      <c r="J2072" s="1277"/>
      <c r="K2072" s="1312"/>
      <c r="L2072" s="1125">
        <v>630</v>
      </c>
    </row>
    <row r="2073" spans="1:12" s="1279" customFormat="1" ht="20.100000000000001" customHeight="1">
      <c r="A2073" s="1377">
        <f t="shared" si="80"/>
        <v>0</v>
      </c>
      <c r="B2073" s="1582" t="s">
        <v>1406</v>
      </c>
      <c r="C2073" s="1286">
        <f t="shared" si="81"/>
        <v>0</v>
      </c>
      <c r="D2073" s="1274" t="str">
        <f>VLOOKUP($B2073,DG!A:D,DG!$B$2,)</f>
        <v>02.5114</v>
      </c>
      <c r="E2073" s="1275" t="str">
        <f>VLOOKUP($B2073,DG!A:D,DG!$C$2,)</f>
        <v>LA 18kV 10kA</v>
      </c>
      <c r="F2073" s="1274" t="str">
        <f>VLOOKUP($B2073,DG!A:D,DG!$D$2,)</f>
        <v>cái</v>
      </c>
      <c r="G2073" s="1287">
        <f>G2071</f>
        <v>0</v>
      </c>
      <c r="H2073" s="1353">
        <f t="shared" si="79"/>
        <v>0</v>
      </c>
      <c r="I2073" s="1277"/>
      <c r="J2073" s="1277"/>
      <c r="K2073" s="1312"/>
      <c r="L2073" s="1125">
        <v>630</v>
      </c>
    </row>
    <row r="2074" spans="1:12" s="1279" customFormat="1" ht="20.100000000000001" customHeight="1">
      <c r="A2074" s="1377">
        <f t="shared" si="80"/>
        <v>0</v>
      </c>
      <c r="B2074" s="1583" t="s">
        <v>899</v>
      </c>
      <c r="C2074" s="1286">
        <f t="shared" si="81"/>
        <v>0</v>
      </c>
      <c r="D2074" s="1274" t="str">
        <f>VLOOKUP($B2074,DG!A:D,DG!$B$2,)</f>
        <v>02.8404</v>
      </c>
      <c r="E2074" s="1275" t="str">
        <f>VLOOKUP($B2074,DG!A:D,DG!$C$2,)</f>
        <v>MCCB 3 cực 400V -1000A - 50KA</v>
      </c>
      <c r="F2074" s="1274" t="str">
        <f>VLOOKUP($B2074,DG!A:D,DG!$D$2,)</f>
        <v>cái</v>
      </c>
      <c r="G2074" s="1287">
        <f>G2070</f>
        <v>0</v>
      </c>
      <c r="H2074" s="1353">
        <f t="shared" si="79"/>
        <v>0</v>
      </c>
      <c r="I2074" s="1277"/>
      <c r="J2074" s="1277"/>
      <c r="K2074" s="1312"/>
      <c r="L2074" s="1125">
        <v>630</v>
      </c>
    </row>
    <row r="2075" spans="1:12" s="1279" customFormat="1" ht="20.100000000000001" customHeight="1">
      <c r="A2075" s="1377">
        <f t="shared" si="80"/>
        <v>0</v>
      </c>
      <c r="B2075" s="1583" t="s">
        <v>1515</v>
      </c>
      <c r="C2075" s="1286">
        <f t="shared" si="81"/>
        <v>0</v>
      </c>
      <c r="D2075" s="1274" t="str">
        <f>VLOOKUP($B2075,DG!A:D,DG!$B$2,)</f>
        <v>02.8534</v>
      </c>
      <c r="E2075" s="1275" t="str">
        <f>VLOOKUP($B2075,DG!A:D,DG!$C$2,)</f>
        <v>Tủ tụ bù hạ thế 250kVAr</v>
      </c>
      <c r="F2075" s="1274" t="str">
        <f>VLOOKUP($B2075,DG!A:D,DG!$D$2,)</f>
        <v>tủ</v>
      </c>
      <c r="G2075" s="1287">
        <f>G2070</f>
        <v>0</v>
      </c>
      <c r="H2075" s="1353">
        <f t="shared" si="79"/>
        <v>0</v>
      </c>
      <c r="I2075" s="1277"/>
      <c r="J2075" s="1277"/>
      <c r="K2075" s="1312"/>
      <c r="L2075" s="1125">
        <v>630</v>
      </c>
    </row>
    <row r="2076" spans="1:12" s="1279" customFormat="1" ht="20.100000000000001" customHeight="1">
      <c r="A2076" s="1377">
        <f t="shared" si="80"/>
        <v>0</v>
      </c>
      <c r="B2076" s="1583" t="s">
        <v>4784</v>
      </c>
      <c r="C2076" s="1286">
        <f t="shared" si="81"/>
        <v>0</v>
      </c>
      <c r="D2076" s="1274" t="str">
        <f>VLOOKUP($B2076,DG!A:D,DG!$B$2,)</f>
        <v>02.1124</v>
      </c>
      <c r="E2076" s="1275" t="str">
        <f>VLOOKUP($B2076,DG!A:D,DG!$C$2,)</f>
        <v>Biến dòng 24kV  15/5A</v>
      </c>
      <c r="F2076" s="1274" t="str">
        <f>VLOOKUP($B2076,DG!A:D,DG!$D$2,)</f>
        <v>cái</v>
      </c>
      <c r="G2076" s="1313">
        <f>G2070*3</f>
        <v>0</v>
      </c>
      <c r="H2076" s="1353">
        <f t="shared" si="79"/>
        <v>0</v>
      </c>
      <c r="I2076" s="1277"/>
      <c r="J2076" s="1277"/>
      <c r="K2076" s="1314" t="s">
        <v>2666</v>
      </c>
      <c r="L2076" s="1125">
        <v>630</v>
      </c>
    </row>
    <row r="2077" spans="1:12" s="1279" customFormat="1" ht="20.100000000000001" customHeight="1">
      <c r="A2077" s="1377">
        <f t="shared" si="80"/>
        <v>0</v>
      </c>
      <c r="B2077" s="1583" t="s">
        <v>4782</v>
      </c>
      <c r="C2077" s="1286">
        <f t="shared" si="81"/>
        <v>0</v>
      </c>
      <c r="D2077" s="1274" t="str">
        <f>VLOOKUP($B2077,DG!A:D,DG!$B$2,)</f>
        <v>02.1114</v>
      </c>
      <c r="E2077" s="1275" t="str">
        <f>VLOOKUP($B2077,DG!A:D,DG!$C$2,)</f>
        <v>Biến điện áp 12000/120(60)V</v>
      </c>
      <c r="F2077" s="1274" t="str">
        <f>VLOOKUP($B2077,DG!A:D,DG!$D$2,)</f>
        <v>cái</v>
      </c>
      <c r="G2077" s="1313">
        <f>G2076</f>
        <v>0</v>
      </c>
      <c r="H2077" s="1353">
        <f t="shared" si="79"/>
        <v>0</v>
      </c>
      <c r="I2077" s="1277"/>
      <c r="J2077" s="1277"/>
      <c r="K2077" s="1314" t="s">
        <v>2666</v>
      </c>
      <c r="L2077" s="1125">
        <v>630</v>
      </c>
    </row>
    <row r="2078" spans="1:12" s="1279" customFormat="1" ht="20.100000000000001" customHeight="1">
      <c r="A2078" s="1377">
        <f t="shared" si="80"/>
        <v>0</v>
      </c>
      <c r="B2078" s="1621" t="s">
        <v>1890</v>
      </c>
      <c r="C2078" s="1286">
        <f t="shared" si="81"/>
        <v>0</v>
      </c>
      <c r="D2078" s="1274">
        <f>VLOOKUP($B2078,DG!A:D,DG!$B$2,)</f>
        <v>0</v>
      </c>
      <c r="E2078" s="1275" t="str">
        <f>VLOOKUP($B2078,DG!A:D,DG!$C$2,)</f>
        <v>Điện kế 3 pha điện tử 600V-5A</v>
      </c>
      <c r="F2078" s="1274" t="str">
        <f>VLOOKUP($B2078,DG!A:D,DG!$D$2,)</f>
        <v>cái</v>
      </c>
      <c r="G2078" s="1313">
        <f>G2070</f>
        <v>0</v>
      </c>
      <c r="H2078" s="1353">
        <f t="shared" si="79"/>
        <v>0</v>
      </c>
      <c r="I2078" s="1277"/>
      <c r="J2078" s="1277"/>
      <c r="K2078" s="1315" t="s">
        <v>2666</v>
      </c>
      <c r="L2078" s="1125">
        <v>630</v>
      </c>
    </row>
    <row r="2079" spans="1:12" s="1279" customFormat="1" ht="20.100000000000001" customHeight="1">
      <c r="A2079" s="1377">
        <f t="shared" si="80"/>
        <v>0</v>
      </c>
      <c r="B2079" s="1582"/>
      <c r="C2079" s="1316"/>
      <c r="D2079" s="1317"/>
      <c r="E2079" s="1271"/>
      <c r="F2079" s="1316"/>
      <c r="G2079" s="1318"/>
      <c r="H2079" s="1353">
        <f t="shared" si="79"/>
        <v>0</v>
      </c>
      <c r="I2079" s="1271"/>
      <c r="J2079" s="1316"/>
      <c r="K2079" s="1309"/>
      <c r="L2079" s="1125">
        <v>630</v>
      </c>
    </row>
    <row r="2080" spans="1:12" s="1279" customFormat="1" ht="20.100000000000001" customHeight="1">
      <c r="A2080" s="1377">
        <f t="shared" si="80"/>
        <v>0</v>
      </c>
      <c r="B2080" s="1582"/>
      <c r="C2080" s="1319"/>
      <c r="D2080" s="1320"/>
      <c r="E2080" s="1306" t="s">
        <v>3772</v>
      </c>
      <c r="F2080" s="1306"/>
      <c r="G2080" s="1321"/>
      <c r="H2080" s="1353">
        <f t="shared" si="79"/>
        <v>0</v>
      </c>
      <c r="I2080" s="1306"/>
      <c r="J2080" s="1306"/>
      <c r="K2080" s="1309"/>
      <c r="L2080" s="1125">
        <v>630</v>
      </c>
    </row>
    <row r="2081" spans="1:12" s="1279" customFormat="1" ht="20.100000000000001" customHeight="1">
      <c r="A2081" s="1377">
        <f t="shared" si="80"/>
        <v>0</v>
      </c>
      <c r="B2081" s="1622"/>
      <c r="C2081" s="1322">
        <f>IF(G2081&gt;0,1,0)</f>
        <v>0</v>
      </c>
      <c r="D2081" s="1323"/>
      <c r="E2081" s="1324" t="s">
        <v>3810</v>
      </c>
      <c r="F2081" s="1325" t="s">
        <v>2340</v>
      </c>
      <c r="G2081" s="1326">
        <f>G2070*2*0</f>
        <v>0</v>
      </c>
      <c r="H2081" s="1353">
        <f t="shared" si="79"/>
        <v>0</v>
      </c>
      <c r="I2081" s="1327"/>
      <c r="J2081" s="1327"/>
      <c r="K2081" s="1312"/>
      <c r="L2081" s="1125">
        <v>630</v>
      </c>
    </row>
    <row r="2082" spans="1:12" s="1279" customFormat="1" ht="20.100000000000001" customHeight="1">
      <c r="A2082" s="1377">
        <f t="shared" si="80"/>
        <v>0</v>
      </c>
      <c r="B2082" s="1378" t="s">
        <v>116</v>
      </c>
      <c r="C2082" s="1328"/>
      <c r="D2082" s="1274"/>
      <c r="E2082" s="1329" t="str">
        <f>VLOOKUP($B2082,DG!A:D,DG!$C$2,)</f>
        <v>Trụ BTLT 12m F350 dự ứng lực</v>
      </c>
      <c r="F2082" s="1274" t="str">
        <f>VLOOKUP($B2082,DG!A:D,DG!$D$2,)</f>
        <v>trụ</v>
      </c>
      <c r="G2082" s="1330">
        <f>G2081</f>
        <v>0</v>
      </c>
      <c r="H2082" s="1353">
        <f t="shared" si="79"/>
        <v>0</v>
      </c>
      <c r="I2082" s="1310"/>
      <c r="J2082" s="1273"/>
      <c r="K2082" s="1312"/>
      <c r="L2082" s="1125">
        <v>630</v>
      </c>
    </row>
    <row r="2083" spans="1:12" s="1279" customFormat="1" ht="20.100000000000001" customHeight="1">
      <c r="A2083" s="1377">
        <f t="shared" si="80"/>
        <v>0</v>
      </c>
      <c r="B2083" s="1378" t="s">
        <v>1867</v>
      </c>
      <c r="C2083" s="1328"/>
      <c r="D2083" s="1274"/>
      <c r="E2083" s="1329" t="str">
        <f>VLOOKUP($B2083,DG!A:D,DG!$C$2,)</f>
        <v>Vật liệu dựng trụ</v>
      </c>
      <c r="F2083" s="1274" t="str">
        <f>VLOOKUP($B2083,DG!A:D,DG!$D$2,)</f>
        <v>trụ</v>
      </c>
      <c r="G2083" s="1330">
        <f>G2082</f>
        <v>0</v>
      </c>
      <c r="H2083" s="1353">
        <f t="shared" si="79"/>
        <v>0</v>
      </c>
      <c r="I2083" s="1273"/>
      <c r="J2083" s="1273"/>
      <c r="K2083" s="1312"/>
      <c r="L2083" s="1125">
        <v>630</v>
      </c>
    </row>
    <row r="2084" spans="1:12" s="1279" customFormat="1" ht="20.100000000000001" customHeight="1">
      <c r="A2084" s="1377">
        <f t="shared" si="80"/>
        <v>0</v>
      </c>
      <c r="B2084" s="1378" t="s">
        <v>648</v>
      </c>
      <c r="C2084" s="1328"/>
      <c r="D2084" s="1274" t="str">
        <f>VLOOKUP($B2084,DG!A:D,DG!$B$2,)</f>
        <v>04.9203</v>
      </c>
      <c r="E2084" s="1329" t="str">
        <f>VLOOKUP($B2084,DG!A:D,DG!$C$2,)</f>
        <v>Dựng trụ BTLT 12m trong TBA bằng thủ công + cơ giới</v>
      </c>
      <c r="F2084" s="1274" t="str">
        <f>VLOOKUP($B2084,DG!A:D,DG!$D$2,)</f>
        <v>trụ</v>
      </c>
      <c r="G2084" s="1330">
        <f>G2082</f>
        <v>0</v>
      </c>
      <c r="H2084" s="1353">
        <f t="shared" si="79"/>
        <v>0</v>
      </c>
      <c r="I2084" s="1310"/>
      <c r="J2084" s="1310"/>
      <c r="K2084" s="1312"/>
      <c r="L2084" s="1125">
        <v>630</v>
      </c>
    </row>
    <row r="2085" spans="1:12" s="1279" customFormat="1" ht="20.100000000000001" customHeight="1">
      <c r="A2085" s="1377">
        <f t="shared" si="80"/>
        <v>0</v>
      </c>
      <c r="B2085" s="1622"/>
      <c r="C2085" s="1322">
        <f>IF(G2085&gt;0,1,0)</f>
        <v>0</v>
      </c>
      <c r="D2085" s="1323"/>
      <c r="E2085" s="1324" t="s">
        <v>3811</v>
      </c>
      <c r="F2085" s="1325" t="s">
        <v>2340</v>
      </c>
      <c r="G2085" s="1326">
        <f>G2070*2*0</f>
        <v>0</v>
      </c>
      <c r="H2085" s="1353">
        <f t="shared" si="79"/>
        <v>0</v>
      </c>
      <c r="I2085" s="1327"/>
      <c r="J2085" s="1327"/>
      <c r="K2085" s="1278"/>
      <c r="L2085" s="1125">
        <v>630</v>
      </c>
    </row>
    <row r="2086" spans="1:12" s="1279" customFormat="1" ht="20.100000000000001" customHeight="1">
      <c r="A2086" s="1377">
        <f t="shared" si="80"/>
        <v>0</v>
      </c>
      <c r="B2086" s="1378" t="s">
        <v>115</v>
      </c>
      <c r="C2086" s="1328"/>
      <c r="D2086" s="1274"/>
      <c r="E2086" s="1329" t="str">
        <f>VLOOKUP($B2086,DG!A:D,DG!$C$2,)</f>
        <v>Trụ BTLT 10,5m F350 dự ứng lực</v>
      </c>
      <c r="F2086" s="1274" t="str">
        <f>VLOOKUP($B2086,DG!A:D,DG!$D$2,)</f>
        <v>trụ</v>
      </c>
      <c r="G2086" s="1330">
        <f>G2085</f>
        <v>0</v>
      </c>
      <c r="H2086" s="1353">
        <f t="shared" si="79"/>
        <v>0</v>
      </c>
      <c r="I2086" s="1310"/>
      <c r="J2086" s="1273"/>
      <c r="K2086" s="1278"/>
      <c r="L2086" s="1125">
        <v>630</v>
      </c>
    </row>
    <row r="2087" spans="1:12" s="1279" customFormat="1" ht="20.100000000000001" customHeight="1">
      <c r="A2087" s="1377">
        <f t="shared" si="80"/>
        <v>0</v>
      </c>
      <c r="B2087" s="1378" t="s">
        <v>1867</v>
      </c>
      <c r="C2087" s="1328"/>
      <c r="D2087" s="1274"/>
      <c r="E2087" s="1329" t="str">
        <f>VLOOKUP($B2087,DG!A:D,DG!$C$2,)</f>
        <v>Vật liệu dựng trụ</v>
      </c>
      <c r="F2087" s="1274" t="str">
        <f>VLOOKUP($B2087,DG!A:D,DG!$D$2,)</f>
        <v>trụ</v>
      </c>
      <c r="G2087" s="1330">
        <f>G2086</f>
        <v>0</v>
      </c>
      <c r="H2087" s="1353">
        <f t="shared" si="79"/>
        <v>0</v>
      </c>
      <c r="I2087" s="1273"/>
      <c r="J2087" s="1273"/>
      <c r="K2087" s="1278"/>
      <c r="L2087" s="1125">
        <v>630</v>
      </c>
    </row>
    <row r="2088" spans="1:12" s="1279" customFormat="1" ht="20.100000000000001" customHeight="1">
      <c r="A2088" s="1377">
        <f t="shared" si="80"/>
        <v>0</v>
      </c>
      <c r="B2088" s="1378" t="s">
        <v>649</v>
      </c>
      <c r="C2088" s="1328"/>
      <c r="D2088" s="1274" t="str">
        <f>VLOOKUP($B2088,DG!A:D,DG!$B$2,)</f>
        <v>04.9203</v>
      </c>
      <c r="E2088" s="1329" t="str">
        <f>VLOOKUP($B2088,DG!A:D,DG!$C$2,)</f>
        <v>Dựng trụ BTLT 10,5m trong TBA bằng thủ công + cơ giới</v>
      </c>
      <c r="F2088" s="1274" t="str">
        <f>VLOOKUP($B2088,DG!A:D,DG!$D$2,)</f>
        <v>trụ</v>
      </c>
      <c r="G2088" s="1330">
        <f>G2086</f>
        <v>0</v>
      </c>
      <c r="H2088" s="1353">
        <f t="shared" si="79"/>
        <v>0</v>
      </c>
      <c r="I2088" s="1310"/>
      <c r="J2088" s="1310"/>
      <c r="K2088" s="1278"/>
      <c r="L2088" s="1125">
        <v>630</v>
      </c>
    </row>
    <row r="2089" spans="1:12" s="1279" customFormat="1" ht="20.100000000000001" customHeight="1">
      <c r="A2089" s="1377">
        <f t="shared" si="80"/>
        <v>0</v>
      </c>
      <c r="B2089" s="1623"/>
      <c r="C2089" s="1280">
        <f>IF(G2089&gt;0,C2081+1,C2081)</f>
        <v>0</v>
      </c>
      <c r="D2089" s="1323"/>
      <c r="E2089" s="1324" t="s">
        <v>2416</v>
      </c>
      <c r="F2089" s="1325" t="s">
        <v>2391</v>
      </c>
      <c r="G2089" s="1331">
        <f>G2081</f>
        <v>0</v>
      </c>
      <c r="H2089" s="1353">
        <f t="shared" si="79"/>
        <v>0</v>
      </c>
      <c r="I2089" s="1273"/>
      <c r="J2089" s="1273"/>
      <c r="K2089" s="1312"/>
      <c r="L2089" s="1125">
        <v>630</v>
      </c>
    </row>
    <row r="2090" spans="1:12" s="1279" customFormat="1" ht="20.100000000000001" customHeight="1">
      <c r="A2090" s="1377">
        <f t="shared" si="80"/>
        <v>0</v>
      </c>
      <c r="B2090" s="1589" t="s">
        <v>641</v>
      </c>
      <c r="C2090" s="1328"/>
      <c r="D2090" s="1274" t="str">
        <f>VLOOKUP($B2090,DG!A:D,DG!$B$2,)</f>
        <v>04.4001</v>
      </c>
      <c r="E2090" s="1332" t="str">
        <f>VLOOKUP($B2090,DG!A:D,DG!$C$2,)</f>
        <v>Đà cản BTCT 1,2m</v>
      </c>
      <c r="F2090" s="1288" t="str">
        <f>VLOOKUP($B2090,DG!A:D,DG!$D$2,)</f>
        <v>cái</v>
      </c>
      <c r="G2090" s="1330">
        <f>G2089</f>
        <v>0</v>
      </c>
      <c r="H2090" s="1353">
        <f t="shared" si="79"/>
        <v>0</v>
      </c>
      <c r="I2090" s="1310"/>
      <c r="J2090" s="1273"/>
      <c r="K2090" s="1312"/>
      <c r="L2090" s="1125">
        <v>630</v>
      </c>
    </row>
    <row r="2091" spans="1:12" s="1279" customFormat="1" ht="20.100000000000001" customHeight="1">
      <c r="A2091" s="1377">
        <f t="shared" si="80"/>
        <v>0</v>
      </c>
      <c r="B2091" s="1589" t="s">
        <v>570</v>
      </c>
      <c r="C2091" s="1328"/>
      <c r="D2091" s="1288"/>
      <c r="E2091" s="1332" t="str">
        <f>VLOOKUP($B2091,DG!A:D,DG!$C$2,)</f>
        <v>Boulon 22x650+ 2 long đền vuông D24-50x50x3/Zn</v>
      </c>
      <c r="F2091" s="1288" t="str">
        <f>VLOOKUP($B2091,DG!A:D,DG!$D$2,)</f>
        <v>bộ</v>
      </c>
      <c r="G2091" s="1330">
        <f>G2090</f>
        <v>0</v>
      </c>
      <c r="H2091" s="1353">
        <f t="shared" si="79"/>
        <v>0</v>
      </c>
      <c r="I2091" s="1332"/>
      <c r="J2091" s="1273"/>
      <c r="K2091" s="1312"/>
      <c r="L2091" s="1125">
        <v>630</v>
      </c>
    </row>
    <row r="2092" spans="1:12" s="1279" customFormat="1" ht="20.100000000000001" customHeight="1">
      <c r="A2092" s="1377">
        <f t="shared" si="80"/>
        <v>0</v>
      </c>
      <c r="B2092" s="1589" t="str">
        <f>IF(chitiet!F5=1,"MDD1",IF(chitiet!F5=2,"MDD2",IF(chitiet!F5=3,"MDD3",IF(chitiet!F5=4,"MDD4"))))</f>
        <v>MDD3</v>
      </c>
      <c r="C2092" s="1328"/>
      <c r="D2092" s="1288" t="str">
        <f>VLOOKUP($B2092,DG!A:D,DG!$B$2,)</f>
        <v>03.1013</v>
      </c>
      <c r="E2092" s="1332" t="str">
        <f>VLOOKUP($B2092,DG!A:D,DG!$C$2,)</f>
        <v>Đào hố móng đất cấp 3 sâu &gt;1m DT&lt;5m2</v>
      </c>
      <c r="F2092" s="1288" t="str">
        <f>VLOOKUP($B2092,DG!A:D,DG!$D$2,)</f>
        <v>m3</v>
      </c>
      <c r="G2092" s="1333">
        <f>1.45*G2090</f>
        <v>0</v>
      </c>
      <c r="H2092" s="1353">
        <f t="shared" si="79"/>
        <v>0</v>
      </c>
      <c r="I2092" s="1334"/>
      <c r="J2092" s="1273"/>
      <c r="K2092" s="1312"/>
      <c r="L2092" s="1125">
        <v>630</v>
      </c>
    </row>
    <row r="2093" spans="1:12" s="1279" customFormat="1" ht="20.100000000000001" customHeight="1">
      <c r="A2093" s="1377">
        <f t="shared" si="80"/>
        <v>0</v>
      </c>
      <c r="B2093" s="1589" t="str">
        <f>IF(chitiet!F5=1,"MDAP1",IF(chitiet!F5=2,"MDAP2",IF(chitiet!F5=3,"MDAP3",IF(chitiet!F5=4,"MDAP4"))))</f>
        <v>MDAP3</v>
      </c>
      <c r="C2093" s="1328"/>
      <c r="D2093" s="1288" t="str">
        <f>VLOOKUP($B2093,DG!A:D,DG!$B$2,)</f>
        <v>03.4113</v>
      </c>
      <c r="E2093" s="1332" t="str">
        <f>VLOOKUP($B2093,DG!A:D,DG!$C$2,)</f>
        <v>Đắp đất hố móng, độ chặt k=0,95</v>
      </c>
      <c r="F2093" s="1288" t="str">
        <f>VLOOKUP($B2093,DG!A:D,DG!$D$2,)</f>
        <v>m3</v>
      </c>
      <c r="G2093" s="1335">
        <f>1.37*G2089</f>
        <v>0</v>
      </c>
      <c r="H2093" s="1353">
        <f t="shared" si="79"/>
        <v>0</v>
      </c>
      <c r="I2093" s="1334"/>
      <c r="J2093" s="1273"/>
      <c r="K2093" s="1312"/>
      <c r="L2093" s="1125">
        <v>630</v>
      </c>
    </row>
    <row r="2094" spans="1:12" s="1279" customFormat="1" ht="20.100000000000001" customHeight="1">
      <c r="A2094" s="1377">
        <f t="shared" si="80"/>
        <v>0</v>
      </c>
      <c r="B2094" s="1623"/>
      <c r="C2094" s="1280">
        <f>IF(G2094&gt;0,C2086+1,C2086)</f>
        <v>0</v>
      </c>
      <c r="D2094" s="1323"/>
      <c r="E2094" s="1324" t="s">
        <v>3812</v>
      </c>
      <c r="F2094" s="1325" t="s">
        <v>2391</v>
      </c>
      <c r="G2094" s="1331">
        <f>G2085*0</f>
        <v>0</v>
      </c>
      <c r="H2094" s="1353">
        <f t="shared" ref="H2094:H2157" si="82">IF(L2094=$L$23,G2094+I2094-J2094,0)</f>
        <v>0</v>
      </c>
      <c r="I2094" s="1273"/>
      <c r="J2094" s="1273"/>
      <c r="K2094" s="1278"/>
      <c r="L2094" s="1125">
        <v>630</v>
      </c>
    </row>
    <row r="2095" spans="1:12" s="1279" customFormat="1" ht="20.100000000000001" customHeight="1">
      <c r="A2095" s="1377">
        <f t="shared" si="80"/>
        <v>0</v>
      </c>
      <c r="B2095" s="1589" t="s">
        <v>641</v>
      </c>
      <c r="C2095" s="1328"/>
      <c r="D2095" s="1274" t="str">
        <f>VLOOKUP($B2095,DG!A:D,DG!$B$2,)</f>
        <v>04.4001</v>
      </c>
      <c r="E2095" s="1332" t="str">
        <f>VLOOKUP($B2095,DG!A:D,DG!$C$2,)</f>
        <v>Đà cản BTCT 1,2m</v>
      </c>
      <c r="F2095" s="1288" t="str">
        <f>VLOOKUP($B2095,DG!A:D,DG!$D$2,)</f>
        <v>cái</v>
      </c>
      <c r="G2095" s="1330">
        <f>G2094</f>
        <v>0</v>
      </c>
      <c r="H2095" s="1353">
        <f t="shared" si="82"/>
        <v>0</v>
      </c>
      <c r="I2095" s="1310"/>
      <c r="J2095" s="1273"/>
      <c r="K2095" s="1278"/>
      <c r="L2095" s="1125">
        <v>630</v>
      </c>
    </row>
    <row r="2096" spans="1:12" s="1279" customFormat="1" ht="20.100000000000001" customHeight="1">
      <c r="A2096" s="1377">
        <f t="shared" si="80"/>
        <v>0</v>
      </c>
      <c r="B2096" s="1589" t="s">
        <v>570</v>
      </c>
      <c r="C2096" s="1328"/>
      <c r="D2096" s="1288"/>
      <c r="E2096" s="1332" t="str">
        <f>VLOOKUP($B2096,DG!A:D,DG!$C$2,)</f>
        <v>Boulon 22x650+ 2 long đền vuông D24-50x50x3/Zn</v>
      </c>
      <c r="F2096" s="1288" t="str">
        <f>VLOOKUP($B2096,DG!A:D,DG!$D$2,)</f>
        <v>bộ</v>
      </c>
      <c r="G2096" s="1330">
        <f>G2095</f>
        <v>0</v>
      </c>
      <c r="H2096" s="1353">
        <f t="shared" si="82"/>
        <v>0</v>
      </c>
      <c r="I2096" s="1332"/>
      <c r="J2096" s="1273"/>
      <c r="K2096" s="1278"/>
      <c r="L2096" s="1125">
        <v>630</v>
      </c>
    </row>
    <row r="2097" spans="1:12" s="1279" customFormat="1" ht="20.100000000000001" customHeight="1">
      <c r="A2097" s="1377">
        <f t="shared" si="80"/>
        <v>0</v>
      </c>
      <c r="B2097" s="1589" t="str">
        <f>IF(chitiet!F5=1,"MDD1",IF(chitiet!F5=2,"MDD2",IF(chitiet!F5=3,"MDD3",IF(chitiet!F5=4,"MDD4"))))</f>
        <v>MDD3</v>
      </c>
      <c r="C2097" s="1328"/>
      <c r="D2097" s="1288" t="str">
        <f>VLOOKUP($B2097,DG!A:D,DG!$B$2,)</f>
        <v>03.1013</v>
      </c>
      <c r="E2097" s="1332" t="str">
        <f>VLOOKUP($B2097,DG!A:D,DG!$C$2,)</f>
        <v>Đào hố móng đất cấp 3 sâu &gt;1m DT&lt;5m2</v>
      </c>
      <c r="F2097" s="1288" t="str">
        <f>VLOOKUP($B2097,DG!A:D,DG!$D$2,)</f>
        <v>m3</v>
      </c>
      <c r="G2097" s="1335">
        <f>1.48*G2095</f>
        <v>0</v>
      </c>
      <c r="H2097" s="1353">
        <f t="shared" si="82"/>
        <v>0</v>
      </c>
      <c r="I2097" s="1334"/>
      <c r="J2097" s="1273"/>
      <c r="K2097" s="1278"/>
      <c r="L2097" s="1125">
        <v>630</v>
      </c>
    </row>
    <row r="2098" spans="1:12" s="1279" customFormat="1" ht="20.100000000000001" customHeight="1">
      <c r="A2098" s="1377">
        <f t="shared" si="80"/>
        <v>0</v>
      </c>
      <c r="B2098" s="1589" t="str">
        <f>IF(chitiet!F5=1,"MDAP1",IF(chitiet!F5=2,"MDAP2",IF(chitiet!F5=3,"MDAP3",IF(chitiet!F5=4,"MDAP4"))))</f>
        <v>MDAP3</v>
      </c>
      <c r="C2098" s="1328"/>
      <c r="D2098" s="1288" t="str">
        <f>VLOOKUP($B2098,DG!A:D,DG!$B$2,)</f>
        <v>03.4113</v>
      </c>
      <c r="E2098" s="1332" t="str">
        <f>VLOOKUP($B2098,DG!A:D,DG!$C$2,)</f>
        <v>Đắp đất hố móng, độ chặt k=0,95</v>
      </c>
      <c r="F2098" s="1288" t="str">
        <f>VLOOKUP($B2098,DG!A:D,DG!$D$2,)</f>
        <v>m3</v>
      </c>
      <c r="G2098" s="1335">
        <f>1.39*G2094</f>
        <v>0</v>
      </c>
      <c r="H2098" s="1353">
        <f t="shared" si="82"/>
        <v>0</v>
      </c>
      <c r="I2098" s="1334"/>
      <c r="J2098" s="1273"/>
      <c r="K2098" s="1278"/>
      <c r="L2098" s="1125">
        <v>630</v>
      </c>
    </row>
    <row r="2099" spans="1:12" s="1279" customFormat="1" ht="20.100000000000001" customHeight="1">
      <c r="A2099" s="1377">
        <f t="shared" si="80"/>
        <v>0</v>
      </c>
      <c r="B2099" s="1582"/>
      <c r="C2099" s="1280">
        <f>IF(G2099&gt;0,C2089+1,C2089)</f>
        <v>0</v>
      </c>
      <c r="D2099" s="1336"/>
      <c r="E2099" s="1324" t="s">
        <v>3813</v>
      </c>
      <c r="F2099" s="1322" t="s">
        <v>2449</v>
      </c>
      <c r="G2099" s="1337">
        <f>G2070*1</f>
        <v>0</v>
      </c>
      <c r="H2099" s="1353">
        <f t="shared" si="82"/>
        <v>0</v>
      </c>
      <c r="I2099" s="1338"/>
      <c r="J2099" s="1338"/>
      <c r="K2099" s="1278"/>
      <c r="L2099" s="1125">
        <v>630</v>
      </c>
    </row>
    <row r="2100" spans="1:12" s="1279" customFormat="1" ht="20.100000000000001" customHeight="1">
      <c r="A2100" s="1377">
        <f>IF(A2099&gt;0,1,0)</f>
        <v>0</v>
      </c>
      <c r="B2100" s="1582"/>
      <c r="C2100" s="1273"/>
      <c r="D2100" s="1339"/>
      <c r="E2100" s="1637" t="s">
        <v>2342</v>
      </c>
      <c r="F2100" s="1286"/>
      <c r="G2100" s="1287"/>
      <c r="H2100" s="1353">
        <f t="shared" si="82"/>
        <v>0</v>
      </c>
      <c r="I2100" s="1340"/>
      <c r="J2100" s="1340"/>
      <c r="K2100" s="1278"/>
      <c r="L2100" s="1125">
        <v>630</v>
      </c>
    </row>
    <row r="2101" spans="1:12" s="1279" customFormat="1" ht="20.100000000000001" customHeight="1">
      <c r="A2101" s="1377">
        <f t="shared" si="80"/>
        <v>0</v>
      </c>
      <c r="B2101" s="1378" t="s">
        <v>1166</v>
      </c>
      <c r="C2101" s="1273"/>
      <c r="D2101" s="1288" t="str">
        <f>VLOOKUP($B2101,DG!A:D,DG!$B$2,)</f>
        <v>05.6105</v>
      </c>
      <c r="E2101" s="1275" t="str">
        <f>VLOOKUP($B2101,DG!A:D,DG!$C$2,)&amp;": 2 cái"</f>
        <v>Đà U160x68x5x2800 đỡ MBA: 2 cái</v>
      </c>
      <c r="F2101" s="1274" t="str">
        <f>VLOOKUP($B2101,DG!A:D,DG!$D$2,)</f>
        <v>kg</v>
      </c>
      <c r="G2101" s="1276">
        <f>52.049*G2099*2</f>
        <v>0</v>
      </c>
      <c r="H2101" s="1353">
        <f t="shared" si="82"/>
        <v>0</v>
      </c>
      <c r="I2101" s="1310"/>
      <c r="J2101" s="1310"/>
      <c r="K2101" s="1278"/>
      <c r="L2101" s="1125">
        <v>630</v>
      </c>
    </row>
    <row r="2102" spans="1:12" s="1279" customFormat="1" ht="20.100000000000001" customHeight="1">
      <c r="A2102" s="1377">
        <f t="shared" si="80"/>
        <v>0</v>
      </c>
      <c r="B2102" s="1378" t="s">
        <v>1167</v>
      </c>
      <c r="C2102" s="1273"/>
      <c r="D2102" s="1288" t="str">
        <f>VLOOKUP($B2102,DG!A:D,DG!$B$2,)</f>
        <v>05.6101</v>
      </c>
      <c r="E2102" s="1275" t="str">
        <f>VLOOKUP($B2102,DG!A:D,DG!$C$2,)&amp;": 4 cái"</f>
        <v>Đà U100x46x4.5x400 : 4 cái</v>
      </c>
      <c r="F2102" s="1274" t="str">
        <f>VLOOKUP($B2102,DG!A:D,DG!$D$2,)</f>
        <v>kg</v>
      </c>
      <c r="G2102" s="1276">
        <f>G2099*2.713*4</f>
        <v>0</v>
      </c>
      <c r="H2102" s="1353">
        <f t="shared" si="82"/>
        <v>0</v>
      </c>
      <c r="I2102" s="1310"/>
      <c r="J2102" s="1310"/>
      <c r="K2102" s="1278"/>
      <c r="L2102" s="1125">
        <v>630</v>
      </c>
    </row>
    <row r="2103" spans="1:12" s="1279" customFormat="1" ht="20.100000000000001" customHeight="1">
      <c r="A2103" s="1377">
        <f t="shared" si="80"/>
        <v>0</v>
      </c>
      <c r="B2103" s="1378" t="s">
        <v>1168</v>
      </c>
      <c r="C2103" s="1273"/>
      <c r="D2103" s="1288" t="str">
        <f>VLOOKUP($B2103,DG!A:D,DG!$B$2,)</f>
        <v>05.6101</v>
      </c>
      <c r="E2103" s="1275" t="str">
        <f>VLOOKUP($B2103,DG!A:D,DG!$C$2,)&amp;": 2 cái"</f>
        <v>Đà U100x46x5x800 : 2 cái</v>
      </c>
      <c r="F2103" s="1274" t="str">
        <f>VLOOKUP($B2103,DG!A:D,DG!$D$2,)</f>
        <v>kg</v>
      </c>
      <c r="G2103" s="1276">
        <f>G2099*5.426*2</f>
        <v>0</v>
      </c>
      <c r="H2103" s="1353">
        <f t="shared" si="82"/>
        <v>0</v>
      </c>
      <c r="I2103" s="1310"/>
      <c r="J2103" s="1310"/>
      <c r="K2103" s="1278"/>
      <c r="L2103" s="1125">
        <v>630</v>
      </c>
    </row>
    <row r="2104" spans="1:12" s="1279" customFormat="1" ht="20.100000000000001" customHeight="1">
      <c r="A2104" s="1377">
        <f t="shared" si="80"/>
        <v>0</v>
      </c>
      <c r="B2104" s="1582" t="s">
        <v>1834</v>
      </c>
      <c r="C2104" s="1273"/>
      <c r="D2104" s="1288">
        <f>VLOOKUP($B2104,DG!A:D,DG!$B$2,)</f>
        <v>0</v>
      </c>
      <c r="E2104" s="1275" t="str">
        <f>VLOOKUP($B2104,DG!A:D,DG!$C$2,)</f>
        <v>Boulon 16x400VRS+ 4 long đền vuông D18-50x50x3/Zn</v>
      </c>
      <c r="F2104" s="1274" t="str">
        <f>VLOOKUP($B2104,DG!A:D,DG!$D$2,)</f>
        <v>bộ</v>
      </c>
      <c r="G2104" s="1287">
        <f>G2099*10</f>
        <v>0</v>
      </c>
      <c r="H2104" s="1353">
        <f t="shared" si="82"/>
        <v>0</v>
      </c>
      <c r="I2104" s="1310"/>
      <c r="J2104" s="1310"/>
      <c r="K2104" s="1278"/>
      <c r="L2104" s="1125">
        <v>630</v>
      </c>
    </row>
    <row r="2105" spans="1:12" s="1279" customFormat="1" ht="20.100000000000001" customHeight="1">
      <c r="A2105" s="1377">
        <f t="shared" si="80"/>
        <v>0</v>
      </c>
      <c r="B2105" s="1582" t="s">
        <v>1113</v>
      </c>
      <c r="C2105" s="1273"/>
      <c r="D2105" s="1288">
        <f>VLOOKUP($B2105,DG!A:D,DG!$B$2,)</f>
        <v>0</v>
      </c>
      <c r="E2105" s="1275" t="str">
        <f>VLOOKUP($B2105,DG!A:D,DG!$C$2,)</f>
        <v>Boulon 16x400+ 2 long đền vuông D18-50x50x3/Zn</v>
      </c>
      <c r="F2105" s="1274" t="str">
        <f>VLOOKUP($B2105,DG!A:D,DG!$D$2,)</f>
        <v>bộ</v>
      </c>
      <c r="G2105" s="1287">
        <f>G2099*2</f>
        <v>0</v>
      </c>
      <c r="H2105" s="1353">
        <f t="shared" si="82"/>
        <v>0</v>
      </c>
      <c r="I2105" s="1310"/>
      <c r="J2105" s="1310"/>
      <c r="K2105" s="1278"/>
      <c r="L2105" s="1125">
        <v>630</v>
      </c>
    </row>
    <row r="2106" spans="1:12" s="1279" customFormat="1" ht="20.100000000000001" customHeight="1">
      <c r="A2106" s="1377">
        <f t="shared" si="80"/>
        <v>0</v>
      </c>
      <c r="B2106" s="1582" t="s">
        <v>1109</v>
      </c>
      <c r="C2106" s="1273"/>
      <c r="D2106" s="1288">
        <f>VLOOKUP($B2106,DG!A:D,DG!$B$2,)</f>
        <v>0</v>
      </c>
      <c r="E2106" s="1275" t="str">
        <f>VLOOKUP($B2106,DG!A:D,DG!$C$2,)</f>
        <v>Boulon 16x350+ 2 long đền vuông D18-50x50x3/Zn</v>
      </c>
      <c r="F2106" s="1274" t="str">
        <f>VLOOKUP($B2106,DG!A:D,DG!$D$2,)</f>
        <v>bộ</v>
      </c>
      <c r="G2106" s="1287">
        <f>G2099*12</f>
        <v>0</v>
      </c>
      <c r="H2106" s="1353">
        <f t="shared" si="82"/>
        <v>0</v>
      </c>
      <c r="I2106" s="1310"/>
      <c r="J2106" s="1310"/>
      <c r="K2106" s="1278"/>
      <c r="L2106" s="1125">
        <v>630</v>
      </c>
    </row>
    <row r="2107" spans="1:12" s="1279" customFormat="1" ht="20.100000000000001" customHeight="1">
      <c r="A2107" s="1377">
        <f t="shared" si="80"/>
        <v>0</v>
      </c>
      <c r="B2107" s="1582"/>
      <c r="C2107" s="1280">
        <f>IF(G2107&gt;0,C2099+1,C2099)</f>
        <v>0</v>
      </c>
      <c r="D2107" s="1281"/>
      <c r="E2107" s="1341" t="s">
        <v>3814</v>
      </c>
      <c r="F2107" s="1280" t="s">
        <v>2449</v>
      </c>
      <c r="G2107" s="1283">
        <f>G2099*2</f>
        <v>0</v>
      </c>
      <c r="H2107" s="1353">
        <f t="shared" si="82"/>
        <v>0</v>
      </c>
      <c r="I2107" s="1342"/>
      <c r="J2107" s="1342"/>
      <c r="K2107" s="1278"/>
      <c r="L2107" s="1125">
        <v>630</v>
      </c>
    </row>
    <row r="2108" spans="1:12" s="1279" customFormat="1" ht="20.100000000000001" customHeight="1">
      <c r="A2108" s="1377">
        <f>IF(A2107&gt;0,1,0)</f>
        <v>0</v>
      </c>
      <c r="B2108" s="1582"/>
      <c r="C2108" s="1273"/>
      <c r="D2108" s="1288"/>
      <c r="E2108" s="1637" t="s">
        <v>2342</v>
      </c>
      <c r="F2108" s="1286"/>
      <c r="G2108" s="1287"/>
      <c r="H2108" s="1353">
        <f t="shared" si="82"/>
        <v>0</v>
      </c>
      <c r="I2108" s="1342"/>
      <c r="J2108" s="1342"/>
      <c r="K2108" s="1278"/>
      <c r="L2108" s="1125">
        <v>630</v>
      </c>
    </row>
    <row r="2109" spans="1:12" s="1279" customFormat="1" ht="20.100000000000001" customHeight="1">
      <c r="A2109" s="1377">
        <f t="shared" si="80"/>
        <v>0</v>
      </c>
      <c r="B2109" s="1589" t="s">
        <v>2075</v>
      </c>
      <c r="C2109" s="1273"/>
      <c r="D2109" s="1288">
        <f>VLOOKUP($B2109,DG!A:D,DG!$B$2,)</f>
        <v>0</v>
      </c>
      <c r="E2109" s="1275" t="str">
        <f>VLOOKUP($B2109,DG!A:D,DG!$C$2,)</f>
        <v>Sắt góc L75 x75 x8</v>
      </c>
      <c r="F2109" s="1288" t="str">
        <f>VLOOKUP($B2109,DG!A:D,DG!$D$2,)</f>
        <v>kg</v>
      </c>
      <c r="G2109" s="1276">
        <f>G2107*9.42*(2.6+3*0.07)*2</f>
        <v>0</v>
      </c>
      <c r="H2109" s="1353">
        <f t="shared" si="82"/>
        <v>0</v>
      </c>
      <c r="I2109" s="1310"/>
      <c r="J2109" s="1310"/>
      <c r="K2109" s="1278"/>
      <c r="L2109" s="1125">
        <v>630</v>
      </c>
    </row>
    <row r="2110" spans="1:12" s="1279" customFormat="1" ht="20.100000000000001" customHeight="1">
      <c r="A2110" s="1377">
        <f t="shared" si="80"/>
        <v>0</v>
      </c>
      <c r="B2110" s="1582" t="s">
        <v>1837</v>
      </c>
      <c r="C2110" s="1273"/>
      <c r="D2110" s="1288">
        <f>VLOOKUP($B2110,DG!A:D,DG!$B$2,)</f>
        <v>0</v>
      </c>
      <c r="E2110" s="1275" t="str">
        <f>VLOOKUP($B2110,DG!A:D,DG!$C$2,)</f>
        <v>Boulon 16x300VRS+ 4 long đền vuông D18-50x50x3/Zn</v>
      </c>
      <c r="F2110" s="1288" t="str">
        <f>VLOOKUP($B2110,DG!A:D,DG!$D$2,)</f>
        <v>bộ</v>
      </c>
      <c r="G2110" s="1287">
        <f>G2107*2</f>
        <v>0</v>
      </c>
      <c r="H2110" s="1353">
        <f t="shared" si="82"/>
        <v>0</v>
      </c>
      <c r="I2110" s="1310"/>
      <c r="J2110" s="1310"/>
      <c r="K2110" s="1278"/>
      <c r="L2110" s="1125">
        <v>630</v>
      </c>
    </row>
    <row r="2111" spans="1:12" s="1279" customFormat="1" ht="20.100000000000001" customHeight="1">
      <c r="A2111" s="1377">
        <f t="shared" si="80"/>
        <v>0</v>
      </c>
      <c r="B2111" s="1582" t="s">
        <v>1662</v>
      </c>
      <c r="C2111" s="1273"/>
      <c r="D2111" s="1288">
        <f>VLOOKUP($B2111,DG!A:D,DG!$B$2,)</f>
        <v>0</v>
      </c>
      <c r="E2111" s="1275" t="str">
        <f>VLOOKUP($B2111,DG!A:D,DG!$C$2,)</f>
        <v>Boulon 16x300+ 2 long đền vuông D18-50x50x3/Zn</v>
      </c>
      <c r="F2111" s="1288" t="str">
        <f>VLOOKUP($B2111,DG!A:D,DG!$D$2,)</f>
        <v>bộ</v>
      </c>
      <c r="G2111" s="1287">
        <f>G2107*2</f>
        <v>0</v>
      </c>
      <c r="H2111" s="1353">
        <f t="shared" si="82"/>
        <v>0</v>
      </c>
      <c r="I2111" s="1310"/>
      <c r="J2111" s="1310"/>
      <c r="K2111" s="1278"/>
      <c r="L2111" s="1125">
        <v>630</v>
      </c>
    </row>
    <row r="2112" spans="1:12" s="1279" customFormat="1" ht="20.100000000000001" customHeight="1">
      <c r="A2112" s="1377">
        <f t="shared" si="80"/>
        <v>0</v>
      </c>
      <c r="B2112" s="1582" t="s">
        <v>1661</v>
      </c>
      <c r="C2112" s="1273"/>
      <c r="D2112" s="1288">
        <f>VLOOKUP($B2112,DG!A:D,DG!$B$2,)</f>
        <v>0</v>
      </c>
      <c r="E2112" s="1275" t="str">
        <f>VLOOKUP($B2112,DG!A:D,DG!$C$2,)</f>
        <v>Boulon 16x250+ 2 long đền vuông D18-50x50x3/Zn</v>
      </c>
      <c r="F2112" s="1288" t="str">
        <f>VLOOKUP($B2112,DG!A:D,DG!$D$2,)</f>
        <v>bộ</v>
      </c>
      <c r="G2112" s="1287">
        <f>G2111</f>
        <v>0</v>
      </c>
      <c r="H2112" s="1353">
        <f t="shared" si="82"/>
        <v>0</v>
      </c>
      <c r="I2112" s="1310"/>
      <c r="J2112" s="1310"/>
      <c r="K2112" s="1278"/>
      <c r="L2112" s="1125">
        <v>630</v>
      </c>
    </row>
    <row r="2113" spans="1:12" s="1279" customFormat="1" ht="20.100000000000001" customHeight="1">
      <c r="A2113" s="1377">
        <f t="shared" si="80"/>
        <v>0</v>
      </c>
      <c r="B2113" s="1582" t="s">
        <v>2304</v>
      </c>
      <c r="C2113" s="1273"/>
      <c r="D2113" s="1288" t="str">
        <f>VLOOKUP($B2113,DG!A:D,DG!$B$2,)</f>
        <v>05.6044</v>
      </c>
      <c r="E2113" s="1275" t="str">
        <f>VLOOKUP($B2113,DG!A:D,DG!$C$2,)</f>
        <v>Lắp xà cột Pi loại ≤140kg/xà</v>
      </c>
      <c r="F2113" s="1288" t="str">
        <f>VLOOKUP($B2113,DG!A:D,DG!$D$2,)</f>
        <v>bộ</v>
      </c>
      <c r="G2113" s="1287">
        <f>G2107</f>
        <v>0</v>
      </c>
      <c r="H2113" s="1353">
        <f t="shared" si="82"/>
        <v>0</v>
      </c>
      <c r="I2113" s="1310"/>
      <c r="J2113" s="1310"/>
      <c r="K2113" s="1278"/>
      <c r="L2113" s="1125">
        <v>630</v>
      </c>
    </row>
    <row r="2114" spans="1:12" s="1279" customFormat="1" ht="20.100000000000001" customHeight="1">
      <c r="A2114" s="1377">
        <f t="shared" si="80"/>
        <v>0</v>
      </c>
      <c r="B2114" s="1582"/>
      <c r="C2114" s="1280">
        <f>IF(G2114&gt;0,C2107+1,C2107)</f>
        <v>0</v>
      </c>
      <c r="D2114" s="1281"/>
      <c r="E2114" s="1341" t="s">
        <v>3815</v>
      </c>
      <c r="F2114" s="1280" t="s">
        <v>2449</v>
      </c>
      <c r="G2114" s="1283">
        <f>G2070*2</f>
        <v>0</v>
      </c>
      <c r="H2114" s="1353">
        <f t="shared" si="82"/>
        <v>0</v>
      </c>
      <c r="I2114" s="1342"/>
      <c r="J2114" s="1342"/>
      <c r="K2114" s="1278"/>
      <c r="L2114" s="1125">
        <v>630</v>
      </c>
    </row>
    <row r="2115" spans="1:12" s="1279" customFormat="1" ht="20.100000000000001" customHeight="1">
      <c r="A2115" s="1377">
        <f>IF(A2114&gt;0,1,0)</f>
        <v>0</v>
      </c>
      <c r="B2115" s="1582"/>
      <c r="C2115" s="1273"/>
      <c r="D2115" s="1284"/>
      <c r="E2115" s="1637" t="s">
        <v>2342</v>
      </c>
      <c r="F2115" s="1286"/>
      <c r="G2115" s="1287"/>
      <c r="H2115" s="1353">
        <f t="shared" si="82"/>
        <v>0</v>
      </c>
      <c r="I2115" s="1342"/>
      <c r="J2115" s="1342"/>
      <c r="K2115" s="1278"/>
      <c r="L2115" s="1125">
        <v>630</v>
      </c>
    </row>
    <row r="2116" spans="1:12" s="1279" customFormat="1" ht="20.100000000000001" customHeight="1">
      <c r="A2116" s="1377">
        <f t="shared" si="80"/>
        <v>0</v>
      </c>
      <c r="B2116" s="1589" t="s">
        <v>2075</v>
      </c>
      <c r="C2116" s="1273"/>
      <c r="D2116" s="1288">
        <f>VLOOKUP($B2116,DG!A:D,DG!$B$2,)</f>
        <v>0</v>
      </c>
      <c r="E2116" s="1275" t="str">
        <f>VLOOKUP($B2116,DG!A:D,DG!$C$2,)</f>
        <v>Sắt góc L75 x75 x8</v>
      </c>
      <c r="F2116" s="1288" t="str">
        <f>VLOOKUP($B2116,DG!A:D,DG!$D$2,)</f>
        <v>kg</v>
      </c>
      <c r="G2116" s="1276">
        <f>G2114*9.42*(2.6+3*0.07)</f>
        <v>0</v>
      </c>
      <c r="H2116" s="1353">
        <f t="shared" si="82"/>
        <v>0</v>
      </c>
      <c r="I2116" s="1310"/>
      <c r="J2116" s="1310"/>
      <c r="K2116" s="1278"/>
      <c r="L2116" s="1125">
        <v>630</v>
      </c>
    </row>
    <row r="2117" spans="1:12" s="1279" customFormat="1" ht="20.100000000000001" customHeight="1">
      <c r="A2117" s="1377">
        <f t="shared" si="80"/>
        <v>0</v>
      </c>
      <c r="B2117" s="1582" t="s">
        <v>1661</v>
      </c>
      <c r="C2117" s="1273"/>
      <c r="D2117" s="1288">
        <f>VLOOKUP($B2117,DG!A:D,DG!$B$2,)</f>
        <v>0</v>
      </c>
      <c r="E2117" s="1275" t="str">
        <f>VLOOKUP($B2117,DG!A:D,DG!$C$2,)</f>
        <v>Boulon 16x250+ 2 long đền vuông D18-50x50x3/Zn</v>
      </c>
      <c r="F2117" s="1288" t="str">
        <f>VLOOKUP($B2117,DG!A:D,DG!$D$2,)</f>
        <v>bộ</v>
      </c>
      <c r="G2117" s="1287">
        <f>G2114</f>
        <v>0</v>
      </c>
      <c r="H2117" s="1353">
        <f t="shared" si="82"/>
        <v>0</v>
      </c>
      <c r="I2117" s="1310"/>
      <c r="J2117" s="1310"/>
      <c r="K2117" s="1278"/>
      <c r="L2117" s="1125">
        <v>630</v>
      </c>
    </row>
    <row r="2118" spans="1:12" s="1279" customFormat="1" ht="20.100000000000001" customHeight="1">
      <c r="A2118" s="1377">
        <f t="shared" si="80"/>
        <v>0</v>
      </c>
      <c r="B2118" s="1582" t="s">
        <v>1662</v>
      </c>
      <c r="C2118" s="1273"/>
      <c r="D2118" s="1288">
        <f>VLOOKUP($B2118,DG!A:D,DG!$B$2,)</f>
        <v>0</v>
      </c>
      <c r="E2118" s="1275" t="str">
        <f>VLOOKUP($B2118,DG!A:D,DG!$C$2,)</f>
        <v>Boulon 16x300+ 2 long đền vuông D18-50x50x3/Zn</v>
      </c>
      <c r="F2118" s="1288" t="str">
        <f>VLOOKUP($B2118,DG!A:D,DG!$D$2,)</f>
        <v>bộ</v>
      </c>
      <c r="G2118" s="1287">
        <f>G2114</f>
        <v>0</v>
      </c>
      <c r="H2118" s="1353">
        <f t="shared" si="82"/>
        <v>0</v>
      </c>
      <c r="I2118" s="1310"/>
      <c r="J2118" s="1310"/>
      <c r="K2118" s="1278"/>
      <c r="L2118" s="1125">
        <v>630</v>
      </c>
    </row>
    <row r="2119" spans="1:12" s="1279" customFormat="1" ht="20.100000000000001" customHeight="1">
      <c r="A2119" s="1377">
        <f t="shared" si="80"/>
        <v>0</v>
      </c>
      <c r="B2119" s="1582" t="s">
        <v>30</v>
      </c>
      <c r="C2119" s="1273"/>
      <c r="D2119" s="1288">
        <f>VLOOKUP($B2119,DG!A:D,DG!$B$2,)</f>
        <v>0</v>
      </c>
      <c r="E2119" s="1275" t="str">
        <f>VLOOKUP($B2119,DG!A:D,DG!$C$2,)</f>
        <v>Bass LI bắt FCO</v>
      </c>
      <c r="F2119" s="1288" t="str">
        <f>VLOOKUP($B2119,DG!A:D,DG!$D$2,)</f>
        <v>Bộ</v>
      </c>
      <c r="G2119" s="1287">
        <f>G2071*2</f>
        <v>0</v>
      </c>
      <c r="H2119" s="1353">
        <f t="shared" si="82"/>
        <v>0</v>
      </c>
      <c r="I2119" s="1310"/>
      <c r="J2119" s="1310"/>
      <c r="K2119" s="1278"/>
      <c r="L2119" s="1125">
        <v>630</v>
      </c>
    </row>
    <row r="2120" spans="1:12" s="1279" customFormat="1" ht="20.100000000000001" customHeight="1">
      <c r="A2120" s="1377">
        <f t="shared" si="80"/>
        <v>0</v>
      </c>
      <c r="B2120" s="1582" t="s">
        <v>2304</v>
      </c>
      <c r="C2120" s="1273"/>
      <c r="D2120" s="1288" t="str">
        <f>VLOOKUP($B2120,DG!A:D,DG!$B$2,)</f>
        <v>05.6044</v>
      </c>
      <c r="E2120" s="1275" t="str">
        <f>VLOOKUP($B2120,DG!A:D,DG!$C$2,)</f>
        <v>Lắp xà cột Pi loại ≤140kg/xà</v>
      </c>
      <c r="F2120" s="1288" t="str">
        <f>VLOOKUP($B2120,DG!A:D,DG!$D$2,)</f>
        <v>bộ</v>
      </c>
      <c r="G2120" s="1287">
        <f>G2070</f>
        <v>0</v>
      </c>
      <c r="H2120" s="1353">
        <f t="shared" si="82"/>
        <v>0</v>
      </c>
      <c r="I2120" s="1310"/>
      <c r="J2120" s="1310"/>
      <c r="K2120" s="1278"/>
      <c r="L2120" s="1125">
        <v>630</v>
      </c>
    </row>
    <row r="2121" spans="1:12" s="1279" customFormat="1" ht="20.100000000000001" customHeight="1">
      <c r="A2121" s="1377">
        <f t="shared" si="80"/>
        <v>0</v>
      </c>
      <c r="B2121" s="1582"/>
      <c r="C2121" s="1280">
        <f>IF(G2121&gt;0,C2114+1,C2114)</f>
        <v>0</v>
      </c>
      <c r="D2121" s="1281"/>
      <c r="E2121" s="1341" t="s">
        <v>3816</v>
      </c>
      <c r="F2121" s="1280" t="s">
        <v>2449</v>
      </c>
      <c r="G2121" s="1283">
        <f>G2070*2</f>
        <v>0</v>
      </c>
      <c r="H2121" s="1353">
        <f t="shared" si="82"/>
        <v>0</v>
      </c>
      <c r="I2121" s="1342"/>
      <c r="J2121" s="1342"/>
      <c r="K2121" s="1278"/>
      <c r="L2121" s="1125">
        <v>630</v>
      </c>
    </row>
    <row r="2122" spans="1:12" s="1279" customFormat="1" ht="20.100000000000001" customHeight="1">
      <c r="A2122" s="1377">
        <f>IF(A2121&gt;0,1,0)</f>
        <v>0</v>
      </c>
      <c r="B2122" s="1582"/>
      <c r="C2122" s="1273"/>
      <c r="D2122" s="1284"/>
      <c r="E2122" s="1637" t="s">
        <v>2342</v>
      </c>
      <c r="F2122" s="1286"/>
      <c r="G2122" s="1287"/>
      <c r="H2122" s="1353">
        <f t="shared" si="82"/>
        <v>0</v>
      </c>
      <c r="I2122" s="1342"/>
      <c r="J2122" s="1342"/>
      <c r="K2122" s="1278"/>
      <c r="L2122" s="1125">
        <v>630</v>
      </c>
    </row>
    <row r="2123" spans="1:12" s="1279" customFormat="1" ht="20.100000000000001" customHeight="1">
      <c r="A2123" s="1377">
        <f t="shared" si="80"/>
        <v>0</v>
      </c>
      <c r="B2123" s="1582" t="s">
        <v>2075</v>
      </c>
      <c r="C2123" s="1273"/>
      <c r="D2123" s="1288">
        <f>VLOOKUP($B2123,DG!A:D,DG!$B$2,)</f>
        <v>0</v>
      </c>
      <c r="E2123" s="1275" t="str">
        <f>VLOOKUP($B2123,DG!A:D,DG!$C$2,)</f>
        <v>Sắt góc L75 x75 x8</v>
      </c>
      <c r="F2123" s="1288" t="str">
        <f>VLOOKUP($B2123,DG!A:D,DG!$D$2,)</f>
        <v>kg</v>
      </c>
      <c r="G2123" s="1276">
        <f>G2121*9.42*2.6</f>
        <v>0</v>
      </c>
      <c r="H2123" s="1353">
        <f t="shared" si="82"/>
        <v>0</v>
      </c>
      <c r="I2123" s="1310"/>
      <c r="J2123" s="1310"/>
      <c r="K2123" s="1278"/>
      <c r="L2123" s="1125">
        <v>630</v>
      </c>
    </row>
    <row r="2124" spans="1:12" s="1279" customFormat="1" ht="20.100000000000001" customHeight="1">
      <c r="A2124" s="1377">
        <f t="shared" si="80"/>
        <v>0</v>
      </c>
      <c r="B2124" s="1582" t="s">
        <v>1113</v>
      </c>
      <c r="C2124" s="1273"/>
      <c r="D2124" s="1288">
        <f>VLOOKUP($B2124,DG!A:D,DG!$B$2,)</f>
        <v>0</v>
      </c>
      <c r="E2124" s="1275" t="str">
        <f>VLOOKUP($B2124,DG!A:D,DG!$C$2,)</f>
        <v>Boulon 16x400+ 2 long đền vuông D18-50x50x3/Zn</v>
      </c>
      <c r="F2124" s="1288" t="str">
        <f>VLOOKUP($B2124,DG!A:D,DG!$D$2,)</f>
        <v>bộ</v>
      </c>
      <c r="G2124" s="1287">
        <f>G2121*2</f>
        <v>0</v>
      </c>
      <c r="H2124" s="1353">
        <f t="shared" si="82"/>
        <v>0</v>
      </c>
      <c r="I2124" s="1310"/>
      <c r="J2124" s="1310"/>
      <c r="K2124" s="1278"/>
      <c r="L2124" s="1125">
        <v>630</v>
      </c>
    </row>
    <row r="2125" spans="1:12" s="1279" customFormat="1" ht="20.100000000000001" customHeight="1">
      <c r="A2125" s="1377">
        <f t="shared" si="80"/>
        <v>0</v>
      </c>
      <c r="B2125" s="1582" t="s">
        <v>139</v>
      </c>
      <c r="C2125" s="1273"/>
      <c r="D2125" s="1288">
        <f>VLOOKUP($B2125,DG!A:D,DG!$B$2,)</f>
        <v>0</v>
      </c>
      <c r="E2125" s="1275" t="str">
        <f>VLOOKUP($B2125,DG!A:D,DG!$C$2,)</f>
        <v>Boulon 12x40+ 2 long đền vuông D14-50x50x3/Zn</v>
      </c>
      <c r="F2125" s="1288" t="str">
        <f>VLOOKUP($B2125,DG!A:D,DG!$D$2,)</f>
        <v>bộ</v>
      </c>
      <c r="G2125" s="1287">
        <f>G2121*2</f>
        <v>0</v>
      </c>
      <c r="H2125" s="1353">
        <f t="shared" si="82"/>
        <v>0</v>
      </c>
      <c r="I2125" s="1310"/>
      <c r="J2125" s="1310"/>
      <c r="K2125" s="1278"/>
      <c r="L2125" s="1125">
        <v>630</v>
      </c>
    </row>
    <row r="2126" spans="1:12" s="1279" customFormat="1" ht="20.100000000000001" customHeight="1">
      <c r="A2126" s="1377">
        <f t="shared" si="80"/>
        <v>0</v>
      </c>
      <c r="B2126" s="1582" t="s">
        <v>2304</v>
      </c>
      <c r="C2126" s="1273"/>
      <c r="D2126" s="1288" t="str">
        <f>VLOOKUP($B2126,DG!A:D,DG!$B$2,)</f>
        <v>05.6044</v>
      </c>
      <c r="E2126" s="1275" t="str">
        <f>VLOOKUP($B2126,DG!A:D,DG!$C$2,)</f>
        <v>Lắp xà cột Pi loại ≤140kg/xà</v>
      </c>
      <c r="F2126" s="1288" t="str">
        <f>VLOOKUP($B2126,DG!A:D,DG!$D$2,)</f>
        <v>bộ</v>
      </c>
      <c r="G2126" s="1287">
        <f>G2121/2</f>
        <v>0</v>
      </c>
      <c r="H2126" s="1353">
        <f t="shared" si="82"/>
        <v>0</v>
      </c>
      <c r="I2126" s="1310"/>
      <c r="J2126" s="1310"/>
      <c r="K2126" s="1278"/>
      <c r="L2126" s="1125">
        <v>630</v>
      </c>
    </row>
    <row r="2127" spans="1:12" s="1279" customFormat="1" ht="20.100000000000001" customHeight="1">
      <c r="A2127" s="1377">
        <f t="shared" si="80"/>
        <v>0</v>
      </c>
      <c r="B2127" s="1582" t="s">
        <v>218</v>
      </c>
      <c r="C2127" s="1273"/>
      <c r="D2127" s="1288" t="str">
        <f>VLOOKUP($B2127,DG!A:D,DG!$B$2,)</f>
        <v>02.1115</v>
      </c>
      <c r="E2127" s="1275" t="str">
        <f>VLOOKUP($B2127,DG!A:D,DG!$C$2,)</f>
        <v>Bốc dỡ xà, thép thanh</v>
      </c>
      <c r="F2127" s="1288" t="str">
        <f>VLOOKUP($B2127,DG!A:D,DG!$D$2,)</f>
        <v>tấn</v>
      </c>
      <c r="G2127" s="1276">
        <f>0.05*0</f>
        <v>0</v>
      </c>
      <c r="H2127" s="1353">
        <f t="shared" si="82"/>
        <v>0</v>
      </c>
      <c r="I2127" s="1310"/>
      <c r="J2127" s="1310"/>
      <c r="K2127" s="1278"/>
      <c r="L2127" s="1125">
        <v>630</v>
      </c>
    </row>
    <row r="2128" spans="1:12" s="1279" customFormat="1" ht="20.100000000000001" customHeight="1">
      <c r="A2128" s="1377">
        <f t="shared" ref="A2128:A2191" si="83">IF(H2128&gt;0,1,0)</f>
        <v>0</v>
      </c>
      <c r="B2128" s="1582" t="s">
        <v>1662</v>
      </c>
      <c r="C2128" s="1273"/>
      <c r="D2128" s="1288">
        <f>VLOOKUP($B2128,DG!A:D,DG!$B$2,)</f>
        <v>0</v>
      </c>
      <c r="E2128" s="1275" t="str">
        <f>VLOOKUP($B2128,DG!A:D,DG!$C$2,)</f>
        <v>Boulon 16x300+ 2 long đền vuông D18-50x50x3/Zn</v>
      </c>
      <c r="F2128" s="1274" t="s">
        <v>2503</v>
      </c>
      <c r="G2128" s="1287">
        <f>G2121*2*0</f>
        <v>0</v>
      </c>
      <c r="H2128" s="1353">
        <f t="shared" si="82"/>
        <v>0</v>
      </c>
      <c r="I2128" s="1310"/>
      <c r="J2128" s="1310"/>
      <c r="K2128" s="1278"/>
      <c r="L2128" s="1125">
        <v>630</v>
      </c>
    </row>
    <row r="2129" spans="1:12" s="1279" customFormat="1" ht="20.100000000000001" customHeight="1">
      <c r="A2129" s="1377">
        <f t="shared" si="83"/>
        <v>0</v>
      </c>
      <c r="B2129" s="1582" t="s">
        <v>1661</v>
      </c>
      <c r="C2129" s="1273"/>
      <c r="D2129" s="1288">
        <f>VLOOKUP($B2129,DG!A:D,DG!$B$2,)</f>
        <v>0</v>
      </c>
      <c r="E2129" s="1275" t="str">
        <f>VLOOKUP($B2129,DG!A:D,DG!$C$2,)</f>
        <v>Boulon 16x250+ 2 long đền vuông D18-50x50x3/Zn</v>
      </c>
      <c r="F2129" s="1274" t="s">
        <v>2503</v>
      </c>
      <c r="G2129" s="1287">
        <f>2*G2121*2*0</f>
        <v>0</v>
      </c>
      <c r="H2129" s="1353">
        <f t="shared" si="82"/>
        <v>0</v>
      </c>
      <c r="I2129" s="1310"/>
      <c r="J2129" s="1310"/>
      <c r="K2129" s="1278"/>
      <c r="L2129" s="1125">
        <v>630</v>
      </c>
    </row>
    <row r="2130" spans="1:12" s="1279" customFormat="1" ht="20.100000000000001" customHeight="1" collapsed="1">
      <c r="A2130" s="1377">
        <f t="shared" si="83"/>
        <v>0</v>
      </c>
      <c r="B2130" s="1582"/>
      <c r="C2130" s="1280">
        <f>IF(G2130&gt;0,C2121+1,C2121)</f>
        <v>0</v>
      </c>
      <c r="D2130" s="1281"/>
      <c r="E2130" s="1341" t="s">
        <v>3817</v>
      </c>
      <c r="F2130" s="1280" t="s">
        <v>2449</v>
      </c>
      <c r="G2130" s="1283">
        <f>G2070*0</f>
        <v>0</v>
      </c>
      <c r="H2130" s="1353">
        <f t="shared" si="82"/>
        <v>0</v>
      </c>
      <c r="I2130" s="1277"/>
      <c r="J2130" s="1277"/>
      <c r="K2130" s="1312"/>
      <c r="L2130" s="1125">
        <v>630</v>
      </c>
    </row>
    <row r="2131" spans="1:12" s="1279" customFormat="1" ht="20.100000000000001" customHeight="1">
      <c r="A2131" s="1377">
        <f>IF(A2130&gt;0,1,0)</f>
        <v>0</v>
      </c>
      <c r="B2131" s="1582"/>
      <c r="C2131" s="1273"/>
      <c r="D2131" s="1284"/>
      <c r="E2131" s="1637" t="s">
        <v>2342</v>
      </c>
      <c r="F2131" s="1286"/>
      <c r="G2131" s="1287"/>
      <c r="H2131" s="1353">
        <f t="shared" si="82"/>
        <v>0</v>
      </c>
      <c r="I2131" s="1277"/>
      <c r="J2131" s="1277"/>
      <c r="K2131" s="1312"/>
      <c r="L2131" s="1125">
        <v>630</v>
      </c>
    </row>
    <row r="2132" spans="1:12" s="1279" customFormat="1" ht="20.100000000000001" customHeight="1">
      <c r="A2132" s="1377">
        <f t="shared" si="83"/>
        <v>0</v>
      </c>
      <c r="B2132" s="1582" t="s">
        <v>2075</v>
      </c>
      <c r="C2132" s="1273"/>
      <c r="D2132" s="1288">
        <f>VLOOKUP($B2132,DG!A:D,DG!$B$2,)</f>
        <v>0</v>
      </c>
      <c r="E2132" s="1275" t="str">
        <f>VLOOKUP($B2132,DG!A:D,DG!$C$2,)</f>
        <v>Sắt góc L75 x75 x8</v>
      </c>
      <c r="F2132" s="1274" t="s">
        <v>2310</v>
      </c>
      <c r="G2132" s="1276">
        <f>G2130*9.02*(2.4+4*0.07)*2</f>
        <v>0</v>
      </c>
      <c r="H2132" s="1353">
        <f t="shared" si="82"/>
        <v>0</v>
      </c>
      <c r="I2132" s="1277"/>
      <c r="J2132" s="1277"/>
      <c r="K2132" s="1312"/>
      <c r="L2132" s="1125">
        <v>630</v>
      </c>
    </row>
    <row r="2133" spans="1:12" s="1279" customFormat="1" ht="20.100000000000001" customHeight="1">
      <c r="A2133" s="1377">
        <f t="shared" si="83"/>
        <v>0</v>
      </c>
      <c r="B2133" s="1582" t="s">
        <v>1065</v>
      </c>
      <c r="C2133" s="1273"/>
      <c r="D2133" s="1288">
        <f>VLOOKUP($B2133,DG!A:D,DG!$B$2,)</f>
        <v>0</v>
      </c>
      <c r="E2133" s="1275" t="str">
        <f>VLOOKUP($B2133,DG!A:D,DG!$C$2,)&amp;" (Thanh choáng 810)"</f>
        <v>Sắt góc L50 x50 x5 (Thanh choáng 810)</v>
      </c>
      <c r="F2133" s="1274" t="s">
        <v>2310</v>
      </c>
      <c r="G2133" s="1276">
        <f>G2130*3.77*0.81*4</f>
        <v>0</v>
      </c>
      <c r="H2133" s="1353">
        <f t="shared" si="82"/>
        <v>0</v>
      </c>
      <c r="I2133" s="1277"/>
      <c r="J2133" s="1277"/>
      <c r="K2133" s="1312"/>
      <c r="L2133" s="1125">
        <v>630</v>
      </c>
    </row>
    <row r="2134" spans="1:12" s="1279" customFormat="1" ht="20.100000000000001" customHeight="1">
      <c r="A2134" s="1377">
        <f t="shared" si="83"/>
        <v>0</v>
      </c>
      <c r="B2134" s="1582" t="s">
        <v>1662</v>
      </c>
      <c r="C2134" s="1273"/>
      <c r="D2134" s="1288">
        <f>VLOOKUP($B2134,DG!A:D,DG!$B$2,)</f>
        <v>0</v>
      </c>
      <c r="E2134" s="1275" t="str">
        <f>VLOOKUP($B2134,DG!A:D,DG!$C$2,)</f>
        <v>Boulon 16x300+ 2 long đền vuông D18-50x50x3/Zn</v>
      </c>
      <c r="F2134" s="1274" t="s">
        <v>2503</v>
      </c>
      <c r="G2134" s="1287">
        <f>G2130*2</f>
        <v>0</v>
      </c>
      <c r="H2134" s="1353">
        <f t="shared" si="82"/>
        <v>0</v>
      </c>
      <c r="I2134" s="1277"/>
      <c r="J2134" s="1277"/>
      <c r="K2134" s="1312"/>
      <c r="L2134" s="1125">
        <v>630</v>
      </c>
    </row>
    <row r="2135" spans="1:12" s="1279" customFormat="1" ht="20.100000000000001" customHeight="1">
      <c r="A2135" s="1377">
        <f t="shared" si="83"/>
        <v>0</v>
      </c>
      <c r="B2135" s="1582" t="s">
        <v>1839</v>
      </c>
      <c r="C2135" s="1273"/>
      <c r="D2135" s="1288">
        <f>VLOOKUP($B2135,DG!A:D,DG!$B$2,)</f>
        <v>0</v>
      </c>
      <c r="E2135" s="1275" t="str">
        <f>VLOOKUP($B2135,DG!A:D,DG!$C$2,)</f>
        <v>Boulon 16x50+ 2 long đền vuông D18-50x50x3/Zn</v>
      </c>
      <c r="F2135" s="1274" t="s">
        <v>2503</v>
      </c>
      <c r="G2135" s="1287">
        <f>G2130*4</f>
        <v>0</v>
      </c>
      <c r="H2135" s="1353">
        <f t="shared" si="82"/>
        <v>0</v>
      </c>
      <c r="I2135" s="1277"/>
      <c r="J2135" s="1277"/>
      <c r="K2135" s="1312"/>
      <c r="L2135" s="1125">
        <v>630</v>
      </c>
    </row>
    <row r="2136" spans="1:12" s="1279" customFormat="1" ht="20.100000000000001" customHeight="1">
      <c r="A2136" s="1377">
        <f t="shared" si="83"/>
        <v>0</v>
      </c>
      <c r="B2136" s="1582" t="s">
        <v>1837</v>
      </c>
      <c r="C2136" s="1273"/>
      <c r="D2136" s="1288">
        <f>VLOOKUP($B2136,DG!A:D,DG!$B$2,)</f>
        <v>0</v>
      </c>
      <c r="E2136" s="1275" t="str">
        <f>VLOOKUP($B2136,DG!A:D,DG!$C$2,)</f>
        <v>Boulon 16x300VRS+ 4 long đền vuông D18-50x50x3/Zn</v>
      </c>
      <c r="F2136" s="1274" t="s">
        <v>2503</v>
      </c>
      <c r="G2136" s="1287">
        <f>G2130*4</f>
        <v>0</v>
      </c>
      <c r="H2136" s="1353">
        <f t="shared" si="82"/>
        <v>0</v>
      </c>
      <c r="I2136" s="1277"/>
      <c r="J2136" s="1277"/>
      <c r="K2136" s="1312"/>
      <c r="L2136" s="1125">
        <v>630</v>
      </c>
    </row>
    <row r="2137" spans="1:12" s="1279" customFormat="1" ht="20.100000000000001" customHeight="1">
      <c r="A2137" s="1377">
        <f t="shared" si="83"/>
        <v>0</v>
      </c>
      <c r="B2137" s="1582" t="s">
        <v>520</v>
      </c>
      <c r="C2137" s="1273"/>
      <c r="D2137" s="1288" t="str">
        <f>VLOOKUP($B2137,DG!A:D,DG!$B$2,)</f>
        <v>05.6203</v>
      </c>
      <c r="E2137" s="1275" t="str">
        <f>VLOOKUP($B2137,DG!A:D,DG!$C$2,)</f>
        <v>Lắp xà néo ≤ 100kg</v>
      </c>
      <c r="F2137" s="1274" t="s">
        <v>2503</v>
      </c>
      <c r="G2137" s="1287">
        <f>G2130</f>
        <v>0</v>
      </c>
      <c r="H2137" s="1353">
        <f t="shared" si="82"/>
        <v>0</v>
      </c>
      <c r="I2137" s="1277"/>
      <c r="J2137" s="1277"/>
      <c r="K2137" s="1312"/>
      <c r="L2137" s="1125">
        <v>630</v>
      </c>
    </row>
    <row r="2138" spans="1:12" s="1279" customFormat="1" ht="20.100000000000001" customHeight="1">
      <c r="A2138" s="1377">
        <f t="shared" si="83"/>
        <v>0</v>
      </c>
      <c r="B2138" s="1582"/>
      <c r="C2138" s="1280">
        <f>IF(G2138&gt;0,C2130+1,C2130)</f>
        <v>0</v>
      </c>
      <c r="D2138" s="1281"/>
      <c r="E2138" s="1341" t="s">
        <v>3818</v>
      </c>
      <c r="F2138" s="1280" t="s">
        <v>2449</v>
      </c>
      <c r="G2138" s="1283">
        <f>G2070*1*0</f>
        <v>0</v>
      </c>
      <c r="H2138" s="1353">
        <f t="shared" si="82"/>
        <v>0</v>
      </c>
      <c r="I2138" s="1277"/>
      <c r="J2138" s="1277"/>
      <c r="K2138" s="1312"/>
      <c r="L2138" s="1125">
        <v>630</v>
      </c>
    </row>
    <row r="2139" spans="1:12" s="1279" customFormat="1" ht="20.100000000000001" customHeight="1">
      <c r="A2139" s="1377">
        <f>IF(A2138&gt;0,1,0)</f>
        <v>0</v>
      </c>
      <c r="B2139" s="1582"/>
      <c r="C2139" s="1273"/>
      <c r="D2139" s="1284"/>
      <c r="E2139" s="1637" t="s">
        <v>2342</v>
      </c>
      <c r="F2139" s="1286"/>
      <c r="G2139" s="1287"/>
      <c r="H2139" s="1353">
        <f t="shared" si="82"/>
        <v>0</v>
      </c>
      <c r="I2139" s="1277"/>
      <c r="J2139" s="1277"/>
      <c r="K2139" s="1312"/>
      <c r="L2139" s="1125">
        <v>630</v>
      </c>
    </row>
    <row r="2140" spans="1:12" s="1279" customFormat="1" ht="20.100000000000001" customHeight="1">
      <c r="A2140" s="1377">
        <f t="shared" si="83"/>
        <v>0</v>
      </c>
      <c r="B2140" s="1582" t="s">
        <v>2075</v>
      </c>
      <c r="C2140" s="1273"/>
      <c r="D2140" s="1288">
        <f>VLOOKUP($B2140,DG!A:D,DG!$B$2,)</f>
        <v>0</v>
      </c>
      <c r="E2140" s="1275" t="str">
        <f>VLOOKUP($B2140,DG!A:D,DG!$C$2,)</f>
        <v>Sắt góc L75 x75 x8</v>
      </c>
      <c r="F2140" s="1274" t="s">
        <v>2310</v>
      </c>
      <c r="G2140" s="1276">
        <f>G2138*9.02*(2.4+4*0.07)</f>
        <v>0</v>
      </c>
      <c r="H2140" s="1353">
        <f t="shared" si="82"/>
        <v>0</v>
      </c>
      <c r="I2140" s="1277"/>
      <c r="J2140" s="1277"/>
      <c r="K2140" s="1312"/>
      <c r="L2140" s="1125">
        <v>630</v>
      </c>
    </row>
    <row r="2141" spans="1:12" s="1279" customFormat="1" ht="20.100000000000001" customHeight="1">
      <c r="A2141" s="1377">
        <f t="shared" si="83"/>
        <v>0</v>
      </c>
      <c r="B2141" s="1582" t="s">
        <v>1065</v>
      </c>
      <c r="C2141" s="1273"/>
      <c r="D2141" s="1288">
        <f>VLOOKUP($B2141,DG!A:D,DG!$B$2,)</f>
        <v>0</v>
      </c>
      <c r="E2141" s="1275" t="str">
        <f>VLOOKUP($B2141,DG!A:D,DG!$C$2,)&amp;" (Thanh choáng 810)"</f>
        <v>Sắt góc L50 x50 x5 (Thanh choáng 810)</v>
      </c>
      <c r="F2141" s="1274" t="s">
        <v>2310</v>
      </c>
      <c r="G2141" s="1276">
        <f>G2138*3.77*0.81*2</f>
        <v>0</v>
      </c>
      <c r="H2141" s="1353">
        <f t="shared" si="82"/>
        <v>0</v>
      </c>
      <c r="I2141" s="1277"/>
      <c r="J2141" s="1277"/>
      <c r="K2141" s="1312"/>
      <c r="L2141" s="1125">
        <v>630</v>
      </c>
    </row>
    <row r="2142" spans="1:12" s="1279" customFormat="1" ht="20.100000000000001" customHeight="1">
      <c r="A2142" s="1377">
        <f t="shared" si="83"/>
        <v>0</v>
      </c>
      <c r="B2142" s="1582" t="s">
        <v>1109</v>
      </c>
      <c r="C2142" s="1273"/>
      <c r="D2142" s="1288">
        <f>VLOOKUP($B2142,DG!A:D,DG!$B$2,)</f>
        <v>0</v>
      </c>
      <c r="E2142" s="1275" t="str">
        <f>VLOOKUP($B2142,DG!A:D,DG!$C$2,)</f>
        <v>Boulon 16x350+ 2 long đền vuông D18-50x50x3/Zn</v>
      </c>
      <c r="F2142" s="1274" t="s">
        <v>2503</v>
      </c>
      <c r="G2142" s="1287">
        <f>G2138*2</f>
        <v>0</v>
      </c>
      <c r="H2142" s="1353">
        <f t="shared" si="82"/>
        <v>0</v>
      </c>
      <c r="I2142" s="1277"/>
      <c r="J2142" s="1277"/>
      <c r="K2142" s="1312"/>
      <c r="L2142" s="1125">
        <v>630</v>
      </c>
    </row>
    <row r="2143" spans="1:12" s="1279" customFormat="1" ht="20.100000000000001" customHeight="1">
      <c r="A2143" s="1377">
        <f t="shared" si="83"/>
        <v>0</v>
      </c>
      <c r="B2143" s="1582" t="s">
        <v>1839</v>
      </c>
      <c r="C2143" s="1273"/>
      <c r="D2143" s="1288">
        <f>VLOOKUP($B2143,DG!A:D,DG!$B$2,)</f>
        <v>0</v>
      </c>
      <c r="E2143" s="1275" t="str">
        <f>VLOOKUP($B2143,DG!A:D,DG!$C$2,)</f>
        <v>Boulon 16x50+ 2 long đền vuông D18-50x50x3/Zn</v>
      </c>
      <c r="F2143" s="1274" t="s">
        <v>2503</v>
      </c>
      <c r="G2143" s="1287">
        <f>G2138*2</f>
        <v>0</v>
      </c>
      <c r="H2143" s="1353">
        <f t="shared" si="82"/>
        <v>0</v>
      </c>
      <c r="I2143" s="1277"/>
      <c r="J2143" s="1277"/>
      <c r="K2143" s="1312"/>
      <c r="L2143" s="1125">
        <v>630</v>
      </c>
    </row>
    <row r="2144" spans="1:12" s="1279" customFormat="1" ht="20.100000000000001" customHeight="1">
      <c r="A2144" s="1377">
        <f t="shared" si="83"/>
        <v>0</v>
      </c>
      <c r="B2144" s="1582" t="s">
        <v>1788</v>
      </c>
      <c r="C2144" s="1273"/>
      <c r="D2144" s="1288">
        <f>VLOOKUP($B2144,DG!A:D,DG!$B$2,)</f>
        <v>0</v>
      </c>
      <c r="E2144" s="1275" t="str">
        <f>VLOOKUP($B2144,DG!A:D,DG!$C$2,)</f>
        <v>Bass LI bắt FCO</v>
      </c>
      <c r="F2144" s="1274" t="s">
        <v>2503</v>
      </c>
      <c r="G2144" s="1287">
        <f>IF(G2138&gt;0,3,)</f>
        <v>0</v>
      </c>
      <c r="H2144" s="1353">
        <f t="shared" si="82"/>
        <v>0</v>
      </c>
      <c r="I2144" s="1277"/>
      <c r="J2144" s="1277"/>
      <c r="K2144" s="1312"/>
      <c r="L2144" s="1125">
        <v>630</v>
      </c>
    </row>
    <row r="2145" spans="1:12" s="1279" customFormat="1" ht="20.100000000000001" customHeight="1">
      <c r="A2145" s="1377">
        <f t="shared" si="83"/>
        <v>0</v>
      </c>
      <c r="B2145" s="1582" t="s">
        <v>1018</v>
      </c>
      <c r="C2145" s="1273"/>
      <c r="D2145" s="1288" t="str">
        <f>VLOOKUP($B2145,DG!A:D,DG!$B$2,)</f>
        <v>06.3231</v>
      </c>
      <c r="E2145" s="1275" t="str">
        <f>VLOOKUP($B2145,DG!A:D,DG!$C$2,)</f>
        <v xml:space="preserve">Cổ dê chống lắc 8x80x800 </v>
      </c>
      <c r="F2145" s="1274" t="s">
        <v>2503</v>
      </c>
      <c r="G2145" s="1287">
        <f>G2138*0</f>
        <v>0</v>
      </c>
      <c r="H2145" s="1353">
        <f t="shared" si="82"/>
        <v>0</v>
      </c>
      <c r="I2145" s="1277"/>
      <c r="J2145" s="1277"/>
      <c r="K2145" s="1312"/>
      <c r="L2145" s="1125">
        <v>630</v>
      </c>
    </row>
    <row r="2146" spans="1:12" s="1279" customFormat="1" ht="20.100000000000001" customHeight="1">
      <c r="A2146" s="1377">
        <f t="shared" si="83"/>
        <v>0</v>
      </c>
      <c r="B2146" s="1582" t="s">
        <v>1473</v>
      </c>
      <c r="C2146" s="1273"/>
      <c r="D2146" s="1288" t="str">
        <f>VLOOKUP($B2146,DG!A:D,DG!$B$2,)</f>
        <v>05.6102</v>
      </c>
      <c r="E2146" s="1275" t="str">
        <f>VLOOKUP($B2146,DG!A:D,DG!$C$2,)</f>
        <v>Lắp xà đỡ ≤ 50kg</v>
      </c>
      <c r="F2146" s="1274" t="s">
        <v>2503</v>
      </c>
      <c r="G2146" s="1287">
        <f>G2138</f>
        <v>0</v>
      </c>
      <c r="H2146" s="1353">
        <f t="shared" si="82"/>
        <v>0</v>
      </c>
      <c r="I2146" s="1277"/>
      <c r="J2146" s="1277"/>
      <c r="K2146" s="1312"/>
      <c r="L2146" s="1125">
        <v>630</v>
      </c>
    </row>
    <row r="2147" spans="1:12" s="1279" customFormat="1" ht="20.100000000000001" customHeight="1">
      <c r="A2147" s="1377">
        <f t="shared" si="83"/>
        <v>0</v>
      </c>
      <c r="B2147" s="1582"/>
      <c r="C2147" s="1280">
        <f>IF(G2147&gt;0,C2138+1,C2138)</f>
        <v>0</v>
      </c>
      <c r="D2147" s="1281"/>
      <c r="E2147" s="1341" t="s">
        <v>3819</v>
      </c>
      <c r="F2147" s="1280" t="s">
        <v>2449</v>
      </c>
      <c r="G2147" s="1283">
        <f>G2070</f>
        <v>0</v>
      </c>
      <c r="H2147" s="1353">
        <f t="shared" si="82"/>
        <v>0</v>
      </c>
      <c r="I2147" s="1277"/>
      <c r="J2147" s="1277"/>
      <c r="K2147" s="1312"/>
      <c r="L2147" s="1125">
        <v>630</v>
      </c>
    </row>
    <row r="2148" spans="1:12" s="1279" customFormat="1" ht="20.100000000000001" customHeight="1">
      <c r="A2148" s="1377">
        <f>IF(A2147&gt;0,1,0)</f>
        <v>0</v>
      </c>
      <c r="B2148" s="1624"/>
      <c r="C2148" s="1273"/>
      <c r="D2148" s="1284"/>
      <c r="E2148" s="1637" t="s">
        <v>2342</v>
      </c>
      <c r="F2148" s="1286"/>
      <c r="G2148" s="1287"/>
      <c r="H2148" s="1353">
        <f t="shared" si="82"/>
        <v>0</v>
      </c>
      <c r="I2148" s="1277"/>
      <c r="J2148" s="1277"/>
      <c r="K2148" s="1312"/>
      <c r="L2148" s="1125">
        <v>630</v>
      </c>
    </row>
    <row r="2149" spans="1:12" s="1279" customFormat="1" ht="20.100000000000001" customHeight="1">
      <c r="A2149" s="1377">
        <f t="shared" si="83"/>
        <v>0</v>
      </c>
      <c r="B2149" s="1582" t="s">
        <v>1063</v>
      </c>
      <c r="C2149" s="1273"/>
      <c r="D2149" s="1274">
        <f>VLOOKUP($B2149,DG!A:D,DG!$B$2,)</f>
        <v>0</v>
      </c>
      <c r="E2149" s="1275" t="str">
        <f>VLOOKUP($B2149,DG!A:D,DG!$C$2,)</f>
        <v>Cáp đồng trần M25mm2</v>
      </c>
      <c r="F2149" s="1288" t="str">
        <f>VLOOKUP($B2149,DG!A:D,DG!$D$2,)</f>
        <v>kg</v>
      </c>
      <c r="G2149" s="1276">
        <f>H3*0.224*G2147</f>
        <v>0</v>
      </c>
      <c r="H2149" s="1353">
        <f t="shared" si="82"/>
        <v>0</v>
      </c>
      <c r="I2149" s="1277"/>
      <c r="J2149" s="1277"/>
      <c r="K2149" s="1312"/>
      <c r="L2149" s="1125">
        <v>630</v>
      </c>
    </row>
    <row r="2150" spans="1:12" s="1279" customFormat="1" ht="20.100000000000001" customHeight="1">
      <c r="A2150" s="1377">
        <f t="shared" si="83"/>
        <v>0</v>
      </c>
      <c r="B2150" s="1582" t="s">
        <v>1063</v>
      </c>
      <c r="C2150" s="1273"/>
      <c r="D2150" s="1274">
        <f>VLOOKUP($B2150,DG!A:D,DG!$B$2,)</f>
        <v>0</v>
      </c>
      <c r="E2150" s="1275" t="str">
        <f>VLOOKUP($B2150,DG!A:D,DG!$C$2,)&amp;": 17m noái leân voû caùc thieát bò"</f>
        <v>Cáp đồng trần M25mm2: 17m noái leân voû caùc thieát bò</v>
      </c>
      <c r="F2150" s="1274" t="str">
        <f>VLOOKUP($B2150,DG!A:D,DG!$D$2,)</f>
        <v>kg</v>
      </c>
      <c r="G2150" s="1276">
        <f>17*0.224*G2147*0</f>
        <v>0</v>
      </c>
      <c r="H2150" s="1353">
        <f t="shared" si="82"/>
        <v>0</v>
      </c>
      <c r="I2150" s="1277"/>
      <c r="J2150" s="1277"/>
      <c r="K2150" s="1312"/>
      <c r="L2150" s="1125">
        <v>630</v>
      </c>
    </row>
    <row r="2151" spans="1:12" s="1279" customFormat="1" ht="20.100000000000001" customHeight="1">
      <c r="A2151" s="1377">
        <f t="shared" si="83"/>
        <v>0</v>
      </c>
      <c r="B2151" s="1378" t="s">
        <v>1560</v>
      </c>
      <c r="C2151" s="1273"/>
      <c r="D2151" s="1274">
        <f>VLOOKUP($B2151,DG!A:D,DG!$B$2,)</f>
        <v>0</v>
      </c>
      <c r="E2151" s="1275" t="str">
        <f>VLOOKUP($B2151,DG!A:D,DG!$C$2,)</f>
        <v>Cọc tiếp đất Ø 16- 2,4m + kẹp cọc</v>
      </c>
      <c r="F2151" s="1288" t="str">
        <f>VLOOKUP($B2151,DG!A:D,DG!$D$2,)</f>
        <v>bộ</v>
      </c>
      <c r="G2151" s="1287">
        <f>H2*G2147</f>
        <v>0</v>
      </c>
      <c r="H2151" s="1353">
        <f t="shared" si="82"/>
        <v>0</v>
      </c>
      <c r="I2151" s="1277"/>
      <c r="J2151" s="1277"/>
      <c r="K2151" s="1312"/>
      <c r="L2151" s="1125">
        <v>630</v>
      </c>
    </row>
    <row r="2152" spans="1:12" s="1279" customFormat="1" ht="20.100000000000001" customHeight="1">
      <c r="A2152" s="1377">
        <f t="shared" si="83"/>
        <v>0</v>
      </c>
      <c r="B2152" s="1378" t="s">
        <v>1542</v>
      </c>
      <c r="C2152" s="1273"/>
      <c r="D2152" s="1274" t="str">
        <f>VLOOKUP($B2152,DG!A:D,DG!$B$2,)</f>
        <v>07.2403</v>
      </c>
      <c r="E2152" s="1275" t="str">
        <f>VLOOKUP($B2152,DG!A:D,DG!$C$2,)</f>
        <v xml:space="preserve">Ống PVC D21x1,6mm </v>
      </c>
      <c r="F2152" s="1274" t="str">
        <f>VLOOKUP($B2152,DG!A:D,DG!$D$2,)</f>
        <v>m</v>
      </c>
      <c r="G2152" s="1287">
        <f>G2147*12</f>
        <v>0</v>
      </c>
      <c r="H2152" s="1353">
        <f t="shared" si="82"/>
        <v>0</v>
      </c>
      <c r="I2152" s="1277"/>
      <c r="J2152" s="1277"/>
      <c r="K2152" s="1278"/>
      <c r="L2152" s="1125">
        <v>630</v>
      </c>
    </row>
    <row r="2153" spans="1:12" s="1279" customFormat="1" ht="20.100000000000001" customHeight="1">
      <c r="A2153" s="1377">
        <f t="shared" si="83"/>
        <v>0</v>
      </c>
      <c r="B2153" s="1587" t="s">
        <v>1631</v>
      </c>
      <c r="C2153" s="1273"/>
      <c r="D2153" s="1274">
        <f>VLOOKUP($B2153,DG!A:D,DG!$B$2,)</f>
        <v>0</v>
      </c>
      <c r="E2153" s="1275" t="str">
        <f>VLOOKUP($B2153,DG!A:D,DG!$C$2,)&amp; " bắt dây trung tính "</f>
        <v xml:space="preserve">Kẹp ép WR cỡ dây 50mm2 bắt dây trung tính </v>
      </c>
      <c r="F2153" s="1288" t="str">
        <f>VLOOKUP($B2153,DG!A:D,DG!$D$2,)</f>
        <v>cái</v>
      </c>
      <c r="G2153" s="1287">
        <f>2*G2147</f>
        <v>0</v>
      </c>
      <c r="H2153" s="1353">
        <f t="shared" si="82"/>
        <v>0</v>
      </c>
      <c r="I2153" s="1277"/>
      <c r="J2153" s="1277"/>
      <c r="K2153" s="1312"/>
      <c r="L2153" s="1125">
        <v>630</v>
      </c>
    </row>
    <row r="2154" spans="1:12" s="1279" customFormat="1" ht="20.100000000000001" customHeight="1">
      <c r="A2154" s="1377">
        <f t="shared" si="83"/>
        <v>0</v>
      </c>
      <c r="B2154" s="1587" t="s">
        <v>1428</v>
      </c>
      <c r="C2154" s="1343"/>
      <c r="D2154" s="1274">
        <f>VLOOKUP($B2154,DG!A:D,DG!$B$2,)</f>
        <v>0</v>
      </c>
      <c r="E2154" s="1275" t="str">
        <f>VLOOKUP($B2154,DG!A:D,DG!$C$2,)&amp;":bắt lưới TĐ"</f>
        <v>Kẹp ép cỡ dây 25mm2:bắt lưới TĐ</v>
      </c>
      <c r="F2154" s="1288" t="str">
        <f>VLOOKUP($B2154,DG!A:D,DG!$D$2,)</f>
        <v>cái</v>
      </c>
      <c r="G2154" s="1344">
        <f>G2147*11</f>
        <v>0</v>
      </c>
      <c r="H2154" s="1353">
        <f t="shared" si="82"/>
        <v>0</v>
      </c>
      <c r="I2154" s="1277"/>
      <c r="J2154" s="1277"/>
      <c r="K2154" s="1312"/>
      <c r="L2154" s="1125">
        <v>630</v>
      </c>
    </row>
    <row r="2155" spans="1:12" s="1279" customFormat="1" ht="20.100000000000001" customHeight="1">
      <c r="A2155" s="1377">
        <f t="shared" si="83"/>
        <v>0</v>
      </c>
      <c r="B2155" s="1378" t="s">
        <v>139</v>
      </c>
      <c r="C2155" s="1273"/>
      <c r="D2155" s="1274">
        <f>VLOOKUP($B2155,DG!A:D,DG!$B$2,)</f>
        <v>0</v>
      </c>
      <c r="E2155" s="1275" t="str">
        <f>VLOOKUP($B2155,DG!A:D,DG!$C$2,)</f>
        <v>Boulon 12x40+ 2 long đền vuông D14-50x50x3/Zn</v>
      </c>
      <c r="F2155" s="1288" t="str">
        <f>VLOOKUP($B2155,DG!A:D,DG!$D$2,)</f>
        <v>bộ</v>
      </c>
      <c r="G2155" s="1287">
        <f>G2147*1</f>
        <v>0</v>
      </c>
      <c r="H2155" s="1353">
        <f t="shared" si="82"/>
        <v>0</v>
      </c>
      <c r="I2155" s="1277"/>
      <c r="J2155" s="1277"/>
      <c r="K2155" s="1312"/>
      <c r="L2155" s="1125">
        <v>630</v>
      </c>
    </row>
    <row r="2156" spans="1:12" s="1279" customFormat="1" ht="20.100000000000001" customHeight="1">
      <c r="A2156" s="1377">
        <f t="shared" si="83"/>
        <v>0</v>
      </c>
      <c r="B2156" s="1378" t="s">
        <v>104</v>
      </c>
      <c r="C2156" s="1273"/>
      <c r="D2156" s="1274" t="str">
        <f>VLOOKUP($B2156,DG!A:D,DG!$B$2,)</f>
        <v>03.4001</v>
      </c>
      <c r="E2156" s="1275" t="str">
        <f>VLOOKUP($B2156,DG!A:D,DG!$C$2,)</f>
        <v>Đầu cosse ép Cu 25mm2</v>
      </c>
      <c r="F2156" s="1288" t="str">
        <f>VLOOKUP($B2156,DG!A:D,DG!$D$2,)</f>
        <v>cái</v>
      </c>
      <c r="G2156" s="1287">
        <f>G2155*2</f>
        <v>0</v>
      </c>
      <c r="H2156" s="1353">
        <f t="shared" si="82"/>
        <v>0</v>
      </c>
      <c r="I2156" s="1277"/>
      <c r="J2156" s="1277"/>
      <c r="K2156" s="1312"/>
      <c r="L2156" s="1125">
        <v>630</v>
      </c>
    </row>
    <row r="2157" spans="1:12" s="1279" customFormat="1" ht="20.100000000000001" customHeight="1">
      <c r="A2157" s="1377">
        <f t="shared" si="83"/>
        <v>0</v>
      </c>
      <c r="B2157" s="1378" t="s">
        <v>528</v>
      </c>
      <c r="C2157" s="1273"/>
      <c r="D2157" s="1274" t="str">
        <f>VLOOKUP($B2157,DG!A:D,DG!$B$2,)</f>
        <v>06.3231</v>
      </c>
      <c r="E2157" s="1275" t="str">
        <f>VLOOKUP($B2157,DG!A:D,DG!$C$2,)&amp;": CD-250"</f>
        <v>Cổ dê kẹp ống PVC  21: CD-250</v>
      </c>
      <c r="F2157" s="1274" t="str">
        <f>VLOOKUP($B2157,DG!A:D,DG!$D$2,)</f>
        <v>bộ</v>
      </c>
      <c r="G2157" s="1345">
        <f>G2147*0.415</f>
        <v>0</v>
      </c>
      <c r="H2157" s="1353">
        <f t="shared" si="82"/>
        <v>0</v>
      </c>
      <c r="I2157" s="1277"/>
      <c r="J2157" s="1277"/>
      <c r="K2157" s="1278"/>
      <c r="L2157" s="1125">
        <v>630</v>
      </c>
    </row>
    <row r="2158" spans="1:12" s="1279" customFormat="1" ht="20.100000000000001" customHeight="1">
      <c r="A2158" s="1377">
        <f t="shared" si="83"/>
        <v>0</v>
      </c>
      <c r="B2158" s="1378" t="s">
        <v>528</v>
      </c>
      <c r="C2158" s="1273"/>
      <c r="D2158" s="1274" t="str">
        <f>VLOOKUP($B2158,DG!A:D,DG!$B$2,)</f>
        <v>06.3231</v>
      </c>
      <c r="E2158" s="1275" t="str">
        <f>VLOOKUP($B2158,DG!A:D,DG!$C$2,)&amp;": CD-280"</f>
        <v>Cổ dê kẹp ống PVC  21: CD-280</v>
      </c>
      <c r="F2158" s="1274" t="str">
        <f>VLOOKUP($B2158,DG!A:D,DG!$D$2,)</f>
        <v>bộ</v>
      </c>
      <c r="G2158" s="1345">
        <f>G2147*0.452</f>
        <v>0</v>
      </c>
      <c r="H2158" s="1353">
        <f t="shared" ref="H2158:H2221" si="84">IF(L2158=$L$23,G2158+I2158-J2158,0)</f>
        <v>0</v>
      </c>
      <c r="I2158" s="1277"/>
      <c r="J2158" s="1277"/>
      <c r="K2158" s="1278"/>
      <c r="L2158" s="1125">
        <v>630</v>
      </c>
    </row>
    <row r="2159" spans="1:12" s="1279" customFormat="1" ht="20.100000000000001" customHeight="1">
      <c r="A2159" s="1377">
        <f t="shared" si="83"/>
        <v>0</v>
      </c>
      <c r="B2159" s="1378" t="s">
        <v>528</v>
      </c>
      <c r="C2159" s="1273"/>
      <c r="D2159" s="1274" t="str">
        <f>VLOOKUP($B2159,DG!A:D,DG!$B$2,)</f>
        <v>06.3231</v>
      </c>
      <c r="E2159" s="1275" t="str">
        <f>VLOOKUP($B2159,DG!A:D,DG!$C$2,)&amp;": CD-320"</f>
        <v>Cổ dê kẹp ống PVC  21: CD-320</v>
      </c>
      <c r="F2159" s="1274" t="str">
        <f>VLOOKUP($B2159,DG!A:D,DG!$D$2,)</f>
        <v>bộ</v>
      </c>
      <c r="G2159" s="1345">
        <f>G2147*0.501</f>
        <v>0</v>
      </c>
      <c r="H2159" s="1353">
        <f t="shared" si="84"/>
        <v>0</v>
      </c>
      <c r="I2159" s="1277"/>
      <c r="J2159" s="1277"/>
      <c r="K2159" s="1278"/>
      <c r="L2159" s="1125">
        <v>630</v>
      </c>
    </row>
    <row r="2160" spans="1:12" s="1279" customFormat="1" ht="20.100000000000001" customHeight="1">
      <c r="A2160" s="1377">
        <f t="shared" si="83"/>
        <v>0</v>
      </c>
      <c r="B2160" s="1378" t="s">
        <v>1161</v>
      </c>
      <c r="C2160" s="1273"/>
      <c r="D2160" s="1274" t="str">
        <f>VLOOKUP($B2160,DG!A:D,DG!$B$2,)</f>
        <v>06.2110</v>
      </c>
      <c r="E2160" s="1275" t="str">
        <f>VLOOKUP($B2160,DG!A:D,DG!$C$2,)&amp;": CD-320"</f>
        <v>Lắp cổ dề: CD-320</v>
      </c>
      <c r="F2160" s="1274" t="str">
        <f>VLOOKUP($B2160,DG!A:D,DG!$D$2,)</f>
        <v>bộ</v>
      </c>
      <c r="G2160" s="1345">
        <f>G2148*0.501</f>
        <v>0</v>
      </c>
      <c r="H2160" s="1353">
        <f t="shared" si="84"/>
        <v>0</v>
      </c>
      <c r="I2160" s="1277"/>
      <c r="J2160" s="1277"/>
      <c r="K2160" s="1278"/>
      <c r="L2160" s="1125">
        <v>630</v>
      </c>
    </row>
    <row r="2161" spans="1:15" s="1279" customFormat="1" ht="20.100000000000001" customHeight="1">
      <c r="A2161" s="1377">
        <f t="shared" si="83"/>
        <v>0</v>
      </c>
      <c r="B2161" s="1378" t="s">
        <v>139</v>
      </c>
      <c r="C2161" s="1273"/>
      <c r="D2161" s="1274">
        <f>VLOOKUP($B2161,DG!A:D,DG!$B$2,)</f>
        <v>0</v>
      </c>
      <c r="E2161" s="1275" t="str">
        <f>VLOOKUP($B2161,DG!A:D,DG!$C$2,)</f>
        <v>Boulon 12x40+ 2 long đền vuông D14-50x50x3/Zn</v>
      </c>
      <c r="F2161" s="1274" t="str">
        <f>VLOOKUP($B2161,DG!A:D,DG!$D$2,)</f>
        <v>bộ</v>
      </c>
      <c r="G2161" s="1276">
        <f>G2147*6</f>
        <v>0</v>
      </c>
      <c r="H2161" s="1353">
        <f t="shared" si="84"/>
        <v>0</v>
      </c>
      <c r="I2161" s="1277"/>
      <c r="J2161" s="1277"/>
      <c r="K2161" s="1278"/>
      <c r="L2161" s="1125">
        <v>630</v>
      </c>
    </row>
    <row r="2162" spans="1:15" s="1279" customFormat="1" ht="20.100000000000001" customHeight="1">
      <c r="A2162" s="1377">
        <f t="shared" si="83"/>
        <v>0</v>
      </c>
      <c r="B2162" s="1378" t="s">
        <v>1637</v>
      </c>
      <c r="C2162" s="1273"/>
      <c r="D2162" s="1274">
        <f>VLOOKUP($B2162,DG!A:D,DG!$B$2,)</f>
        <v>0</v>
      </c>
      <c r="E2162" s="1275" t="str">
        <f>VLOOKUP($B2162,DG!A:D,DG!$C$2,)</f>
        <v>Giếng tiếp địa khoan đất</v>
      </c>
      <c r="F2162" s="1274" t="str">
        <f>VLOOKUP($B2162,DG!A:D,DG!$D$2,)</f>
        <v>Cái</v>
      </c>
      <c r="G2162" s="1287">
        <f>K3*G2147</f>
        <v>0</v>
      </c>
      <c r="H2162" s="1353">
        <f t="shared" si="84"/>
        <v>0</v>
      </c>
      <c r="I2162" s="1277"/>
      <c r="J2162" s="1277"/>
      <c r="K2162" s="1312"/>
      <c r="L2162" s="1125">
        <v>630</v>
      </c>
    </row>
    <row r="2163" spans="1:15" s="1279" customFormat="1" ht="20.100000000000001" customHeight="1">
      <c r="A2163" s="1377">
        <f t="shared" si="83"/>
        <v>0</v>
      </c>
      <c r="B2163" s="1378" t="str">
        <f>"DTD"&amp;chitiet!F5</f>
        <v>DTD3</v>
      </c>
      <c r="C2163" s="1286"/>
      <c r="D2163" s="1274" t="str">
        <f>VLOOKUP($B2163,DG!A:D,DG!$B$2,)</f>
        <v>03.3123</v>
      </c>
      <c r="E2163" s="1275" t="str">
        <f>VLOOKUP($B2163,DG!A:D,DG!$C$2,)</f>
        <v>Đào rãnh tiếp địa đất cấp 3</v>
      </c>
      <c r="F2163" s="1288" t="str">
        <f>VLOOKUP($B2163,DG!A:D,DG!$D$2,)</f>
        <v>m3</v>
      </c>
      <c r="G2163" s="1346">
        <f>H3*G2147</f>
        <v>0</v>
      </c>
      <c r="H2163" s="1353">
        <f t="shared" si="84"/>
        <v>0</v>
      </c>
      <c r="I2163" s="1277"/>
      <c r="J2163" s="1277"/>
      <c r="K2163" s="1312"/>
      <c r="L2163" s="1125">
        <v>630</v>
      </c>
    </row>
    <row r="2164" spans="1:15" s="1279" customFormat="1" ht="20.100000000000001" customHeight="1">
      <c r="A2164" s="1377">
        <f t="shared" si="83"/>
        <v>0</v>
      </c>
      <c r="B2164" s="1378" t="str">
        <f>"DATD"&amp;chitiet!F5</f>
        <v>DATD3</v>
      </c>
      <c r="C2164" s="1286"/>
      <c r="D2164" s="1274" t="str">
        <f>VLOOKUP($B2164,DG!A:D,DG!$B$2,)</f>
        <v>03.4123</v>
      </c>
      <c r="E2164" s="1275" t="str">
        <f>VLOOKUP($B2164,DG!A:D,DG!$C$2,)</f>
        <v>Đắp đất rãnh tiếp độ chặt k=0,95</v>
      </c>
      <c r="F2164" s="1288" t="str">
        <f>VLOOKUP($B2164,DG!A:D,DG!$D$2,)</f>
        <v>m3</v>
      </c>
      <c r="G2164" s="1346">
        <f>G2163</f>
        <v>0</v>
      </c>
      <c r="H2164" s="1353">
        <f t="shared" si="84"/>
        <v>0</v>
      </c>
      <c r="I2164" s="1277"/>
      <c r="J2164" s="1277"/>
      <c r="K2164" s="1312"/>
      <c r="L2164" s="1125">
        <v>630</v>
      </c>
    </row>
    <row r="2165" spans="1:15" s="1279" customFormat="1" ht="20.100000000000001" customHeight="1">
      <c r="A2165" s="1377">
        <f t="shared" si="83"/>
        <v>0</v>
      </c>
      <c r="B2165" s="1378" t="s">
        <v>919</v>
      </c>
      <c r="C2165" s="1286"/>
      <c r="D2165" s="1274" t="str">
        <f>VLOOKUP($B2165,DG!A:D,DG!$B$2,)</f>
        <v>04.7001</v>
      </c>
      <c r="E2165" s="1275" t="str">
        <f>VLOOKUP($B2165,DG!A:D,DG!$C$2,)</f>
        <v>Đóng cọc tiếp địa trong TBA</v>
      </c>
      <c r="F2165" s="1288" t="str">
        <f>VLOOKUP($B2165,DG!A:D,DG!$D$2,)</f>
        <v>cọc</v>
      </c>
      <c r="G2165" s="1312">
        <f>G2151</f>
        <v>0</v>
      </c>
      <c r="H2165" s="1353">
        <f t="shared" si="84"/>
        <v>0</v>
      </c>
      <c r="I2165" s="1277"/>
      <c r="J2165" s="1277"/>
      <c r="K2165" s="1312"/>
      <c r="L2165" s="1125">
        <v>630</v>
      </c>
    </row>
    <row r="2166" spans="1:15" s="1279" customFormat="1" ht="20.100000000000001" customHeight="1">
      <c r="A2166" s="1377">
        <f t="shared" si="83"/>
        <v>0</v>
      </c>
      <c r="B2166" s="1378" t="s">
        <v>1470</v>
      </c>
      <c r="C2166" s="1273"/>
      <c r="D2166" s="1274" t="str">
        <f>VLOOKUP($B2166,DG!A:D,DG!$B$2,)</f>
        <v>04.7002</v>
      </c>
      <c r="E2166" s="1275" t="str">
        <f>VLOOKUP($B2166,DG!A:D,DG!$C$2,)</f>
        <v>Kéo dây tiếp địa trong TBA</v>
      </c>
      <c r="F2166" s="1288" t="str">
        <f>VLOOKUP($B2166,DG!A:D,DG!$D$2,)</f>
        <v>mét</v>
      </c>
      <c r="G2166" s="1287">
        <f>G2147*H3</f>
        <v>0</v>
      </c>
      <c r="H2166" s="1353">
        <f t="shared" si="84"/>
        <v>0</v>
      </c>
      <c r="I2166" s="1277"/>
      <c r="J2166" s="1277"/>
      <c r="K2166" s="1312"/>
      <c r="L2166" s="1125">
        <v>630</v>
      </c>
    </row>
    <row r="2167" spans="1:15" s="1279" customFormat="1" ht="20.100000000000001" customHeight="1">
      <c r="A2167" s="1377">
        <f t="shared" si="83"/>
        <v>0</v>
      </c>
      <c r="B2167" s="1582"/>
      <c r="C2167" s="1280">
        <f>IF(G2167&gt;0,C2147+1,C2147)</f>
        <v>0</v>
      </c>
      <c r="D2167" s="1281"/>
      <c r="E2167" s="1282" t="s">
        <v>3820</v>
      </c>
      <c r="F2167" s="1280" t="s">
        <v>2449</v>
      </c>
      <c r="G2167" s="1283">
        <f>G2075</f>
        <v>0</v>
      </c>
      <c r="H2167" s="1353">
        <f t="shared" si="84"/>
        <v>0</v>
      </c>
      <c r="I2167" s="1277"/>
      <c r="J2167" s="1277"/>
      <c r="K2167" s="1278"/>
      <c r="L2167" s="1125">
        <v>630</v>
      </c>
    </row>
    <row r="2168" spans="1:15" s="1279" customFormat="1" ht="20.100000000000001" customHeight="1">
      <c r="A2168" s="1377">
        <f>IF(A2167&gt;0,1,0)</f>
        <v>0</v>
      </c>
      <c r="B2168" s="1582"/>
      <c r="C2168" s="1273"/>
      <c r="D2168" s="1284"/>
      <c r="E2168" s="1637" t="s">
        <v>2342</v>
      </c>
      <c r="F2168" s="1286"/>
      <c r="G2168" s="1287"/>
      <c r="H2168" s="1353">
        <f t="shared" si="84"/>
        <v>0</v>
      </c>
      <c r="I2168" s="1277"/>
      <c r="J2168" s="1277"/>
      <c r="K2168" s="1278"/>
      <c r="L2168" s="1125">
        <v>630</v>
      </c>
    </row>
    <row r="2169" spans="1:15" s="1279" customFormat="1" ht="20.100000000000001" customHeight="1">
      <c r="A2169" s="1377">
        <f t="shared" si="83"/>
        <v>0</v>
      </c>
      <c r="B2169" s="1582" t="s">
        <v>658</v>
      </c>
      <c r="C2169" s="1286"/>
      <c r="D2169" s="1288">
        <f>VLOOKUP($B2169,DG!A:D,DG!$B$2,)</f>
        <v>0</v>
      </c>
      <c r="E2169" s="1289" t="str">
        <f>VLOOKUP($B2169,DG!A:D,DG!$C$2,)</f>
        <v xml:space="preserve">Ximăng </v>
      </c>
      <c r="F2169" s="1288" t="str">
        <f>VLOOKUP($B2169,DG!A:D,DG!$D$2,)</f>
        <v>kg</v>
      </c>
      <c r="G2169" s="1276">
        <f>G2167*L2172</f>
        <v>0</v>
      </c>
      <c r="H2169" s="1353">
        <f t="shared" si="84"/>
        <v>0</v>
      </c>
      <c r="I2169" s="1277"/>
      <c r="J2169" s="1277"/>
      <c r="K2169" s="1278"/>
      <c r="L2169" s="1125">
        <v>630</v>
      </c>
    </row>
    <row r="2170" spans="1:15" s="1279" customFormat="1" ht="20.100000000000001" customHeight="1">
      <c r="A2170" s="1377">
        <f t="shared" si="83"/>
        <v>0</v>
      </c>
      <c r="B2170" s="1582" t="s">
        <v>4665</v>
      </c>
      <c r="C2170" s="1273"/>
      <c r="D2170" s="1288">
        <f>VLOOKUP($B2170,DG!A:D,DG!$B$2,)</f>
        <v>0</v>
      </c>
      <c r="E2170" s="1289" t="str">
        <f>VLOOKUP($B2170,DG!A:D,DG!$C$2,)</f>
        <v>Cát vàng</v>
      </c>
      <c r="F2170" s="1288" t="str">
        <f>VLOOKUP($B2170,DG!A:D,DG!$D$2,)</f>
        <v>m3</v>
      </c>
      <c r="G2170" s="1276">
        <f>G2167*M2172</f>
        <v>0</v>
      </c>
      <c r="H2170" s="1353">
        <f t="shared" si="84"/>
        <v>0</v>
      </c>
      <c r="I2170" s="1277"/>
      <c r="J2170" s="1277"/>
      <c r="K2170" s="1278"/>
      <c r="L2170" s="1125">
        <v>630</v>
      </c>
    </row>
    <row r="2171" spans="1:15" s="1279" customFormat="1" ht="20.100000000000001" customHeight="1">
      <c r="A2171" s="1377">
        <f t="shared" si="83"/>
        <v>0</v>
      </c>
      <c r="B2171" s="1582" t="s">
        <v>217</v>
      </c>
      <c r="C2171" s="1273"/>
      <c r="D2171" s="1288">
        <f>VLOOKUP($B2171,DG!A:D,DG!$B$2,)</f>
        <v>0</v>
      </c>
      <c r="E2171" s="1289" t="str">
        <f>VLOOKUP($B2171,DG!A:D,DG!$C$2,)</f>
        <v>Đá 1x2</v>
      </c>
      <c r="F2171" s="1288" t="str">
        <f>VLOOKUP($B2171,DG!A:D,DG!$D$2,)</f>
        <v>m3</v>
      </c>
      <c r="G2171" s="1276">
        <f>G2167*N2172</f>
        <v>0</v>
      </c>
      <c r="H2171" s="1353">
        <f t="shared" si="84"/>
        <v>0</v>
      </c>
      <c r="I2171" s="1277"/>
      <c r="J2171" s="1277"/>
      <c r="K2171" s="1278"/>
      <c r="L2171" s="1125">
        <v>630</v>
      </c>
    </row>
    <row r="2172" spans="1:15" s="1279" customFormat="1" ht="20.100000000000001" customHeight="1">
      <c r="A2172" s="1377">
        <f t="shared" si="83"/>
        <v>0</v>
      </c>
      <c r="B2172" s="1582" t="s">
        <v>659</v>
      </c>
      <c r="C2172" s="1286"/>
      <c r="D2172" s="1288" t="str">
        <f>VLOOKUP($B2172,DG!A:D,DG!$B$2,)</f>
        <v>04.1203c</v>
      </c>
      <c r="E2172" s="1289" t="str">
        <f>VLOOKUP($B2172,DG!A:D,DG!$C$2,)</f>
        <v>Đổ bê tông móng trụ &lt;=250cm-M200 đá 1x2</v>
      </c>
      <c r="F2172" s="1288" t="str">
        <f>VLOOKUP($B2172,DG!A:D,DG!$D$2,)</f>
        <v>m3</v>
      </c>
      <c r="G2172" s="1276">
        <f>G2167*(0.4*3*1-2*3.14*0.15^2*0.4)*1.025</f>
        <v>0</v>
      </c>
      <c r="H2172" s="1353">
        <f t="shared" si="84"/>
        <v>0</v>
      </c>
      <c r="I2172" s="1277"/>
      <c r="J2172" s="1277"/>
      <c r="K2172" s="1278"/>
      <c r="L2172" s="1125">
        <v>630</v>
      </c>
      <c r="M2172" s="1291">
        <f>1.025*0.45</f>
        <v>0.46124999999999999</v>
      </c>
      <c r="N2172" s="1291">
        <f>1.025*0.866</f>
        <v>0.88764999999999994</v>
      </c>
      <c r="O2172" s="1466"/>
    </row>
    <row r="2173" spans="1:15" s="1279" customFormat="1" ht="20.100000000000001" customHeight="1">
      <c r="A2173" s="1377">
        <f t="shared" si="83"/>
        <v>0</v>
      </c>
      <c r="B2173" s="1582"/>
      <c r="C2173" s="1280">
        <f>IF(G2173&gt;0,C2167+1,C2167)</f>
        <v>0</v>
      </c>
      <c r="D2173" s="1281"/>
      <c r="E2173" s="1282" t="s">
        <v>3821</v>
      </c>
      <c r="F2173" s="1280" t="s">
        <v>2449</v>
      </c>
      <c r="G2173" s="1283"/>
      <c r="H2173" s="1353">
        <f t="shared" si="84"/>
        <v>0</v>
      </c>
      <c r="I2173" s="1277"/>
      <c r="J2173" s="1277"/>
      <c r="K2173" s="1278"/>
      <c r="L2173" s="1125">
        <v>630</v>
      </c>
    </row>
    <row r="2174" spans="1:15" s="1279" customFormat="1" ht="20.100000000000001" customHeight="1">
      <c r="A2174" s="1377">
        <f>IF(A2173&gt;0,1,0)</f>
        <v>0</v>
      </c>
      <c r="B2174" s="1582"/>
      <c r="C2174" s="1273"/>
      <c r="D2174" s="1284"/>
      <c r="E2174" s="1637" t="s">
        <v>2342</v>
      </c>
      <c r="F2174" s="1286"/>
      <c r="G2174" s="1287"/>
      <c r="H2174" s="1353">
        <f t="shared" si="84"/>
        <v>0</v>
      </c>
      <c r="I2174" s="1277"/>
      <c r="J2174" s="1277"/>
      <c r="K2174" s="1278"/>
      <c r="L2174" s="1125">
        <v>630</v>
      </c>
    </row>
    <row r="2175" spans="1:15" s="1279" customFormat="1" ht="20.100000000000001" customHeight="1">
      <c r="A2175" s="1377">
        <f t="shared" si="83"/>
        <v>0</v>
      </c>
      <c r="B2175" s="1582" t="s">
        <v>658</v>
      </c>
      <c r="C2175" s="1286"/>
      <c r="D2175" s="1288">
        <f>VLOOKUP($B2175,DG!A:D,DG!$B$2,)</f>
        <v>0</v>
      </c>
      <c r="E2175" s="1289" t="str">
        <f>VLOOKUP($B2175,DG!A:D,DG!$C$2,)</f>
        <v xml:space="preserve">Ximăng </v>
      </c>
      <c r="F2175" s="1288" t="str">
        <f>VLOOKUP($B2175,DG!A:D,DG!$D$2,)</f>
        <v>kg</v>
      </c>
      <c r="G2175" s="1276">
        <f>G2178*L2178</f>
        <v>0</v>
      </c>
      <c r="H2175" s="1353">
        <f t="shared" si="84"/>
        <v>0</v>
      </c>
      <c r="I2175" s="1277"/>
      <c r="J2175" s="1277"/>
      <c r="K2175" s="1278"/>
      <c r="L2175" s="1125">
        <v>630</v>
      </c>
    </row>
    <row r="2176" spans="1:15" s="1279" customFormat="1" ht="20.100000000000001" customHeight="1">
      <c r="A2176" s="1377">
        <f t="shared" si="83"/>
        <v>0</v>
      </c>
      <c r="B2176" s="1582" t="s">
        <v>4665</v>
      </c>
      <c r="C2176" s="1273"/>
      <c r="D2176" s="1288">
        <f>VLOOKUP($B2176,DG!A:D,DG!$B$2,)</f>
        <v>0</v>
      </c>
      <c r="E2176" s="1289" t="str">
        <f>VLOOKUP($B2176,DG!A:D,DG!$C$2,)</f>
        <v>Cát vàng</v>
      </c>
      <c r="F2176" s="1288" t="str">
        <f>VLOOKUP($B2176,DG!A:D,DG!$D$2,)</f>
        <v>m3</v>
      </c>
      <c r="G2176" s="1290">
        <f>G2178*M2178</f>
        <v>0</v>
      </c>
      <c r="H2176" s="1353">
        <f t="shared" si="84"/>
        <v>0</v>
      </c>
      <c r="I2176" s="1277"/>
      <c r="J2176" s="1277"/>
      <c r="K2176" s="1278"/>
      <c r="L2176" s="1125">
        <v>630</v>
      </c>
    </row>
    <row r="2177" spans="1:15" s="1279" customFormat="1" ht="20.100000000000001" customHeight="1">
      <c r="A2177" s="1377">
        <f t="shared" si="83"/>
        <v>0</v>
      </c>
      <c r="B2177" s="1582" t="s">
        <v>217</v>
      </c>
      <c r="C2177" s="1273"/>
      <c r="D2177" s="1288">
        <f>VLOOKUP($B2177,DG!A:D,DG!$B$2,)</f>
        <v>0</v>
      </c>
      <c r="E2177" s="1289" t="str">
        <f>VLOOKUP($B2177,DG!A:D,DG!$C$2,)</f>
        <v>Đá 1x2</v>
      </c>
      <c r="F2177" s="1288" t="str">
        <f>VLOOKUP($B2177,DG!A:D,DG!$D$2,)</f>
        <v>m3</v>
      </c>
      <c r="G2177" s="1290">
        <f>G2178*N2178</f>
        <v>0</v>
      </c>
      <c r="H2177" s="1353">
        <f t="shared" si="84"/>
        <v>0</v>
      </c>
      <c r="I2177" s="1277"/>
      <c r="J2177" s="1277"/>
      <c r="K2177" s="1278"/>
      <c r="L2177" s="1125">
        <v>630</v>
      </c>
    </row>
    <row r="2178" spans="1:15" s="1279" customFormat="1" ht="20.100000000000001" customHeight="1">
      <c r="A2178" s="1377">
        <f t="shared" si="83"/>
        <v>0</v>
      </c>
      <c r="B2178" s="1582" t="s">
        <v>659</v>
      </c>
      <c r="C2178" s="1286"/>
      <c r="D2178" s="1288" t="str">
        <f>VLOOKUP($B2178,DG!A:D,DG!$B$2,)</f>
        <v>04.1203c</v>
      </c>
      <c r="E2178" s="1289" t="str">
        <f>VLOOKUP($B2178,DG!A:D,DG!$C$2,)</f>
        <v>Đổ bê tông móng trụ &lt;=250cm-M200 đá 1x2</v>
      </c>
      <c r="F2178" s="1288" t="str">
        <f>VLOOKUP($B2178,DG!A:D,DG!$D$2,)</f>
        <v>m3</v>
      </c>
      <c r="G2178" s="1276">
        <f>G2173*0.2*0.2*(0.2+0.2+0.8+0.8+2*4)</f>
        <v>0</v>
      </c>
      <c r="H2178" s="1353">
        <f t="shared" si="84"/>
        <v>0</v>
      </c>
      <c r="I2178" s="1277"/>
      <c r="J2178" s="1277"/>
      <c r="K2178" s="1278"/>
      <c r="L2178" s="1125">
        <v>630</v>
      </c>
      <c r="M2178" s="1291">
        <f>1.025*0.45</f>
        <v>0.46124999999999999</v>
      </c>
      <c r="N2178" s="1291">
        <f>1.025*0.866</f>
        <v>0.88764999999999994</v>
      </c>
      <c r="O2178" s="1466"/>
    </row>
    <row r="2179" spans="1:15" s="1279" customFormat="1" ht="20.100000000000001" customHeight="1">
      <c r="A2179" s="1377">
        <f t="shared" si="83"/>
        <v>0</v>
      </c>
      <c r="B2179" s="1582"/>
      <c r="C2179" s="1280">
        <f>IF(G2179&gt;0,C2173+1,C2173)</f>
        <v>0</v>
      </c>
      <c r="D2179" s="1281"/>
      <c r="E2179" s="1282" t="s">
        <v>3822</v>
      </c>
      <c r="F2179" s="1280" t="s">
        <v>2449</v>
      </c>
      <c r="G2179" s="1283">
        <f>G2070</f>
        <v>0</v>
      </c>
      <c r="H2179" s="1353">
        <f t="shared" si="84"/>
        <v>0</v>
      </c>
      <c r="I2179" s="1277"/>
      <c r="J2179" s="1277"/>
      <c r="K2179" s="1312"/>
      <c r="L2179" s="1125">
        <v>630</v>
      </c>
    </row>
    <row r="2180" spans="1:15" s="1279" customFormat="1" ht="20.100000000000001" customHeight="1">
      <c r="A2180" s="1377">
        <f>IF(A2179&gt;0,1,0)</f>
        <v>0</v>
      </c>
      <c r="B2180" s="1582"/>
      <c r="C2180" s="1273"/>
      <c r="D2180" s="1284"/>
      <c r="E2180" s="1637" t="s">
        <v>2342</v>
      </c>
      <c r="F2180" s="1286"/>
      <c r="G2180" s="1287"/>
      <c r="H2180" s="1353">
        <f t="shared" si="84"/>
        <v>0</v>
      </c>
      <c r="I2180" s="1277"/>
      <c r="J2180" s="1277"/>
      <c r="K2180" s="1312"/>
      <c r="L2180" s="1125">
        <v>630</v>
      </c>
    </row>
    <row r="2181" spans="1:15" s="1279" customFormat="1" ht="20.100000000000001" customHeight="1">
      <c r="A2181" s="1377">
        <f t="shared" si="83"/>
        <v>0</v>
      </c>
      <c r="B2181" s="1625" t="s">
        <v>2102</v>
      </c>
      <c r="C2181" s="1286"/>
      <c r="D2181" s="1288" t="str">
        <f>VLOOKUP($B2181,DG!A:D,DG!$B$2,)</f>
        <v>05.1002</v>
      </c>
      <c r="E2181" s="1289" t="str">
        <f>VLOOKUP($B2181,DG!A:D,DG!$C$2,)</f>
        <v>Vỏ tủ trạm giàn 2 ngăn + khóa tủ</v>
      </c>
      <c r="F2181" s="1288" t="str">
        <f>VLOOKUP($B2181,DG!A:D,DG!$D$2,)</f>
        <v>cái</v>
      </c>
      <c r="G2181" s="1287">
        <f>G2179</f>
        <v>0</v>
      </c>
      <c r="H2181" s="1353">
        <f t="shared" si="84"/>
        <v>0</v>
      </c>
      <c r="I2181" s="1277"/>
      <c r="J2181" s="1277"/>
      <c r="K2181" s="1312"/>
      <c r="L2181" s="1125">
        <v>630</v>
      </c>
    </row>
    <row r="2182" spans="1:15" s="1279" customFormat="1" ht="20.100000000000001" customHeight="1">
      <c r="A2182" s="1377">
        <f t="shared" si="83"/>
        <v>0</v>
      </c>
      <c r="B2182" s="1625" t="s">
        <v>1261</v>
      </c>
      <c r="C2182" s="1286"/>
      <c r="D2182" s="1288" t="str">
        <f>VLOOKUP($B2182,DG!A:D,DG!$B$2,)</f>
        <v>05.1102</v>
      </c>
      <c r="E2182" s="1289" t="str">
        <f>VLOOKUP($B2182,DG!A:D,DG!$C$2,)</f>
        <v>Khung đỡ tủ MCCB và tủ bù</v>
      </c>
      <c r="F2182" s="1288" t="str">
        <f>VLOOKUP($B2182,DG!A:D,DG!$D$2,)</f>
        <v>trọn bộ</v>
      </c>
      <c r="G2182" s="1287"/>
      <c r="H2182" s="1353">
        <f t="shared" si="84"/>
        <v>0</v>
      </c>
      <c r="I2182" s="1277"/>
      <c r="J2182" s="1277"/>
      <c r="K2182" s="1312"/>
      <c r="L2182" s="1125">
        <v>630</v>
      </c>
    </row>
    <row r="2183" spans="1:15" s="1279" customFormat="1" ht="20.100000000000001" customHeight="1">
      <c r="A2183" s="1377">
        <f t="shared" si="83"/>
        <v>0</v>
      </c>
      <c r="B2183" s="1582" t="s">
        <v>1587</v>
      </c>
      <c r="C2183" s="1273"/>
      <c r="D2183" s="1288">
        <f>VLOOKUP($B2183,DG!A:D,DG!$B$2,)</f>
        <v>0</v>
      </c>
      <c r="E2183" s="1289" t="str">
        <f>VLOOKUP($B2183,DG!A:D,DG!$C$2,)</f>
        <v>Giá nới + Thanh cái tủ CB</v>
      </c>
      <c r="F2183" s="1288" t="str">
        <f>VLOOKUP($B2183,DG!A:D,DG!$D$2,)</f>
        <v>bộ</v>
      </c>
      <c r="G2183" s="1293">
        <f>G2179*0</f>
        <v>0</v>
      </c>
      <c r="H2183" s="1353">
        <f t="shared" si="84"/>
        <v>0</v>
      </c>
      <c r="I2183" s="1277"/>
      <c r="J2183" s="1277"/>
      <c r="K2183" s="1312"/>
      <c r="L2183" s="1125">
        <v>630</v>
      </c>
    </row>
    <row r="2184" spans="1:15" s="1279" customFormat="1" ht="20.100000000000001" customHeight="1">
      <c r="A2184" s="1377">
        <f t="shared" si="83"/>
        <v>0</v>
      </c>
      <c r="B2184" s="1582" t="s">
        <v>897</v>
      </c>
      <c r="C2184" s="1273"/>
      <c r="D2184" s="1288">
        <f>VLOOKUP($B2184,DG!A:D,DG!$B$2,)</f>
        <v>0</v>
      </c>
      <c r="E2184" s="1289" t="str">
        <f>VLOOKUP($B2184,DG!A:D,DG!$C$2,)</f>
        <v xml:space="preserve">Bakelit 550x450 dầy 10mm </v>
      </c>
      <c r="F2184" s="1288" t="str">
        <f>VLOOKUP($B2184,DG!A:D,DG!$D$2,)</f>
        <v>cái</v>
      </c>
      <c r="G2184" s="1293">
        <f>G2179*1</f>
        <v>0</v>
      </c>
      <c r="H2184" s="1353">
        <f t="shared" si="84"/>
        <v>0</v>
      </c>
      <c r="I2184" s="1277"/>
      <c r="J2184" s="1277"/>
      <c r="K2184" s="1312"/>
      <c r="L2184" s="1125">
        <v>630</v>
      </c>
    </row>
    <row r="2185" spans="1:15" s="1279" customFormat="1" ht="20.100000000000001" customHeight="1">
      <c r="A2185" s="1377">
        <f t="shared" si="83"/>
        <v>0</v>
      </c>
      <c r="B2185" s="1582" t="s">
        <v>290</v>
      </c>
      <c r="C2185" s="1286"/>
      <c r="D2185" s="1288" t="str">
        <f>VLOOKUP($B2185,DG!A:D,DG!$B$2,)</f>
        <v>06.3191</v>
      </c>
      <c r="E2185" s="1289" t="str">
        <f>VLOOKUP($B2185,DG!A:D,DG!$C$2,)</f>
        <v>Bảng tên trạm, bảng báo nguy hiểm + đinh vít</v>
      </c>
      <c r="F2185" s="1288" t="str">
        <f>VLOOKUP($B2185,DG!A:D,DG!$D$2,)</f>
        <v>bộ</v>
      </c>
      <c r="G2185" s="1287">
        <f>G2179</f>
        <v>0</v>
      </c>
      <c r="H2185" s="1353">
        <f t="shared" si="84"/>
        <v>0</v>
      </c>
      <c r="I2185" s="1277"/>
      <c r="J2185" s="1277"/>
      <c r="K2185" s="1312"/>
      <c r="L2185" s="1125">
        <v>630</v>
      </c>
    </row>
    <row r="2186" spans="1:15" s="1279" customFormat="1" ht="20.100000000000001" customHeight="1">
      <c r="A2186" s="1377">
        <f t="shared" si="83"/>
        <v>0</v>
      </c>
      <c r="B2186" s="1582"/>
      <c r="C2186" s="1280">
        <f>IF(G2186&gt;0,C2179+1,C2179)</f>
        <v>0</v>
      </c>
      <c r="D2186" s="1281"/>
      <c r="E2186" s="1282" t="s">
        <v>3823</v>
      </c>
      <c r="F2186" s="1280" t="s">
        <v>2596</v>
      </c>
      <c r="G2186" s="1347">
        <f>G2070*0</f>
        <v>0</v>
      </c>
      <c r="H2186" s="1353">
        <f t="shared" si="84"/>
        <v>0</v>
      </c>
      <c r="I2186" s="1277"/>
      <c r="J2186" s="1277"/>
      <c r="K2186" s="1278"/>
      <c r="L2186" s="1125">
        <v>630</v>
      </c>
    </row>
    <row r="2187" spans="1:15" s="1279" customFormat="1" ht="20.100000000000001" customHeight="1">
      <c r="A2187" s="1377">
        <f>IF(A2186&gt;0,1,0)</f>
        <v>0</v>
      </c>
      <c r="B2187" s="1582"/>
      <c r="C2187" s="1273"/>
      <c r="D2187" s="1284"/>
      <c r="E2187" s="1637" t="s">
        <v>2342</v>
      </c>
      <c r="F2187" s="1286"/>
      <c r="G2187" s="1348"/>
      <c r="H2187" s="1353">
        <f t="shared" si="84"/>
        <v>0</v>
      </c>
      <c r="I2187" s="1277"/>
      <c r="J2187" s="1277"/>
      <c r="K2187" s="1278"/>
      <c r="L2187" s="1125">
        <v>630</v>
      </c>
    </row>
    <row r="2188" spans="1:15" s="1279" customFormat="1" ht="20.100000000000001" customHeight="1">
      <c r="A2188" s="1377">
        <f t="shared" si="83"/>
        <v>0</v>
      </c>
      <c r="B2188" s="1582" t="s">
        <v>4665</v>
      </c>
      <c r="C2188" s="1286"/>
      <c r="D2188" s="1288">
        <f>VLOOKUP($B2188,DG!A:D,DG!$B$2,)</f>
        <v>0</v>
      </c>
      <c r="E2188" s="1310" t="str">
        <f>VLOOKUP($B2188,DG!A:D,DG!$C$2,)&amp;": 0,315m3/m"</f>
        <v>Cát vàng: 0,315m3/m</v>
      </c>
      <c r="F2188" s="1288" t="str">
        <f>VLOOKUP($B2188,DG!A:D,DG!$D$2,)</f>
        <v>m3</v>
      </c>
      <c r="G2188" s="1276">
        <f>G2186*0.315</f>
        <v>0</v>
      </c>
      <c r="H2188" s="1353">
        <f t="shared" si="84"/>
        <v>0</v>
      </c>
      <c r="I2188" s="1277"/>
      <c r="J2188" s="1277"/>
      <c r="K2188" s="1278"/>
      <c r="L2188" s="1125">
        <v>630</v>
      </c>
    </row>
    <row r="2189" spans="1:15" s="1279" customFormat="1" ht="20.100000000000001" customHeight="1">
      <c r="A2189" s="1377">
        <f t="shared" si="83"/>
        <v>0</v>
      </c>
      <c r="B2189" s="1584" t="s">
        <v>523</v>
      </c>
      <c r="C2189" s="1286"/>
      <c r="D2189" s="1288">
        <f>VLOOKUP($B2189,DG!A:D,DG!$B$2,)</f>
        <v>0</v>
      </c>
      <c r="E2189" s="1310" t="str">
        <f>VLOOKUP($B2189,DG!A:D,DG!$C$2,)&amp;": 0,092m3/m"</f>
        <v>Đá 2x4: 0,092m3/m</v>
      </c>
      <c r="F2189" s="1288" t="str">
        <f>VLOOKUP($B2189,DG!A:D,DG!$D$2,)</f>
        <v>m3</v>
      </c>
      <c r="G2189" s="1276">
        <f>0.092*G2186</f>
        <v>0</v>
      </c>
      <c r="H2189" s="1353">
        <f t="shared" si="84"/>
        <v>0</v>
      </c>
      <c r="I2189" s="1277"/>
      <c r="J2189" s="1277"/>
      <c r="K2189" s="1278"/>
      <c r="L2189" s="1125">
        <v>630</v>
      </c>
    </row>
    <row r="2190" spans="1:15" s="1279" customFormat="1" ht="20.100000000000001" customHeight="1">
      <c r="A2190" s="1377">
        <f t="shared" si="83"/>
        <v>0</v>
      </c>
      <c r="B2190" s="1584" t="s">
        <v>1728</v>
      </c>
      <c r="C2190" s="1286"/>
      <c r="D2190" s="1288">
        <f>VLOOKUP($B2190,DG!A:D,DG!$B$2,)</f>
        <v>0</v>
      </c>
      <c r="E2190" s="1310" t="str">
        <f>VLOOKUP($B2190,DG!A:D,DG!$C$2,)&amp;": 3,3vieân/m"</f>
        <v>Gạch tàu: 3,3vieân/m</v>
      </c>
      <c r="F2190" s="1288" t="str">
        <f>VLOOKUP($B2190,DG!A:D,DG!$D$2,)</f>
        <v>viên</v>
      </c>
      <c r="G2190" s="1276">
        <f>3.3*G2186</f>
        <v>0</v>
      </c>
      <c r="H2190" s="1353">
        <f t="shared" si="84"/>
        <v>0</v>
      </c>
      <c r="I2190" s="1277"/>
      <c r="J2190" s="1277"/>
      <c r="K2190" s="1278"/>
      <c r="L2190" s="1125">
        <v>630</v>
      </c>
    </row>
    <row r="2191" spans="1:15" s="1279" customFormat="1" ht="20.100000000000001" customHeight="1">
      <c r="A2191" s="1377">
        <f t="shared" si="83"/>
        <v>0</v>
      </c>
      <c r="B2191" s="1584" t="s">
        <v>1729</v>
      </c>
      <c r="C2191" s="1286"/>
      <c r="D2191" s="1288">
        <f>VLOOKUP($B2191,DG!A:D,DG!$B$2,)</f>
        <v>0</v>
      </c>
      <c r="E2191" s="1310" t="str">
        <f>VLOOKUP($B2191,DG!A:D,DG!$C$2,)&amp;": 0,4m2/m"</f>
        <v>Tấm nilông màu cảnh báo: 0,4m2/m</v>
      </c>
      <c r="F2191" s="1288" t="str">
        <f>VLOOKUP($B2191,DG!A:D,DG!$D$2,)</f>
        <v>m2</v>
      </c>
      <c r="G2191" s="1276">
        <f>0.4*G2186</f>
        <v>0</v>
      </c>
      <c r="H2191" s="1353">
        <f t="shared" si="84"/>
        <v>0</v>
      </c>
      <c r="I2191" s="1277"/>
      <c r="J2191" s="1277"/>
      <c r="K2191" s="1278"/>
      <c r="L2191" s="1125">
        <v>630</v>
      </c>
    </row>
    <row r="2192" spans="1:15" s="1279" customFormat="1" ht="20.100000000000001" customHeight="1">
      <c r="A2192" s="1377">
        <f t="shared" ref="A2192:A2255" si="85">IF(H2192&gt;0,1,0)</f>
        <v>0</v>
      </c>
      <c r="B2192" s="1584" t="s">
        <v>1570</v>
      </c>
      <c r="C2192" s="1273"/>
      <c r="D2192" s="1288">
        <f>VLOOKUP($B2192,DG!A:D,DG!$B$2,)</f>
        <v>0</v>
      </c>
      <c r="E2192" s="1310" t="str">
        <f>VLOOKUP($B2192,DG!A:D,DG!$C$2,)</f>
        <v>Ống PVC D140x6,7mm</v>
      </c>
      <c r="F2192" s="1288" t="str">
        <f>VLOOKUP($B2192,DG!A:D,DG!$D$2,)</f>
        <v>m</v>
      </c>
      <c r="G2192" s="1276">
        <f>1*G2186</f>
        <v>0</v>
      </c>
      <c r="H2192" s="1353">
        <f t="shared" si="84"/>
        <v>0</v>
      </c>
      <c r="I2192" s="1277"/>
      <c r="J2192" s="1277"/>
      <c r="K2192" s="1278"/>
      <c r="L2192" s="1125">
        <v>630</v>
      </c>
    </row>
    <row r="2193" spans="1:13" s="1279" customFormat="1" ht="20.100000000000001" customHeight="1">
      <c r="A2193" s="1377">
        <f t="shared" si="85"/>
        <v>0</v>
      </c>
      <c r="B2193" s="1584" t="s">
        <v>1731</v>
      </c>
      <c r="C2193" s="1286"/>
      <c r="D2193" s="1288" t="str">
        <f>VLOOKUP($B2193,DG!A:D,DG!$B$2,)</f>
        <v>03.7000</v>
      </c>
      <c r="E2193" s="1310" t="str">
        <f>VLOOKUP($B2193,DG!A:D,DG!$C$2,)&amp;" + ñaép ñaù"</f>
        <v>Đắp cát  + ñaép ñaù</v>
      </c>
      <c r="F2193" s="1288" t="str">
        <f>VLOOKUP($B2193,DG!A:D,DG!$D$2,)</f>
        <v>m3</v>
      </c>
      <c r="G2193" s="1276">
        <f>G2188+G2189</f>
        <v>0</v>
      </c>
      <c r="H2193" s="1353">
        <f t="shared" si="84"/>
        <v>0</v>
      </c>
      <c r="I2193" s="1277"/>
      <c r="J2193" s="1277"/>
      <c r="K2193" s="1278"/>
      <c r="L2193" s="1125">
        <v>630</v>
      </c>
    </row>
    <row r="2194" spans="1:13" s="1279" customFormat="1" ht="20.100000000000001" customHeight="1">
      <c r="A2194" s="1377">
        <f t="shared" si="85"/>
        <v>0</v>
      </c>
      <c r="B2194" s="1584" t="s">
        <v>145</v>
      </c>
      <c r="C2194" s="1286"/>
      <c r="D2194" s="1288" t="str">
        <f>VLOOKUP($B2194,DG!A:D,DG!$B$2,)</f>
        <v>03.3103</v>
      </c>
      <c r="E2194" s="1310" t="str">
        <f>VLOOKUP($B2194,DG!A:D,DG!$C$2,)&amp;" : 0,48m3/m"</f>
        <v>Đào mương cáp ngầm đất cấp 3 : 0,48m3/m</v>
      </c>
      <c r="F2194" s="1288" t="str">
        <f>VLOOKUP($B2194,DG!A:D,DG!$D$2,)</f>
        <v>m3</v>
      </c>
      <c r="G2194" s="1276">
        <f>G2186*0.48</f>
        <v>0</v>
      </c>
      <c r="H2194" s="1353">
        <f t="shared" si="84"/>
        <v>0</v>
      </c>
      <c r="I2194" s="1277"/>
      <c r="J2194" s="1277"/>
      <c r="K2194" s="1278"/>
      <c r="L2194" s="1125">
        <v>630</v>
      </c>
    </row>
    <row r="2195" spans="1:13" s="1279" customFormat="1" ht="20.100000000000001" customHeight="1">
      <c r="A2195" s="1377">
        <f t="shared" si="85"/>
        <v>0</v>
      </c>
      <c r="B2195" s="1584" t="s">
        <v>532</v>
      </c>
      <c r="C2195" s="1286"/>
      <c r="D2195" s="1288" t="str">
        <f>VLOOKUP($B2195,DG!A:D,DG!$B$2,)</f>
        <v>03.3203</v>
      </c>
      <c r="E2195" s="1310" t="str">
        <f>VLOOKUP($B2195,DG!A:D,DG!$C$2,)&amp;" : 0,073m3/m"</f>
        <v>Đắp đất mương cáp ngầm, đất cấp 3 : 0,073m3/m</v>
      </c>
      <c r="F2195" s="1288" t="str">
        <f>VLOOKUP($B2195,DG!A:D,DG!$D$2,)</f>
        <v>m3</v>
      </c>
      <c r="G2195" s="1276">
        <f>G2186*0.073</f>
        <v>0</v>
      </c>
      <c r="H2195" s="1353">
        <f t="shared" si="84"/>
        <v>0</v>
      </c>
      <c r="I2195" s="1277"/>
      <c r="J2195" s="1277"/>
      <c r="K2195" s="1278"/>
      <c r="L2195" s="1125">
        <v>630</v>
      </c>
      <c r="M2195" s="1349">
        <v>0.47499999999999998</v>
      </c>
    </row>
    <row r="2196" spans="1:13" s="1279" customFormat="1" ht="20.100000000000001" customHeight="1">
      <c r="A2196" s="1377">
        <f t="shared" si="85"/>
        <v>0</v>
      </c>
      <c r="B2196" s="1582"/>
      <c r="C2196" s="1280">
        <f>IF(G2196&gt;0,C2186+1,C2186)</f>
        <v>0</v>
      </c>
      <c r="D2196" s="1281"/>
      <c r="E2196" s="1282" t="s">
        <v>3824</v>
      </c>
      <c r="F2196" s="1280" t="s">
        <v>2449</v>
      </c>
      <c r="G2196" s="1283">
        <f>G2205</f>
        <v>0</v>
      </c>
      <c r="H2196" s="1353">
        <f t="shared" si="84"/>
        <v>0</v>
      </c>
      <c r="I2196" s="1277"/>
      <c r="J2196" s="1277"/>
      <c r="K2196" s="1278"/>
      <c r="L2196" s="1125">
        <v>630</v>
      </c>
      <c r="M2196" s="1349">
        <v>0.88100000000000001</v>
      </c>
    </row>
    <row r="2197" spans="1:13" s="1279" customFormat="1" ht="20.100000000000001" customHeight="1">
      <c r="A2197" s="1377">
        <f>IF(A2196&gt;0,1,0)</f>
        <v>0</v>
      </c>
      <c r="B2197" s="1582"/>
      <c r="C2197" s="1273"/>
      <c r="D2197" s="1284"/>
      <c r="E2197" s="1637" t="s">
        <v>2342</v>
      </c>
      <c r="F2197" s="1286"/>
      <c r="G2197" s="1348"/>
      <c r="H2197" s="1353">
        <f t="shared" si="84"/>
        <v>0</v>
      </c>
      <c r="I2197" s="1277"/>
      <c r="J2197" s="1277"/>
      <c r="K2197" s="1278"/>
      <c r="L2197" s="1125">
        <v>630</v>
      </c>
    </row>
    <row r="2198" spans="1:13" s="1279" customFormat="1" ht="20.100000000000001" customHeight="1">
      <c r="A2198" s="1377">
        <f t="shared" si="85"/>
        <v>0</v>
      </c>
      <c r="B2198" s="1582" t="s">
        <v>628</v>
      </c>
      <c r="C2198" s="1286"/>
      <c r="D2198" s="1288" t="str">
        <f>VLOOKUP($B2198,DG!A:D,DG!$B$2,)</f>
        <v>07.2204</v>
      </c>
      <c r="E2198" s="1289" t="str">
        <f>VLOOKUP($B2198,DG!A:D,DG!$C$2,)</f>
        <v>ÔÁng sắt tráng kẽm D140</v>
      </c>
      <c r="F2198" s="1288" t="str">
        <f>VLOOKUP($B2198,DG!A:D,DG!$D$2,)</f>
        <v>mét</v>
      </c>
      <c r="G2198" s="1276">
        <f>G2196*5*0</f>
        <v>0</v>
      </c>
      <c r="H2198" s="1353">
        <f t="shared" si="84"/>
        <v>0</v>
      </c>
      <c r="I2198" s="1277"/>
      <c r="J2198" s="1277"/>
      <c r="K2198" s="1278"/>
      <c r="L2198" s="1125">
        <v>630</v>
      </c>
    </row>
    <row r="2199" spans="1:13" s="1279" customFormat="1" ht="20.100000000000001" customHeight="1">
      <c r="A2199" s="1377">
        <f t="shared" si="85"/>
        <v>0</v>
      </c>
      <c r="B2199" s="1584" t="s">
        <v>476</v>
      </c>
      <c r="C2199" s="1273"/>
      <c r="D2199" s="1288">
        <f>VLOOKUP($B2199,DG!A:D,DG!$B$2,)</f>
        <v>0</v>
      </c>
      <c r="E2199" s="1289" t="str">
        <f>VLOOKUP($B2199,DG!A:D,DG!$C$2,)</f>
        <v>Co sừng 90 độ PVC 140</v>
      </c>
      <c r="F2199" s="1288" t="str">
        <f>VLOOKUP($B2199,DG!A:D,DG!$D$2,)</f>
        <v>cái</v>
      </c>
      <c r="G2199" s="1276">
        <f>G2196*0</f>
        <v>0</v>
      </c>
      <c r="H2199" s="1353">
        <f t="shared" si="84"/>
        <v>0</v>
      </c>
      <c r="I2199" s="1277"/>
      <c r="J2199" s="1277"/>
      <c r="K2199" s="1278"/>
      <c r="L2199" s="1125">
        <v>630</v>
      </c>
    </row>
    <row r="2200" spans="1:13" s="1279" customFormat="1" ht="20.100000000000001" customHeight="1">
      <c r="A2200" s="1377">
        <f t="shared" si="85"/>
        <v>0</v>
      </c>
      <c r="B2200" s="1582" t="s">
        <v>121</v>
      </c>
      <c r="C2200" s="1286"/>
      <c r="D2200" s="1288" t="str">
        <f>VLOOKUP($B2200,DG!A:D,DG!$B$2,)</f>
        <v>06.3231</v>
      </c>
      <c r="E2200" s="1289" t="str">
        <f>VLOOKUP($B2200,DG!A:D,DG!$C$2,)</f>
        <v>Cổ dê giữ ống STK D140 vào tường+Boulon+long đền+tắc ke sắt</v>
      </c>
      <c r="F2200" s="1288" t="str">
        <f>VLOOKUP($B2200,DG!A:D,DG!$D$2,)</f>
        <v>bộ</v>
      </c>
      <c r="G2200" s="1276">
        <f>G2196*2*0</f>
        <v>0</v>
      </c>
      <c r="H2200" s="1353">
        <f t="shared" si="84"/>
        <v>0</v>
      </c>
      <c r="I2200" s="1277"/>
      <c r="J2200" s="1277"/>
      <c r="K2200" s="1278"/>
      <c r="L2200" s="1125">
        <v>630</v>
      </c>
    </row>
    <row r="2201" spans="1:13" s="1279" customFormat="1" ht="20.100000000000001" customHeight="1">
      <c r="A2201" s="1377">
        <f t="shared" si="85"/>
        <v>0</v>
      </c>
      <c r="B2201" s="1378" t="s">
        <v>1442</v>
      </c>
      <c r="C2201" s="1286"/>
      <c r="D2201" s="1288">
        <f>VLOOKUP($B2201,DG!A:D,DG!$B$2,)</f>
        <v>0</v>
      </c>
      <c r="E2201" s="1289" t="str">
        <f>VLOOKUP($B2201,DG!A:D,DG!$C$2,)</f>
        <v>Giá đỡ cáp ngầm (V63x6)</v>
      </c>
      <c r="F2201" s="1288" t="str">
        <f>VLOOKUP($B2201,DG!A:D,DG!$D$2,)</f>
        <v>bộ</v>
      </c>
      <c r="G2201" s="1276">
        <f>G2196*0</f>
        <v>0</v>
      </c>
      <c r="H2201" s="1353">
        <f t="shared" si="84"/>
        <v>0</v>
      </c>
      <c r="I2201" s="1277"/>
      <c r="J2201" s="1277"/>
      <c r="K2201" s="1278"/>
      <c r="L2201" s="1125">
        <v>630</v>
      </c>
    </row>
    <row r="2202" spans="1:13" s="1279" customFormat="1" ht="20.100000000000001" customHeight="1">
      <c r="A2202" s="1377">
        <f t="shared" si="85"/>
        <v>0</v>
      </c>
      <c r="B2202" s="1378" t="s">
        <v>2200</v>
      </c>
      <c r="C2202" s="1286"/>
      <c r="D2202" s="1288">
        <f>VLOOKUP($B2202,DG!A:D,DG!$B$2,)</f>
        <v>0</v>
      </c>
      <c r="E2202" s="1289" t="str">
        <f>VLOOKUP($B2202,DG!A:D,DG!$C$2,)</f>
        <v>Giá đỡ cáp trung hạ thế</v>
      </c>
      <c r="F2202" s="1288" t="str">
        <f>VLOOKUP($B2202,DG!A:D,DG!$D$2,)</f>
        <v>bộ</v>
      </c>
      <c r="G2202" s="1276">
        <f>G2196</f>
        <v>0</v>
      </c>
      <c r="H2202" s="1353">
        <f t="shared" si="84"/>
        <v>0</v>
      </c>
      <c r="I2202" s="1277"/>
      <c r="J2202" s="1277"/>
      <c r="K2202" s="1278"/>
      <c r="L2202" s="1125">
        <v>630</v>
      </c>
    </row>
    <row r="2203" spans="1:13" s="1279" customFormat="1" ht="20.100000000000001" customHeight="1">
      <c r="A2203" s="1377">
        <f t="shared" si="85"/>
        <v>0</v>
      </c>
      <c r="B2203" s="1582" t="s">
        <v>1443</v>
      </c>
      <c r="C2203" s="1273"/>
      <c r="D2203" s="1288" t="str">
        <f>VLOOKUP($B2203,DG!A:D,DG!$B$2,)</f>
        <v>05.6101</v>
      </c>
      <c r="E2203" s="1289" t="str">
        <f>VLOOKUP($B2203,DG!A:D,DG!$C$2,)</f>
        <v>Lắp Giá đỡ cáp</v>
      </c>
      <c r="F2203" s="1288" t="str">
        <f>VLOOKUP($B2203,DG!A:D,DG!$D$2,)</f>
        <v>bộ</v>
      </c>
      <c r="G2203" s="1276">
        <f>G2201+G2202</f>
        <v>0</v>
      </c>
      <c r="H2203" s="1353">
        <f t="shared" si="84"/>
        <v>0</v>
      </c>
      <c r="I2203" s="1277"/>
      <c r="J2203" s="1277"/>
      <c r="K2203" s="1278"/>
      <c r="L2203" s="1125">
        <v>630</v>
      </c>
    </row>
    <row r="2204" spans="1:13" s="1279" customFormat="1" ht="20.100000000000001" customHeight="1">
      <c r="A2204" s="1377">
        <f t="shared" si="85"/>
        <v>0</v>
      </c>
      <c r="B2204" s="1582" t="s">
        <v>290</v>
      </c>
      <c r="C2204" s="1286"/>
      <c r="D2204" s="1288" t="str">
        <f>VLOOKUP($B2204,DG!A:D,DG!$B$2,)</f>
        <v>06.3191</v>
      </c>
      <c r="E2204" s="1289" t="str">
        <f>VLOOKUP($B2204,DG!A:D,DG!$C$2,)</f>
        <v>Bảng tên trạm, bảng báo nguy hiểm + đinh vít</v>
      </c>
      <c r="F2204" s="1288" t="str">
        <f>VLOOKUP($B2204,DG!A:D,DG!$D$2,)</f>
        <v>bộ</v>
      </c>
      <c r="G2204" s="1276">
        <f>G2196*0</f>
        <v>0</v>
      </c>
      <c r="H2204" s="1353">
        <f t="shared" si="84"/>
        <v>0</v>
      </c>
      <c r="I2204" s="1277"/>
      <c r="J2204" s="1277"/>
      <c r="K2204" s="1278"/>
      <c r="L2204" s="1125">
        <v>630</v>
      </c>
    </row>
    <row r="2205" spans="1:13" s="1279" customFormat="1" ht="20.100000000000001" customHeight="1">
      <c r="A2205" s="1377">
        <f t="shared" si="85"/>
        <v>0</v>
      </c>
      <c r="B2205" s="1582"/>
      <c r="C2205" s="1280">
        <f>IF(G2205&gt;0,C2196+1,C2196)</f>
        <v>0</v>
      </c>
      <c r="D2205" s="1281"/>
      <c r="E2205" s="1292" t="s">
        <v>3839</v>
      </c>
      <c r="F2205" s="1280" t="s">
        <v>2449</v>
      </c>
      <c r="G2205" s="1283">
        <f>G2070*0</f>
        <v>0</v>
      </c>
      <c r="H2205" s="1353">
        <f t="shared" si="84"/>
        <v>0</v>
      </c>
      <c r="I2205" s="1277"/>
      <c r="J2205" s="1277"/>
      <c r="K2205" s="1278"/>
      <c r="L2205" s="1125">
        <v>630</v>
      </c>
    </row>
    <row r="2206" spans="1:13" s="1279" customFormat="1" ht="20.100000000000001" customHeight="1">
      <c r="A2206" s="1377">
        <f>IF(A2205&gt;0,1,0)</f>
        <v>0</v>
      </c>
      <c r="B2206" s="1582"/>
      <c r="C2206" s="1273"/>
      <c r="D2206" s="1284"/>
      <c r="E2206" s="1638" t="s">
        <v>2342</v>
      </c>
      <c r="F2206" s="1273"/>
      <c r="G2206" s="1293"/>
      <c r="H2206" s="1353">
        <f t="shared" si="84"/>
        <v>0</v>
      </c>
      <c r="I2206" s="1277"/>
      <c r="J2206" s="1277"/>
      <c r="K2206" s="1278"/>
      <c r="L2206" s="1125">
        <v>630</v>
      </c>
    </row>
    <row r="2207" spans="1:13" s="1279" customFormat="1" ht="20.100000000000001" customHeight="1">
      <c r="A2207" s="1377">
        <f t="shared" si="85"/>
        <v>0</v>
      </c>
      <c r="B2207" s="1378" t="s">
        <v>473</v>
      </c>
      <c r="C2207" s="1286"/>
      <c r="D2207" s="1274">
        <f>VLOOKUP($B2207,DG!A:D,DG!$B$2,)</f>
        <v>0</v>
      </c>
      <c r="E2207" s="1275" t="str">
        <f>VLOOKUP($B2207,DG!A:D,DG!$C$2,)&amp;": trong möông vaø leân MBA"</f>
        <v>Cáp 24kV C/XLPE/DSTA/PVC3x50: trong möông vaø leân MBA</v>
      </c>
      <c r="F2207" s="1274" t="str">
        <f>VLOOKUP($B2207,DG!A:D,DG!$D$2,)</f>
        <v>mét</v>
      </c>
      <c r="G2207" s="1276">
        <f>G2186+G2205*8</f>
        <v>0</v>
      </c>
      <c r="H2207" s="1353">
        <f t="shared" si="84"/>
        <v>0</v>
      </c>
      <c r="I2207" s="1277"/>
      <c r="J2207" s="1277"/>
      <c r="K2207" s="1278"/>
      <c r="L2207" s="1125">
        <v>630</v>
      </c>
    </row>
    <row r="2208" spans="1:13" s="1279" customFormat="1" ht="20.100000000000001" customHeight="1">
      <c r="A2208" s="1377">
        <f t="shared" si="85"/>
        <v>0</v>
      </c>
      <c r="B2208" s="1378" t="s">
        <v>272</v>
      </c>
      <c r="C2208" s="1286"/>
      <c r="D2208" s="1274">
        <f>VLOOKUP($B2208,DG!A:D,DG!$B$2,)</f>
        <v>0</v>
      </c>
      <c r="E2208" s="1275" t="str">
        <f>VLOOKUP($B2208,DG!A:D,DG!$C$2,)&amp;": trung tính"</f>
        <v>Cáp 24KV C/XLPE/PVC 50mm2: trung tính</v>
      </c>
      <c r="F2208" s="1274" t="str">
        <f>VLOOKUP($B2208,DG!A:D,DG!$D$2,)</f>
        <v>mét</v>
      </c>
      <c r="G2208" s="1276">
        <f>G2207</f>
        <v>0</v>
      </c>
      <c r="H2208" s="1353">
        <f t="shared" si="84"/>
        <v>0</v>
      </c>
      <c r="I2208" s="1277"/>
      <c r="J2208" s="1277"/>
      <c r="K2208" s="1278"/>
      <c r="L2208" s="1125">
        <v>630</v>
      </c>
    </row>
    <row r="2209" spans="1:12" s="1279" customFormat="1" ht="20.100000000000001" customHeight="1">
      <c r="A2209" s="1377">
        <f t="shared" si="85"/>
        <v>0</v>
      </c>
      <c r="B2209" s="1378" t="s">
        <v>272</v>
      </c>
      <c r="C2209" s="1286"/>
      <c r="D2209" s="1274">
        <f>VLOOKUP($B2209,DG!A:D,DG!$B$2,)</f>
        <v>0</v>
      </c>
      <c r="E2209" s="1275" t="str">
        <f>VLOOKUP($B2209,DG!A:D,DG!$C$2,)&amp;": 0,5m/pha töø FCO xuoáng MBA"</f>
        <v>Cáp 24KV C/XLPE/PVC 50mm2: 0,5m/pha töø FCO xuoáng MBA</v>
      </c>
      <c r="F2209" s="1274" t="str">
        <f>VLOOKUP($B2209,DG!A:D,DG!$D$2,)</f>
        <v>mét</v>
      </c>
      <c r="G2209" s="1276">
        <f>G2205*0.5*3*0</f>
        <v>0</v>
      </c>
      <c r="H2209" s="1353">
        <f t="shared" si="84"/>
        <v>0</v>
      </c>
      <c r="I2209" s="1277"/>
      <c r="J2209" s="1277"/>
      <c r="K2209" s="1278"/>
      <c r="L2209" s="1125">
        <v>630</v>
      </c>
    </row>
    <row r="2210" spans="1:12" s="1279" customFormat="1" ht="20.100000000000001" customHeight="1">
      <c r="A2210" s="1377">
        <f t="shared" si="85"/>
        <v>0</v>
      </c>
      <c r="B2210" s="1378" t="s">
        <v>1385</v>
      </c>
      <c r="C2210" s="1286"/>
      <c r="D2210" s="1274">
        <f>VLOOKUP($B2210,DG!A:D,DG!$B$2,)</f>
        <v>0</v>
      </c>
      <c r="E2210" s="1275" t="str">
        <f>VLOOKUP($B2210,DG!A:D,DG!$C$2,)</f>
        <v>Đầu cáp ngầm 24KV 3x50mm2 outdoor</v>
      </c>
      <c r="F2210" s="1274" t="str">
        <f>VLOOKUP($B2210,DG!A:D,DG!$D$2,)</f>
        <v>cái</v>
      </c>
      <c r="G2210" s="1276">
        <f>G2205</f>
        <v>0</v>
      </c>
      <c r="H2210" s="1353">
        <f t="shared" si="84"/>
        <v>0</v>
      </c>
      <c r="I2210" s="1277"/>
      <c r="J2210" s="1277"/>
      <c r="K2210" s="1278"/>
      <c r="L2210" s="1125">
        <v>630</v>
      </c>
    </row>
    <row r="2211" spans="1:12" s="1279" customFormat="1" ht="20.100000000000001" customHeight="1">
      <c r="A2211" s="1377">
        <f t="shared" si="85"/>
        <v>0</v>
      </c>
      <c r="B2211" s="1378" t="s">
        <v>473</v>
      </c>
      <c r="C2211" s="1286"/>
      <c r="D2211" s="1274">
        <f>VLOOKUP($B2211,DG!A:D,DG!$B$2,)</f>
        <v>0</v>
      </c>
      <c r="E2211" s="1275" t="str">
        <f>VLOOKUP($B2211,DG!A:D,DG!$C$2,)&amp;": töø tuû LBS ñeán MBA"</f>
        <v>Cáp 24kV C/XLPE/DSTA/PVC3x50: töø tuû LBS ñeán MBA</v>
      </c>
      <c r="F2211" s="1274" t="str">
        <f>VLOOKUP($B2211,DG!A:D,DG!$D$2,)</f>
        <v>mét</v>
      </c>
      <c r="G2211" s="1276">
        <f>(1.2+2.4)*G2205*0</f>
        <v>0</v>
      </c>
      <c r="H2211" s="1353">
        <f t="shared" si="84"/>
        <v>0</v>
      </c>
      <c r="I2211" s="1277"/>
      <c r="J2211" s="1277"/>
      <c r="K2211" s="1278"/>
      <c r="L2211" s="1125">
        <v>630</v>
      </c>
    </row>
    <row r="2212" spans="1:12" s="1279" customFormat="1" ht="20.100000000000001" customHeight="1">
      <c r="A2212" s="1377">
        <f t="shared" si="85"/>
        <v>0</v>
      </c>
      <c r="B2212" s="1378" t="s">
        <v>272</v>
      </c>
      <c r="C2212" s="1286"/>
      <c r="D2212" s="1274">
        <f>VLOOKUP($B2212,DG!A:D,DG!$B$2,)</f>
        <v>0</v>
      </c>
      <c r="E2212" s="1275" t="str">
        <f>VLOOKUP($B2212,DG!A:D,DG!$C$2,)&amp;": töø tuû LBS ñeán MBA"</f>
        <v>Cáp 24KV C/XLPE/PVC 50mm2: töø tuû LBS ñeán MBA</v>
      </c>
      <c r="F2212" s="1274" t="str">
        <f>VLOOKUP($B2212,DG!A:D,DG!$D$2,)</f>
        <v>mét</v>
      </c>
      <c r="G2212" s="1276">
        <f>G2205*1.2*0</f>
        <v>0</v>
      </c>
      <c r="H2212" s="1353">
        <f t="shared" si="84"/>
        <v>0</v>
      </c>
      <c r="I2212" s="1277"/>
      <c r="J2212" s="1277"/>
      <c r="K2212" s="1278"/>
      <c r="L2212" s="1125">
        <v>630</v>
      </c>
    </row>
    <row r="2213" spans="1:12" s="1279" customFormat="1" ht="20.100000000000001" customHeight="1">
      <c r="A2213" s="1377">
        <f t="shared" si="85"/>
        <v>0</v>
      </c>
      <c r="B2213" s="1378" t="s">
        <v>1386</v>
      </c>
      <c r="C2213" s="1286"/>
      <c r="D2213" s="1274">
        <f>VLOOKUP($B2213,DG!A:D,DG!$B$2,)</f>
        <v>0</v>
      </c>
      <c r="E2213" s="1275" t="str">
        <f>VLOOKUP($B2213,DG!A:D,DG!$C$2,)</f>
        <v>Đầu cáp ngầm 24KV 3x50mm2 indoor</v>
      </c>
      <c r="F2213" s="1274" t="str">
        <f>VLOOKUP($B2213,DG!A:D,DG!$D$2,)</f>
        <v>cái</v>
      </c>
      <c r="G2213" s="1276">
        <f>G2205</f>
        <v>0</v>
      </c>
      <c r="H2213" s="1353">
        <f t="shared" si="84"/>
        <v>0</v>
      </c>
      <c r="I2213" s="1277"/>
      <c r="J2213" s="1277"/>
      <c r="K2213" s="1278"/>
      <c r="L2213" s="1125">
        <v>630</v>
      </c>
    </row>
    <row r="2214" spans="1:12" s="1279" customFormat="1" ht="20.100000000000001" customHeight="1">
      <c r="A2214" s="1377">
        <f t="shared" si="85"/>
        <v>0</v>
      </c>
      <c r="B2214" s="1378" t="s">
        <v>1727</v>
      </c>
      <c r="C2214" s="1286"/>
      <c r="D2214" s="1274" t="str">
        <f>VLOOKUP($B2214,DG!A:D,DG!$B$2,)</f>
        <v>07.4312</v>
      </c>
      <c r="E2214" s="1275" t="str">
        <f>VLOOKUP($B2214,DG!A:D,DG!$C$2,)</f>
        <v>Lắp đầu cáp trung thế 3x50mm2, 70mm2</v>
      </c>
      <c r="F2214" s="1274" t="str">
        <f>VLOOKUP($B2214,DG!A:D,DG!$D$2,)</f>
        <v>cái</v>
      </c>
      <c r="G2214" s="1276">
        <f>G2210+G2213</f>
        <v>0</v>
      </c>
      <c r="H2214" s="1353">
        <f t="shared" si="84"/>
        <v>0</v>
      </c>
      <c r="I2214" s="1277"/>
      <c r="J2214" s="1277"/>
      <c r="K2214" s="1278"/>
      <c r="L2214" s="1125">
        <v>630</v>
      </c>
    </row>
    <row r="2215" spans="1:12" s="1279" customFormat="1" ht="20.100000000000001" customHeight="1">
      <c r="A2215" s="1377">
        <f t="shared" si="85"/>
        <v>0</v>
      </c>
      <c r="B2215" s="1378" t="s">
        <v>1234</v>
      </c>
      <c r="C2215" s="1286"/>
      <c r="D2215" s="1274" t="str">
        <f>VLOOKUP($B2215,DG!A:D,DG!$B$2,)</f>
        <v>03.1405</v>
      </c>
      <c r="E2215" s="1275" t="str">
        <f>VLOOKUP($B2215,DG!A:D,DG!$C$2,)</f>
        <v>Lắp cáp trong ống bảo vệ trong TBA loại &lt;=6kg</v>
      </c>
      <c r="F2215" s="1274" t="str">
        <f>VLOOKUP($B2215,DG!A:D,DG!$D$2,)</f>
        <v>mét</v>
      </c>
      <c r="G2215" s="1276">
        <f>G2207+G2211</f>
        <v>0</v>
      </c>
      <c r="H2215" s="1353">
        <f t="shared" si="84"/>
        <v>0</v>
      </c>
      <c r="I2215" s="1277"/>
      <c r="J2215" s="1277"/>
      <c r="K2215" s="1278"/>
      <c r="L2215" s="1125">
        <v>630</v>
      </c>
    </row>
    <row r="2216" spans="1:12" s="1279" customFormat="1" ht="20.100000000000001" customHeight="1">
      <c r="A2216" s="1377">
        <f t="shared" si="85"/>
        <v>0</v>
      </c>
      <c r="B2216" s="1378" t="s">
        <v>1231</v>
      </c>
      <c r="C2216" s="1286"/>
      <c r="D2216" s="1274" t="str">
        <f>VLOOKUP($B2216,DG!A:D,DG!$B$2,)</f>
        <v>03.1402</v>
      </c>
      <c r="E2216" s="1275" t="str">
        <f>VLOOKUP($B2216,DG!A:D,DG!$C$2,)</f>
        <v>Lắp cáp trong ống bảo vệ trong TBA loại &lt;=2kg</v>
      </c>
      <c r="F2216" s="1274" t="str">
        <f>VLOOKUP($B2216,DG!A:D,DG!$D$2,)</f>
        <v>mét</v>
      </c>
      <c r="G2216" s="1276">
        <f>G2208+G2212</f>
        <v>0</v>
      </c>
      <c r="H2216" s="1353">
        <f t="shared" si="84"/>
        <v>0</v>
      </c>
      <c r="I2216" s="1277"/>
      <c r="J2216" s="1277"/>
      <c r="K2216" s="1278"/>
      <c r="L2216" s="1125">
        <v>630</v>
      </c>
    </row>
    <row r="2217" spans="1:12" s="1279" customFormat="1" ht="20.100000000000001" customHeight="1">
      <c r="A2217" s="1377">
        <f t="shared" si="85"/>
        <v>0</v>
      </c>
      <c r="B2217" s="1378" t="s">
        <v>1577</v>
      </c>
      <c r="C2217" s="1286"/>
      <c r="D2217" s="1274" t="str">
        <f>VLOOKUP($B2217,DG!A:D,DG!$B$2,)</f>
        <v>04.4201</v>
      </c>
      <c r="E2217" s="1275" t="str">
        <f>VLOOKUP($B2217,DG!A:D,DG!$C$2,)</f>
        <v>Lắp cáp đồng xuống thiết bị D ≤ 95mm2</v>
      </c>
      <c r="F2217" s="1274" t="str">
        <f>VLOOKUP($B2217,DG!A:D,DG!$D$2,)</f>
        <v>m</v>
      </c>
      <c r="G2217" s="1276">
        <f>G2209</f>
        <v>0</v>
      </c>
      <c r="H2217" s="1353">
        <f t="shared" si="84"/>
        <v>0</v>
      </c>
      <c r="I2217" s="1277"/>
      <c r="J2217" s="1277"/>
      <c r="K2217" s="1278"/>
      <c r="L2217" s="1125">
        <v>630</v>
      </c>
    </row>
    <row r="2218" spans="1:12" s="1279" customFormat="1" ht="20.100000000000001" customHeight="1">
      <c r="A2218" s="1377">
        <f t="shared" si="85"/>
        <v>0</v>
      </c>
      <c r="B2218" s="1378" t="s">
        <v>1382</v>
      </c>
      <c r="C2218" s="1286"/>
      <c r="D2218" s="1274">
        <f>VLOOKUP($B2218,DG!A:D,DG!$B$2,)</f>
        <v>0</v>
      </c>
      <c r="E2218" s="1275" t="str">
        <f>VLOOKUP($B2218,DG!A:D,DG!$C$2,)</f>
        <v>Dây rút cáp</v>
      </c>
      <c r="F2218" s="1274" t="str">
        <f>VLOOKUP($B2218,DG!A:D,DG!$D$2,)</f>
        <v>bọc</v>
      </c>
      <c r="G2218" s="1276">
        <f>G2205*2</f>
        <v>0</v>
      </c>
      <c r="H2218" s="1353">
        <f t="shared" si="84"/>
        <v>0</v>
      </c>
      <c r="I2218" s="1277"/>
      <c r="J2218" s="1277"/>
      <c r="K2218" s="1278"/>
      <c r="L2218" s="1125">
        <v>630</v>
      </c>
    </row>
    <row r="2219" spans="1:12" s="1279" customFormat="1" ht="20.100000000000001" customHeight="1">
      <c r="A2219" s="1377">
        <f t="shared" si="85"/>
        <v>0</v>
      </c>
      <c r="B2219" s="1582"/>
      <c r="C2219" s="1280">
        <f>IF(G2219&gt;0,C2205+1,C2205)</f>
        <v>0</v>
      </c>
      <c r="D2219" s="1281"/>
      <c r="E2219" s="1292" t="s">
        <v>3843</v>
      </c>
      <c r="F2219" s="1280" t="s">
        <v>2449</v>
      </c>
      <c r="G2219" s="1283">
        <f>G2070</f>
        <v>0</v>
      </c>
      <c r="H2219" s="1353">
        <f t="shared" si="84"/>
        <v>0</v>
      </c>
      <c r="I2219" s="1277"/>
      <c r="J2219" s="1277"/>
      <c r="K2219" s="1312"/>
      <c r="L2219" s="1125">
        <v>630</v>
      </c>
    </row>
    <row r="2220" spans="1:12" s="1279" customFormat="1" ht="20.100000000000001" customHeight="1">
      <c r="A2220" s="1377">
        <f>IF(A2219&gt;0,1,0)</f>
        <v>0</v>
      </c>
      <c r="B2220" s="1582"/>
      <c r="C2220" s="1273"/>
      <c r="D2220" s="1284"/>
      <c r="E2220" s="1638" t="s">
        <v>2342</v>
      </c>
      <c r="F2220" s="1273"/>
      <c r="G2220" s="1293"/>
      <c r="H2220" s="1353">
        <f t="shared" si="84"/>
        <v>0</v>
      </c>
      <c r="I2220" s="1277"/>
      <c r="J2220" s="1277"/>
      <c r="K2220" s="1312"/>
      <c r="L2220" s="1125">
        <v>630</v>
      </c>
    </row>
    <row r="2221" spans="1:12" s="1279" customFormat="1" ht="20.100000000000001" customHeight="1">
      <c r="A2221" s="1377">
        <f t="shared" si="85"/>
        <v>0</v>
      </c>
      <c r="B2221" s="1378" t="s">
        <v>704</v>
      </c>
      <c r="C2221" s="1286"/>
      <c r="D2221" s="1274">
        <f>VLOOKUP($B2221,DG!A:D,DG!$B$2,)</f>
        <v>0</v>
      </c>
      <c r="E2221" s="1275" t="str">
        <f>VLOOKUP($B2221,DG!A:D,DG!$C$2,)&amp;": 9m/1pha"</f>
        <v>Cáp 24KV C/XLPE/PVC 25mm2: 9m/1pha</v>
      </c>
      <c r="F2221" s="1274" t="str">
        <f>VLOOKUP($B2221,DG!A:D,DG!$D$2,)</f>
        <v>mét</v>
      </c>
      <c r="G2221" s="1287">
        <f>G2219*(9)*3</f>
        <v>0</v>
      </c>
      <c r="H2221" s="1353">
        <f t="shared" si="84"/>
        <v>0</v>
      </c>
      <c r="I2221" s="1277"/>
      <c r="J2221" s="1277"/>
      <c r="K2221" s="1312"/>
      <c r="L2221" s="1125">
        <v>630</v>
      </c>
    </row>
    <row r="2222" spans="1:12" s="1279" customFormat="1" ht="20.100000000000001" customHeight="1">
      <c r="A2222" s="1377">
        <f t="shared" si="85"/>
        <v>0</v>
      </c>
      <c r="B2222" s="1378" t="s">
        <v>704</v>
      </c>
      <c r="C2222" s="1286"/>
      <c r="D2222" s="1274">
        <f>VLOOKUP($B2222,DG!A:D,DG!$B$2,)</f>
        <v>0</v>
      </c>
      <c r="E2222" s="1275" t="str">
        <f>VLOOKUP($B2222,DG!A:D,DG!$C$2,)&amp;": 1m/1pha ñaáu noái  LA"</f>
        <v>Cáp 24KV C/XLPE/PVC 25mm2: 1m/1pha ñaáu noái  LA</v>
      </c>
      <c r="F2222" s="1274" t="str">
        <f>VLOOKUP($B2222,DG!A:D,DG!$D$2,)</f>
        <v>mét</v>
      </c>
      <c r="G2222" s="1350">
        <f>G2219*3*1</f>
        <v>0</v>
      </c>
      <c r="H2222" s="1353">
        <f t="shared" ref="H2222:H2285" si="86">IF(L2222=$L$23,G2222+I2222-J2222,0)</f>
        <v>0</v>
      </c>
      <c r="I2222" s="1277"/>
      <c r="J2222" s="1277"/>
      <c r="K2222" s="1312"/>
      <c r="L2222" s="1125">
        <v>630</v>
      </c>
    </row>
    <row r="2223" spans="1:12" s="1279" customFormat="1" ht="20.100000000000001" customHeight="1">
      <c r="A2223" s="1377">
        <f t="shared" si="85"/>
        <v>0</v>
      </c>
      <c r="B2223" s="1378" t="s">
        <v>1145</v>
      </c>
      <c r="C2223" s="1286"/>
      <c r="D2223" s="1274">
        <f>VLOOKUP($B2223,DG!A:D,DG!$B$2,)</f>
        <v>0</v>
      </c>
      <c r="E2223" s="1275" t="str">
        <f>VLOOKUP($B2223,DG!A:D,DG!$C$2,)</f>
        <v>Kẹp ép cỡ dây 25mm2</v>
      </c>
      <c r="F2223" s="1274" t="str">
        <f>VLOOKUP($B2223,DG!A:D,DG!$D$2,)</f>
        <v>cái</v>
      </c>
      <c r="G2223" s="1344">
        <f>G2219*3*2</f>
        <v>0</v>
      </c>
      <c r="H2223" s="1353">
        <f t="shared" si="86"/>
        <v>0</v>
      </c>
      <c r="I2223" s="1277"/>
      <c r="J2223" s="1277"/>
      <c r="K2223" s="1278"/>
      <c r="L2223" s="1125">
        <v>630</v>
      </c>
    </row>
    <row r="2224" spans="1:12" s="1279" customFormat="1" ht="20.100000000000001" customHeight="1">
      <c r="A2224" s="1377">
        <f t="shared" si="85"/>
        <v>0</v>
      </c>
      <c r="B2224" s="1378" t="s">
        <v>554</v>
      </c>
      <c r="C2224" s="1286"/>
      <c r="D2224" s="1274">
        <f>VLOOKUP($B2224,DG!A:D,DG!$B$2,)</f>
        <v>0</v>
      </c>
      <c r="E2224" s="1275" t="str">
        <f>VLOOKUP($B2224,DG!A:D,DG!$C$2,)&amp;" + LA"</f>
        <v>Bass LI bắt FCO + LA</v>
      </c>
      <c r="F2224" s="1274" t="str">
        <f>VLOOKUP($B2224,DG!A:D,DG!$D$2,)</f>
        <v>Bộ</v>
      </c>
      <c r="G2224" s="1344">
        <f>G2219*3*2</f>
        <v>0</v>
      </c>
      <c r="H2224" s="1353">
        <f t="shared" si="86"/>
        <v>0</v>
      </c>
      <c r="I2224" s="1277"/>
      <c r="J2224" s="1277"/>
      <c r="K2224" s="1278"/>
      <c r="L2224" s="1125">
        <v>630</v>
      </c>
    </row>
    <row r="2225" spans="1:12" s="1279" customFormat="1" ht="20.100000000000001" customHeight="1">
      <c r="A2225" s="1377">
        <f t="shared" si="85"/>
        <v>0</v>
      </c>
      <c r="B2225" s="1378" t="s">
        <v>1531</v>
      </c>
      <c r="C2225" s="1286"/>
      <c r="D2225" s="1274" t="str">
        <f>VLOOKUP($B2225,DG!A:D,DG!$B$2,)</f>
        <v>04.3007</v>
      </c>
      <c r="E2225" s="1275" t="str">
        <f>VLOOKUP($B2225,DG!A:D,DG!$C$2,)</f>
        <v>Kẹp quai 2/0</v>
      </c>
      <c r="F2225" s="1274" t="str">
        <f>VLOOKUP($B2225,DG!A:D,DG!$D$2,)</f>
        <v>cái</v>
      </c>
      <c r="G2225" s="1344">
        <f>G2219*3</f>
        <v>0</v>
      </c>
      <c r="H2225" s="1353">
        <f t="shared" si="86"/>
        <v>0</v>
      </c>
      <c r="I2225" s="1277"/>
      <c r="J2225" s="1277"/>
      <c r="K2225" s="1312"/>
      <c r="L2225" s="1125">
        <v>630</v>
      </c>
    </row>
    <row r="2226" spans="1:12" s="1279" customFormat="1" ht="20.100000000000001" customHeight="1">
      <c r="A2226" s="1377">
        <f t="shared" si="85"/>
        <v>0</v>
      </c>
      <c r="B2226" s="1378" t="s">
        <v>1529</v>
      </c>
      <c r="C2226" s="1286"/>
      <c r="D2226" s="1274" t="str">
        <f>VLOOKUP($B2226,DG!A:D,DG!$B$2,)</f>
        <v>04.3007</v>
      </c>
      <c r="E2226" s="1275" t="str">
        <f>VLOOKUP($B2226,DG!A:D,DG!$C$2,)&amp;": "</f>
        <v xml:space="preserve">Kẹp hotline 2/0: </v>
      </c>
      <c r="F2226" s="1274" t="str">
        <f>VLOOKUP($B2226,DG!A:D,DG!$D$2,)</f>
        <v>cái</v>
      </c>
      <c r="G2226" s="1287">
        <f>G2225</f>
        <v>0</v>
      </c>
      <c r="H2226" s="1353">
        <f t="shared" si="86"/>
        <v>0</v>
      </c>
      <c r="I2226" s="1277"/>
      <c r="J2226" s="1277"/>
      <c r="K2226" s="1312"/>
      <c r="L2226" s="1125">
        <v>630</v>
      </c>
    </row>
    <row r="2227" spans="1:12" s="1279" customFormat="1" ht="20.100000000000001" customHeight="1">
      <c r="A2227" s="1377">
        <f t="shared" si="85"/>
        <v>0</v>
      </c>
      <c r="B2227" s="1378" t="s">
        <v>703</v>
      </c>
      <c r="C2227" s="1312"/>
      <c r="D2227" s="1274">
        <f>VLOOKUP($B2227,DG!A:D,DG!$B$2,)</f>
        <v>0</v>
      </c>
      <c r="E2227" s="1275" t="str">
        <f>VLOOKUP($B2227,DG!A:D,DG!$C$2,)</f>
        <v xml:space="preserve">Sứ đứng 24KV </v>
      </c>
      <c r="F2227" s="1274" t="str">
        <f>VLOOKUP($B2227,DG!A:D,DG!$D$2,)</f>
        <v>cái</v>
      </c>
      <c r="G2227" s="1287">
        <f>G2219*9</f>
        <v>0</v>
      </c>
      <c r="H2227" s="1353">
        <f t="shared" si="86"/>
        <v>0</v>
      </c>
      <c r="I2227" s="1277"/>
      <c r="J2227" s="1277"/>
      <c r="K2227" s="1312"/>
      <c r="L2227" s="1125">
        <v>630</v>
      </c>
    </row>
    <row r="2228" spans="1:12" s="1279" customFormat="1" ht="20.100000000000001" customHeight="1">
      <c r="A2228" s="1377">
        <f t="shared" si="85"/>
        <v>0</v>
      </c>
      <c r="B2228" s="1378" t="s">
        <v>1298</v>
      </c>
      <c r="C2228" s="1286"/>
      <c r="D2228" s="1274">
        <f>VLOOKUP($B2228,DG!A:D,DG!$B$2,)</f>
        <v>0</v>
      </c>
      <c r="E2228" s="1275" t="str">
        <f>VLOOKUP($B2228,DG!A:D,DG!$C$2,)</f>
        <v>Chân sứ đứng D20</v>
      </c>
      <c r="F2228" s="1274" t="str">
        <f>VLOOKUP($B2228,DG!A:D,DG!$D$2,)</f>
        <v>cái</v>
      </c>
      <c r="G2228" s="1287">
        <f>G2227</f>
        <v>0</v>
      </c>
      <c r="H2228" s="1353">
        <f t="shared" si="86"/>
        <v>0</v>
      </c>
      <c r="I2228" s="1277"/>
      <c r="J2228" s="1277"/>
      <c r="K2228" s="1312"/>
      <c r="L2228" s="1125">
        <v>630</v>
      </c>
    </row>
    <row r="2229" spans="1:12" s="1279" customFormat="1" ht="20.100000000000001" customHeight="1">
      <c r="A2229" s="1377">
        <f t="shared" si="85"/>
        <v>0</v>
      </c>
      <c r="B2229" s="1378" t="s">
        <v>442</v>
      </c>
      <c r="C2229" s="1286"/>
      <c r="D2229" s="1274">
        <f>VLOOKUP($B2229,DG!A:D,DG!$B$2,)</f>
        <v>0</v>
      </c>
      <c r="E2229" s="1275" t="str">
        <f>VLOOKUP($B2229,DG!A:D,DG!$C$2,)</f>
        <v>Sứ treo polymer</v>
      </c>
      <c r="F2229" s="1274" t="str">
        <f>VLOOKUP($B2229,DG!A:D,DG!$D$2,)</f>
        <v>chuỗi</v>
      </c>
      <c r="G2229" s="1344">
        <f>G2219*6*0</f>
        <v>0</v>
      </c>
      <c r="H2229" s="1353">
        <f t="shared" si="86"/>
        <v>0</v>
      </c>
      <c r="I2229" s="1277"/>
      <c r="J2229" s="1277"/>
      <c r="K2229" s="1312"/>
      <c r="L2229" s="1125">
        <v>630</v>
      </c>
    </row>
    <row r="2230" spans="1:12" s="1279" customFormat="1" ht="20.100000000000001" customHeight="1">
      <c r="A2230" s="1377">
        <f t="shared" si="85"/>
        <v>0</v>
      </c>
      <c r="B2230" s="1378" t="s">
        <v>1617</v>
      </c>
      <c r="C2230" s="1286"/>
      <c r="D2230" s="1274" t="str">
        <f>VLOOKUP($B2230,DG!A:D,DG!$B$2,)</f>
        <v>06.1115</v>
      </c>
      <c r="E2230" s="1275" t="str">
        <f>VLOOKUP($B2230,DG!A:D,DG!$C$2,)</f>
        <v>Lắp sứ đứng 24KV</v>
      </c>
      <c r="F2230" s="1274" t="str">
        <f>VLOOKUP($B2230,DG!A:D,DG!$D$2,)</f>
        <v>bộ</v>
      </c>
      <c r="G2230" s="1287">
        <f>G2228</f>
        <v>0</v>
      </c>
      <c r="H2230" s="1353">
        <f t="shared" si="86"/>
        <v>0</v>
      </c>
      <c r="I2230" s="1277"/>
      <c r="J2230" s="1277"/>
      <c r="K2230" s="1312"/>
      <c r="L2230" s="1125">
        <v>630</v>
      </c>
    </row>
    <row r="2231" spans="1:12" s="1279" customFormat="1" ht="20.100000000000001" customHeight="1">
      <c r="A2231" s="1377">
        <f t="shared" si="85"/>
        <v>0</v>
      </c>
      <c r="B2231" s="1378" t="s">
        <v>236</v>
      </c>
      <c r="C2231" s="1286"/>
      <c r="D2231" s="1274" t="str">
        <f>VLOOKUP($B2231,DG!A:D,DG!$B$2,)</f>
        <v>06.1115</v>
      </c>
      <c r="E2231" s="1275" t="str">
        <f>VLOOKUP($B2231,DG!A:D,DG!$C$2,)</f>
        <v>Tháo sứ đứng 24KV</v>
      </c>
      <c r="F2231" s="1274" t="str">
        <f>VLOOKUP($B2231,DG!A:D,DG!$D$2,)</f>
        <v>bộ</v>
      </c>
      <c r="G2231" s="1287"/>
      <c r="H2231" s="1353">
        <f t="shared" si="86"/>
        <v>0</v>
      </c>
      <c r="I2231" s="1277"/>
      <c r="J2231" s="1277"/>
      <c r="K2231" s="1312"/>
      <c r="L2231" s="1125">
        <v>630</v>
      </c>
    </row>
    <row r="2232" spans="1:12" s="1279" customFormat="1" ht="20.100000000000001" customHeight="1">
      <c r="A2232" s="1377">
        <f t="shared" si="85"/>
        <v>0</v>
      </c>
      <c r="B2232" s="1378" t="s">
        <v>1559</v>
      </c>
      <c r="C2232" s="1286"/>
      <c r="D2232" s="1274" t="str">
        <f>VLOOKUP($B2232,DG!A:D,DG!$B$2,)</f>
        <v>06.2201</v>
      </c>
      <c r="E2232" s="1275" t="str">
        <f>VLOOKUP($B2232,DG!A:D,DG!$C$2,)</f>
        <v>Lắp chuỗi sứ néo Polymer</v>
      </c>
      <c r="F2232" s="1274" t="str">
        <f>VLOOKUP($B2232,DG!A:D,DG!$D$2,)</f>
        <v>chuỗi</v>
      </c>
      <c r="G2232" s="1287">
        <f>G2229</f>
        <v>0</v>
      </c>
      <c r="H2232" s="1353">
        <f t="shared" si="86"/>
        <v>0</v>
      </c>
      <c r="I2232" s="1277"/>
      <c r="J2232" s="1277"/>
      <c r="K2232" s="1312"/>
      <c r="L2232" s="1125">
        <v>630</v>
      </c>
    </row>
    <row r="2233" spans="1:12" s="1279" customFormat="1" ht="20.100000000000001" customHeight="1">
      <c r="A2233" s="1377">
        <f t="shared" si="85"/>
        <v>0</v>
      </c>
      <c r="B2233" s="1378" t="s">
        <v>1577</v>
      </c>
      <c r="C2233" s="1286"/>
      <c r="D2233" s="1274" t="str">
        <f>VLOOKUP($B2233,DG!A:D,DG!$B$2,)</f>
        <v>04.4201</v>
      </c>
      <c r="E2233" s="1275" t="str">
        <f>VLOOKUP($B2233,DG!A:D,DG!$C$2,)</f>
        <v>Lắp cáp đồng xuống thiết bị D ≤ 95mm2</v>
      </c>
      <c r="F2233" s="1274" t="str">
        <f>VLOOKUP($B2233,DG!A:D,DG!$D$2,)</f>
        <v>m</v>
      </c>
      <c r="G2233" s="1287">
        <f>G2221+G2222</f>
        <v>0</v>
      </c>
      <c r="H2233" s="1353">
        <f t="shared" si="86"/>
        <v>0</v>
      </c>
      <c r="I2233" s="1277"/>
      <c r="J2233" s="1277"/>
      <c r="K2233" s="1312"/>
      <c r="L2233" s="1125">
        <v>630</v>
      </c>
    </row>
    <row r="2234" spans="1:12" s="1279" customFormat="1" ht="20.100000000000001" customHeight="1">
      <c r="A2234" s="1377">
        <f t="shared" si="85"/>
        <v>0</v>
      </c>
      <c r="B2234" s="1582"/>
      <c r="C2234" s="1280">
        <f>IF(G2234&gt;0,C2219+1,C2219)</f>
        <v>0</v>
      </c>
      <c r="D2234" s="1281"/>
      <c r="E2234" s="1292" t="s">
        <v>3807</v>
      </c>
      <c r="F2234" s="1280" t="s">
        <v>2449</v>
      </c>
      <c r="G2234" s="1283">
        <f>G2099*0</f>
        <v>0</v>
      </c>
      <c r="H2234" s="1353">
        <f t="shared" si="86"/>
        <v>0</v>
      </c>
      <c r="I2234" s="1277"/>
      <c r="J2234" s="1277"/>
      <c r="K2234" s="1278"/>
      <c r="L2234" s="1125">
        <v>630</v>
      </c>
    </row>
    <row r="2235" spans="1:12" s="1279" customFormat="1" ht="20.100000000000001" customHeight="1">
      <c r="A2235" s="1377">
        <f>IF(A2234&gt;0,1,0)</f>
        <v>0</v>
      </c>
      <c r="B2235" s="1582"/>
      <c r="C2235" s="1273"/>
      <c r="D2235" s="1284"/>
      <c r="E2235" s="1638" t="s">
        <v>2342</v>
      </c>
      <c r="F2235" s="1273"/>
      <c r="G2235" s="1293"/>
      <c r="H2235" s="1353">
        <f t="shared" si="86"/>
        <v>0</v>
      </c>
      <c r="I2235" s="1277"/>
      <c r="J2235" s="1277"/>
      <c r="K2235" s="1278"/>
      <c r="L2235" s="1125">
        <v>630</v>
      </c>
    </row>
    <row r="2236" spans="1:12" s="1279" customFormat="1" ht="20.100000000000001" customHeight="1">
      <c r="A2236" s="1377">
        <f t="shared" si="85"/>
        <v>0</v>
      </c>
      <c r="B2236" s="1582" t="s">
        <v>1541</v>
      </c>
      <c r="C2236" s="1286"/>
      <c r="D2236" s="1274" t="str">
        <f>VLOOKUP($B2236,DG!A:D,DG!$B$2,)</f>
        <v>04.8003</v>
      </c>
      <c r="E2236" s="1275" t="str">
        <f>VLOOKUP($B2236,DG!A:D,DG!$C$2,)</f>
        <v xml:space="preserve">Ống PVC D90x3,8mm </v>
      </c>
      <c r="F2236" s="1274" t="str">
        <f>VLOOKUP($B2236,DG!A:D,DG!$D$2,)</f>
        <v>m</v>
      </c>
      <c r="G2236" s="1287">
        <f>G2234*2</f>
        <v>0</v>
      </c>
      <c r="H2236" s="1353">
        <f t="shared" si="86"/>
        <v>0</v>
      </c>
      <c r="I2236" s="1277"/>
      <c r="J2236" s="1277"/>
      <c r="K2236" s="1278"/>
      <c r="L2236" s="1125">
        <v>630</v>
      </c>
    </row>
    <row r="2237" spans="1:12" s="1279" customFormat="1" ht="20.100000000000001" customHeight="1">
      <c r="A2237" s="1377">
        <f t="shared" si="85"/>
        <v>0</v>
      </c>
      <c r="B2237" s="1582" t="s">
        <v>86</v>
      </c>
      <c r="C2237" s="1286"/>
      <c r="D2237" s="1274">
        <f>VLOOKUP($B2237,DG!A:D,DG!$B$2,)</f>
        <v>0</v>
      </c>
      <c r="E2237" s="1275" t="str">
        <f>VLOOKUP($B2237,DG!A:D,DG!$C$2,)</f>
        <v>Co  90 độ PVC 90</v>
      </c>
      <c r="F2237" s="1274" t="str">
        <f>VLOOKUP($B2237,DG!A:D,DG!$D$2,)</f>
        <v>cái</v>
      </c>
      <c r="G2237" s="1287">
        <f>G2234</f>
        <v>0</v>
      </c>
      <c r="H2237" s="1353">
        <f t="shared" si="86"/>
        <v>0</v>
      </c>
      <c r="I2237" s="1277"/>
      <c r="J2237" s="1277"/>
      <c r="K2237" s="1278"/>
      <c r="L2237" s="1125">
        <v>630</v>
      </c>
    </row>
    <row r="2238" spans="1:12" s="1279" customFormat="1" ht="20.100000000000001" customHeight="1">
      <c r="A2238" s="1377">
        <f t="shared" si="85"/>
        <v>0</v>
      </c>
      <c r="B2238" s="1582" t="s">
        <v>948</v>
      </c>
      <c r="C2238" s="1286"/>
      <c r="D2238" s="1274">
        <f>VLOOKUP($B2238,DG!A:D,DG!$B$2,)</f>
        <v>0</v>
      </c>
      <c r="E2238" s="1275" t="str">
        <f>VLOOKUP($B2238,DG!A:D,DG!$C$2,)</f>
        <v>Khâu ven răng trong D90</v>
      </c>
      <c r="F2238" s="1274" t="str">
        <f>VLOOKUP($B2238,DG!A:D,DG!$D$2,)</f>
        <v>cái</v>
      </c>
      <c r="G2238" s="1287">
        <f>G2234*2</f>
        <v>0</v>
      </c>
      <c r="H2238" s="1353">
        <f t="shared" si="86"/>
        <v>0</v>
      </c>
      <c r="I2238" s="1277"/>
      <c r="J2238" s="1277"/>
      <c r="K2238" s="1278"/>
      <c r="L2238" s="1125">
        <v>630</v>
      </c>
    </row>
    <row r="2239" spans="1:12" s="1279" customFormat="1" ht="20.100000000000001" customHeight="1">
      <c r="A2239" s="1377">
        <f t="shared" si="85"/>
        <v>0</v>
      </c>
      <c r="B2239" s="1582" t="s">
        <v>947</v>
      </c>
      <c r="C2239" s="1286"/>
      <c r="D2239" s="1274">
        <f>VLOOKUP($B2239,DG!A:D,DG!$B$2,)</f>
        <v>0</v>
      </c>
      <c r="E2239" s="1275" t="str">
        <f>VLOOKUP($B2239,DG!A:D,DG!$C$2,)</f>
        <v>Khâu ven răng ngoài D90</v>
      </c>
      <c r="F2239" s="1274" t="str">
        <f>VLOOKUP($B2239,DG!A:D,DG!$D$2,)</f>
        <v>cái</v>
      </c>
      <c r="G2239" s="1287">
        <f>G2238</f>
        <v>0</v>
      </c>
      <c r="H2239" s="1353">
        <f t="shared" si="86"/>
        <v>0</v>
      </c>
      <c r="I2239" s="1277"/>
      <c r="J2239" s="1277"/>
      <c r="K2239" s="1278"/>
      <c r="L2239" s="1125">
        <v>630</v>
      </c>
    </row>
    <row r="2240" spans="1:12" s="1279" customFormat="1" ht="20.100000000000001" customHeight="1">
      <c r="A2240" s="1377">
        <f t="shared" si="85"/>
        <v>0</v>
      </c>
      <c r="B2240" s="1378"/>
      <c r="C2240" s="1280">
        <f>IF(G2240&gt;0,C2234+1,C2234)</f>
        <v>0</v>
      </c>
      <c r="D2240" s="1281"/>
      <c r="E2240" s="1292" t="s">
        <v>3827</v>
      </c>
      <c r="F2240" s="1280" t="s">
        <v>2449</v>
      </c>
      <c r="G2240" s="1351">
        <f>G2179</f>
        <v>0</v>
      </c>
      <c r="H2240" s="1353">
        <f t="shared" si="86"/>
        <v>0</v>
      </c>
      <c r="I2240" s="1277"/>
      <c r="J2240" s="1277"/>
      <c r="K2240" s="1312"/>
      <c r="L2240" s="1125">
        <v>630</v>
      </c>
    </row>
    <row r="2241" spans="1:12" s="1279" customFormat="1" ht="20.100000000000001" customHeight="1">
      <c r="A2241" s="1377">
        <f>IF(A2240&gt;0,1,0)</f>
        <v>0</v>
      </c>
      <c r="B2241" s="1378"/>
      <c r="C2241" s="1273"/>
      <c r="D2241" s="1284"/>
      <c r="E2241" s="1638" t="s">
        <v>2342</v>
      </c>
      <c r="F2241" s="1273"/>
      <c r="G2241" s="1287"/>
      <c r="H2241" s="1353">
        <f t="shared" si="86"/>
        <v>0</v>
      </c>
      <c r="I2241" s="1277"/>
      <c r="J2241" s="1277"/>
      <c r="K2241" s="1312"/>
      <c r="L2241" s="1125">
        <v>630</v>
      </c>
    </row>
    <row r="2242" spans="1:12" s="1279" customFormat="1" ht="20.100000000000001" customHeight="1">
      <c r="A2242" s="1377">
        <f t="shared" si="85"/>
        <v>0</v>
      </c>
      <c r="B2242" s="1625" t="s">
        <v>613</v>
      </c>
      <c r="C2242" s="1286"/>
      <c r="D2242" s="1274">
        <f>VLOOKUP($B2242,DG!A:D,DG!$B$2,)</f>
        <v>0</v>
      </c>
      <c r="E2242" s="1275" t="e">
        <f>VLOOKUP($B2242,DG!A:D,DG!$C$2,)&amp;":  "&amp;#REF!&amp;" x 8m/pha "</f>
        <v>#REF!</v>
      </c>
      <c r="F2242" s="1274" t="str">
        <f>VLOOKUP($B2242,DG!A:D,DG!$D$2,)</f>
        <v>mét</v>
      </c>
      <c r="G2242" s="1348">
        <f>8*3*G2240*K15</f>
        <v>0</v>
      </c>
      <c r="H2242" s="1353">
        <f t="shared" si="86"/>
        <v>0</v>
      </c>
      <c r="I2242" s="1277"/>
      <c r="J2242" s="1277"/>
      <c r="K2242" s="1312"/>
      <c r="L2242" s="1125">
        <v>630</v>
      </c>
    </row>
    <row r="2243" spans="1:12" s="1279" customFormat="1" ht="20.100000000000001" customHeight="1">
      <c r="A2243" s="1377">
        <f t="shared" si="85"/>
        <v>0</v>
      </c>
      <c r="B2243" s="1625" t="s">
        <v>34</v>
      </c>
      <c r="C2243" s="1286"/>
      <c r="D2243" s="1274">
        <f>VLOOKUP($B2243,DG!A:D,DG!$B$2,)</f>
        <v>0</v>
      </c>
      <c r="E2243" s="1275" t="e">
        <f>VLOOKUP($B2243,DG!A:D,DG!$C$2,)&amp;":  "&amp;#REF!&amp;" x 8m/trung tính "</f>
        <v>#REF!</v>
      </c>
      <c r="F2243" s="1274" t="str">
        <f>VLOOKUP($B2243,DG!A:D,DG!$D$2,)</f>
        <v>mét</v>
      </c>
      <c r="G2243" s="1348">
        <f>8*G2240</f>
        <v>0</v>
      </c>
      <c r="H2243" s="1353">
        <f t="shared" si="86"/>
        <v>0</v>
      </c>
      <c r="I2243" s="1277"/>
      <c r="J2243" s="1277"/>
      <c r="K2243" s="1312"/>
      <c r="L2243" s="1125">
        <v>630</v>
      </c>
    </row>
    <row r="2244" spans="1:12" s="1279" customFormat="1" ht="20.100000000000001" customHeight="1">
      <c r="A2244" s="1377">
        <f t="shared" si="85"/>
        <v>0</v>
      </c>
      <c r="B2244" s="1582" t="s">
        <v>450</v>
      </c>
      <c r="C2244" s="1286"/>
      <c r="D2244" s="1274" t="str">
        <f>VLOOKUP($B2244,DG!A:D,DG!$B$2,)</f>
        <v>03.4008</v>
      </c>
      <c r="E2244" s="1275" t="str">
        <f>VLOOKUP($B2244,DG!A:D,DG!$C$2,)&amp;": "</f>
        <v xml:space="preserve">Đầu cosse ép Cu 200mm2: </v>
      </c>
      <c r="F2244" s="1274" t="str">
        <f>VLOOKUP($B2244,DG!A:D,DG!$D$2,)</f>
        <v>cái</v>
      </c>
      <c r="G2244" s="1843"/>
      <c r="H2244" s="1353">
        <f t="shared" si="86"/>
        <v>0</v>
      </c>
      <c r="I2244" s="1277"/>
      <c r="J2244" s="1277"/>
      <c r="K2244" s="1312"/>
      <c r="L2244" s="1125">
        <v>630</v>
      </c>
    </row>
    <row r="2245" spans="1:12" s="1279" customFormat="1" ht="20.100000000000001" customHeight="1">
      <c r="A2245" s="1377">
        <f t="shared" si="85"/>
        <v>0</v>
      </c>
      <c r="B2245" s="1582" t="s">
        <v>2217</v>
      </c>
      <c r="C2245" s="1286"/>
      <c r="D2245" s="1274" t="str">
        <f>VLOOKUP($B2245,DG!A:D,DG!$B$2,)</f>
        <v>03.4006</v>
      </c>
      <c r="E2245" s="1275" t="str">
        <f>VLOOKUP($B2245,DG!A:D,DG!$C$2,)&amp;": "</f>
        <v xml:space="preserve">Đầu cosse ép Cu 150mm2: </v>
      </c>
      <c r="F2245" s="1274" t="str">
        <f>VLOOKUP($B2245,DG!A:D,DG!$D$2,)</f>
        <v>cái</v>
      </c>
      <c r="G2245" s="1287">
        <f>G2240*2</f>
        <v>0</v>
      </c>
      <c r="H2245" s="1353">
        <f t="shared" si="86"/>
        <v>0</v>
      </c>
      <c r="I2245" s="1277"/>
      <c r="J2245" s="1277"/>
      <c r="K2245" s="1312"/>
      <c r="L2245" s="1125">
        <v>630</v>
      </c>
    </row>
    <row r="2246" spans="1:12" s="1279" customFormat="1" ht="20.100000000000001" customHeight="1">
      <c r="A2246" s="1377">
        <f t="shared" si="85"/>
        <v>0</v>
      </c>
      <c r="B2246" s="1582" t="s">
        <v>615</v>
      </c>
      <c r="C2246" s="1286"/>
      <c r="D2246" s="1274">
        <f>VLOOKUP($B2246,DG!A:D,DG!$B$2,)</f>
        <v>0</v>
      </c>
      <c r="E2246" s="1275" t="str">
        <f>VLOOKUP($B2246,DG!A:D,DG!$C$2,)&amp;": "</f>
        <v xml:space="preserve">Chụp đầu cosse  200mm2: </v>
      </c>
      <c r="F2246" s="1274" t="str">
        <f>VLOOKUP($B2246,DG!A:D,DG!$D$2,)</f>
        <v>cái</v>
      </c>
      <c r="G2246" s="1287">
        <f>G2244</f>
        <v>0</v>
      </c>
      <c r="H2246" s="1353">
        <f t="shared" si="86"/>
        <v>0</v>
      </c>
      <c r="I2246" s="1277"/>
      <c r="J2246" s="1277"/>
      <c r="K2246" s="1312"/>
      <c r="L2246" s="1125">
        <v>630</v>
      </c>
    </row>
    <row r="2247" spans="1:12" s="1279" customFormat="1" ht="20.100000000000001" customHeight="1">
      <c r="A2247" s="1377">
        <f t="shared" si="85"/>
        <v>0</v>
      </c>
      <c r="B2247" s="1582" t="s">
        <v>91</v>
      </c>
      <c r="C2247" s="1286"/>
      <c r="D2247" s="1274">
        <f>VLOOKUP($B2247,DG!A:D,DG!$B$2,)</f>
        <v>0</v>
      </c>
      <c r="E2247" s="1275" t="str">
        <f>VLOOKUP($B2247,DG!A:D,DG!$C$2,)&amp;": "</f>
        <v xml:space="preserve">Chụp đầu cosse  150mm2: </v>
      </c>
      <c r="F2247" s="1274" t="str">
        <f>VLOOKUP($B2247,DG!A:D,DG!$D$2,)</f>
        <v>cái</v>
      </c>
      <c r="G2247" s="1287">
        <f>G2245</f>
        <v>0</v>
      </c>
      <c r="H2247" s="1353">
        <f t="shared" si="86"/>
        <v>0</v>
      </c>
      <c r="I2247" s="1277"/>
      <c r="J2247" s="1277"/>
      <c r="K2247" s="1312"/>
      <c r="L2247" s="1125">
        <v>630</v>
      </c>
    </row>
    <row r="2248" spans="1:12" s="1279" customFormat="1" ht="20.100000000000001" customHeight="1">
      <c r="A2248" s="1377">
        <f t="shared" si="85"/>
        <v>0</v>
      </c>
      <c r="B2248" s="1582" t="s">
        <v>1072</v>
      </c>
      <c r="C2248" s="1286"/>
      <c r="D2248" s="1274">
        <f>VLOOKUP($B2248,DG!A:D,DG!$B$2,)</f>
        <v>0</v>
      </c>
      <c r="E2248" s="1275" t="str">
        <f>VLOOKUP($B2248,DG!A:D,DG!$C$2,)</f>
        <v xml:space="preserve">Ống PVC D114x4,9mm </v>
      </c>
      <c r="F2248" s="1274" t="str">
        <f>VLOOKUP($B2248,DG!A:D,DG!$D$2,)</f>
        <v>m</v>
      </c>
      <c r="G2248" s="1842"/>
      <c r="H2248" s="1353">
        <f t="shared" si="86"/>
        <v>0</v>
      </c>
      <c r="I2248" s="1277"/>
      <c r="J2248" s="1277"/>
      <c r="K2248" s="1312"/>
      <c r="L2248" s="1125">
        <v>630</v>
      </c>
    </row>
    <row r="2249" spans="1:12" s="1279" customFormat="1" ht="20.100000000000001" customHeight="1">
      <c r="A2249" s="1377">
        <f t="shared" si="85"/>
        <v>0</v>
      </c>
      <c r="B2249" s="1378" t="s">
        <v>739</v>
      </c>
      <c r="C2249" s="1286"/>
      <c r="D2249" s="1274" t="str">
        <f>VLOOKUP($B2249,DG!A:D,DG!$B$2,)</f>
        <v>06.3231</v>
      </c>
      <c r="E2249" s="1275" t="str">
        <f>VLOOKUP($B2249,DG!A:D,DG!$C$2,)&amp;": CD-250"</f>
        <v>Cổ dê kẹp ống PVC Ø 114: CD-250</v>
      </c>
      <c r="F2249" s="1274" t="str">
        <f>VLOOKUP($B2249,DG!A:D,DG!$D$2,)</f>
        <v>bộ</v>
      </c>
      <c r="G2249" s="1345">
        <f>G2240*1.031</f>
        <v>0</v>
      </c>
      <c r="H2249" s="1353">
        <f t="shared" si="86"/>
        <v>0</v>
      </c>
      <c r="I2249" s="1277"/>
      <c r="J2249" s="1277"/>
      <c r="K2249" s="1312"/>
      <c r="L2249" s="1125">
        <v>630</v>
      </c>
    </row>
    <row r="2250" spans="1:12" s="1279" customFormat="1" ht="20.100000000000001" customHeight="1">
      <c r="A2250" s="1377">
        <f t="shared" si="85"/>
        <v>0</v>
      </c>
      <c r="B2250" s="1378" t="s">
        <v>739</v>
      </c>
      <c r="C2250" s="1286"/>
      <c r="D2250" s="1274" t="str">
        <f>VLOOKUP($B2250,DG!A:D,DG!$B$2,)</f>
        <v>06.3231</v>
      </c>
      <c r="E2250" s="1275" t="str">
        <f>VLOOKUP($B2250,DG!A:D,DG!$C$2,)&amp;": CD-250"</f>
        <v>Cổ dê kẹp ống PVC Ø 114: CD-250</v>
      </c>
      <c r="F2250" s="1274" t="str">
        <f>VLOOKUP($B2250,DG!A:D,DG!$D$2,)</f>
        <v>bộ</v>
      </c>
      <c r="G2250" s="1345">
        <f>G2240*1.031</f>
        <v>0</v>
      </c>
      <c r="H2250" s="1353">
        <f t="shared" si="86"/>
        <v>0</v>
      </c>
      <c r="I2250" s="1277"/>
      <c r="J2250" s="1277"/>
      <c r="K2250" s="1312"/>
      <c r="L2250" s="1125">
        <v>630</v>
      </c>
    </row>
    <row r="2251" spans="1:12" s="1279" customFormat="1" ht="20.100000000000001" customHeight="1">
      <c r="A2251" s="1377">
        <f t="shared" si="85"/>
        <v>0</v>
      </c>
      <c r="B2251" s="1378" t="s">
        <v>739</v>
      </c>
      <c r="C2251" s="1286"/>
      <c r="D2251" s="1274" t="str">
        <f>VLOOKUP($B2251,DG!A:D,DG!$B$2,)</f>
        <v>06.3231</v>
      </c>
      <c r="E2251" s="1275" t="str">
        <f>VLOOKUP($B2251,DG!A:D,DG!$C$2,)&amp;": CD-280"</f>
        <v>Cổ dê kẹp ống PVC Ø 114: CD-280</v>
      </c>
      <c r="F2251" s="1274" t="str">
        <f>VLOOKUP($B2251,DG!A:D,DG!$D$2,)</f>
        <v>bộ</v>
      </c>
      <c r="G2251" s="1345">
        <f>G2240*1.031</f>
        <v>0</v>
      </c>
      <c r="H2251" s="1353">
        <f t="shared" si="86"/>
        <v>0</v>
      </c>
      <c r="I2251" s="1277"/>
      <c r="J2251" s="1277"/>
      <c r="K2251" s="1312"/>
      <c r="L2251" s="1125">
        <v>630</v>
      </c>
    </row>
    <row r="2252" spans="1:12" s="1279" customFormat="1" ht="20.100000000000001" customHeight="1">
      <c r="A2252" s="1377">
        <f t="shared" si="85"/>
        <v>0</v>
      </c>
      <c r="B2252" s="1378" t="s">
        <v>1161</v>
      </c>
      <c r="C2252" s="1286"/>
      <c r="D2252" s="1274" t="str">
        <f>VLOOKUP($B2252,DG!A:D,DG!$B$2,)</f>
        <v>06.2110</v>
      </c>
      <c r="E2252" s="1275" t="str">
        <f>VLOOKUP($B2252,DG!A:D,DG!$C$2,)&amp;": CD-280"</f>
        <v>Lắp cổ dề: CD-280</v>
      </c>
      <c r="F2252" s="1274" t="str">
        <f>VLOOKUP($B2252,DG!A:D,DG!$D$2,)</f>
        <v>bộ</v>
      </c>
      <c r="G2252" s="1345">
        <f>G2241*1.031</f>
        <v>0</v>
      </c>
      <c r="H2252" s="1353">
        <f t="shared" si="86"/>
        <v>0</v>
      </c>
      <c r="I2252" s="1277"/>
      <c r="J2252" s="1277"/>
      <c r="K2252" s="1312"/>
      <c r="L2252" s="1125">
        <v>630</v>
      </c>
    </row>
    <row r="2253" spans="1:12" s="1279" customFormat="1" ht="20.100000000000001" customHeight="1">
      <c r="A2253" s="1377">
        <f t="shared" si="85"/>
        <v>0</v>
      </c>
      <c r="B2253" s="1615" t="s">
        <v>139</v>
      </c>
      <c r="C2253" s="1286"/>
      <c r="D2253" s="1274">
        <f>VLOOKUP($B2253,DG!A:D,DG!$B$2,)</f>
        <v>0</v>
      </c>
      <c r="E2253" s="1275" t="str">
        <f>VLOOKUP($B2253,DG!A:D,DG!$C$2,)</f>
        <v>Boulon 12x40+ 2 long đền vuông D14-50x50x3/Zn</v>
      </c>
      <c r="F2253" s="1274" t="str">
        <f>VLOOKUP($B2253,DG!A:D,DG!$D$2,)</f>
        <v>bộ</v>
      </c>
      <c r="G2253" s="1287">
        <f>G2240*6</f>
        <v>0</v>
      </c>
      <c r="H2253" s="1353">
        <f t="shared" si="86"/>
        <v>0</v>
      </c>
      <c r="I2253" s="1277"/>
      <c r="J2253" s="1277"/>
      <c r="K2253" s="1312"/>
      <c r="L2253" s="1125">
        <v>630</v>
      </c>
    </row>
    <row r="2254" spans="1:12" s="1279" customFormat="1" ht="20.100000000000001" customHeight="1">
      <c r="A2254" s="1377">
        <f t="shared" si="85"/>
        <v>0</v>
      </c>
      <c r="B2254" s="1582" t="s">
        <v>2229</v>
      </c>
      <c r="C2254" s="1286"/>
      <c r="D2254" s="1274">
        <f>VLOOKUP($B2254,DG!A:D,DG!$B$2,)</f>
        <v>0</v>
      </c>
      <c r="E2254" s="1275" t="str">
        <f>VLOOKUP($B2254,DG!A:D,DG!$C$2,)</f>
        <v>Khâu ven răng trong D114</v>
      </c>
      <c r="F2254" s="1274" t="str">
        <f>VLOOKUP($B2254,DG!A:D,DG!$D$2,)</f>
        <v>cái</v>
      </c>
      <c r="G2254" s="1287">
        <f>IF(G2248&gt;0,G2240*#REF!,)</f>
        <v>0</v>
      </c>
      <c r="H2254" s="1353">
        <f t="shared" si="86"/>
        <v>0</v>
      </c>
      <c r="I2254" s="1277"/>
      <c r="J2254" s="1277"/>
      <c r="K2254" s="1312"/>
      <c r="L2254" s="1125">
        <v>630</v>
      </c>
    </row>
    <row r="2255" spans="1:12" s="1279" customFormat="1" ht="20.100000000000001" customHeight="1">
      <c r="A2255" s="1377">
        <f t="shared" si="85"/>
        <v>0</v>
      </c>
      <c r="B2255" s="1582" t="s">
        <v>2230</v>
      </c>
      <c r="C2255" s="1286"/>
      <c r="D2255" s="1274">
        <f>VLOOKUP($B2255,DG!A:D,DG!$B$2,)</f>
        <v>0</v>
      </c>
      <c r="E2255" s="1275" t="str">
        <f>VLOOKUP($B2255,DG!A:D,DG!$C$2,)&amp;": "</f>
        <v xml:space="preserve">Khâu ven răng ngoài D114: </v>
      </c>
      <c r="F2255" s="1274" t="str">
        <f>VLOOKUP($B2255,DG!A:D,DG!$D$2,)</f>
        <v>cái</v>
      </c>
      <c r="G2255" s="1287">
        <f>G2254</f>
        <v>0</v>
      </c>
      <c r="H2255" s="1353">
        <f t="shared" si="86"/>
        <v>0</v>
      </c>
      <c r="I2255" s="1277"/>
      <c r="J2255" s="1277"/>
      <c r="K2255" s="1312"/>
      <c r="L2255" s="1125">
        <v>630</v>
      </c>
    </row>
    <row r="2256" spans="1:12" s="1279" customFormat="1" ht="20.100000000000001" customHeight="1">
      <c r="A2256" s="1377">
        <f t="shared" ref="A2256:A2317" si="87">IF(H2256&gt;0,1,0)</f>
        <v>0</v>
      </c>
      <c r="B2256" s="1582" t="s">
        <v>2136</v>
      </c>
      <c r="C2256" s="1286"/>
      <c r="D2256" s="1274">
        <f>VLOOKUP($B2256,DG!A:D,DG!$B$2,)</f>
        <v>0</v>
      </c>
      <c r="E2256" s="1275" t="str">
        <f>VLOOKUP($B2256,DG!A:D,DG!$C$2,)&amp;": "</f>
        <v xml:space="preserve">Keo dán ống PVC (100gr): </v>
      </c>
      <c r="F2256" s="1274" t="str">
        <f>VLOOKUP($B2256,DG!A:D,DG!$D$2,)</f>
        <v>tuýp</v>
      </c>
      <c r="G2256" s="1287">
        <f>IF(G2248&gt;0,G2240*#REF!,)</f>
        <v>0</v>
      </c>
      <c r="H2256" s="1353">
        <f t="shared" si="86"/>
        <v>0</v>
      </c>
      <c r="I2256" s="1277"/>
      <c r="J2256" s="1277"/>
      <c r="K2256" s="1312"/>
      <c r="L2256" s="1125">
        <v>630</v>
      </c>
    </row>
    <row r="2257" spans="1:12" s="1279" customFormat="1" ht="20.100000000000001" customHeight="1">
      <c r="A2257" s="1377">
        <f t="shared" si="87"/>
        <v>0</v>
      </c>
      <c r="B2257" s="1378" t="s">
        <v>6</v>
      </c>
      <c r="C2257" s="1286"/>
      <c r="D2257" s="1274"/>
      <c r="E2257" s="1275" t="str">
        <f>VLOOKUP($B2257,DG!A:D,DG!$C$2,)&amp;":"</f>
        <v>Keo silicon bít miệng ống:</v>
      </c>
      <c r="F2257" s="1274" t="str">
        <f>VLOOKUP($B2257,DG!A:D,DG!$D$2,)</f>
        <v>ống</v>
      </c>
      <c r="G2257" s="1843"/>
      <c r="H2257" s="1353">
        <f t="shared" si="86"/>
        <v>0</v>
      </c>
      <c r="I2257" s="1277"/>
      <c r="J2257" s="1277"/>
      <c r="K2257" s="1278"/>
      <c r="L2257" s="1125">
        <v>630</v>
      </c>
    </row>
    <row r="2258" spans="1:12" s="1279" customFormat="1" ht="20.100000000000001" customHeight="1">
      <c r="A2258" s="1377">
        <f t="shared" si="87"/>
        <v>0</v>
      </c>
      <c r="B2258" s="1582" t="s">
        <v>1875</v>
      </c>
      <c r="C2258" s="1286"/>
      <c r="D2258" s="1274" t="str">
        <f>VLOOKUP($B2258,DG!A:D,DG!$B$2,)</f>
        <v>03.1401</v>
      </c>
      <c r="E2258" s="1275" t="str">
        <f>VLOOKUP($B2258,DG!A:D,DG!$C$2,)</f>
        <v xml:space="preserve">Cáp CVV 4x2,5mm2  </v>
      </c>
      <c r="F2258" s="1274" t="str">
        <f>VLOOKUP($B2258,DG!A:D,DG!$D$2,)</f>
        <v>mét</v>
      </c>
      <c r="G2258" s="1843"/>
      <c r="H2258" s="1353">
        <f t="shared" si="86"/>
        <v>0</v>
      </c>
      <c r="I2258" s="1277"/>
      <c r="J2258" s="1277"/>
      <c r="K2258" s="1278"/>
      <c r="L2258" s="1125">
        <v>630</v>
      </c>
    </row>
    <row r="2259" spans="1:12" s="1279" customFormat="1" ht="20.100000000000001" customHeight="1">
      <c r="A2259" s="1377">
        <f t="shared" si="87"/>
        <v>0</v>
      </c>
      <c r="B2259" s="1582" t="s">
        <v>1381</v>
      </c>
      <c r="C2259" s="1286"/>
      <c r="D2259" s="1274">
        <f>VLOOKUP($B2259,DG!A:D,DG!$B$2,)</f>
        <v>0</v>
      </c>
      <c r="E2259" s="1275" t="str">
        <f>VLOOKUP($B2259,DG!A:D,DG!$C$2,)</f>
        <v>Dây rút cáp</v>
      </c>
      <c r="F2259" s="1274" t="str">
        <f>VLOOKUP($B2259,DG!A:D,DG!$D$2,)</f>
        <v>bọc</v>
      </c>
      <c r="G2259" s="1843"/>
      <c r="H2259" s="1353">
        <f t="shared" si="86"/>
        <v>0</v>
      </c>
      <c r="I2259" s="1277"/>
      <c r="J2259" s="1277"/>
      <c r="K2259" s="1278"/>
      <c r="L2259" s="1125">
        <v>630</v>
      </c>
    </row>
    <row r="2260" spans="1:12" s="1279" customFormat="1" ht="20.100000000000001" customHeight="1">
      <c r="A2260" s="1377">
        <f t="shared" si="87"/>
        <v>0</v>
      </c>
      <c r="B2260" s="1378" t="s">
        <v>677</v>
      </c>
      <c r="C2260" s="1286"/>
      <c r="D2260" s="1274">
        <f>VLOOKUP($B2260,DG!A:D,DG!$B$2,)</f>
        <v>0</v>
      </c>
      <c r="E2260" s="1275" t="str">
        <f>VLOOKUP($B2260,DG!A:D,DG!$C$2,)&amp;":"</f>
        <v>Băng keo cách điện:</v>
      </c>
      <c r="F2260" s="1274" t="str">
        <f>VLOOKUP($B2260,DG!A:D,DG!$D$2,)</f>
        <v>cuộn</v>
      </c>
      <c r="G2260" s="1843"/>
      <c r="H2260" s="1353">
        <f t="shared" si="86"/>
        <v>0</v>
      </c>
      <c r="I2260" s="1277"/>
      <c r="J2260" s="1277"/>
      <c r="K2260" s="1312"/>
      <c r="L2260" s="1125">
        <v>630</v>
      </c>
    </row>
    <row r="2261" spans="1:12" s="1279" customFormat="1" ht="20.100000000000001" customHeight="1">
      <c r="A2261" s="1377">
        <f t="shared" si="87"/>
        <v>0</v>
      </c>
      <c r="B2261" s="1378" t="s">
        <v>1443</v>
      </c>
      <c r="C2261" s="1286"/>
      <c r="D2261" s="1274" t="str">
        <f>VLOOKUP($B2261,DG!A:D,DG!$B$2,)</f>
        <v>05.6101</v>
      </c>
      <c r="E2261" s="1275" t="str">
        <f>VLOOKUP($B2261,DG!A:D,DG!$C$2,)&amp;":"</f>
        <v>Lắp Giá đỡ cáp:</v>
      </c>
      <c r="F2261" s="1274" t="str">
        <f>VLOOKUP($B2261,DG!A:D,DG!$D$2,)</f>
        <v>bộ</v>
      </c>
      <c r="G2261" s="1287"/>
      <c r="H2261" s="1353">
        <f t="shared" si="86"/>
        <v>0</v>
      </c>
      <c r="I2261" s="1277"/>
      <c r="J2261" s="1277"/>
      <c r="K2261" s="1312"/>
      <c r="L2261" s="1125">
        <v>630</v>
      </c>
    </row>
    <row r="2262" spans="1:12" s="1279" customFormat="1" ht="20.100000000000001" customHeight="1">
      <c r="A2262" s="1377">
        <f t="shared" si="87"/>
        <v>0</v>
      </c>
      <c r="B2262" s="1378" t="s">
        <v>248</v>
      </c>
      <c r="C2262" s="1286"/>
      <c r="D2262" s="1274" t="str">
        <f>VLOOKUP($B2262,DG!A:D,DG!$B$2,)</f>
        <v>04.4203</v>
      </c>
      <c r="E2262" s="1275" t="str">
        <f>VLOOKUP($B2262,DG!A:D,DG!$C$2,)&amp;":"</f>
        <v>Lắp cáp đồng xuống thiết bị D &gt; 150mm2:</v>
      </c>
      <c r="F2262" s="1274" t="str">
        <f>VLOOKUP($B2262,DG!A:D,DG!$D$2,)</f>
        <v>m</v>
      </c>
      <c r="G2262" s="1287">
        <f>G2242+G2243</f>
        <v>0</v>
      </c>
      <c r="H2262" s="1353">
        <f t="shared" si="86"/>
        <v>0</v>
      </c>
      <c r="I2262" s="1277"/>
      <c r="J2262" s="1277"/>
      <c r="K2262" s="1312"/>
      <c r="L2262" s="1125">
        <v>630</v>
      </c>
    </row>
    <row r="2263" spans="1:12" s="1279" customFormat="1" ht="20.100000000000001" customHeight="1">
      <c r="A2263" s="1377">
        <f t="shared" si="87"/>
        <v>0</v>
      </c>
      <c r="B2263" s="1378" t="s">
        <v>2059</v>
      </c>
      <c r="C2263" s="1286"/>
      <c r="D2263" s="1274" t="str">
        <f>VLOOKUP($B2263,DG!A:D,DG!$B$2,)</f>
        <v>04.4202</v>
      </c>
      <c r="E2263" s="1275" t="str">
        <f>VLOOKUP($B2263,DG!A:D,DG!$C$2,)&amp;":"</f>
        <v>Lắp cáp đồng xuống thiết bị D ≤ 150mm2:</v>
      </c>
      <c r="F2263" s="1274" t="str">
        <f>VLOOKUP($B2263,DG!A:D,DG!$D$2,)</f>
        <v>m</v>
      </c>
      <c r="G2263" s="1287"/>
      <c r="H2263" s="1353">
        <f t="shared" si="86"/>
        <v>0</v>
      </c>
      <c r="I2263" s="1277"/>
      <c r="J2263" s="1277"/>
      <c r="K2263" s="1278"/>
      <c r="L2263" s="1125">
        <v>630</v>
      </c>
    </row>
    <row r="2264" spans="1:12" s="1279" customFormat="1" ht="20.100000000000001" customHeight="1">
      <c r="A2264" s="1377">
        <f t="shared" si="87"/>
        <v>0</v>
      </c>
      <c r="B2264" s="1378" t="s">
        <v>243</v>
      </c>
      <c r="C2264" s="1286"/>
      <c r="D2264" s="1274">
        <f>VLOOKUP($B2264,DG!A:D,DG!$B$2,)</f>
        <v>0</v>
      </c>
      <c r="E2264" s="1275" t="str">
        <f>VLOOKUP($B2264,DG!A:D,DG!$C$2,)&amp;":"</f>
        <v>Bộ móng tủ bù 0,2x0,2x0,4x4móng:</v>
      </c>
      <c r="F2264" s="1274" t="str">
        <f>VLOOKUP($B2264,DG!A:D,DG!$D$2,)</f>
        <v>trọn bộ</v>
      </c>
      <c r="G2264" s="1287">
        <f>G2240*1*0</f>
        <v>0</v>
      </c>
      <c r="H2264" s="1353">
        <f t="shared" si="86"/>
        <v>0</v>
      </c>
      <c r="I2264" s="1277"/>
      <c r="J2264" s="1277"/>
      <c r="K2264" s="1278"/>
      <c r="L2264" s="1125">
        <v>630</v>
      </c>
    </row>
    <row r="2265" spans="1:12" s="1279" customFormat="1" ht="20.100000000000001" customHeight="1">
      <c r="A2265" s="1377">
        <f t="shared" si="87"/>
        <v>0</v>
      </c>
      <c r="B2265" s="1378"/>
      <c r="C2265" s="1280">
        <f>IF(G2265&gt;0,C2240+1,C2240)</f>
        <v>0</v>
      </c>
      <c r="D2265" s="1281"/>
      <c r="E2265" s="1292" t="s">
        <v>3828</v>
      </c>
      <c r="F2265" s="1280" t="s">
        <v>2449</v>
      </c>
      <c r="G2265" s="1843"/>
      <c r="H2265" s="1353">
        <f t="shared" si="86"/>
        <v>0</v>
      </c>
      <c r="I2265" s="1277"/>
      <c r="J2265" s="1277"/>
      <c r="K2265" s="1312"/>
      <c r="L2265" s="1125">
        <v>630</v>
      </c>
    </row>
    <row r="2266" spans="1:12" s="1352" customFormat="1" ht="20.100000000000001" customHeight="1">
      <c r="A2266" s="1377">
        <f>IF(A2265&gt;0,1,0)</f>
        <v>0</v>
      </c>
      <c r="B2266" s="1626"/>
      <c r="C2266" s="1273"/>
      <c r="D2266" s="1284"/>
      <c r="E2266" s="1638" t="s">
        <v>2342</v>
      </c>
      <c r="F2266" s="1273"/>
      <c r="G2266" s="1293"/>
      <c r="H2266" s="1353">
        <f t="shared" si="86"/>
        <v>0</v>
      </c>
      <c r="I2266" s="1277"/>
      <c r="J2266" s="1277"/>
      <c r="K2266" s="1312"/>
      <c r="L2266" s="1125">
        <v>630</v>
      </c>
    </row>
    <row r="2267" spans="1:12" s="1279" customFormat="1" ht="20.100000000000001" customHeight="1">
      <c r="A2267" s="1377">
        <f t="shared" si="87"/>
        <v>0</v>
      </c>
      <c r="B2267" s="1582" t="s">
        <v>1875</v>
      </c>
      <c r="C2267" s="1312"/>
      <c r="D2267" s="1274" t="str">
        <f>VLOOKUP($B2267,DG!A:D,DG!$B$2,)</f>
        <v>03.1401</v>
      </c>
      <c r="E2267" s="1310" t="str">
        <f>VLOOKUP($B2267,DG!A:D,DG!$C$2,)</f>
        <v xml:space="preserve">Cáp CVV 4x2,5mm2  </v>
      </c>
      <c r="F2267" s="1353" t="str">
        <f>VLOOKUP($B2267,DG!A:D,DG!$D$2,)</f>
        <v>mét</v>
      </c>
      <c r="G2267" s="1287">
        <f>G2265*26</f>
        <v>0</v>
      </c>
      <c r="H2267" s="1353">
        <f t="shared" si="86"/>
        <v>0</v>
      </c>
      <c r="I2267" s="1342"/>
      <c r="J2267" s="1342"/>
      <c r="K2267" s="1312"/>
      <c r="L2267" s="1125">
        <v>630</v>
      </c>
    </row>
    <row r="2268" spans="1:12" s="1279" customFormat="1" ht="20.100000000000001" customHeight="1">
      <c r="A2268" s="1377">
        <f t="shared" si="87"/>
        <v>0</v>
      </c>
      <c r="B2268" s="1582" t="s">
        <v>247</v>
      </c>
      <c r="C2268" s="1312"/>
      <c r="D2268" s="1274" t="str">
        <f>VLOOKUP($B2268,DG!A:D,DG!$B$2,)</f>
        <v>05.6101</v>
      </c>
      <c r="E2268" s="1310" t="str">
        <f>VLOOKUP($B2268,DG!A:D,DG!$C$2,)</f>
        <v>Xà kẹp TU, TI U50x32x4 350</v>
      </c>
      <c r="F2268" s="1353" t="str">
        <f>VLOOKUP($B2268,DG!A:D,DG!$D$2,)</f>
        <v>Bộ</v>
      </c>
      <c r="G2268" s="1287">
        <f>G2265*24</f>
        <v>0</v>
      </c>
      <c r="H2268" s="1353">
        <f t="shared" si="86"/>
        <v>0</v>
      </c>
      <c r="I2268" s="1342"/>
      <c r="J2268" s="1342"/>
      <c r="K2268" s="1312"/>
      <c r="L2268" s="1125">
        <v>630</v>
      </c>
    </row>
    <row r="2269" spans="1:12" s="1279" customFormat="1" ht="20.100000000000001" customHeight="1">
      <c r="A2269" s="1377">
        <f t="shared" si="87"/>
        <v>0</v>
      </c>
      <c r="B2269" s="1582" t="s">
        <v>1918</v>
      </c>
      <c r="C2269" s="1286"/>
      <c r="D2269" s="1274" t="str">
        <f>VLOOKUP($B2269,DG!A:D,DG!$B$2,)</f>
        <v>03.4001</v>
      </c>
      <c r="E2269" s="1310" t="str">
        <f>VLOOKUP($B2269,DG!A:D,DG!$C$2,)</f>
        <v xml:space="preserve">Đầu cosse ép Cu 2,5mm2 + bao PVC </v>
      </c>
      <c r="F2269" s="1353" t="str">
        <f>VLOOKUP($B2269,DG!A:D,DG!$D$2,)</f>
        <v>cái</v>
      </c>
      <c r="G2269" s="1287">
        <f>G2265*16</f>
        <v>0</v>
      </c>
      <c r="H2269" s="1353">
        <f t="shared" si="86"/>
        <v>0</v>
      </c>
      <c r="I2269" s="1342"/>
      <c r="J2269" s="1342"/>
      <c r="K2269" s="1312"/>
      <c r="L2269" s="1125">
        <v>630</v>
      </c>
    </row>
    <row r="2270" spans="1:12" s="1279" customFormat="1" ht="20.100000000000001" customHeight="1">
      <c r="A2270" s="1377">
        <f t="shared" si="87"/>
        <v>0</v>
      </c>
      <c r="B2270" s="1582" t="s">
        <v>1562</v>
      </c>
      <c r="C2270" s="1286"/>
      <c r="D2270" s="1274">
        <f>VLOOKUP($B2270,DG!A:D,DG!$B$2,)</f>
        <v>0</v>
      </c>
      <c r="E2270" s="1310" t="str">
        <f>VLOOKUP($B2270,DG!A:D,DG!$C$2,)</f>
        <v>Dây điện đôi 16/10</v>
      </c>
      <c r="F2270" s="1353" t="str">
        <f>VLOOKUP($B2270,DG!A:D,DG!$D$2,)</f>
        <v>mét</v>
      </c>
      <c r="G2270" s="1287">
        <f>2*G2265</f>
        <v>0</v>
      </c>
      <c r="H2270" s="1353">
        <f t="shared" si="86"/>
        <v>0</v>
      </c>
      <c r="I2270" s="1342"/>
      <c r="J2270" s="1342"/>
      <c r="K2270" s="1312"/>
      <c r="L2270" s="1125">
        <v>630</v>
      </c>
    </row>
    <row r="2271" spans="1:12" s="1279" customFormat="1" ht="20.100000000000001" customHeight="1">
      <c r="A2271" s="1377">
        <f t="shared" si="87"/>
        <v>0</v>
      </c>
      <c r="B2271" s="1582" t="s">
        <v>1144</v>
      </c>
      <c r="C2271" s="1286"/>
      <c r="D2271" s="1274">
        <f>VLOOKUP($B2271,DG!A:D,DG!$B$2,)</f>
        <v>0</v>
      </c>
      <c r="E2271" s="1310" t="str">
        <f>VLOOKUP($B2271,DG!A:D,DG!$C$2,)&amp;" (ñaáu TU )"</f>
        <v>Kẹp ép cỡ dây 25mm2 (ñaáu TU )</v>
      </c>
      <c r="F2271" s="1353" t="str">
        <f>VLOOKUP($B2271,DG!A:D,DG!$D$2,)</f>
        <v>cái</v>
      </c>
      <c r="G2271" s="1287">
        <f>+G2265*3</f>
        <v>0</v>
      </c>
      <c r="H2271" s="1353">
        <f t="shared" si="86"/>
        <v>0</v>
      </c>
      <c r="I2271" s="1342"/>
      <c r="J2271" s="1342"/>
      <c r="K2271" s="1312"/>
      <c r="L2271" s="1125">
        <v>630</v>
      </c>
    </row>
    <row r="2272" spans="1:12" s="1279" customFormat="1" ht="20.100000000000001" customHeight="1">
      <c r="A2272" s="1377">
        <f t="shared" si="87"/>
        <v>0</v>
      </c>
      <c r="B2272" s="1582" t="s">
        <v>2203</v>
      </c>
      <c r="C2272" s="1286"/>
      <c r="D2272" s="1274" t="str">
        <f>VLOOKUP($B2272,DG!A:D,DG!$B$2,)</f>
        <v>07.2403</v>
      </c>
      <c r="E2272" s="1310" t="str">
        <f>VLOOKUP($B2272,DG!A:D,DG!$C$2,)</f>
        <v>Ống PVC D42x2,1mm</v>
      </c>
      <c r="F2272" s="1353" t="str">
        <f>VLOOKUP($B2272,DG!A:D,DG!$D$2,)</f>
        <v>m</v>
      </c>
      <c r="G2272" s="1287">
        <f>G2265*16</f>
        <v>0</v>
      </c>
      <c r="H2272" s="1353">
        <f t="shared" si="86"/>
        <v>0</v>
      </c>
      <c r="I2272" s="1342"/>
      <c r="J2272" s="1342"/>
      <c r="K2272" s="1312"/>
      <c r="L2272" s="1125">
        <v>630</v>
      </c>
    </row>
    <row r="2273" spans="1:12" s="1279" customFormat="1" ht="20.100000000000001" customHeight="1">
      <c r="A2273" s="1377">
        <f t="shared" si="87"/>
        <v>0</v>
      </c>
      <c r="B2273" s="1378" t="s">
        <v>205</v>
      </c>
      <c r="C2273" s="1286"/>
      <c r="D2273" s="1274" t="str">
        <f>VLOOKUP($B2273,DG!A:D,DG!$B$2,)</f>
        <v>06.3231</v>
      </c>
      <c r="E2273" s="1310" t="str">
        <f>VLOOKUP($B2273,DG!A:D,DG!$C$2,)</f>
        <v>Cổ dê giữ ống PVC D42</v>
      </c>
      <c r="F2273" s="1353" t="str">
        <f>VLOOKUP($B2273,DG!A:D,DG!$D$2,)</f>
        <v>bộ</v>
      </c>
      <c r="G2273" s="1287">
        <f>G2265*4</f>
        <v>0</v>
      </c>
      <c r="H2273" s="1353">
        <f t="shared" si="86"/>
        <v>0</v>
      </c>
      <c r="I2273" s="1342"/>
      <c r="J2273" s="1342"/>
      <c r="K2273" s="1312"/>
      <c r="L2273" s="1125">
        <v>630</v>
      </c>
    </row>
    <row r="2274" spans="1:12" s="1279" customFormat="1" ht="20.100000000000001" customHeight="1">
      <c r="A2274" s="1377">
        <f t="shared" si="87"/>
        <v>0</v>
      </c>
      <c r="B2274" s="1582" t="s">
        <v>1668</v>
      </c>
      <c r="C2274" s="1286"/>
      <c r="D2274" s="1274">
        <f>VLOOKUP($B2274,DG!A:D,DG!$B$2,)</f>
        <v>0</v>
      </c>
      <c r="E2274" s="1310" t="str">
        <f>VLOOKUP($B2274,DG!A:D,DG!$C$2,)</f>
        <v>Co 90 độ PVC 42</v>
      </c>
      <c r="F2274" s="1353" t="str">
        <f>VLOOKUP($B2274,DG!A:D,DG!$D$2,)</f>
        <v>cái</v>
      </c>
      <c r="G2274" s="1287">
        <f>G2265*5</f>
        <v>0</v>
      </c>
      <c r="H2274" s="1353">
        <f t="shared" si="86"/>
        <v>0</v>
      </c>
      <c r="I2274" s="1342"/>
      <c r="J2274" s="1342"/>
      <c r="K2274" s="1312"/>
      <c r="L2274" s="1125">
        <v>630</v>
      </c>
    </row>
    <row r="2275" spans="1:12" s="1279" customFormat="1" ht="20.100000000000001" customHeight="1">
      <c r="A2275" s="1377">
        <f t="shared" si="87"/>
        <v>0</v>
      </c>
      <c r="B2275" s="1582" t="s">
        <v>1080</v>
      </c>
      <c r="C2275" s="1286"/>
      <c r="D2275" s="1274">
        <f>VLOOKUP($B2275,DG!A:D,DG!$B$2,)</f>
        <v>0</v>
      </c>
      <c r="E2275" s="1310" t="str">
        <f>VLOOKUP($B2275,DG!A:D,DG!$C$2,)</f>
        <v>Co chữ T ống PVC 42</v>
      </c>
      <c r="F2275" s="1353" t="str">
        <f>VLOOKUP($B2275,DG!A:D,DG!$D$2,)</f>
        <v>cái</v>
      </c>
      <c r="G2275" s="1287">
        <f>G2265*5</f>
        <v>0</v>
      </c>
      <c r="H2275" s="1353">
        <f t="shared" si="86"/>
        <v>0</v>
      </c>
      <c r="I2275" s="1342"/>
      <c r="J2275" s="1342"/>
      <c r="K2275" s="1312"/>
      <c r="L2275" s="1125">
        <v>630</v>
      </c>
    </row>
    <row r="2276" spans="1:12" s="1279" customFormat="1" ht="20.100000000000001" customHeight="1">
      <c r="A2276" s="1377">
        <f t="shared" si="87"/>
        <v>0</v>
      </c>
      <c r="B2276" s="1582" t="s">
        <v>1966</v>
      </c>
      <c r="C2276" s="1286"/>
      <c r="D2276" s="1274">
        <f>VLOOKUP($B2276,DG!A:D,DG!$B$2,)</f>
        <v>0</v>
      </c>
      <c r="E2276" s="1310" t="str">
        <f>VLOOKUP($B2276,DG!A:D,DG!$C$2,)</f>
        <v>Nối thẳng ống PVC 42</v>
      </c>
      <c r="F2276" s="1353" t="str">
        <f>VLOOKUP($B2276,DG!A:D,DG!$D$2,)</f>
        <v>cái</v>
      </c>
      <c r="G2276" s="1287">
        <f>G2265</f>
        <v>0</v>
      </c>
      <c r="H2276" s="1353">
        <f t="shared" si="86"/>
        <v>0</v>
      </c>
      <c r="I2276" s="1342"/>
      <c r="J2276" s="1342"/>
      <c r="K2276" s="1312"/>
      <c r="L2276" s="1125">
        <v>630</v>
      </c>
    </row>
    <row r="2277" spans="1:12" s="1279" customFormat="1" ht="20.100000000000001" customHeight="1">
      <c r="A2277" s="1377">
        <f t="shared" si="87"/>
        <v>0</v>
      </c>
      <c r="B2277" s="1582" t="s">
        <v>704</v>
      </c>
      <c r="C2277" s="1286"/>
      <c r="D2277" s="1274">
        <f>VLOOKUP($B2277,DG!A:D,DG!$B$2,)</f>
        <v>0</v>
      </c>
      <c r="E2277" s="1310" t="str">
        <f>VLOOKUP($B2277,DG!A:D,DG!$C$2,)&amp;" ñaáu TU"</f>
        <v>Cáp 24KV C/XLPE/PVC 25mm2 ñaáu TU</v>
      </c>
      <c r="F2277" s="1353" t="str">
        <f>VLOOKUP($B2277,DG!A:D,DG!$D$2,)</f>
        <v>mét</v>
      </c>
      <c r="G2277" s="1348">
        <f>G2265*2.5*3*0</f>
        <v>0</v>
      </c>
      <c r="H2277" s="1353">
        <f t="shared" si="86"/>
        <v>0</v>
      </c>
      <c r="I2277" s="1342"/>
      <c r="J2277" s="1342"/>
      <c r="K2277" s="1312"/>
      <c r="L2277" s="1125">
        <v>630</v>
      </c>
    </row>
    <row r="2278" spans="1:12" s="1279" customFormat="1" ht="20.100000000000001" customHeight="1">
      <c r="A2278" s="1377">
        <f t="shared" si="87"/>
        <v>0</v>
      </c>
      <c r="B2278" s="1582" t="s">
        <v>734</v>
      </c>
      <c r="C2278" s="1286"/>
      <c r="D2278" s="1274">
        <f>VLOOKUP($B2278,DG!A:D,DG!$B$2,)</f>
        <v>0</v>
      </c>
      <c r="E2278" s="1310" t="str">
        <f>VLOOKUP($B2278,DG!A:D,DG!$C$2,)</f>
        <v>Keo dán ống PVC (500gr)</v>
      </c>
      <c r="F2278" s="1353" t="str">
        <f>VLOOKUP($B2278,DG!A:D,DG!$D$2,)</f>
        <v>lon</v>
      </c>
      <c r="G2278" s="1287">
        <f>G2265</f>
        <v>0</v>
      </c>
      <c r="H2278" s="1353">
        <f t="shared" si="86"/>
        <v>0</v>
      </c>
      <c r="I2278" s="1342"/>
      <c r="J2278" s="1342"/>
      <c r="K2278" s="1312"/>
      <c r="L2278" s="1125">
        <v>630</v>
      </c>
    </row>
    <row r="2279" spans="1:12" s="1279" customFormat="1" ht="20.100000000000001" customHeight="1">
      <c r="A2279" s="1377">
        <f t="shared" si="87"/>
        <v>0</v>
      </c>
      <c r="B2279" s="1378" t="s">
        <v>677</v>
      </c>
      <c r="C2279" s="1286"/>
      <c r="D2279" s="1274">
        <f>VLOOKUP($B2279,DG!A:D,DG!$B$2,)</f>
        <v>0</v>
      </c>
      <c r="E2279" s="1310" t="str">
        <f>VLOOKUP($B2279,DG!A:D,DG!$C$2,)</f>
        <v>Băng keo cách điện</v>
      </c>
      <c r="F2279" s="1353" t="str">
        <f>VLOOKUP($B2279,DG!A:D,DG!$D$2,)</f>
        <v>cuộn</v>
      </c>
      <c r="G2279" s="1287">
        <f>G2265</f>
        <v>0</v>
      </c>
      <c r="H2279" s="1353">
        <f t="shared" si="86"/>
        <v>0</v>
      </c>
      <c r="I2279" s="1277"/>
      <c r="J2279" s="1277"/>
      <c r="K2279" s="1312"/>
      <c r="L2279" s="1125">
        <v>630</v>
      </c>
    </row>
    <row r="2280" spans="1:12" s="1279" customFormat="1" ht="20.100000000000001" customHeight="1">
      <c r="A2280" s="1377">
        <f t="shared" si="87"/>
        <v>0</v>
      </c>
      <c r="B2280" s="1582" t="s">
        <v>2182</v>
      </c>
      <c r="C2280" s="1286"/>
      <c r="D2280" s="1274">
        <f>VLOOKUP($B2280,DG!A:D,DG!$B$2,)</f>
        <v>0</v>
      </c>
      <c r="E2280" s="1310" t="str">
        <f>VLOOKUP($B2280,DG!A:D,DG!$C$2,)</f>
        <v>Khâu ven răng trong D42</v>
      </c>
      <c r="F2280" s="1353" t="str">
        <f>VLOOKUP($B2280,DG!A:D,DG!$D$2,)</f>
        <v>cái</v>
      </c>
      <c r="G2280" s="1287">
        <f>G2265</f>
        <v>0</v>
      </c>
      <c r="H2280" s="1353">
        <f t="shared" si="86"/>
        <v>0</v>
      </c>
      <c r="I2280" s="1277"/>
      <c r="J2280" s="1277"/>
      <c r="K2280" s="1312"/>
      <c r="L2280" s="1125">
        <v>630</v>
      </c>
    </row>
    <row r="2281" spans="1:12" s="1279" customFormat="1" ht="20.100000000000001" customHeight="1">
      <c r="A2281" s="1377">
        <f t="shared" si="87"/>
        <v>0</v>
      </c>
      <c r="B2281" s="1378" t="s">
        <v>989</v>
      </c>
      <c r="C2281" s="1286"/>
      <c r="D2281" s="1274">
        <f>VLOOKUP($B2281,DG!A:D,DG!$B$2,)</f>
        <v>0</v>
      </c>
      <c r="E2281" s="1310" t="str">
        <f>VLOOKUP($B2281,DG!A:D,DG!$C$2,)</f>
        <v>Khâu ven răng ngoài D42</v>
      </c>
      <c r="F2281" s="1353" t="str">
        <f>VLOOKUP($B2281,DG!A:D,DG!$D$2,)</f>
        <v>cái</v>
      </c>
      <c r="G2281" s="1287">
        <f>G2265</f>
        <v>0</v>
      </c>
      <c r="H2281" s="1353">
        <f t="shared" si="86"/>
        <v>0</v>
      </c>
      <c r="I2281" s="1277"/>
      <c r="J2281" s="1277"/>
      <c r="K2281" s="1312"/>
      <c r="L2281" s="1125">
        <v>630</v>
      </c>
    </row>
    <row r="2282" spans="1:12" s="1279" customFormat="1" ht="20.100000000000001" customHeight="1">
      <c r="A2282" s="1377">
        <f t="shared" si="87"/>
        <v>0</v>
      </c>
      <c r="B2282" s="1378" t="s">
        <v>320</v>
      </c>
      <c r="C2282" s="1286"/>
      <c r="D2282" s="1274" t="str">
        <f>VLOOKUP($B2282,DG!A:D,DG!$B$2,)</f>
        <v>06.3231</v>
      </c>
      <c r="E2282" s="1310" t="str">
        <f>VLOOKUP($B2282,DG!A:D,DG!$C$2,)</f>
        <v>Cổ dê CDĐKĐT( bắt thùng điện kế)</v>
      </c>
      <c r="F2282" s="1353" t="str">
        <f>VLOOKUP($B2282,DG!A:D,DG!$D$2,)</f>
        <v>bộ</v>
      </c>
      <c r="G2282" s="1344">
        <f>G2265*2*0</f>
        <v>0</v>
      </c>
      <c r="H2282" s="1353">
        <f t="shared" si="86"/>
        <v>0</v>
      </c>
      <c r="I2282" s="1277"/>
      <c r="J2282" s="1277"/>
      <c r="K2282" s="1278"/>
      <c r="L2282" s="1125">
        <v>630</v>
      </c>
    </row>
    <row r="2283" spans="1:12" s="1279" customFormat="1" ht="20.100000000000001" customHeight="1">
      <c r="A2283" s="1377">
        <f t="shared" si="87"/>
        <v>0</v>
      </c>
      <c r="B2283" s="1378" t="s">
        <v>1968</v>
      </c>
      <c r="C2283" s="1286"/>
      <c r="D2283" s="1274" t="str">
        <f>VLOOKUP($B2283,DG!A:D,DG!$B$2,)</f>
        <v>05.1101</v>
      </c>
      <c r="E2283" s="1310" t="str">
        <f>VLOOKUP($B2283,DG!A:D,DG!$C$2,)</f>
        <v>Thùng điện kế 450x300x200mm đo đếm trung thế</v>
      </c>
      <c r="F2283" s="1353" t="str">
        <f>VLOOKUP($B2283,DG!A:D,DG!$D$2,)</f>
        <v>cái</v>
      </c>
      <c r="G2283" s="1287">
        <f>G2265*0</f>
        <v>0</v>
      </c>
      <c r="H2283" s="1353">
        <f t="shared" si="86"/>
        <v>0</v>
      </c>
      <c r="I2283" s="1277"/>
      <c r="J2283" s="1277"/>
      <c r="K2283" s="1312"/>
      <c r="L2283" s="1125">
        <v>630</v>
      </c>
    </row>
    <row r="2284" spans="1:12" s="1279" customFormat="1" ht="20.100000000000001" customHeight="1">
      <c r="A2284" s="1377">
        <f t="shared" si="87"/>
        <v>0</v>
      </c>
      <c r="B2284" s="1378" t="s">
        <v>6</v>
      </c>
      <c r="C2284" s="1286"/>
      <c r="D2284" s="1274">
        <f>VLOOKUP($B2284,DG!A:D,DG!$B$2,)</f>
        <v>0</v>
      </c>
      <c r="E2284" s="1310" t="str">
        <f>VLOOKUP($B2284,DG!A:D,DG!$C$2,)</f>
        <v>Keo silicon bít miệng ống</v>
      </c>
      <c r="F2284" s="1353" t="str">
        <f>VLOOKUP($B2284,DG!A:D,DG!$D$2,)</f>
        <v>ống</v>
      </c>
      <c r="G2284" s="1287">
        <f>G2265</f>
        <v>0</v>
      </c>
      <c r="H2284" s="1353">
        <f t="shared" si="86"/>
        <v>0</v>
      </c>
      <c r="I2284" s="1277"/>
      <c r="J2284" s="1277"/>
      <c r="K2284" s="1312"/>
      <c r="L2284" s="1125">
        <v>630</v>
      </c>
    </row>
    <row r="2285" spans="1:12" s="1279" customFormat="1" ht="20.100000000000001" customHeight="1">
      <c r="A2285" s="1377">
        <f t="shared" si="87"/>
        <v>0</v>
      </c>
      <c r="B2285" s="1378" t="s">
        <v>2201</v>
      </c>
      <c r="C2285" s="1286"/>
      <c r="D2285" s="1274">
        <f>VLOOKUP($B2285,DG!A:D,DG!$B$2,)</f>
        <v>0</v>
      </c>
      <c r="E2285" s="1310" t="str">
        <f>VLOOKUP($B2285,DG!A:D,DG!$C$2,)</f>
        <v>Dây đồng trần mềm dẹt</v>
      </c>
      <c r="F2285" s="1353" t="str">
        <f>VLOOKUP($B2285,DG!A:D,DG!$D$2,)</f>
        <v>mét</v>
      </c>
      <c r="G2285" s="1287">
        <f>G2265*4</f>
        <v>0</v>
      </c>
      <c r="H2285" s="1353">
        <f t="shared" si="86"/>
        <v>0</v>
      </c>
      <c r="I2285" s="1277"/>
      <c r="J2285" s="1277"/>
      <c r="K2285" s="1312"/>
      <c r="L2285" s="1125">
        <v>630</v>
      </c>
    </row>
    <row r="2286" spans="1:12" s="1279" customFormat="1" ht="20.100000000000001" customHeight="1">
      <c r="A2286" s="1377">
        <f t="shared" si="87"/>
        <v>0</v>
      </c>
      <c r="B2286" s="1378" t="s">
        <v>1249</v>
      </c>
      <c r="C2286" s="1286"/>
      <c r="D2286" s="1274" t="str">
        <f>VLOOKUP($B2286,DG!A:D,DG!$B$2,)</f>
        <v>06.3191</v>
      </c>
      <c r="E2286" s="1310" t="str">
        <f>VLOOKUP($B2286,DG!A:D,DG!$C$2,)</f>
        <v>Bảng tên trạm, bảng báo nguy hiểm + đinh vít</v>
      </c>
      <c r="F2286" s="1353" t="str">
        <f>VLOOKUP($B2286,DG!A:D,DG!$D$2,)</f>
        <v>bộ</v>
      </c>
      <c r="G2286" s="1276">
        <f>G2265</f>
        <v>0</v>
      </c>
      <c r="H2286" s="1353">
        <f t="shared" ref="H2286:H2349" si="88">IF(L2286=$L$23,G2286+I2286-J2286,0)</f>
        <v>0</v>
      </c>
      <c r="I2286" s="1277"/>
      <c r="J2286" s="1277"/>
      <c r="K2286" s="1312"/>
      <c r="L2286" s="1125">
        <v>630</v>
      </c>
    </row>
    <row r="2287" spans="1:12" s="1279" customFormat="1" ht="20.100000000000001" customHeight="1">
      <c r="A2287" s="1377">
        <f t="shared" si="87"/>
        <v>0</v>
      </c>
      <c r="B2287" s="1378" t="s">
        <v>1383</v>
      </c>
      <c r="C2287" s="1286"/>
      <c r="D2287" s="1274">
        <f>VLOOKUP($B2287,DG!A:D,DG!$B$2,)</f>
        <v>0</v>
      </c>
      <c r="E2287" s="1310" t="str">
        <f>VLOOKUP($B2287,DG!A:D,DG!$C$2,)&amp;" baét thuøng ÑKÑT"</f>
        <v>Boulon 12x60+ 2 long đền vuông D14-50x50x3/Zn baét thuøng ÑKÑT</v>
      </c>
      <c r="F2287" s="1353" t="str">
        <f>VLOOKUP($B2287,DG!A:D,DG!$D$2,)</f>
        <v>bộ</v>
      </c>
      <c r="G2287" s="1287">
        <f>4*G2265*0</f>
        <v>0</v>
      </c>
      <c r="H2287" s="1353">
        <f t="shared" si="88"/>
        <v>0</v>
      </c>
      <c r="I2287" s="1277"/>
      <c r="J2287" s="1277"/>
      <c r="K2287" s="1312"/>
      <c r="L2287" s="1125">
        <v>630</v>
      </c>
    </row>
    <row r="2288" spans="1:12" s="1279" customFormat="1" ht="20.100000000000001" customHeight="1">
      <c r="A2288" s="1377">
        <f t="shared" si="87"/>
        <v>0</v>
      </c>
      <c r="B2288" s="1378"/>
      <c r="C2288" s="1319"/>
      <c r="D2288" s="1320"/>
      <c r="E2288" s="1306" t="s">
        <v>3829</v>
      </c>
      <c r="F2288" s="1306"/>
      <c r="G2288" s="1321"/>
      <c r="H2288" s="1353">
        <f t="shared" si="88"/>
        <v>0</v>
      </c>
      <c r="I2288" s="1306"/>
      <c r="J2288" s="1306"/>
      <c r="K2288" s="1354"/>
      <c r="L2288" s="1125">
        <v>630</v>
      </c>
    </row>
    <row r="2289" spans="1:12" s="1279" customFormat="1" ht="20.100000000000001" customHeight="1">
      <c r="A2289" s="1377">
        <f t="shared" si="87"/>
        <v>0</v>
      </c>
      <c r="B2289" s="1378" t="s">
        <v>996</v>
      </c>
      <c r="C2289" s="1286"/>
      <c r="D2289" s="1274" t="str">
        <f>VLOOKUP($B2289,DG!A:D,DG!$B$2,)</f>
        <v>02.5114</v>
      </c>
      <c r="E2289" s="1310" t="s">
        <v>3830</v>
      </c>
      <c r="F2289" s="1353" t="str">
        <f>VLOOKUP($B2289,DG!A:D,DG!$D$2,)</f>
        <v>cái</v>
      </c>
      <c r="G2289" s="1287"/>
      <c r="H2289" s="1353">
        <f t="shared" si="88"/>
        <v>0</v>
      </c>
      <c r="I2289" s="1277"/>
      <c r="J2289" s="1277"/>
      <c r="K2289" s="1312" t="s">
        <v>3831</v>
      </c>
      <c r="L2289" s="1125">
        <v>630</v>
      </c>
    </row>
    <row r="2290" spans="1:12" s="1279" customFormat="1" ht="20.100000000000001" customHeight="1">
      <c r="A2290" s="1377">
        <f t="shared" si="87"/>
        <v>0</v>
      </c>
      <c r="B2290" s="1378" t="s">
        <v>1959</v>
      </c>
      <c r="C2290" s="1286"/>
      <c r="D2290" s="1274" t="str">
        <f>VLOOKUP($B2290,DG!A:D,DG!$B$2,)</f>
        <v>05.6011</v>
      </c>
      <c r="E2290" s="1310" t="s">
        <v>2525</v>
      </c>
      <c r="F2290" s="1353" t="str">
        <f>VLOOKUP($B2290,DG!A:D,DG!$D$2,)</f>
        <v>bộ</v>
      </c>
      <c r="G2290" s="1287"/>
      <c r="H2290" s="1353">
        <f t="shared" si="88"/>
        <v>0</v>
      </c>
      <c r="I2290" s="1277"/>
      <c r="J2290" s="1277"/>
      <c r="K2290" s="1278"/>
      <c r="L2290" s="1125">
        <v>630</v>
      </c>
    </row>
    <row r="2291" spans="1:12" s="1279" customFormat="1" ht="20.100000000000001" customHeight="1">
      <c r="A2291" s="1377">
        <f t="shared" si="87"/>
        <v>0</v>
      </c>
      <c r="B2291" s="1378"/>
      <c r="C2291" s="1355"/>
      <c r="D2291" s="1356"/>
      <c r="E2291" s="1306"/>
      <c r="F2291" s="1357"/>
      <c r="G2291" s="1358"/>
      <c r="H2291" s="1353">
        <f t="shared" si="88"/>
        <v>0</v>
      </c>
      <c r="I2291" s="1359"/>
      <c r="J2291" s="1360"/>
      <c r="K2291" s="1309"/>
      <c r="L2291" s="1125"/>
    </row>
    <row r="2292" spans="1:12" s="1279" customFormat="1" ht="20.100000000000001" customHeight="1">
      <c r="A2292" s="1377">
        <f t="shared" si="87"/>
        <v>0</v>
      </c>
      <c r="B2292" s="1378"/>
      <c r="C2292" s="1361"/>
      <c r="E2292" s="1362"/>
      <c r="G2292" s="1363"/>
      <c r="H2292" s="1353">
        <f t="shared" si="88"/>
        <v>0</v>
      </c>
      <c r="L2292" s="1125"/>
    </row>
    <row r="2293" spans="1:12" s="1279" customFormat="1" ht="20.100000000000001" customHeight="1">
      <c r="A2293" s="1377">
        <f t="shared" si="87"/>
        <v>0</v>
      </c>
      <c r="B2293" s="1619"/>
      <c r="C2293" s="1131" t="e">
        <f>"BAÛNG TOÅNG HÔÏP VAÄT LIEÄU, NHAÂN COÂNG, MAÙY THI COÂNG : "&amp;#REF!&amp;" TRAÏM 3P_1000KVA"</f>
        <v>#REF!</v>
      </c>
      <c r="D2293" s="1131"/>
      <c r="E2293" s="1131"/>
      <c r="F2293" s="1131"/>
      <c r="G2293" s="1131"/>
      <c r="H2293" s="1353">
        <f t="shared" si="88"/>
        <v>0</v>
      </c>
      <c r="I2293" s="1364"/>
      <c r="J2293" s="1364"/>
      <c r="K2293" s="1365"/>
      <c r="L2293" s="1125"/>
    </row>
    <row r="2294" spans="1:12" s="1279" customFormat="1" ht="20.100000000000001" customHeight="1">
      <c r="A2294" s="1377">
        <f t="shared" si="87"/>
        <v>0</v>
      </c>
      <c r="B2294" s="1582"/>
      <c r="C2294" s="1304"/>
      <c r="D2294" s="1305"/>
      <c r="E2294" s="1306" t="s">
        <v>3771</v>
      </c>
      <c r="F2294" s="1307"/>
      <c r="G2294" s="1308"/>
      <c r="H2294" s="1353">
        <f t="shared" si="88"/>
        <v>0</v>
      </c>
      <c r="I2294" s="1307"/>
      <c r="J2294" s="1307"/>
      <c r="K2294" s="1354"/>
      <c r="L2294" s="1125">
        <v>1000</v>
      </c>
    </row>
    <row r="2295" spans="1:12" s="1279" customFormat="1" ht="20.100000000000001" customHeight="1">
      <c r="A2295" s="1377">
        <f t="shared" si="87"/>
        <v>0</v>
      </c>
      <c r="B2295" s="1583" t="s">
        <v>4786</v>
      </c>
      <c r="C2295" s="1286">
        <f>IF(G2295&gt;0,1,0)</f>
        <v>0</v>
      </c>
      <c r="D2295" s="1274" t="str">
        <f>VLOOKUP($B2295,DG!A:D,DG!$B$2,)</f>
        <v>01.1147</v>
      </c>
      <c r="E2295" s="1275" t="str">
        <f>VLOOKUP($B2295,DG!A:D,DG!$C$2,)</f>
        <v>Máy biến áp 22/0,4kV- 1000kVA</v>
      </c>
      <c r="F2295" s="1274" t="str">
        <f>VLOOKUP($B2295,DG!A:D,DG!$D$2,)</f>
        <v>máy</v>
      </c>
      <c r="G2295" s="1367">
        <f>K16</f>
        <v>0</v>
      </c>
      <c r="H2295" s="1353">
        <f t="shared" si="88"/>
        <v>0</v>
      </c>
      <c r="I2295" s="1310"/>
      <c r="J2295" s="1310"/>
      <c r="K2295" s="1368"/>
      <c r="L2295" s="1125">
        <v>1000</v>
      </c>
    </row>
    <row r="2296" spans="1:12" s="1279" customFormat="1" ht="20.100000000000001" customHeight="1">
      <c r="A2296" s="1377">
        <f t="shared" si="87"/>
        <v>0</v>
      </c>
      <c r="B2296" s="1583" t="s">
        <v>396</v>
      </c>
      <c r="C2296" s="1286">
        <f t="shared" ref="C2296:C2302" si="89">IF(G2296&gt;0,C2295+1,C2295)</f>
        <v>0</v>
      </c>
      <c r="D2296" s="1274" t="str">
        <f>VLOOKUP($B2296,DG!A:D,DG!$B$2,)</f>
        <v>02.3302</v>
      </c>
      <c r="E2296" s="1275" t="str">
        <f>VLOOKUP($B2296,DG!A:D,DG!$C$2,)</f>
        <v xml:space="preserve">DS 3P - 24KV - 630A </v>
      </c>
      <c r="F2296" s="1274" t="str">
        <f>VLOOKUP($B2296,DG!A:D,DG!$D$2,)</f>
        <v>bộ</v>
      </c>
      <c r="G2296" s="1287">
        <f>G2295</f>
        <v>0</v>
      </c>
      <c r="H2296" s="1353">
        <f t="shared" si="88"/>
        <v>0</v>
      </c>
      <c r="I2296" s="1310"/>
      <c r="J2296" s="1310"/>
      <c r="K2296" s="1278"/>
      <c r="L2296" s="1125">
        <v>1000</v>
      </c>
    </row>
    <row r="2297" spans="1:12" s="1279" customFormat="1" ht="20.100000000000001" customHeight="1">
      <c r="A2297" s="1377">
        <f t="shared" si="87"/>
        <v>0</v>
      </c>
      <c r="B2297" s="1582" t="s">
        <v>1</v>
      </c>
      <c r="C2297" s="1286">
        <f t="shared" si="89"/>
        <v>0</v>
      </c>
      <c r="D2297" s="1274" t="str">
        <f>VLOOKUP($B2297,DG!A:D,DG!$B$2,)</f>
        <v>05.2102</v>
      </c>
      <c r="E2297" s="1275" t="str">
        <f>VLOOKUP($B2297,DG!A:D,DG!$C$2,)</f>
        <v>Tủ LBS 3 pha 630-800A</v>
      </c>
      <c r="F2297" s="1274" t="str">
        <f>VLOOKUP($B2297,DG!A:D,DG!$D$2,)</f>
        <v>tủ</v>
      </c>
      <c r="G2297" s="1287">
        <f>G2295</f>
        <v>0</v>
      </c>
      <c r="H2297" s="1353">
        <f t="shared" si="88"/>
        <v>0</v>
      </c>
      <c r="I2297" s="1310"/>
      <c r="J2297" s="1310"/>
      <c r="K2297" s="1312" t="s">
        <v>3850</v>
      </c>
      <c r="L2297" s="1125">
        <v>1000</v>
      </c>
    </row>
    <row r="2298" spans="1:12" s="1279" customFormat="1" ht="20.100000000000001" customHeight="1">
      <c r="A2298" s="1377">
        <f t="shared" si="87"/>
        <v>0</v>
      </c>
      <c r="B2298" s="1583" t="s">
        <v>1704</v>
      </c>
      <c r="C2298" s="1286">
        <f t="shared" si="89"/>
        <v>0</v>
      </c>
      <c r="D2298" s="1274" t="str">
        <f>VLOOKUP($B2298,DG!A:D,DG!$B$2,)</f>
        <v>02.3155</v>
      </c>
      <c r="E2298" s="1275" t="str">
        <f>VLOOKUP($B2298,DG!A:D,DG!$C$2,)</f>
        <v>FCO 24kV - 100A</v>
      </c>
      <c r="F2298" s="1274" t="str">
        <f>VLOOKUP($B2298,DG!A:D,DG!$D$2,)</f>
        <v>cái</v>
      </c>
      <c r="G2298" s="1287">
        <f>+G2295*3</f>
        <v>0</v>
      </c>
      <c r="H2298" s="1353">
        <f t="shared" si="88"/>
        <v>0</v>
      </c>
      <c r="I2298" s="1277"/>
      <c r="J2298" s="1277"/>
      <c r="K2298" s="1278"/>
      <c r="L2298" s="1125">
        <v>1000</v>
      </c>
    </row>
    <row r="2299" spans="1:12" s="1279" customFormat="1" ht="20.100000000000001" customHeight="1">
      <c r="A2299" s="1377">
        <f t="shared" si="87"/>
        <v>0</v>
      </c>
      <c r="B2299" s="1583" t="s">
        <v>2130</v>
      </c>
      <c r="C2299" s="1286">
        <f t="shared" si="89"/>
        <v>0</v>
      </c>
      <c r="D2299" s="1274">
        <f>VLOOKUP($B2299,DG!A:D,DG!$B$2,)</f>
        <v>0</v>
      </c>
      <c r="E2299" s="1275" t="str">
        <f>VLOOKUP($B2299,DG!A:D,DG!$C$2,)</f>
        <v>Dây chảy 40K</v>
      </c>
      <c r="F2299" s="1274" t="str">
        <f>VLOOKUP($B2299,DG!A:D,DG!$D$2,)</f>
        <v>Sợi</v>
      </c>
      <c r="G2299" s="1287">
        <f>G2298</f>
        <v>0</v>
      </c>
      <c r="H2299" s="1353">
        <f t="shared" si="88"/>
        <v>0</v>
      </c>
      <c r="I2299" s="1277"/>
      <c r="J2299" s="1277"/>
      <c r="K2299" s="1278"/>
      <c r="L2299" s="1125">
        <v>1000</v>
      </c>
    </row>
    <row r="2300" spans="1:12" s="1279" customFormat="1" ht="20.100000000000001" customHeight="1">
      <c r="A2300" s="1377">
        <f t="shared" si="87"/>
        <v>0</v>
      </c>
      <c r="B2300" s="1582" t="s">
        <v>1406</v>
      </c>
      <c r="C2300" s="1286">
        <f t="shared" si="89"/>
        <v>0</v>
      </c>
      <c r="D2300" s="1274" t="str">
        <f>VLOOKUP($B2300,DG!A:D,DG!$B$2,)</f>
        <v>02.5114</v>
      </c>
      <c r="E2300" s="1275" t="str">
        <f>VLOOKUP($B2300,DG!A:D,DG!$C$2,)</f>
        <v>LA 18kV 10kA</v>
      </c>
      <c r="F2300" s="1274" t="str">
        <f>VLOOKUP($B2300,DG!A:D,DG!$D$2,)</f>
        <v>cái</v>
      </c>
      <c r="G2300" s="1287">
        <f>G2295*3</f>
        <v>0</v>
      </c>
      <c r="H2300" s="1353">
        <f t="shared" si="88"/>
        <v>0</v>
      </c>
      <c r="I2300" s="1277"/>
      <c r="J2300" s="1277"/>
      <c r="K2300" s="1278"/>
      <c r="L2300" s="1125">
        <v>1000</v>
      </c>
    </row>
    <row r="2301" spans="1:12" s="1279" customFormat="1" ht="20.100000000000001" customHeight="1">
      <c r="A2301" s="1377">
        <f t="shared" si="87"/>
        <v>0</v>
      </c>
      <c r="B2301" s="1583" t="s">
        <v>899</v>
      </c>
      <c r="C2301" s="1286">
        <f t="shared" si="89"/>
        <v>0</v>
      </c>
      <c r="D2301" s="1274" t="str">
        <f>VLOOKUP($B2301,DG!A:D,DG!$B$2,)</f>
        <v>02.8404</v>
      </c>
      <c r="E2301" s="1275" t="str">
        <f>VLOOKUP($B2301,DG!A:D,DG!$C$2,)</f>
        <v>MCCB 3 cực 400V -1000A - 50KA</v>
      </c>
      <c r="F2301" s="1274" t="str">
        <f>VLOOKUP($B2301,DG!A:D,DG!$D$2,)</f>
        <v>cái</v>
      </c>
      <c r="G2301" s="1287">
        <f>G2295</f>
        <v>0</v>
      </c>
      <c r="H2301" s="1353">
        <f t="shared" si="88"/>
        <v>0</v>
      </c>
      <c r="I2301" s="1277"/>
      <c r="J2301" s="1277"/>
      <c r="K2301" s="1278"/>
      <c r="L2301" s="1125">
        <v>1000</v>
      </c>
    </row>
    <row r="2302" spans="1:12" s="1279" customFormat="1" ht="20.100000000000001" customHeight="1">
      <c r="A2302" s="1377">
        <f t="shared" si="87"/>
        <v>0</v>
      </c>
      <c r="B2302" s="1583" t="s">
        <v>1516</v>
      </c>
      <c r="C2302" s="1286">
        <f t="shared" si="89"/>
        <v>0</v>
      </c>
      <c r="D2302" s="1274" t="str">
        <f>VLOOKUP($B2302,DG!A:D,DG!$B$2,)</f>
        <v>02.8534</v>
      </c>
      <c r="E2302" s="1275" t="str">
        <f>VLOOKUP($B2302,DG!A:D,DG!$C$2,)</f>
        <v>Tủ tụ bù hạ thế 400kVAr</v>
      </c>
      <c r="F2302" s="1274" t="str">
        <f>VLOOKUP($B2302,DG!A:D,DG!$D$2,)</f>
        <v>tủ</v>
      </c>
      <c r="G2302" s="1287">
        <f>G2301</f>
        <v>0</v>
      </c>
      <c r="H2302" s="1353">
        <f t="shared" si="88"/>
        <v>0</v>
      </c>
      <c r="I2302" s="1277"/>
      <c r="J2302" s="1277"/>
      <c r="K2302" s="1278"/>
      <c r="L2302" s="1125">
        <v>1000</v>
      </c>
    </row>
    <row r="2303" spans="1:12" s="1279" customFormat="1" ht="20.100000000000001" customHeight="1">
      <c r="A2303" s="1377">
        <f t="shared" si="87"/>
        <v>0</v>
      </c>
      <c r="B2303" s="1583" t="s">
        <v>1780</v>
      </c>
      <c r="C2303" s="1286">
        <f>IF(G2303&gt;0,C2301+1,C2301)</f>
        <v>0</v>
      </c>
      <c r="D2303" s="1274" t="str">
        <f>VLOOKUP($B2303,DG!A:D,DG!$B$2,)</f>
        <v>02.1124</v>
      </c>
      <c r="E2303" s="1275" t="str">
        <f>VLOOKUP($B2303,DG!A:D,DG!$C$2,)</f>
        <v>Biến dòng 24kV  25/5A</v>
      </c>
      <c r="F2303" s="1274" t="str">
        <f>VLOOKUP($B2303,DG!A:D,DG!$D$2,)</f>
        <v>cái</v>
      </c>
      <c r="G2303" s="1313">
        <f>G2295*3</f>
        <v>0</v>
      </c>
      <c r="H2303" s="1353">
        <f t="shared" si="88"/>
        <v>0</v>
      </c>
      <c r="I2303" s="1277"/>
      <c r="J2303" s="1277"/>
      <c r="K2303" s="1314" t="s">
        <v>2666</v>
      </c>
      <c r="L2303" s="1125">
        <v>1000</v>
      </c>
    </row>
    <row r="2304" spans="1:12" s="1279" customFormat="1" ht="20.100000000000001" customHeight="1">
      <c r="A2304" s="1377">
        <f t="shared" si="87"/>
        <v>0</v>
      </c>
      <c r="B2304" s="1378" t="s">
        <v>1721</v>
      </c>
      <c r="C2304" s="1286">
        <f>IF(G2304&gt;0,C2302+1,C2302)</f>
        <v>0</v>
      </c>
      <c r="D2304" s="1274">
        <f>VLOOKUP($B2304,DG!A:D,DG!$B$2,)</f>
        <v>0</v>
      </c>
      <c r="E2304" s="1275" t="str">
        <f>VLOOKUP($B2304,DG!A:D,DG!$C$2,)</f>
        <v>Biến dòng 600V - 250/5A</v>
      </c>
      <c r="F2304" s="1274" t="str">
        <f>VLOOKUP($B2304,DG!A:D,DG!$D$2,)</f>
        <v>cái</v>
      </c>
      <c r="G2304" s="1313">
        <f>G2295*3</f>
        <v>0</v>
      </c>
      <c r="H2304" s="1353">
        <f t="shared" si="88"/>
        <v>0</v>
      </c>
      <c r="I2304" s="1277"/>
      <c r="J2304" s="1277"/>
      <c r="K2304" s="1314" t="s">
        <v>2666</v>
      </c>
      <c r="L2304" s="1125">
        <v>1000</v>
      </c>
    </row>
    <row r="2305" spans="1:12" s="1279" customFormat="1" ht="20.100000000000001" customHeight="1">
      <c r="A2305" s="1377">
        <f t="shared" si="87"/>
        <v>0</v>
      </c>
      <c r="B2305" s="1583" t="s">
        <v>4782</v>
      </c>
      <c r="C2305" s="1286">
        <f>IF(G2305&gt;0,C2304+1,C2304)</f>
        <v>0</v>
      </c>
      <c r="D2305" s="1274" t="str">
        <f>VLOOKUP($B2305,DG!A:D,DG!$B$2,)</f>
        <v>02.1114</v>
      </c>
      <c r="E2305" s="1275" t="str">
        <f>VLOOKUP($B2305,DG!A:D,DG!$C$2,)</f>
        <v>Biến điện áp 12000/120(60)V</v>
      </c>
      <c r="F2305" s="1274" t="str">
        <f>VLOOKUP($B2305,DG!A:D,DG!$D$2,)</f>
        <v>cái</v>
      </c>
      <c r="G2305" s="1369">
        <f>+G2304</f>
        <v>0</v>
      </c>
      <c r="H2305" s="1353">
        <f t="shared" si="88"/>
        <v>0</v>
      </c>
      <c r="I2305" s="1277"/>
      <c r="J2305" s="1277"/>
      <c r="K2305" s="1314" t="s">
        <v>2666</v>
      </c>
      <c r="L2305" s="1125">
        <v>1000</v>
      </c>
    </row>
    <row r="2306" spans="1:12" s="1279" customFormat="1" ht="20.100000000000001" customHeight="1">
      <c r="A2306" s="1377">
        <f t="shared" si="87"/>
        <v>0</v>
      </c>
      <c r="B2306" s="1630" t="s">
        <v>1890</v>
      </c>
      <c r="C2306" s="1286">
        <f>IF(G2306&gt;0,C2305+1,C2305)</f>
        <v>0</v>
      </c>
      <c r="D2306" s="1274">
        <f>VLOOKUP($B2306,DG!A:D,DG!$B$2,)</f>
        <v>0</v>
      </c>
      <c r="E2306" s="1275" t="str">
        <f>VLOOKUP($B2306,DG!A:D,DG!$C$2,)</f>
        <v>Điện kế 3 pha điện tử 600V-5A</v>
      </c>
      <c r="F2306" s="1274" t="str">
        <f>VLOOKUP($B2306,DG!A:D,DG!$D$2,)</f>
        <v>cái</v>
      </c>
      <c r="G2306" s="1313">
        <f>G2295</f>
        <v>0</v>
      </c>
      <c r="H2306" s="1353">
        <f t="shared" si="88"/>
        <v>0</v>
      </c>
      <c r="I2306" s="1310"/>
      <c r="J2306" s="1310"/>
      <c r="K2306" s="1315" t="s">
        <v>2666</v>
      </c>
      <c r="L2306" s="1125">
        <v>1000</v>
      </c>
    </row>
    <row r="2307" spans="1:12" s="1279" customFormat="1" ht="20.100000000000001" customHeight="1">
      <c r="A2307" s="1377">
        <f t="shared" si="87"/>
        <v>0</v>
      </c>
      <c r="B2307" s="1582"/>
      <c r="C2307" s="1316"/>
      <c r="D2307" s="1317"/>
      <c r="E2307" s="1271"/>
      <c r="F2307" s="1316"/>
      <c r="G2307" s="1318"/>
      <c r="H2307" s="1353">
        <f t="shared" si="88"/>
        <v>0</v>
      </c>
      <c r="I2307" s="1271"/>
      <c r="J2307" s="1316"/>
      <c r="K2307" s="1354"/>
      <c r="L2307" s="1125">
        <v>1000</v>
      </c>
    </row>
    <row r="2308" spans="1:12" s="1279" customFormat="1" ht="20.100000000000001" customHeight="1">
      <c r="A2308" s="1377">
        <f t="shared" si="87"/>
        <v>0</v>
      </c>
      <c r="B2308" s="1582"/>
      <c r="C2308" s="1319"/>
      <c r="D2308" s="1320"/>
      <c r="E2308" s="1306" t="s">
        <v>3772</v>
      </c>
      <c r="F2308" s="1306"/>
      <c r="G2308" s="1321"/>
      <c r="H2308" s="1353">
        <f t="shared" si="88"/>
        <v>0</v>
      </c>
      <c r="I2308" s="1306"/>
      <c r="J2308" s="1306"/>
      <c r="K2308" s="1354"/>
      <c r="L2308" s="1125">
        <v>1000</v>
      </c>
    </row>
    <row r="2309" spans="1:12" s="1279" customFormat="1" ht="20.100000000000001" customHeight="1">
      <c r="A2309" s="1377">
        <f t="shared" si="87"/>
        <v>0</v>
      </c>
      <c r="B2309" s="1622"/>
      <c r="C2309" s="1322">
        <f>IF(G2309&gt;0,1,0)</f>
        <v>0</v>
      </c>
      <c r="D2309" s="1323"/>
      <c r="E2309" s="1324" t="s">
        <v>3811</v>
      </c>
      <c r="F2309" s="1325" t="s">
        <v>2340</v>
      </c>
      <c r="G2309" s="1331">
        <f>G2295</f>
        <v>0</v>
      </c>
      <c r="H2309" s="1353">
        <f t="shared" si="88"/>
        <v>0</v>
      </c>
      <c r="I2309" s="1327"/>
      <c r="J2309" s="1327"/>
      <c r="K2309" s="1278"/>
      <c r="L2309" s="1125">
        <v>1000</v>
      </c>
    </row>
    <row r="2310" spans="1:12" s="1279" customFormat="1" ht="20.100000000000001" customHeight="1">
      <c r="A2310" s="1377">
        <f t="shared" si="87"/>
        <v>0</v>
      </c>
      <c r="B2310" s="1378" t="s">
        <v>2295</v>
      </c>
      <c r="C2310" s="1328"/>
      <c r="D2310" s="1274"/>
      <c r="E2310" s="1329" t="str">
        <f>VLOOKUP($B2310,DG!A:D,DG!$C$2,)</f>
        <v>Trụ BTLT 10,5m F350 dự ứng lực</v>
      </c>
      <c r="F2310" s="1274" t="str">
        <f>VLOOKUP($B2310,DG!A:D,DG!$D$2,)</f>
        <v>trụ</v>
      </c>
      <c r="G2310" s="1330">
        <f>G2309</f>
        <v>0</v>
      </c>
      <c r="H2310" s="1353">
        <f t="shared" si="88"/>
        <v>0</v>
      </c>
      <c r="I2310" s="1310"/>
      <c r="J2310" s="1273"/>
      <c r="K2310" s="1278"/>
      <c r="L2310" s="1125">
        <v>1000</v>
      </c>
    </row>
    <row r="2311" spans="1:12" s="1279" customFormat="1" ht="20.100000000000001" customHeight="1">
      <c r="A2311" s="1377">
        <f t="shared" si="87"/>
        <v>0</v>
      </c>
      <c r="B2311" s="1378" t="s">
        <v>1867</v>
      </c>
      <c r="C2311" s="1328"/>
      <c r="D2311" s="1274"/>
      <c r="E2311" s="1329" t="str">
        <f>VLOOKUP($B2311,DG!A:D,DG!$C$2,)</f>
        <v>Vật liệu dựng trụ</v>
      </c>
      <c r="F2311" s="1274" t="str">
        <f>VLOOKUP($B2311,DG!A:D,DG!$D$2,)</f>
        <v>trụ</v>
      </c>
      <c r="G2311" s="1330">
        <f>G2310</f>
        <v>0</v>
      </c>
      <c r="H2311" s="1353">
        <f t="shared" si="88"/>
        <v>0</v>
      </c>
      <c r="I2311" s="1273"/>
      <c r="J2311" s="1273"/>
      <c r="K2311" s="1278"/>
      <c r="L2311" s="1125">
        <v>1000</v>
      </c>
    </row>
    <row r="2312" spans="1:12" s="1279" customFormat="1" ht="20.100000000000001" customHeight="1">
      <c r="A2312" s="1377">
        <f t="shared" si="87"/>
        <v>0</v>
      </c>
      <c r="B2312" s="1378" t="s">
        <v>1664</v>
      </c>
      <c r="C2312" s="1328"/>
      <c r="D2312" s="1274" t="str">
        <f>VLOOKUP($B2312,DG!A:D,DG!$B$2,)</f>
        <v>05.5402</v>
      </c>
      <c r="E2312" s="1329" t="str">
        <f>VLOOKUP($B2312,DG!A:D,DG!$C$2,)</f>
        <v>Dựng trụ BTLT 10,5m thủ công + cơ giới</v>
      </c>
      <c r="F2312" s="1274" t="str">
        <f>VLOOKUP($B2312,DG!A:D,DG!$D$2,)</f>
        <v>trụ</v>
      </c>
      <c r="G2312" s="1330">
        <f>G2310</f>
        <v>0</v>
      </c>
      <c r="H2312" s="1353">
        <f t="shared" si="88"/>
        <v>0</v>
      </c>
      <c r="I2312" s="1310"/>
      <c r="J2312" s="1310"/>
      <c r="K2312" s="1278"/>
      <c r="L2312" s="1125">
        <v>1000</v>
      </c>
    </row>
    <row r="2313" spans="1:12" s="1279" customFormat="1" ht="20.100000000000001" customHeight="1">
      <c r="A2313" s="1377">
        <f t="shared" si="87"/>
        <v>0</v>
      </c>
      <c r="B2313" s="1378" t="s">
        <v>2296</v>
      </c>
      <c r="C2313" s="1328"/>
      <c r="D2313" s="1274"/>
      <c r="E2313" s="1329" t="str">
        <f>VLOOKUP($B2313,DG!A:D,DG!$C$2,)</f>
        <v>Đào hố móng đất cấp 3 sâu &gt;1m DT&lt;5m2</v>
      </c>
      <c r="F2313" s="1274" t="str">
        <f>VLOOKUP($B2313,DG!A:D,DG!$D$2,)</f>
        <v>m3</v>
      </c>
      <c r="G2313" s="1330">
        <f>G2309*0.201</f>
        <v>0</v>
      </c>
      <c r="H2313" s="1353">
        <f t="shared" si="88"/>
        <v>0</v>
      </c>
      <c r="I2313" s="1310"/>
      <c r="J2313" s="1310"/>
      <c r="K2313" s="1278"/>
      <c r="L2313" s="1125">
        <v>1000</v>
      </c>
    </row>
    <row r="2314" spans="1:12" s="1279" customFormat="1" ht="20.100000000000001" customHeight="1">
      <c r="A2314" s="1377">
        <f t="shared" si="87"/>
        <v>0</v>
      </c>
      <c r="B2314" s="1378" t="s">
        <v>21</v>
      </c>
      <c r="C2314" s="1328"/>
      <c r="D2314" s="1274" t="str">
        <f>VLOOKUP($B2314,DG!A:D,DG!$B$2,)</f>
        <v>03.4113</v>
      </c>
      <c r="E2314" s="1329" t="str">
        <f>VLOOKUP($B2314,DG!A:D,DG!$C$2,)</f>
        <v>Đắp đất hố móng, độ chặt k=0,95</v>
      </c>
      <c r="F2314" s="1274" t="str">
        <f>VLOOKUP($B2314,DG!A:D,DG!$D$2,)</f>
        <v>m3</v>
      </c>
      <c r="G2314" s="1330">
        <f>G2309*0.182</f>
        <v>0</v>
      </c>
      <c r="H2314" s="1353">
        <f t="shared" si="88"/>
        <v>0</v>
      </c>
      <c r="I2314" s="1310"/>
      <c r="J2314" s="1310"/>
      <c r="K2314" s="1278"/>
      <c r="L2314" s="1125">
        <v>1000</v>
      </c>
    </row>
    <row r="2315" spans="1:12" s="1279" customFormat="1" ht="20.100000000000001" customHeight="1">
      <c r="A2315" s="1377">
        <f t="shared" si="87"/>
        <v>0</v>
      </c>
      <c r="B2315" s="1623"/>
      <c r="C2315" s="1280">
        <f>IF(G2315&gt;0,C2309+1,C2309)</f>
        <v>0</v>
      </c>
      <c r="D2315" s="1323"/>
      <c r="E2315" s="1324" t="s">
        <v>2398</v>
      </c>
      <c r="F2315" s="1325" t="s">
        <v>2391</v>
      </c>
      <c r="G2315" s="1331">
        <f>G2309*0</f>
        <v>0</v>
      </c>
      <c r="H2315" s="1353">
        <f t="shared" si="88"/>
        <v>0</v>
      </c>
      <c r="I2315" s="1273"/>
      <c r="J2315" s="1273"/>
      <c r="K2315" s="1278"/>
      <c r="L2315" s="1125">
        <v>1000</v>
      </c>
    </row>
    <row r="2316" spans="1:12" s="1279" customFormat="1" ht="20.100000000000001" customHeight="1">
      <c r="A2316" s="1377">
        <f t="shared" si="87"/>
        <v>0</v>
      </c>
      <c r="B2316" s="1589" t="s">
        <v>641</v>
      </c>
      <c r="C2316" s="1328"/>
      <c r="D2316" s="1274" t="str">
        <f>VLOOKUP($B2316,DG!A:D,DG!$B$2,)</f>
        <v>04.4001</v>
      </c>
      <c r="E2316" s="1332" t="str">
        <f>VLOOKUP($B2316,DG!A:D,DG!$C$2,)</f>
        <v>Đà cản BTCT 1,2m</v>
      </c>
      <c r="F2316" s="1288" t="str">
        <f>VLOOKUP($B2316,DG!A:D,DG!$D$2,)</f>
        <v>cái</v>
      </c>
      <c r="G2316" s="1330">
        <f>G2315</f>
        <v>0</v>
      </c>
      <c r="H2316" s="1353">
        <f t="shared" si="88"/>
        <v>0</v>
      </c>
      <c r="I2316" s="1310"/>
      <c r="J2316" s="1273"/>
      <c r="K2316" s="1278"/>
      <c r="L2316" s="1125">
        <v>1000</v>
      </c>
    </row>
    <row r="2317" spans="1:12" s="1279" customFormat="1" ht="20.100000000000001" customHeight="1">
      <c r="A2317" s="1377">
        <f t="shared" si="87"/>
        <v>0</v>
      </c>
      <c r="B2317" s="1589" t="s">
        <v>570</v>
      </c>
      <c r="C2317" s="1328"/>
      <c r="D2317" s="1288"/>
      <c r="E2317" s="1332" t="str">
        <f>VLOOKUP($B2317,DG!A:D,DG!$C$2,)</f>
        <v>Boulon 22x650+ 2 long đền vuông D24-50x50x3/Zn</v>
      </c>
      <c r="F2317" s="1288" t="str">
        <f>VLOOKUP($B2317,DG!A:D,DG!$D$2,)</f>
        <v>bộ</v>
      </c>
      <c r="G2317" s="1330">
        <f>G2316</f>
        <v>0</v>
      </c>
      <c r="H2317" s="1353">
        <f t="shared" si="88"/>
        <v>0</v>
      </c>
      <c r="I2317" s="1332"/>
      <c r="J2317" s="1273"/>
      <c r="K2317" s="1278"/>
      <c r="L2317" s="1125">
        <v>1000</v>
      </c>
    </row>
    <row r="2318" spans="1:12" s="1279" customFormat="1" ht="20.100000000000001" customHeight="1">
      <c r="A2318" s="1377">
        <f t="shared" ref="A2318:A2381" si="90">IF(H2318&gt;0,1,0)</f>
        <v>0</v>
      </c>
      <c r="B2318" s="1589" t="str">
        <f>IF(chitiet!F5=1,"MDD1",IF(chitiet!F5=2,"MDD2",IF(chitiet!F5=3,"MDD3",IF(chitiet!F5=4,"MDD4"))))</f>
        <v>MDD3</v>
      </c>
      <c r="C2318" s="1328"/>
      <c r="D2318" s="1288" t="str">
        <f>VLOOKUP($B2318,DG!A:D,DG!$B$2,)</f>
        <v>03.1013</v>
      </c>
      <c r="E2318" s="1332" t="str">
        <f>VLOOKUP($B2318,DG!A:D,DG!$C$2,)</f>
        <v>Đào hố móng đất cấp 3 sâu &gt;1m DT&lt;5m2</v>
      </c>
      <c r="F2318" s="1288" t="str">
        <f>VLOOKUP($B2318,DG!A:D,DG!$D$2,)</f>
        <v>m3</v>
      </c>
      <c r="G2318" s="1335">
        <f>1.48*G2316</f>
        <v>0</v>
      </c>
      <c r="H2318" s="1353">
        <f t="shared" si="88"/>
        <v>0</v>
      </c>
      <c r="I2318" s="1334"/>
      <c r="J2318" s="1273"/>
      <c r="K2318" s="1278"/>
      <c r="L2318" s="1125">
        <v>1000</v>
      </c>
    </row>
    <row r="2319" spans="1:12" s="1279" customFormat="1" ht="20.100000000000001" customHeight="1">
      <c r="A2319" s="1377">
        <f t="shared" si="90"/>
        <v>0</v>
      </c>
      <c r="B2319" s="1589" t="str">
        <f>IF(chitiet!F5=1,"MDAP1",IF(chitiet!F5=2,"MDAP2",IF(chitiet!F5=3,"MDAP3",IF(chitiet!F5=4,"MDAP4"))))</f>
        <v>MDAP3</v>
      </c>
      <c r="C2319" s="1328"/>
      <c r="D2319" s="1288" t="str">
        <f>VLOOKUP($B2319,DG!A:D,DG!$B$2,)</f>
        <v>03.4113</v>
      </c>
      <c r="E2319" s="1332" t="str">
        <f>VLOOKUP($B2319,DG!A:D,DG!$C$2,)</f>
        <v>Đắp đất hố móng, độ chặt k=0,95</v>
      </c>
      <c r="F2319" s="1288" t="str">
        <f>VLOOKUP($B2319,DG!A:D,DG!$D$2,)</f>
        <v>m3</v>
      </c>
      <c r="G2319" s="1335">
        <f>1.39*G2315</f>
        <v>0</v>
      </c>
      <c r="H2319" s="1353">
        <f t="shared" si="88"/>
        <v>0</v>
      </c>
      <c r="I2319" s="1334"/>
      <c r="J2319" s="1273"/>
      <c r="K2319" s="1278"/>
      <c r="L2319" s="1125">
        <v>1000</v>
      </c>
    </row>
    <row r="2320" spans="1:12" s="1279" customFormat="1" ht="20.100000000000001" customHeight="1">
      <c r="A2320" s="1377">
        <f t="shared" si="90"/>
        <v>0</v>
      </c>
      <c r="B2320" s="1582"/>
      <c r="C2320" s="1280">
        <f>IF(G2320&gt;0,C2315+1,C2315)</f>
        <v>0</v>
      </c>
      <c r="D2320" s="1336"/>
      <c r="E2320" s="1324" t="s">
        <v>3813</v>
      </c>
      <c r="F2320" s="1322" t="s">
        <v>2449</v>
      </c>
      <c r="G2320" s="1337">
        <f>G2295</f>
        <v>0</v>
      </c>
      <c r="H2320" s="1353">
        <f t="shared" si="88"/>
        <v>0</v>
      </c>
      <c r="I2320" s="1338"/>
      <c r="J2320" s="1338"/>
      <c r="K2320" s="1278"/>
      <c r="L2320" s="1125">
        <v>1000</v>
      </c>
    </row>
    <row r="2321" spans="1:12" s="1279" customFormat="1" ht="20.100000000000001" customHeight="1">
      <c r="A2321" s="1377">
        <f>IF(A2320&gt;0,1,0)</f>
        <v>0</v>
      </c>
      <c r="B2321" s="1582"/>
      <c r="C2321" s="1273"/>
      <c r="D2321" s="1339"/>
      <c r="E2321" s="1637" t="s">
        <v>2342</v>
      </c>
      <c r="F2321" s="1286"/>
      <c r="G2321" s="1287"/>
      <c r="H2321" s="1353">
        <f t="shared" si="88"/>
        <v>0</v>
      </c>
      <c r="I2321" s="1340"/>
      <c r="J2321" s="1340"/>
      <c r="K2321" s="1278"/>
      <c r="L2321" s="1125">
        <v>1000</v>
      </c>
    </row>
    <row r="2322" spans="1:12" s="1279" customFormat="1" ht="20.100000000000001" customHeight="1">
      <c r="A2322" s="1377">
        <f t="shared" si="90"/>
        <v>0</v>
      </c>
      <c r="B2322" s="1378" t="s">
        <v>1166</v>
      </c>
      <c r="C2322" s="1273"/>
      <c r="D2322" s="1274" t="str">
        <f>VLOOKUP($B2322,DG!A:D,DG!$B$2,)</f>
        <v>05.6105</v>
      </c>
      <c r="E2322" s="1275" t="str">
        <f>VLOOKUP($B2322,DG!A:D,DG!$C$2,)</f>
        <v>Đà U160x68x5x2800 đỡ MBA</v>
      </c>
      <c r="F2322" s="1274" t="str">
        <f>VLOOKUP($B2322,DG!A:D,DG!$D$2,)</f>
        <v>kg</v>
      </c>
      <c r="G2322" s="1370">
        <f>2*G2320</f>
        <v>0</v>
      </c>
      <c r="H2322" s="1353">
        <f t="shared" si="88"/>
        <v>0</v>
      </c>
      <c r="I2322" s="1310"/>
      <c r="J2322" s="1310"/>
      <c r="K2322" s="1278"/>
      <c r="L2322" s="1125">
        <v>1000</v>
      </c>
    </row>
    <row r="2323" spans="1:12" s="1279" customFormat="1" ht="20.100000000000001" customHeight="1">
      <c r="A2323" s="1377">
        <f t="shared" si="90"/>
        <v>0</v>
      </c>
      <c r="B2323" s="1378" t="s">
        <v>1167</v>
      </c>
      <c r="C2323" s="1273"/>
      <c r="D2323" s="1274" t="str">
        <f>VLOOKUP($B2323,DG!A:D,DG!$B$2,)</f>
        <v>05.6101</v>
      </c>
      <c r="E2323" s="1275" t="str">
        <f>VLOOKUP($B2323,DG!A:D,DG!$C$2,)</f>
        <v xml:space="preserve">Đà U100x46x4.5x400 </v>
      </c>
      <c r="F2323" s="1274" t="str">
        <f>VLOOKUP($B2323,DG!A:D,DG!$D$2,)</f>
        <v>kg</v>
      </c>
      <c r="G2323" s="1370">
        <f>G2320*4</f>
        <v>0</v>
      </c>
      <c r="H2323" s="1353">
        <f t="shared" si="88"/>
        <v>0</v>
      </c>
      <c r="I2323" s="1310"/>
      <c r="J2323" s="1310"/>
      <c r="K2323" s="1278"/>
      <c r="L2323" s="1125">
        <v>1000</v>
      </c>
    </row>
    <row r="2324" spans="1:12" s="1279" customFormat="1" ht="20.100000000000001" customHeight="1">
      <c r="A2324" s="1377">
        <f t="shared" si="90"/>
        <v>0</v>
      </c>
      <c r="B2324" s="1378" t="s">
        <v>1168</v>
      </c>
      <c r="C2324" s="1273"/>
      <c r="D2324" s="1274" t="str">
        <f>VLOOKUP($B2324,DG!A:D,DG!$B$2,)</f>
        <v>05.6101</v>
      </c>
      <c r="E2324" s="1275" t="str">
        <f>VLOOKUP($B2324,DG!A:D,DG!$C$2,)</f>
        <v xml:space="preserve">Đà U100x46x5x800 </v>
      </c>
      <c r="F2324" s="1274" t="str">
        <f>VLOOKUP($B2324,DG!A:D,DG!$D$2,)</f>
        <v>kg</v>
      </c>
      <c r="G2324" s="1370">
        <f>G2320*2</f>
        <v>0</v>
      </c>
      <c r="H2324" s="1353">
        <f t="shared" si="88"/>
        <v>0</v>
      </c>
      <c r="I2324" s="1310"/>
      <c r="J2324" s="1310"/>
      <c r="K2324" s="1278"/>
      <c r="L2324" s="1125">
        <v>1000</v>
      </c>
    </row>
    <row r="2325" spans="1:12" s="1279" customFormat="1" ht="20.100000000000001" customHeight="1">
      <c r="A2325" s="1377">
        <f t="shared" si="90"/>
        <v>0</v>
      </c>
      <c r="B2325" s="1582" t="s">
        <v>1834</v>
      </c>
      <c r="C2325" s="1273"/>
      <c r="D2325" s="1274">
        <f>VLOOKUP($B2325,DG!A:D,DG!$B$2,)</f>
        <v>0</v>
      </c>
      <c r="E2325" s="1275" t="str">
        <f>VLOOKUP($B2325,DG!A:D,DG!$C$2,)</f>
        <v>Boulon 16x400VRS+ 4 long đền vuông D18-50x50x3/Zn</v>
      </c>
      <c r="F2325" s="1274" t="str">
        <f>VLOOKUP($B2325,DG!A:D,DG!$D$2,)</f>
        <v>bộ</v>
      </c>
      <c r="G2325" s="1287">
        <f>G2320*12</f>
        <v>0</v>
      </c>
      <c r="H2325" s="1353">
        <f t="shared" si="88"/>
        <v>0</v>
      </c>
      <c r="I2325" s="1310"/>
      <c r="J2325" s="1310"/>
      <c r="K2325" s="1278"/>
      <c r="L2325" s="1125">
        <v>1000</v>
      </c>
    </row>
    <row r="2326" spans="1:12" s="1279" customFormat="1" ht="20.100000000000001" customHeight="1">
      <c r="A2326" s="1377">
        <f t="shared" si="90"/>
        <v>0</v>
      </c>
      <c r="B2326" s="1582" t="s">
        <v>1113</v>
      </c>
      <c r="C2326" s="1273"/>
      <c r="D2326" s="1274">
        <f>VLOOKUP($B2326,DG!A:D,DG!$B$2,)</f>
        <v>0</v>
      </c>
      <c r="E2326" s="1275" t="str">
        <f>VLOOKUP($B2326,DG!A:D,DG!$C$2,)</f>
        <v>Boulon 16x400+ 2 long đền vuông D18-50x50x3/Zn</v>
      </c>
      <c r="F2326" s="1274" t="str">
        <f>VLOOKUP($B2326,DG!A:D,DG!$D$2,)</f>
        <v>bộ</v>
      </c>
      <c r="G2326" s="1287">
        <f>G2320*2</f>
        <v>0</v>
      </c>
      <c r="H2326" s="1353">
        <f t="shared" si="88"/>
        <v>0</v>
      </c>
      <c r="I2326" s="1310"/>
      <c r="J2326" s="1310"/>
      <c r="K2326" s="1278"/>
      <c r="L2326" s="1125">
        <v>1000</v>
      </c>
    </row>
    <row r="2327" spans="1:12" s="1279" customFormat="1" ht="20.100000000000001" customHeight="1">
      <c r="A2327" s="1377">
        <f t="shared" si="90"/>
        <v>0</v>
      </c>
      <c r="B2327" s="1582" t="s">
        <v>1109</v>
      </c>
      <c r="C2327" s="1273"/>
      <c r="D2327" s="1274">
        <f>VLOOKUP($B2327,DG!A:D,DG!$B$2,)</f>
        <v>0</v>
      </c>
      <c r="E2327" s="1275" t="str">
        <f>VLOOKUP($B2327,DG!A:D,DG!$C$2,)</f>
        <v>Boulon 16x350+ 2 long đền vuông D18-50x50x3/Zn</v>
      </c>
      <c r="F2327" s="1274" t="str">
        <f>VLOOKUP($B2327,DG!A:D,DG!$D$2,)</f>
        <v>bộ</v>
      </c>
      <c r="G2327" s="1287">
        <f>+G2320*4</f>
        <v>0</v>
      </c>
      <c r="H2327" s="1353">
        <f t="shared" si="88"/>
        <v>0</v>
      </c>
      <c r="I2327" s="1310"/>
      <c r="J2327" s="1310"/>
      <c r="K2327" s="1278"/>
      <c r="L2327" s="1125">
        <v>1000</v>
      </c>
    </row>
    <row r="2328" spans="1:12" s="1279" customFormat="1" ht="20.100000000000001" customHeight="1">
      <c r="A2328" s="1377">
        <f t="shared" si="90"/>
        <v>0</v>
      </c>
      <c r="B2328" s="1582"/>
      <c r="C2328" s="1280">
        <f>IF(G2328&gt;0,C2320+1,C2320)</f>
        <v>0</v>
      </c>
      <c r="D2328" s="1281"/>
      <c r="E2328" s="1341" t="s">
        <v>3814</v>
      </c>
      <c r="F2328" s="1280" t="s">
        <v>2449</v>
      </c>
      <c r="G2328" s="1283">
        <f>G2320*2</f>
        <v>0</v>
      </c>
      <c r="H2328" s="1353">
        <f t="shared" si="88"/>
        <v>0</v>
      </c>
      <c r="I2328" s="1342"/>
      <c r="J2328" s="1342"/>
      <c r="K2328" s="1278"/>
      <c r="L2328" s="1125">
        <v>1000</v>
      </c>
    </row>
    <row r="2329" spans="1:12" s="1279" customFormat="1" ht="20.100000000000001" customHeight="1">
      <c r="A2329" s="1377">
        <f>IF(A2328&gt;0,1,0)</f>
        <v>0</v>
      </c>
      <c r="B2329" s="1582"/>
      <c r="C2329" s="1273"/>
      <c r="D2329" s="1284"/>
      <c r="E2329" s="1637" t="s">
        <v>2342</v>
      </c>
      <c r="F2329" s="1286"/>
      <c r="G2329" s="1287"/>
      <c r="H2329" s="1353">
        <f t="shared" si="88"/>
        <v>0</v>
      </c>
      <c r="I2329" s="1342"/>
      <c r="J2329" s="1342"/>
      <c r="K2329" s="1278"/>
      <c r="L2329" s="1125">
        <v>1000</v>
      </c>
    </row>
    <row r="2330" spans="1:12" s="1279" customFormat="1" ht="20.100000000000001" customHeight="1">
      <c r="A2330" s="1377">
        <f t="shared" si="90"/>
        <v>0</v>
      </c>
      <c r="B2330" s="1589" t="s">
        <v>2075</v>
      </c>
      <c r="C2330" s="1273"/>
      <c r="D2330" s="1274">
        <v>0</v>
      </c>
      <c r="E2330" s="1275" t="str">
        <f>VLOOKUP($B2330,DG!A:D,DG!$C$2,)</f>
        <v>Sắt góc L75 x75 x8</v>
      </c>
      <c r="F2330" s="1274" t="s">
        <v>2310</v>
      </c>
      <c r="G2330" s="1276">
        <f>G2328*9.02*(2.6+3*0.07)*2</f>
        <v>0</v>
      </c>
      <c r="H2330" s="1353">
        <f t="shared" si="88"/>
        <v>0</v>
      </c>
      <c r="I2330" s="1310"/>
      <c r="J2330" s="1310"/>
      <c r="K2330" s="1278"/>
      <c r="L2330" s="1125">
        <v>1000</v>
      </c>
    </row>
    <row r="2331" spans="1:12" s="1279" customFormat="1" ht="20.100000000000001" customHeight="1">
      <c r="A2331" s="1377">
        <f t="shared" si="90"/>
        <v>0</v>
      </c>
      <c r="B2331" s="1582" t="s">
        <v>1837</v>
      </c>
      <c r="C2331" s="1273"/>
      <c r="D2331" s="1274">
        <v>0</v>
      </c>
      <c r="E2331" s="1275" t="str">
        <f>VLOOKUP($B2331,DG!A:D,DG!$C$2,)</f>
        <v>Boulon 16x300VRS+ 4 long đền vuông D18-50x50x3/Zn</v>
      </c>
      <c r="F2331" s="1274" t="s">
        <v>2503</v>
      </c>
      <c r="G2331" s="1287">
        <f>G2328*2</f>
        <v>0</v>
      </c>
      <c r="H2331" s="1353">
        <f t="shared" si="88"/>
        <v>0</v>
      </c>
      <c r="I2331" s="1310"/>
      <c r="J2331" s="1310"/>
      <c r="K2331" s="1278"/>
      <c r="L2331" s="1125">
        <v>1000</v>
      </c>
    </row>
    <row r="2332" spans="1:12" s="1279" customFormat="1" ht="20.100000000000001" customHeight="1">
      <c r="A2332" s="1377">
        <f t="shared" si="90"/>
        <v>0</v>
      </c>
      <c r="B2332" s="1582" t="s">
        <v>1662</v>
      </c>
      <c r="C2332" s="1273"/>
      <c r="D2332" s="1274">
        <v>0</v>
      </c>
      <c r="E2332" s="1275" t="str">
        <f>VLOOKUP($B2332,DG!A:D,DG!$C$2,)</f>
        <v>Boulon 16x300+ 2 long đền vuông D18-50x50x3/Zn</v>
      </c>
      <c r="F2332" s="1274" t="s">
        <v>2503</v>
      </c>
      <c r="G2332" s="1287">
        <f>G2328*2</f>
        <v>0</v>
      </c>
      <c r="H2332" s="1353">
        <f t="shared" si="88"/>
        <v>0</v>
      </c>
      <c r="I2332" s="1310"/>
      <c r="J2332" s="1310"/>
      <c r="K2332" s="1278"/>
      <c r="L2332" s="1125">
        <v>1000</v>
      </c>
    </row>
    <row r="2333" spans="1:12" s="1279" customFormat="1" ht="20.100000000000001" customHeight="1">
      <c r="A2333" s="1377">
        <f t="shared" si="90"/>
        <v>0</v>
      </c>
      <c r="B2333" s="1582" t="s">
        <v>1661</v>
      </c>
      <c r="C2333" s="1273"/>
      <c r="D2333" s="1274">
        <v>0</v>
      </c>
      <c r="E2333" s="1275" t="str">
        <f>VLOOKUP($B2333,DG!A:D,DG!$C$2,)</f>
        <v>Boulon 16x250+ 2 long đền vuông D18-50x50x3/Zn</v>
      </c>
      <c r="F2333" s="1274" t="s">
        <v>2503</v>
      </c>
      <c r="G2333" s="1287">
        <f>G2332</f>
        <v>0</v>
      </c>
      <c r="H2333" s="1353">
        <f t="shared" si="88"/>
        <v>0</v>
      </c>
      <c r="I2333" s="1310"/>
      <c r="J2333" s="1310"/>
      <c r="K2333" s="1278"/>
      <c r="L2333" s="1125">
        <v>1000</v>
      </c>
    </row>
    <row r="2334" spans="1:12" s="1279" customFormat="1" ht="20.100000000000001" customHeight="1">
      <c r="A2334" s="1377">
        <f t="shared" si="90"/>
        <v>0</v>
      </c>
      <c r="B2334" s="1582" t="s">
        <v>2304</v>
      </c>
      <c r="C2334" s="1273"/>
      <c r="D2334" s="1274" t="s">
        <v>738</v>
      </c>
      <c r="E2334" s="1275" t="str">
        <f>VLOOKUP($B2334,DG!A:D,DG!$C$2,)</f>
        <v>Lắp xà cột Pi loại ≤140kg/xà</v>
      </c>
      <c r="F2334" s="1274" t="s">
        <v>2503</v>
      </c>
      <c r="G2334" s="1287">
        <f>G2328</f>
        <v>0</v>
      </c>
      <c r="H2334" s="1353">
        <f t="shared" si="88"/>
        <v>0</v>
      </c>
      <c r="I2334" s="1310"/>
      <c r="J2334" s="1310"/>
      <c r="K2334" s="1278"/>
      <c r="L2334" s="1125">
        <v>1000</v>
      </c>
    </row>
    <row r="2335" spans="1:12" s="1279" customFormat="1" ht="20.100000000000001" customHeight="1">
      <c r="A2335" s="1377">
        <f t="shared" si="90"/>
        <v>0</v>
      </c>
      <c r="B2335" s="1582"/>
      <c r="C2335" s="1280">
        <f>IF(G2335&gt;0,C2328+1,C2328)</f>
        <v>0</v>
      </c>
      <c r="D2335" s="1281"/>
      <c r="E2335" s="1341" t="s">
        <v>3851</v>
      </c>
      <c r="F2335" s="1280" t="s">
        <v>2449</v>
      </c>
      <c r="G2335" s="1283">
        <f>G2320*3</f>
        <v>0</v>
      </c>
      <c r="H2335" s="1353">
        <f t="shared" si="88"/>
        <v>0</v>
      </c>
      <c r="I2335" s="1342"/>
      <c r="J2335" s="1342"/>
      <c r="K2335" s="1278"/>
      <c r="L2335" s="1125">
        <v>1000</v>
      </c>
    </row>
    <row r="2336" spans="1:12" s="1279" customFormat="1" ht="20.100000000000001" customHeight="1">
      <c r="A2336" s="1377">
        <f>IF(A2335&gt;0,1,0)</f>
        <v>0</v>
      </c>
      <c r="B2336" s="1582"/>
      <c r="C2336" s="1273"/>
      <c r="D2336" s="1284"/>
      <c r="E2336" s="1637" t="s">
        <v>2342</v>
      </c>
      <c r="F2336" s="1286"/>
      <c r="G2336" s="1287"/>
      <c r="H2336" s="1353">
        <f t="shared" si="88"/>
        <v>0</v>
      </c>
      <c r="I2336" s="1342"/>
      <c r="J2336" s="1342"/>
      <c r="K2336" s="1278"/>
      <c r="L2336" s="1125">
        <v>1000</v>
      </c>
    </row>
    <row r="2337" spans="1:12" s="1279" customFormat="1" ht="20.100000000000001" customHeight="1">
      <c r="A2337" s="1377">
        <f t="shared" si="90"/>
        <v>0</v>
      </c>
      <c r="B2337" s="1589" t="s">
        <v>2075</v>
      </c>
      <c r="C2337" s="1273"/>
      <c r="D2337" s="1274">
        <v>0</v>
      </c>
      <c r="E2337" s="1275" t="str">
        <f>VLOOKUP($B2337,DG!A:D,DG!$C$2,)</f>
        <v>Sắt góc L75 x75 x8</v>
      </c>
      <c r="F2337" s="1274" t="s">
        <v>2310</v>
      </c>
      <c r="G2337" s="1276">
        <f>G2335*9.42*(2.6+3*0.07)</f>
        <v>0</v>
      </c>
      <c r="H2337" s="1353">
        <f t="shared" si="88"/>
        <v>0</v>
      </c>
      <c r="I2337" s="1310"/>
      <c r="J2337" s="1310"/>
      <c r="K2337" s="1278"/>
      <c r="L2337" s="1125">
        <v>1000</v>
      </c>
    </row>
    <row r="2338" spans="1:12" s="1279" customFormat="1" ht="20.100000000000001" customHeight="1">
      <c r="A2338" s="1377">
        <f t="shared" si="90"/>
        <v>0</v>
      </c>
      <c r="B2338" s="1582" t="s">
        <v>1661</v>
      </c>
      <c r="C2338" s="1273"/>
      <c r="D2338" s="1274">
        <v>0</v>
      </c>
      <c r="E2338" s="1275" t="str">
        <f>VLOOKUP($B2338,DG!A:D,DG!$C$2,)</f>
        <v>Boulon 16x250+ 2 long đền vuông D18-50x50x3/Zn</v>
      </c>
      <c r="F2338" s="1274" t="s">
        <v>2503</v>
      </c>
      <c r="G2338" s="1287">
        <f>IF(G2335&gt;2,(G2335-1)*2,0)</f>
        <v>0</v>
      </c>
      <c r="H2338" s="1353">
        <f t="shared" si="88"/>
        <v>0</v>
      </c>
      <c r="I2338" s="1310"/>
      <c r="J2338" s="1310"/>
      <c r="K2338" s="1278"/>
      <c r="L2338" s="1125">
        <v>1000</v>
      </c>
    </row>
    <row r="2339" spans="1:12" s="1279" customFormat="1" ht="20.100000000000001" customHeight="1">
      <c r="A2339" s="1377">
        <f t="shared" si="90"/>
        <v>0</v>
      </c>
      <c r="B2339" s="1582" t="s">
        <v>1662</v>
      </c>
      <c r="C2339" s="1273"/>
      <c r="D2339" s="1274">
        <v>0</v>
      </c>
      <c r="E2339" s="1275" t="str">
        <f>VLOOKUP($B2339,DG!A:D,DG!$C$2,)</f>
        <v>Boulon 16x300+ 2 long đền vuông D18-50x50x3/Zn</v>
      </c>
      <c r="F2339" s="1274" t="s">
        <v>2503</v>
      </c>
      <c r="G2339" s="1287">
        <f>IF(G2335=0,0,2)</f>
        <v>0</v>
      </c>
      <c r="H2339" s="1353">
        <f t="shared" si="88"/>
        <v>0</v>
      </c>
      <c r="I2339" s="1310"/>
      <c r="J2339" s="1310"/>
      <c r="K2339" s="1278"/>
      <c r="L2339" s="1125">
        <v>1000</v>
      </c>
    </row>
    <row r="2340" spans="1:12" s="1279" customFormat="1" ht="20.100000000000001" customHeight="1">
      <c r="A2340" s="1377">
        <f t="shared" si="90"/>
        <v>0</v>
      </c>
      <c r="B2340" s="1589" t="s">
        <v>2333</v>
      </c>
      <c r="C2340" s="1273"/>
      <c r="D2340" s="1274">
        <v>0</v>
      </c>
      <c r="E2340" s="1275" t="str">
        <f>VLOOKUP($B2340,DG!A:D,DG!$C$2,)</f>
        <v>Bass LL bắt FCO và LA</v>
      </c>
      <c r="F2340" s="1274" t="s">
        <v>2449</v>
      </c>
      <c r="G2340" s="1287">
        <f>G2335*1</f>
        <v>0</v>
      </c>
      <c r="H2340" s="1353">
        <f t="shared" si="88"/>
        <v>0</v>
      </c>
      <c r="I2340" s="1310"/>
      <c r="J2340" s="1310"/>
      <c r="K2340" s="1278"/>
      <c r="L2340" s="1125">
        <v>1000</v>
      </c>
    </row>
    <row r="2341" spans="1:12" s="1279" customFormat="1" ht="20.100000000000001" customHeight="1">
      <c r="A2341" s="1377">
        <f t="shared" si="90"/>
        <v>0</v>
      </c>
      <c r="B2341" s="1582" t="s">
        <v>2304</v>
      </c>
      <c r="C2341" s="1273"/>
      <c r="D2341" s="1274" t="s">
        <v>738</v>
      </c>
      <c r="E2341" s="1275" t="str">
        <f>VLOOKUP($B2341,DG!A:D,DG!$C$2,)</f>
        <v>Lắp xà cột Pi loại ≤140kg/xà</v>
      </c>
      <c r="F2341" s="1274" t="s">
        <v>2503</v>
      </c>
      <c r="G2341" s="1287">
        <f>G2335</f>
        <v>0</v>
      </c>
      <c r="H2341" s="1353">
        <f t="shared" si="88"/>
        <v>0</v>
      </c>
      <c r="I2341" s="1310"/>
      <c r="J2341" s="1310"/>
      <c r="K2341" s="1278"/>
      <c r="L2341" s="1125">
        <v>1000</v>
      </c>
    </row>
    <row r="2342" spans="1:12" s="1279" customFormat="1" ht="20.100000000000001" customHeight="1">
      <c r="A2342" s="1377">
        <f t="shared" si="90"/>
        <v>0</v>
      </c>
      <c r="B2342" s="1582"/>
      <c r="C2342" s="1280">
        <f>IF(G2342&gt;0,C2335+1,C2335)</f>
        <v>0</v>
      </c>
      <c r="D2342" s="1281"/>
      <c r="E2342" s="1341" t="s">
        <v>3816</v>
      </c>
      <c r="F2342" s="1280" t="s">
        <v>2449</v>
      </c>
      <c r="G2342" s="1283">
        <f>G2320*2</f>
        <v>0</v>
      </c>
      <c r="H2342" s="1353">
        <f t="shared" si="88"/>
        <v>0</v>
      </c>
      <c r="I2342" s="1342"/>
      <c r="J2342" s="1342"/>
      <c r="K2342" s="1278"/>
      <c r="L2342" s="1125">
        <v>1000</v>
      </c>
    </row>
    <row r="2343" spans="1:12" s="1279" customFormat="1" ht="20.100000000000001" customHeight="1">
      <c r="A2343" s="1377">
        <f>IF(A2342&gt;0,1,0)</f>
        <v>0</v>
      </c>
      <c r="B2343" s="1582"/>
      <c r="C2343" s="1273"/>
      <c r="D2343" s="1284"/>
      <c r="E2343" s="1637" t="s">
        <v>2342</v>
      </c>
      <c r="F2343" s="1286"/>
      <c r="G2343" s="1287"/>
      <c r="H2343" s="1353">
        <f t="shared" si="88"/>
        <v>0</v>
      </c>
      <c r="I2343" s="1342"/>
      <c r="J2343" s="1342"/>
      <c r="K2343" s="1278"/>
      <c r="L2343" s="1125">
        <v>1000</v>
      </c>
    </row>
    <row r="2344" spans="1:12" s="1279" customFormat="1" ht="20.100000000000001" customHeight="1">
      <c r="A2344" s="1377">
        <f t="shared" si="90"/>
        <v>0</v>
      </c>
      <c r="B2344" s="1582" t="s">
        <v>2075</v>
      </c>
      <c r="C2344" s="1273"/>
      <c r="D2344" s="1274">
        <v>0</v>
      </c>
      <c r="E2344" s="1275" t="str">
        <f>VLOOKUP($B2344,DG!A:D,DG!$C$2,)</f>
        <v>Sắt góc L75 x75 x8</v>
      </c>
      <c r="F2344" s="1274" t="s">
        <v>2310</v>
      </c>
      <c r="G2344" s="1276">
        <f>G2342*9.42*2.6</f>
        <v>0</v>
      </c>
      <c r="H2344" s="1353">
        <f t="shared" si="88"/>
        <v>0</v>
      </c>
      <c r="I2344" s="1310"/>
      <c r="J2344" s="1310"/>
      <c r="K2344" s="1278"/>
      <c r="L2344" s="1125">
        <v>1000</v>
      </c>
    </row>
    <row r="2345" spans="1:12" s="1279" customFormat="1" ht="20.100000000000001" customHeight="1">
      <c r="A2345" s="1377">
        <f t="shared" si="90"/>
        <v>0</v>
      </c>
      <c r="B2345" s="1582" t="s">
        <v>1113</v>
      </c>
      <c r="C2345" s="1273"/>
      <c r="D2345" s="1274">
        <v>0</v>
      </c>
      <c r="E2345" s="1275" t="str">
        <f>VLOOKUP($B2345,DG!A:D,DG!$C$2,)</f>
        <v>Boulon 16x400+ 2 long đền vuông D18-50x50x3/Zn</v>
      </c>
      <c r="F2345" s="1274" t="s">
        <v>2503</v>
      </c>
      <c r="G2345" s="1287">
        <f>G2342*2</f>
        <v>0</v>
      </c>
      <c r="H2345" s="1353">
        <f t="shared" si="88"/>
        <v>0</v>
      </c>
      <c r="I2345" s="1310"/>
      <c r="J2345" s="1310"/>
      <c r="K2345" s="1278"/>
      <c r="L2345" s="1125">
        <v>1000</v>
      </c>
    </row>
    <row r="2346" spans="1:12" s="1279" customFormat="1" ht="20.100000000000001" customHeight="1">
      <c r="A2346" s="1377">
        <f t="shared" si="90"/>
        <v>0</v>
      </c>
      <c r="B2346" s="1582" t="s">
        <v>2304</v>
      </c>
      <c r="C2346" s="1273"/>
      <c r="D2346" s="1274" t="s">
        <v>738</v>
      </c>
      <c r="E2346" s="1275" t="str">
        <f>VLOOKUP($B2346,DG!A:D,DG!$C$2,)</f>
        <v>Lắp xà cột Pi loại ≤140kg/xà</v>
      </c>
      <c r="F2346" s="1274" t="s">
        <v>2503</v>
      </c>
      <c r="G2346" s="1287">
        <f>G2342</f>
        <v>0</v>
      </c>
      <c r="H2346" s="1353">
        <f t="shared" si="88"/>
        <v>0</v>
      </c>
      <c r="I2346" s="1310"/>
      <c r="J2346" s="1310"/>
      <c r="K2346" s="1278"/>
      <c r="L2346" s="1125">
        <v>1000</v>
      </c>
    </row>
    <row r="2347" spans="1:12" s="1279" customFormat="1" ht="20.100000000000001" customHeight="1">
      <c r="A2347" s="1377">
        <f t="shared" si="90"/>
        <v>0</v>
      </c>
      <c r="B2347" s="1582" t="s">
        <v>1662</v>
      </c>
      <c r="C2347" s="1273"/>
      <c r="D2347" s="1274">
        <v>0</v>
      </c>
      <c r="E2347" s="1275" t="str">
        <f>VLOOKUP($B2347,DG!A:D,DG!$C$2,)</f>
        <v>Boulon 16x300+ 2 long đền vuông D18-50x50x3/Zn</v>
      </c>
      <c r="F2347" s="1274" t="s">
        <v>2503</v>
      </c>
      <c r="G2347" s="1287">
        <f>G2342*2*0</f>
        <v>0</v>
      </c>
      <c r="H2347" s="1353">
        <f t="shared" si="88"/>
        <v>0</v>
      </c>
      <c r="I2347" s="1310"/>
      <c r="J2347" s="1310"/>
      <c r="K2347" s="1278"/>
      <c r="L2347" s="1125">
        <v>1000</v>
      </c>
    </row>
    <row r="2348" spans="1:12" s="1279" customFormat="1" ht="20.100000000000001" customHeight="1">
      <c r="A2348" s="1377">
        <f t="shared" si="90"/>
        <v>0</v>
      </c>
      <c r="B2348" s="1582" t="s">
        <v>1661</v>
      </c>
      <c r="C2348" s="1273"/>
      <c r="D2348" s="1274">
        <v>0</v>
      </c>
      <c r="E2348" s="1275" t="str">
        <f>VLOOKUP($B2348,DG!A:D,DG!$C$2,)</f>
        <v>Boulon 16x250+ 2 long đền vuông D18-50x50x3/Zn</v>
      </c>
      <c r="F2348" s="1274" t="s">
        <v>2503</v>
      </c>
      <c r="G2348" s="1287">
        <f>2*G2342*2*0</f>
        <v>0</v>
      </c>
      <c r="H2348" s="1353">
        <f t="shared" si="88"/>
        <v>0</v>
      </c>
      <c r="I2348" s="1310"/>
      <c r="J2348" s="1310"/>
      <c r="K2348" s="1278"/>
      <c r="L2348" s="1125">
        <v>1000</v>
      </c>
    </row>
    <row r="2349" spans="1:12" s="1279" customFormat="1" ht="20.100000000000001" customHeight="1" collapsed="1">
      <c r="A2349" s="1377">
        <f t="shared" si="90"/>
        <v>0</v>
      </c>
      <c r="B2349" s="1582"/>
      <c r="C2349" s="1280">
        <f>IF(G2349&gt;0,C2342+1,C2342)</f>
        <v>0</v>
      </c>
      <c r="D2349" s="1281"/>
      <c r="E2349" s="1341" t="s">
        <v>3852</v>
      </c>
      <c r="F2349" s="1280" t="s">
        <v>2449</v>
      </c>
      <c r="G2349" s="1283">
        <f>G2295</f>
        <v>0</v>
      </c>
      <c r="H2349" s="1353">
        <f t="shared" si="88"/>
        <v>0</v>
      </c>
      <c r="I2349" s="1277"/>
      <c r="J2349" s="1277"/>
      <c r="K2349" s="1278"/>
      <c r="L2349" s="1125">
        <v>1000</v>
      </c>
    </row>
    <row r="2350" spans="1:12" s="1279" customFormat="1" ht="20.100000000000001" customHeight="1">
      <c r="A2350" s="1377">
        <f>IF(A2349&gt;0,1,0)</f>
        <v>0</v>
      </c>
      <c r="B2350" s="1582"/>
      <c r="C2350" s="1273"/>
      <c r="D2350" s="1284"/>
      <c r="E2350" s="1637" t="s">
        <v>2342</v>
      </c>
      <c r="F2350" s="1286"/>
      <c r="G2350" s="1287"/>
      <c r="H2350" s="1353">
        <f t="shared" ref="H2350:H2413" si="91">IF(L2350=$L$23,G2350+I2350-J2350,0)</f>
        <v>0</v>
      </c>
      <c r="I2350" s="1277"/>
      <c r="J2350" s="1277"/>
      <c r="K2350" s="1278"/>
      <c r="L2350" s="1125">
        <v>1000</v>
      </c>
    </row>
    <row r="2351" spans="1:12" s="1279" customFormat="1" ht="20.100000000000001" customHeight="1">
      <c r="A2351" s="1377">
        <f t="shared" si="90"/>
        <v>0</v>
      </c>
      <c r="B2351" s="1582" t="s">
        <v>2075</v>
      </c>
      <c r="C2351" s="1273"/>
      <c r="D2351" s="1274">
        <v>0</v>
      </c>
      <c r="E2351" s="1275" t="str">
        <f>VLOOKUP($B2351,DG!A:D,DG!$C$2,)</f>
        <v>Sắt góc L75 x75 x8</v>
      </c>
      <c r="F2351" s="1274" t="s">
        <v>2310</v>
      </c>
      <c r="G2351" s="1276">
        <f>G2349*9.42*(2.4+4*0.07)*2</f>
        <v>0</v>
      </c>
      <c r="H2351" s="1353">
        <f t="shared" si="91"/>
        <v>0</v>
      </c>
      <c r="I2351" s="1277"/>
      <c r="J2351" s="1277"/>
      <c r="K2351" s="1278"/>
      <c r="L2351" s="1125">
        <v>1000</v>
      </c>
    </row>
    <row r="2352" spans="1:12" s="1279" customFormat="1" ht="20.100000000000001" customHeight="1">
      <c r="A2352" s="1377">
        <f t="shared" si="90"/>
        <v>0</v>
      </c>
      <c r="B2352" s="1582" t="s">
        <v>1065</v>
      </c>
      <c r="C2352" s="1273"/>
      <c r="D2352" s="1274" t="s">
        <v>558</v>
      </c>
      <c r="E2352" s="1275" t="str">
        <f>VLOOKUP($B2352,DG!A:D,DG!$C$2,)&amp;" (Thanh choáng 920)"</f>
        <v>Sắt góc L50 x50 x5 (Thanh choáng 920)</v>
      </c>
      <c r="F2352" s="1274" t="s">
        <v>2310</v>
      </c>
      <c r="G2352" s="1276">
        <f>G2349*3.77*0.92*4</f>
        <v>0</v>
      </c>
      <c r="H2352" s="1353">
        <f t="shared" si="91"/>
        <v>0</v>
      </c>
      <c r="I2352" s="1277"/>
      <c r="J2352" s="1277"/>
      <c r="K2352" s="1278"/>
      <c r="L2352" s="1125">
        <v>1000</v>
      </c>
    </row>
    <row r="2353" spans="1:12" s="1279" customFormat="1" ht="20.100000000000001" customHeight="1">
      <c r="A2353" s="1377">
        <f t="shared" si="90"/>
        <v>0</v>
      </c>
      <c r="B2353" s="1582" t="s">
        <v>1662</v>
      </c>
      <c r="C2353" s="1273"/>
      <c r="D2353" s="1274">
        <v>0</v>
      </c>
      <c r="E2353" s="1275" t="str">
        <f>VLOOKUP($B2353,DG!A:D,DG!$C$2,)</f>
        <v>Boulon 16x300+ 2 long đền vuông D18-50x50x3/Zn</v>
      </c>
      <c r="F2353" s="1274" t="s">
        <v>2503</v>
      </c>
      <c r="G2353" s="1287">
        <f>G2349*2</f>
        <v>0</v>
      </c>
      <c r="H2353" s="1353">
        <f t="shared" si="91"/>
        <v>0</v>
      </c>
      <c r="I2353" s="1277"/>
      <c r="J2353" s="1277"/>
      <c r="K2353" s="1278"/>
      <c r="L2353" s="1125">
        <v>1000</v>
      </c>
    </row>
    <row r="2354" spans="1:12" s="1279" customFormat="1" ht="20.100000000000001" customHeight="1">
      <c r="A2354" s="1377">
        <f t="shared" si="90"/>
        <v>0</v>
      </c>
      <c r="B2354" s="1582" t="s">
        <v>1839</v>
      </c>
      <c r="C2354" s="1273"/>
      <c r="D2354" s="1274">
        <v>0</v>
      </c>
      <c r="E2354" s="1275" t="str">
        <f>VLOOKUP($B2354,DG!A:D,DG!$C$2,)</f>
        <v>Boulon 16x50+ 2 long đền vuông D18-50x50x3/Zn</v>
      </c>
      <c r="F2354" s="1274" t="s">
        <v>2503</v>
      </c>
      <c r="G2354" s="1287">
        <f>G2349*4</f>
        <v>0</v>
      </c>
      <c r="H2354" s="1353">
        <f t="shared" si="91"/>
        <v>0</v>
      </c>
      <c r="I2354" s="1277"/>
      <c r="J2354" s="1277"/>
      <c r="K2354" s="1278"/>
      <c r="L2354" s="1125">
        <v>1000</v>
      </c>
    </row>
    <row r="2355" spans="1:12" s="1279" customFormat="1" ht="20.100000000000001" customHeight="1">
      <c r="A2355" s="1377">
        <f t="shared" si="90"/>
        <v>0</v>
      </c>
      <c r="B2355" s="1582" t="s">
        <v>1837</v>
      </c>
      <c r="C2355" s="1273"/>
      <c r="D2355" s="1274">
        <v>0</v>
      </c>
      <c r="E2355" s="1275" t="str">
        <f>VLOOKUP($B2355,DG!A:D,DG!$C$2,)</f>
        <v>Boulon 16x300VRS+ 4 long đền vuông D18-50x50x3/Zn</v>
      </c>
      <c r="F2355" s="1274" t="s">
        <v>2503</v>
      </c>
      <c r="G2355" s="1287">
        <f>G2349*4</f>
        <v>0</v>
      </c>
      <c r="H2355" s="1353">
        <f t="shared" si="91"/>
        <v>0</v>
      </c>
      <c r="I2355" s="1277"/>
      <c r="J2355" s="1277"/>
      <c r="K2355" s="1278"/>
      <c r="L2355" s="1125">
        <v>1000</v>
      </c>
    </row>
    <row r="2356" spans="1:12" s="1279" customFormat="1" ht="20.100000000000001" customHeight="1">
      <c r="A2356" s="1377">
        <f t="shared" si="90"/>
        <v>0</v>
      </c>
      <c r="B2356" s="1582" t="s">
        <v>554</v>
      </c>
      <c r="C2356" s="1273"/>
      <c r="D2356" s="1274">
        <v>0</v>
      </c>
      <c r="E2356" s="1275" t="str">
        <f>VLOOKUP($B2356,DG!A:D,DG!$C$2,)</f>
        <v>Bass LI bắt FCO</v>
      </c>
      <c r="F2356" s="1274" t="s">
        <v>2503</v>
      </c>
      <c r="G2356" s="1287">
        <f>G2349*3/2*0</f>
        <v>0</v>
      </c>
      <c r="H2356" s="1353">
        <f t="shared" si="91"/>
        <v>0</v>
      </c>
      <c r="I2356" s="1277"/>
      <c r="J2356" s="1277"/>
      <c r="K2356" s="1278"/>
      <c r="L2356" s="1125">
        <v>1000</v>
      </c>
    </row>
    <row r="2357" spans="1:12" s="1279" customFormat="1" ht="20.100000000000001" customHeight="1">
      <c r="A2357" s="1377">
        <f t="shared" si="90"/>
        <v>0</v>
      </c>
      <c r="B2357" s="1582" t="s">
        <v>520</v>
      </c>
      <c r="C2357" s="1273"/>
      <c r="D2357" s="1274" t="s">
        <v>1509</v>
      </c>
      <c r="E2357" s="1275" t="str">
        <f>VLOOKUP($B2357,DG!A:D,DG!$C$2,)</f>
        <v>Lắp xà néo ≤ 100kg</v>
      </c>
      <c r="F2357" s="1274" t="s">
        <v>2503</v>
      </c>
      <c r="G2357" s="1287">
        <f>G2349</f>
        <v>0</v>
      </c>
      <c r="H2357" s="1353">
        <f t="shared" si="91"/>
        <v>0</v>
      </c>
      <c r="I2357" s="1277"/>
      <c r="J2357" s="1277"/>
      <c r="K2357" s="1278"/>
      <c r="L2357" s="1125">
        <v>1000</v>
      </c>
    </row>
    <row r="2358" spans="1:12" s="1279" customFormat="1" ht="20.100000000000001" customHeight="1">
      <c r="A2358" s="1377">
        <f t="shared" si="90"/>
        <v>0</v>
      </c>
      <c r="B2358" s="1582"/>
      <c r="C2358" s="1280">
        <f>IF(G2358&gt;0,C2349+1,C2349)</f>
        <v>0</v>
      </c>
      <c r="D2358" s="1281"/>
      <c r="E2358" s="1341" t="s">
        <v>3853</v>
      </c>
      <c r="F2358" s="1280" t="s">
        <v>2449</v>
      </c>
      <c r="G2358" s="1283">
        <f>G2295*3</f>
        <v>0</v>
      </c>
      <c r="H2358" s="1353">
        <f t="shared" si="91"/>
        <v>0</v>
      </c>
      <c r="I2358" s="1277"/>
      <c r="J2358" s="1277"/>
      <c r="K2358" s="1278"/>
      <c r="L2358" s="1125">
        <v>1000</v>
      </c>
    </row>
    <row r="2359" spans="1:12" s="1279" customFormat="1" ht="20.100000000000001" customHeight="1">
      <c r="A2359" s="1377">
        <f>IF(A2358&gt;0,1,0)</f>
        <v>0</v>
      </c>
      <c r="B2359" s="1582"/>
      <c r="C2359" s="1273"/>
      <c r="D2359" s="1284"/>
      <c r="E2359" s="1637" t="s">
        <v>2342</v>
      </c>
      <c r="F2359" s="1286"/>
      <c r="G2359" s="1287"/>
      <c r="H2359" s="1353">
        <f t="shared" si="91"/>
        <v>0</v>
      </c>
      <c r="I2359" s="1277"/>
      <c r="J2359" s="1277"/>
      <c r="K2359" s="1278"/>
      <c r="L2359" s="1125">
        <v>1000</v>
      </c>
    </row>
    <row r="2360" spans="1:12" s="1279" customFormat="1" ht="20.100000000000001" customHeight="1">
      <c r="A2360" s="1377">
        <f t="shared" si="90"/>
        <v>0</v>
      </c>
      <c r="B2360" s="1582" t="s">
        <v>2075</v>
      </c>
      <c r="C2360" s="1273"/>
      <c r="D2360" s="1274">
        <v>0</v>
      </c>
      <c r="E2360" s="1275" t="str">
        <f>VLOOKUP($B2360,DG!A:D,DG!$C$2,)</f>
        <v>Sắt góc L75 x75 x8</v>
      </c>
      <c r="F2360" s="1274" t="s">
        <v>2310</v>
      </c>
      <c r="G2360" s="1276">
        <f>G2358*9.02*(2.2+4*0.07)</f>
        <v>0</v>
      </c>
      <c r="H2360" s="1353">
        <f t="shared" si="91"/>
        <v>0</v>
      </c>
      <c r="I2360" s="1277"/>
      <c r="J2360" s="1277"/>
      <c r="K2360" s="1278"/>
      <c r="L2360" s="1125">
        <v>1000</v>
      </c>
    </row>
    <row r="2361" spans="1:12" s="1279" customFormat="1" ht="20.100000000000001" customHeight="1">
      <c r="A2361" s="1377">
        <f t="shared" si="90"/>
        <v>0</v>
      </c>
      <c r="B2361" s="1582" t="s">
        <v>1065</v>
      </c>
      <c r="C2361" s="1273"/>
      <c r="D2361" s="1274">
        <v>0</v>
      </c>
      <c r="E2361" s="1275" t="str">
        <f>VLOOKUP($B2361,DG!A:D,DG!$C$2,)&amp;" (Thanh choáng 920)"</f>
        <v>Sắt góc L50 x50 x5 (Thanh choáng 920)</v>
      </c>
      <c r="F2361" s="1274" t="s">
        <v>2310</v>
      </c>
      <c r="G2361" s="1371">
        <f>G2358*3.77*0.92*2</f>
        <v>0</v>
      </c>
      <c r="H2361" s="1353">
        <f t="shared" si="91"/>
        <v>0</v>
      </c>
      <c r="I2361" s="1277"/>
      <c r="J2361" s="1277"/>
      <c r="K2361" s="1278"/>
      <c r="L2361" s="1125">
        <v>1000</v>
      </c>
    </row>
    <row r="2362" spans="1:12" s="1279" customFormat="1" ht="20.100000000000001" customHeight="1">
      <c r="A2362" s="1377">
        <f t="shared" si="90"/>
        <v>0</v>
      </c>
      <c r="B2362" s="1582" t="s">
        <v>1109</v>
      </c>
      <c r="C2362" s="1273"/>
      <c r="D2362" s="1274">
        <v>0</v>
      </c>
      <c r="E2362" s="1275" t="str">
        <f>VLOOKUP($B2362,DG!A:D,DG!$C$2,)</f>
        <v>Boulon 16x350+ 2 long đền vuông D18-50x50x3/Zn</v>
      </c>
      <c r="F2362" s="1274" t="s">
        <v>2503</v>
      </c>
      <c r="G2362" s="1287">
        <f>G2358*2</f>
        <v>0</v>
      </c>
      <c r="H2362" s="1353">
        <f t="shared" si="91"/>
        <v>0</v>
      </c>
      <c r="I2362" s="1277"/>
      <c r="J2362" s="1277"/>
      <c r="K2362" s="1278"/>
      <c r="L2362" s="1125">
        <v>1000</v>
      </c>
    </row>
    <row r="2363" spans="1:12" s="1279" customFormat="1" ht="20.100000000000001" customHeight="1">
      <c r="A2363" s="1377">
        <f t="shared" si="90"/>
        <v>0</v>
      </c>
      <c r="B2363" s="1582" t="s">
        <v>1839</v>
      </c>
      <c r="C2363" s="1273"/>
      <c r="D2363" s="1274">
        <v>0</v>
      </c>
      <c r="E2363" s="1275" t="str">
        <f>VLOOKUP($B2363,DG!A:D,DG!$C$2,)</f>
        <v>Boulon 16x50+ 2 long đền vuông D18-50x50x3/Zn</v>
      </c>
      <c r="F2363" s="1274" t="s">
        <v>2503</v>
      </c>
      <c r="G2363" s="1287">
        <f>G2358*2</f>
        <v>0</v>
      </c>
      <c r="H2363" s="1353">
        <f t="shared" si="91"/>
        <v>0</v>
      </c>
      <c r="I2363" s="1277"/>
      <c r="J2363" s="1277"/>
      <c r="K2363" s="1278"/>
      <c r="L2363" s="1125">
        <v>1000</v>
      </c>
    </row>
    <row r="2364" spans="1:12" s="1279" customFormat="1" ht="20.100000000000001" customHeight="1">
      <c r="A2364" s="1377">
        <f t="shared" si="90"/>
        <v>0</v>
      </c>
      <c r="B2364" s="1582" t="s">
        <v>1788</v>
      </c>
      <c r="C2364" s="1273"/>
      <c r="D2364" s="1274">
        <v>0</v>
      </c>
      <c r="E2364" s="1275" t="str">
        <f>VLOOKUP($B2364,DG!A:D,DG!$C$2,)</f>
        <v>Bass LI bắt FCO</v>
      </c>
      <c r="F2364" s="1274" t="s">
        <v>2503</v>
      </c>
      <c r="G2364" s="1344">
        <f>G2358</f>
        <v>0</v>
      </c>
      <c r="H2364" s="1353">
        <f t="shared" si="91"/>
        <v>0</v>
      </c>
      <c r="I2364" s="1277"/>
      <c r="J2364" s="1277"/>
      <c r="K2364" s="1278"/>
      <c r="L2364" s="1125">
        <v>1000</v>
      </c>
    </row>
    <row r="2365" spans="1:12" s="1279" customFormat="1" ht="20.100000000000001" customHeight="1">
      <c r="A2365" s="1377">
        <f t="shared" si="90"/>
        <v>0</v>
      </c>
      <c r="B2365" s="1582" t="s">
        <v>1018</v>
      </c>
      <c r="C2365" s="1273"/>
      <c r="D2365" s="1274">
        <v>0</v>
      </c>
      <c r="E2365" s="1275" t="str">
        <f>VLOOKUP($B2365,DG!A:D,DG!$C$2,)</f>
        <v xml:space="preserve">Cổ dê chống lắc 8x80x800 </v>
      </c>
      <c r="F2365" s="1274" t="s">
        <v>2503</v>
      </c>
      <c r="G2365" s="1287">
        <f>G2358/3</f>
        <v>0</v>
      </c>
      <c r="H2365" s="1353">
        <f t="shared" si="91"/>
        <v>0</v>
      </c>
      <c r="I2365" s="1277"/>
      <c r="J2365" s="1277"/>
      <c r="K2365" s="1278"/>
      <c r="L2365" s="1125">
        <v>1000</v>
      </c>
    </row>
    <row r="2366" spans="1:12" s="1279" customFormat="1" ht="20.100000000000001" customHeight="1">
      <c r="A2366" s="1377">
        <f t="shared" si="90"/>
        <v>0</v>
      </c>
      <c r="B2366" s="1582" t="s">
        <v>2051</v>
      </c>
      <c r="C2366" s="1273"/>
      <c r="D2366" s="1274" t="s">
        <v>2327</v>
      </c>
      <c r="E2366" s="1275" t="str">
        <f>VLOOKUP($B2366,DG!A:D,DG!$C$2,)</f>
        <v>Lắp xà néo ≤ 50kg</v>
      </c>
      <c r="F2366" s="1274" t="s">
        <v>2503</v>
      </c>
      <c r="G2366" s="1287">
        <f>G2358</f>
        <v>0</v>
      </c>
      <c r="H2366" s="1353">
        <f t="shared" si="91"/>
        <v>0</v>
      </c>
      <c r="I2366" s="1277"/>
      <c r="J2366" s="1277"/>
      <c r="K2366" s="1278"/>
      <c r="L2366" s="1125">
        <v>1000</v>
      </c>
    </row>
    <row r="2367" spans="1:12" s="1279" customFormat="1" ht="20.100000000000001" customHeight="1">
      <c r="A2367" s="1377">
        <f t="shared" si="90"/>
        <v>0</v>
      </c>
      <c r="B2367" s="1582"/>
      <c r="C2367" s="1280">
        <f>IF(G2367&gt;0,C2358+1,C2358)</f>
        <v>0</v>
      </c>
      <c r="D2367" s="1281"/>
      <c r="E2367" s="1341" t="s">
        <v>3854</v>
      </c>
      <c r="F2367" s="1280" t="s">
        <v>2449</v>
      </c>
      <c r="G2367" s="1283">
        <f>G2295</f>
        <v>0</v>
      </c>
      <c r="H2367" s="1353">
        <f t="shared" si="91"/>
        <v>0</v>
      </c>
      <c r="I2367" s="1277"/>
      <c r="J2367" s="1277"/>
      <c r="K2367" s="1278"/>
      <c r="L2367" s="1125">
        <v>1000</v>
      </c>
    </row>
    <row r="2368" spans="1:12" s="1279" customFormat="1" ht="20.100000000000001" customHeight="1">
      <c r="A2368" s="1377">
        <f t="shared" si="90"/>
        <v>0</v>
      </c>
      <c r="B2368" s="1624"/>
      <c r="C2368" s="1273"/>
      <c r="D2368" s="1284"/>
      <c r="E2368" s="1285" t="s">
        <v>3855</v>
      </c>
      <c r="F2368" s="1286"/>
      <c r="G2368" s="1287"/>
      <c r="H2368" s="1353">
        <f t="shared" si="91"/>
        <v>0</v>
      </c>
      <c r="I2368" s="1277"/>
      <c r="J2368" s="1277"/>
      <c r="K2368" s="1278"/>
      <c r="L2368" s="1125">
        <v>1000</v>
      </c>
    </row>
    <row r="2369" spans="1:12" s="1279" customFormat="1" ht="20.100000000000001" customHeight="1">
      <c r="A2369" s="1377">
        <f t="shared" si="90"/>
        <v>0</v>
      </c>
      <c r="B2369" s="1582" t="s">
        <v>1063</v>
      </c>
      <c r="C2369" s="1273"/>
      <c r="D2369" s="1274">
        <f>VLOOKUP($B2369,DG!A:D,DG!$B$2,)</f>
        <v>0</v>
      </c>
      <c r="E2369" s="1275" t="e">
        <f>VLOOKUP($B2369,DG!A:D,DG!$C$2,)&amp; ": "&amp;#REF!&amp;"m"</f>
        <v>#REF!</v>
      </c>
      <c r="F2369" s="1274" t="str">
        <f>VLOOKUP($B2369,DG!A:D,DG!$D$2,)</f>
        <v>kg</v>
      </c>
      <c r="G2369" s="1276">
        <f>H3*0.224*G2367*0</f>
        <v>0</v>
      </c>
      <c r="H2369" s="1353">
        <f t="shared" si="91"/>
        <v>0</v>
      </c>
      <c r="I2369" s="1277"/>
      <c r="J2369" s="1277"/>
      <c r="K2369" s="1278"/>
      <c r="L2369" s="1125">
        <v>1000</v>
      </c>
    </row>
    <row r="2370" spans="1:12" s="1279" customFormat="1" ht="20.100000000000001" customHeight="1">
      <c r="A2370" s="1377">
        <f t="shared" si="90"/>
        <v>0</v>
      </c>
      <c r="B2370" s="1582" t="s">
        <v>1063</v>
      </c>
      <c r="C2370" s="1273"/>
      <c r="D2370" s="1274">
        <f>VLOOKUP($B2370,DG!A:D,DG!$B$2,)</f>
        <v>0</v>
      </c>
      <c r="E2370" s="1275" t="str">
        <f>VLOOKUP($B2370,DG!A:D,DG!$C$2,)&amp;": 10m noái leân voû caùc thieát bò"</f>
        <v>Cáp đồng trần M25mm2: 10m noái leân voû caùc thieát bò</v>
      </c>
      <c r="F2370" s="1274" t="str">
        <f>VLOOKUP($B2370,DG!A:D,DG!$D$2,)</f>
        <v>kg</v>
      </c>
      <c r="G2370" s="1276">
        <f>10*0.224*G2367*0</f>
        <v>0</v>
      </c>
      <c r="H2370" s="1353">
        <f t="shared" si="91"/>
        <v>0</v>
      </c>
      <c r="I2370" s="1277"/>
      <c r="J2370" s="1277"/>
      <c r="K2370" s="1278"/>
      <c r="L2370" s="1125">
        <v>1000</v>
      </c>
    </row>
    <row r="2371" spans="1:12" s="1279" customFormat="1" ht="20.100000000000001" customHeight="1">
      <c r="A2371" s="1377">
        <f t="shared" si="90"/>
        <v>0</v>
      </c>
      <c r="B2371" s="1378" t="s">
        <v>1560</v>
      </c>
      <c r="C2371" s="1273"/>
      <c r="D2371" s="1274">
        <f>VLOOKUP($B2371,DG!A:D,DG!$B$2,)</f>
        <v>0</v>
      </c>
      <c r="E2371" s="1275" t="str">
        <f>VLOOKUP($B2371,DG!A:D,DG!$C$2,)</f>
        <v>Cọc tiếp đất Ø 16- 2,4m + kẹp cọc</v>
      </c>
      <c r="F2371" s="1274" t="str">
        <f>VLOOKUP($B2371,DG!A:D,DG!$D$2,)</f>
        <v>bộ</v>
      </c>
      <c r="G2371" s="1287">
        <f>H2*G2367</f>
        <v>0</v>
      </c>
      <c r="H2371" s="1353">
        <f t="shared" si="91"/>
        <v>0</v>
      </c>
      <c r="I2371" s="1277"/>
      <c r="J2371" s="1277"/>
      <c r="K2371" s="1278"/>
      <c r="L2371" s="1125">
        <v>1000</v>
      </c>
    </row>
    <row r="2372" spans="1:12" s="1279" customFormat="1" ht="20.100000000000001" customHeight="1">
      <c r="A2372" s="1377">
        <f t="shared" si="90"/>
        <v>0</v>
      </c>
      <c r="B2372" s="1378" t="s">
        <v>1542</v>
      </c>
      <c r="C2372" s="1273"/>
      <c r="D2372" s="1274" t="str">
        <f>VLOOKUP($B2372,DG!A:D,DG!$B$2,)</f>
        <v>07.2403</v>
      </c>
      <c r="E2372" s="1275" t="str">
        <f>VLOOKUP($B2372,DG!A:D,DG!$C$2,)</f>
        <v xml:space="preserve">Ống PVC D21x1,6mm </v>
      </c>
      <c r="F2372" s="1274" t="str">
        <f>VLOOKUP($B2372,DG!A:D,DG!$D$2,)</f>
        <v>m</v>
      </c>
      <c r="G2372" s="1287">
        <f>G2367*6*0</f>
        <v>0</v>
      </c>
      <c r="H2372" s="1353">
        <f t="shared" si="91"/>
        <v>0</v>
      </c>
      <c r="I2372" s="1277"/>
      <c r="J2372" s="1277"/>
      <c r="K2372" s="1278"/>
      <c r="L2372" s="1125">
        <v>1000</v>
      </c>
    </row>
    <row r="2373" spans="1:12" s="1279" customFormat="1" ht="20.100000000000001" customHeight="1">
      <c r="A2373" s="1377">
        <f t="shared" si="90"/>
        <v>0</v>
      </c>
      <c r="B2373" s="1587" t="s">
        <v>1631</v>
      </c>
      <c r="C2373" s="1273"/>
      <c r="D2373" s="1274">
        <f>VLOOKUP($B2373,DG!A:D,DG!$B$2,)</f>
        <v>0</v>
      </c>
      <c r="E2373" s="1275" t="str">
        <f>VLOOKUP($B2373,DG!A:D,DG!$C$2,)&amp; " baét trung tính löôùi"</f>
        <v>Kẹp ép WR cỡ dây 50mm2 baét trung tính löôùi</v>
      </c>
      <c r="F2373" s="1274" t="str">
        <f>VLOOKUP($B2373,DG!A:D,DG!$D$2,)</f>
        <v>cái</v>
      </c>
      <c r="G2373" s="1287">
        <f>2*G2367*0</f>
        <v>0</v>
      </c>
      <c r="H2373" s="1353">
        <f t="shared" si="91"/>
        <v>0</v>
      </c>
      <c r="I2373" s="1277"/>
      <c r="J2373" s="1277"/>
      <c r="K2373" s="1278"/>
      <c r="L2373" s="1125">
        <v>1000</v>
      </c>
    </row>
    <row r="2374" spans="1:12" s="1279" customFormat="1" ht="20.100000000000001" customHeight="1">
      <c r="A2374" s="1377">
        <f t="shared" si="90"/>
        <v>0</v>
      </c>
      <c r="B2374" s="1587" t="s">
        <v>1144</v>
      </c>
      <c r="C2374" s="1273"/>
      <c r="D2374" s="1274">
        <f>VLOOKUP($B2374,DG!A:D,DG!$B$2,)</f>
        <v>0</v>
      </c>
      <c r="E2374" s="1275" t="str">
        <f>VLOOKUP($B2374,DG!A:D,DG!$C$2,)</f>
        <v>Kẹp ép cỡ dây 25mm2</v>
      </c>
      <c r="F2374" s="1274" t="str">
        <f>VLOOKUP($B2374,DG!A:D,DG!$D$2,)</f>
        <v>cái</v>
      </c>
      <c r="G2374" s="1344">
        <f>G2367*11*0</f>
        <v>0</v>
      </c>
      <c r="H2374" s="1353">
        <f t="shared" si="91"/>
        <v>0</v>
      </c>
      <c r="I2374" s="1277"/>
      <c r="J2374" s="1277"/>
      <c r="K2374" s="1278"/>
      <c r="L2374" s="1125">
        <v>1000</v>
      </c>
    </row>
    <row r="2375" spans="1:12" s="1279" customFormat="1" ht="20.100000000000001" customHeight="1">
      <c r="A2375" s="1377">
        <f t="shared" si="90"/>
        <v>0</v>
      </c>
      <c r="B2375" s="1378" t="s">
        <v>139</v>
      </c>
      <c r="C2375" s="1273"/>
      <c r="D2375" s="1274">
        <f>VLOOKUP($B2375,DG!A:D,DG!$B$2,)</f>
        <v>0</v>
      </c>
      <c r="E2375" s="1275" t="str">
        <f>VLOOKUP($B2375,DG!A:D,DG!$C$2,)</f>
        <v>Boulon 12x40+ 2 long đền vuông D14-50x50x3/Zn</v>
      </c>
      <c r="F2375" s="1274" t="str">
        <f>VLOOKUP($B2375,DG!A:D,DG!$D$2,)</f>
        <v>bộ</v>
      </c>
      <c r="G2375" s="1287">
        <f>G2376/2</f>
        <v>0</v>
      </c>
      <c r="H2375" s="1353">
        <f t="shared" si="91"/>
        <v>0</v>
      </c>
      <c r="I2375" s="1277"/>
      <c r="J2375" s="1277"/>
      <c r="K2375" s="1278"/>
      <c r="L2375" s="1125">
        <v>1000</v>
      </c>
    </row>
    <row r="2376" spans="1:12" s="1279" customFormat="1" ht="20.100000000000001" customHeight="1">
      <c r="A2376" s="1377">
        <f t="shared" si="90"/>
        <v>0</v>
      </c>
      <c r="B2376" s="1378" t="s">
        <v>104</v>
      </c>
      <c r="C2376" s="1273"/>
      <c r="D2376" s="1274" t="str">
        <f>VLOOKUP($B2376,DG!A:D,DG!$B$2,)</f>
        <v>03.4001</v>
      </c>
      <c r="E2376" s="1275" t="str">
        <f>VLOOKUP($B2376,DG!A:D,DG!$C$2,)</f>
        <v>Đầu cosse ép Cu 25mm2</v>
      </c>
      <c r="F2376" s="1274" t="str">
        <f>VLOOKUP($B2376,DG!A:D,DG!$D$2,)</f>
        <v>cái</v>
      </c>
      <c r="G2376" s="1287">
        <f>+G2367*2*0</f>
        <v>0</v>
      </c>
      <c r="H2376" s="1353">
        <f t="shared" si="91"/>
        <v>0</v>
      </c>
      <c r="I2376" s="1277"/>
      <c r="J2376" s="1277"/>
      <c r="K2376" s="1278"/>
      <c r="L2376" s="1125">
        <v>1000</v>
      </c>
    </row>
    <row r="2377" spans="1:12" s="1279" customFormat="1" ht="20.100000000000001" customHeight="1">
      <c r="A2377" s="1377">
        <f t="shared" si="90"/>
        <v>0</v>
      </c>
      <c r="B2377" s="1378" t="s">
        <v>528</v>
      </c>
      <c r="C2377" s="1273"/>
      <c r="D2377" s="1274" t="str">
        <f>VLOOKUP($B2377,DG!A:D,DG!$B$2,)</f>
        <v>06.3231</v>
      </c>
      <c r="E2377" s="1275" t="str">
        <f>VLOOKUP($B2377,DG!A:D,DG!$C$2,)</f>
        <v>Cổ dê kẹp ống PVC  21</v>
      </c>
      <c r="F2377" s="1274" t="str">
        <f>VLOOKUP($B2377,DG!A:D,DG!$D$2,)</f>
        <v>bộ</v>
      </c>
      <c r="G2377" s="1287">
        <f>G2367*2*0</f>
        <v>0</v>
      </c>
      <c r="H2377" s="1353">
        <f t="shared" si="91"/>
        <v>0</v>
      </c>
      <c r="I2377" s="1277"/>
      <c r="J2377" s="1277"/>
      <c r="K2377" s="1278"/>
      <c r="L2377" s="1125">
        <v>1000</v>
      </c>
    </row>
    <row r="2378" spans="1:12" s="1279" customFormat="1" ht="20.100000000000001" customHeight="1">
      <c r="A2378" s="1377">
        <f t="shared" si="90"/>
        <v>0</v>
      </c>
      <c r="B2378" s="1378" t="s">
        <v>1637</v>
      </c>
      <c r="C2378" s="1273"/>
      <c r="D2378" s="1274">
        <f>VLOOKUP($B2378,DG!A:D,DG!$B$2,)</f>
        <v>0</v>
      </c>
      <c r="E2378" s="1275" t="str">
        <f>VLOOKUP($B2378,DG!A:D,DG!$C$2,)</f>
        <v>Giếng tiếp địa khoan đất</v>
      </c>
      <c r="F2378" s="1274" t="str">
        <f>VLOOKUP($B2378,DG!A:D,DG!$D$2,)</f>
        <v>Cái</v>
      </c>
      <c r="G2378" s="1287"/>
      <c r="H2378" s="1353">
        <f t="shared" si="91"/>
        <v>0</v>
      </c>
      <c r="I2378" s="1277"/>
      <c r="J2378" s="1277"/>
      <c r="K2378" s="1278"/>
      <c r="L2378" s="1125">
        <v>1000</v>
      </c>
    </row>
    <row r="2379" spans="1:12" s="1279" customFormat="1" ht="20.100000000000001" customHeight="1">
      <c r="A2379" s="1377">
        <f t="shared" si="90"/>
        <v>0</v>
      </c>
      <c r="B2379" s="1378" t="s">
        <v>456</v>
      </c>
      <c r="C2379" s="1286"/>
      <c r="D2379" s="1274" t="str">
        <f>VLOOKUP($B2379,DG!A:D,DG!$B$2,)</f>
        <v>03.8133</v>
      </c>
      <c r="E2379" s="1310" t="str">
        <f>VLOOKUP($B2379,DG!A:D,DG!$C$2,)&amp;": (2m3/coïc)x"&amp;G2371&amp;" coïc"</f>
        <v>Phá đá chân hố móng, đá cấp II: (2m3/coïc)x0 coïc</v>
      </c>
      <c r="F2379" s="1353" t="s">
        <v>873</v>
      </c>
      <c r="G2379" s="1312"/>
      <c r="H2379" s="1353">
        <f t="shared" si="91"/>
        <v>0</v>
      </c>
      <c r="I2379" s="1277"/>
      <c r="J2379" s="1277"/>
      <c r="K2379" s="1278"/>
      <c r="L2379" s="1125">
        <v>1000</v>
      </c>
    </row>
    <row r="2380" spans="1:12" s="1279" customFormat="1" ht="20.100000000000001" customHeight="1">
      <c r="A2380" s="1377">
        <f t="shared" si="90"/>
        <v>0</v>
      </c>
      <c r="B2380" s="1378" t="s">
        <v>802</v>
      </c>
      <c r="C2380" s="1286"/>
      <c r="D2380" s="1274" t="str">
        <f>VLOOKUP($B2380,DG!A:D,DG!$B$2,)</f>
        <v>03.3123</v>
      </c>
      <c r="E2380" s="1275" t="str">
        <f>VLOOKUP($B2380,DG!A:D,DG!$C$2,)</f>
        <v>Đào rãnh tiếp địa đất cấp 3</v>
      </c>
      <c r="F2380" s="1353" t="s">
        <v>873</v>
      </c>
      <c r="G2380" s="1346">
        <f>H3*G2367*0</f>
        <v>0</v>
      </c>
      <c r="H2380" s="1353">
        <f t="shared" si="91"/>
        <v>0</v>
      </c>
      <c r="I2380" s="1277"/>
      <c r="J2380" s="1277"/>
      <c r="K2380" s="1278"/>
      <c r="L2380" s="1125">
        <v>1000</v>
      </c>
    </row>
    <row r="2381" spans="1:12" s="1279" customFormat="1" ht="20.100000000000001" customHeight="1">
      <c r="A2381" s="1377">
        <f t="shared" si="90"/>
        <v>0</v>
      </c>
      <c r="B2381" s="1378" t="s">
        <v>806</v>
      </c>
      <c r="C2381" s="1286"/>
      <c r="D2381" s="1274" t="str">
        <f>VLOOKUP($B2381,DG!A:D,DG!$B$2,)</f>
        <v>03.4123</v>
      </c>
      <c r="E2381" s="1275" t="str">
        <f>VLOOKUP($B2381,DG!A:D,DG!$C$2,)</f>
        <v>Đắp đất rãnh tiếp độ chặt k=0,95</v>
      </c>
      <c r="F2381" s="1353" t="s">
        <v>873</v>
      </c>
      <c r="G2381" s="1346">
        <f>($G2380+G2379)*G2367</f>
        <v>0</v>
      </c>
      <c r="H2381" s="1353">
        <f t="shared" si="91"/>
        <v>0</v>
      </c>
      <c r="I2381" s="1277"/>
      <c r="J2381" s="1277"/>
      <c r="K2381" s="1278"/>
      <c r="L2381" s="1125">
        <v>1000</v>
      </c>
    </row>
    <row r="2382" spans="1:12" s="1279" customFormat="1" ht="20.100000000000001" customHeight="1">
      <c r="A2382" s="1377">
        <f t="shared" ref="A2382:A2445" si="92">IF(H2382&gt;0,1,0)</f>
        <v>0</v>
      </c>
      <c r="B2382" s="1378" t="s">
        <v>919</v>
      </c>
      <c r="C2382" s="1286"/>
      <c r="D2382" s="1274" t="str">
        <f>VLOOKUP($B2382,DG!A:D,DG!$B$2,)</f>
        <v>04.7001</v>
      </c>
      <c r="E2382" s="1275" t="str">
        <f>VLOOKUP($B2382,DG!A:D,DG!$C$2,)</f>
        <v>Đóng cọc tiếp địa trong TBA</v>
      </c>
      <c r="F2382" s="1353" t="s">
        <v>873</v>
      </c>
      <c r="G2382" s="1346">
        <f>G2371</f>
        <v>0</v>
      </c>
      <c r="H2382" s="1353">
        <f t="shared" si="91"/>
        <v>0</v>
      </c>
      <c r="I2382" s="1277"/>
      <c r="J2382" s="1277"/>
      <c r="K2382" s="1278"/>
      <c r="L2382" s="1125">
        <v>1000</v>
      </c>
    </row>
    <row r="2383" spans="1:12" s="1279" customFormat="1" ht="20.100000000000001" customHeight="1">
      <c r="A2383" s="1377">
        <f t="shared" si="92"/>
        <v>0</v>
      </c>
      <c r="B2383" s="1378" t="s">
        <v>1470</v>
      </c>
      <c r="C2383" s="1273"/>
      <c r="D2383" s="1274" t="str">
        <f>VLOOKUP($B2383,DG!A:D,DG!$B$2,)</f>
        <v>04.7002</v>
      </c>
      <c r="E2383" s="1275" t="str">
        <f>VLOOKUP($B2383,DG!A:D,DG!$C$2,)</f>
        <v>Kéo dây tiếp địa trong TBA</v>
      </c>
      <c r="F2383" s="1274" t="str">
        <f>VLOOKUP($B2383,DG!A:D,DG!$D$2,)</f>
        <v>mét</v>
      </c>
      <c r="G2383" s="1287">
        <f>G2367*H3</f>
        <v>0</v>
      </c>
      <c r="H2383" s="1353">
        <f t="shared" si="91"/>
        <v>0</v>
      </c>
      <c r="I2383" s="1277"/>
      <c r="J2383" s="1277"/>
      <c r="K2383" s="1278"/>
      <c r="L2383" s="1125">
        <v>1000</v>
      </c>
    </row>
    <row r="2384" spans="1:12" s="1279" customFormat="1" ht="20.100000000000001" customHeight="1">
      <c r="A2384" s="1377">
        <f t="shared" si="92"/>
        <v>0</v>
      </c>
      <c r="B2384" s="1582"/>
      <c r="C2384" s="1280">
        <f>IF(G2384&gt;0,C2367+1,C2367)</f>
        <v>0</v>
      </c>
      <c r="D2384" s="1281"/>
      <c r="E2384" s="1282" t="s">
        <v>3856</v>
      </c>
      <c r="F2384" s="1280" t="s">
        <v>2449</v>
      </c>
      <c r="G2384" s="1283">
        <f>G2295</f>
        <v>0</v>
      </c>
      <c r="H2384" s="1353">
        <f t="shared" si="91"/>
        <v>0</v>
      </c>
      <c r="I2384" s="1277"/>
      <c r="J2384" s="1277"/>
      <c r="K2384" s="1278"/>
      <c r="L2384" s="1125">
        <v>1000</v>
      </c>
    </row>
    <row r="2385" spans="1:13" s="1279" customFormat="1" ht="20.100000000000001" customHeight="1">
      <c r="A2385" s="1377">
        <f>IF(A2384&gt;0,1,0)</f>
        <v>0</v>
      </c>
      <c r="B2385" s="1582"/>
      <c r="C2385" s="1273"/>
      <c r="D2385" s="1284"/>
      <c r="E2385" s="1637" t="s">
        <v>2342</v>
      </c>
      <c r="F2385" s="1286"/>
      <c r="G2385" s="1287"/>
      <c r="H2385" s="1353">
        <f t="shared" si="91"/>
        <v>0</v>
      </c>
      <c r="I2385" s="1277"/>
      <c r="J2385" s="1277"/>
      <c r="K2385" s="1278"/>
      <c r="L2385" s="1125">
        <v>1000</v>
      </c>
    </row>
    <row r="2386" spans="1:13" s="1279" customFormat="1" ht="20.100000000000001" customHeight="1">
      <c r="A2386" s="1377">
        <f t="shared" si="92"/>
        <v>0</v>
      </c>
      <c r="B2386" s="1631" t="s">
        <v>1222</v>
      </c>
      <c r="C2386" s="1286"/>
      <c r="D2386" s="1288" t="str">
        <f>VLOOKUP($B2386,DG!A:D,DG!$B$2,)</f>
        <v>05.1002</v>
      </c>
      <c r="E2386" s="1289" t="str">
        <f>VLOOKUP($B2386,DG!A:D,DG!$C$2,)</f>
        <v>Tủ CB trạm 3 pha + khoá + bulon</v>
      </c>
      <c r="F2386" s="1288" t="str">
        <f>VLOOKUP($B2386,DG!A:D,DG!$D$2,)</f>
        <v>cái</v>
      </c>
      <c r="G2386" s="1276">
        <f>G2384</f>
        <v>0</v>
      </c>
      <c r="H2386" s="1353">
        <f t="shared" si="91"/>
        <v>0</v>
      </c>
      <c r="I2386" s="1277"/>
      <c r="J2386" s="1277"/>
      <c r="K2386" s="1278"/>
      <c r="L2386" s="1125">
        <v>1000</v>
      </c>
    </row>
    <row r="2387" spans="1:13" s="1279" customFormat="1" ht="20.100000000000001" customHeight="1">
      <c r="A2387" s="1377">
        <f t="shared" si="92"/>
        <v>0</v>
      </c>
      <c r="B2387" s="1582" t="s">
        <v>1587</v>
      </c>
      <c r="C2387" s="1273"/>
      <c r="D2387" s="1288">
        <f>VLOOKUP($B2387,DG!A:D,DG!$B$2,)</f>
        <v>0</v>
      </c>
      <c r="E2387" s="1289" t="str">
        <f>VLOOKUP($B2387,DG!A:D,DG!$C$2,)</f>
        <v>Giá nới + Thanh cái tủ CB</v>
      </c>
      <c r="F2387" s="1288" t="str">
        <f>VLOOKUP($B2387,DG!A:D,DG!$D$2,)</f>
        <v>bộ</v>
      </c>
      <c r="G2387" s="1290">
        <f>G2384</f>
        <v>0</v>
      </c>
      <c r="H2387" s="1353">
        <f t="shared" si="91"/>
        <v>0</v>
      </c>
      <c r="I2387" s="1277"/>
      <c r="J2387" s="1277"/>
      <c r="K2387" s="1278"/>
      <c r="L2387" s="1125">
        <v>1000</v>
      </c>
    </row>
    <row r="2388" spans="1:13" s="1279" customFormat="1" ht="20.100000000000001" customHeight="1">
      <c r="A2388" s="1377">
        <f t="shared" si="92"/>
        <v>0</v>
      </c>
      <c r="B2388" s="1582" t="s">
        <v>897</v>
      </c>
      <c r="C2388" s="1273"/>
      <c r="D2388" s="1288">
        <f>VLOOKUP($B2388,DG!A:D,DG!$B$2,)</f>
        <v>0</v>
      </c>
      <c r="E2388" s="1289" t="str">
        <f>VLOOKUP($B2388,DG!A:D,DG!$C$2,)</f>
        <v xml:space="preserve">Bakelit 550x450 dầy 10mm </v>
      </c>
      <c r="F2388" s="1288" t="str">
        <f>VLOOKUP($B2388,DG!A:D,DG!$D$2,)</f>
        <v>cái</v>
      </c>
      <c r="G2388" s="1290">
        <f>G2384*1</f>
        <v>0</v>
      </c>
      <c r="H2388" s="1353">
        <f t="shared" si="91"/>
        <v>0</v>
      </c>
      <c r="I2388" s="1277"/>
      <c r="J2388" s="1277"/>
      <c r="K2388" s="1278"/>
      <c r="L2388" s="1125">
        <v>1000</v>
      </c>
    </row>
    <row r="2389" spans="1:13" s="1279" customFormat="1" ht="20.100000000000001" customHeight="1">
      <c r="A2389" s="1377">
        <f t="shared" si="92"/>
        <v>0</v>
      </c>
      <c r="B2389" s="1582" t="s">
        <v>290</v>
      </c>
      <c r="C2389" s="1286"/>
      <c r="D2389" s="1288" t="str">
        <f>VLOOKUP($B2389,DG!A:D,DG!$B$2,)</f>
        <v>06.3191</v>
      </c>
      <c r="E2389" s="1289" t="str">
        <f>VLOOKUP($B2389,DG!A:D,DG!$C$2,)</f>
        <v>Bảng tên trạm, bảng báo nguy hiểm + đinh vít</v>
      </c>
      <c r="F2389" s="1288" t="str">
        <f>VLOOKUP($B2389,DG!A:D,DG!$D$2,)</f>
        <v>bộ</v>
      </c>
      <c r="G2389" s="1276">
        <f>G2384</f>
        <v>0</v>
      </c>
      <c r="H2389" s="1353">
        <f t="shared" si="91"/>
        <v>0</v>
      </c>
      <c r="I2389" s="1277"/>
      <c r="J2389" s="1277"/>
      <c r="K2389" s="1278"/>
      <c r="L2389" s="1125">
        <v>1000</v>
      </c>
    </row>
    <row r="2390" spans="1:13" s="1279" customFormat="1" ht="20.100000000000001" customHeight="1">
      <c r="A2390" s="1377">
        <f t="shared" si="92"/>
        <v>0</v>
      </c>
      <c r="B2390" s="1582"/>
      <c r="C2390" s="1280">
        <f>IF(G2390&gt;0,C2384+1,C2384)</f>
        <v>0</v>
      </c>
      <c r="D2390" s="1281"/>
      <c r="E2390" s="1282" t="s">
        <v>3857</v>
      </c>
      <c r="F2390" s="1280" t="s">
        <v>2596</v>
      </c>
      <c r="G2390" s="1347"/>
      <c r="H2390" s="1353">
        <f t="shared" si="91"/>
        <v>0</v>
      </c>
      <c r="I2390" s="1277"/>
      <c r="J2390" s="1277"/>
      <c r="K2390" s="1278"/>
      <c r="L2390" s="1125">
        <v>1000</v>
      </c>
    </row>
    <row r="2391" spans="1:13" s="1279" customFormat="1" ht="20.100000000000001" customHeight="1">
      <c r="A2391" s="1377">
        <f>IF(A2390&gt;0,1,0)</f>
        <v>0</v>
      </c>
      <c r="B2391" s="1582"/>
      <c r="C2391" s="1273"/>
      <c r="D2391" s="1284"/>
      <c r="E2391" s="1637" t="s">
        <v>2342</v>
      </c>
      <c r="F2391" s="1286"/>
      <c r="G2391" s="1348"/>
      <c r="H2391" s="1353">
        <f t="shared" si="91"/>
        <v>0</v>
      </c>
      <c r="I2391" s="1277"/>
      <c r="J2391" s="1277"/>
      <c r="K2391" s="1278"/>
      <c r="L2391" s="1125">
        <v>1000</v>
      </c>
    </row>
    <row r="2392" spans="1:13" s="1279" customFormat="1" ht="20.100000000000001" customHeight="1">
      <c r="A2392" s="1377">
        <f t="shared" si="92"/>
        <v>0</v>
      </c>
      <c r="B2392" s="1584" t="s">
        <v>4665</v>
      </c>
      <c r="C2392" s="1286"/>
      <c r="D2392" s="1288">
        <f>VLOOKUP($B2392,DG!A:D,DG!$B$2,)</f>
        <v>0</v>
      </c>
      <c r="E2392" s="1310" t="str">
        <f>VLOOKUP($B2392,DG!A:D,DG!$C$2,)&amp;": 0,38m3/m"</f>
        <v>Cát vàng: 0,38m3/m</v>
      </c>
      <c r="F2392" s="1288" t="str">
        <f>VLOOKUP($B2392,DG!A:D,DG!$D$2,)</f>
        <v>m3</v>
      </c>
      <c r="G2392" s="1276">
        <f>G2390*0.38</f>
        <v>0</v>
      </c>
      <c r="H2392" s="1353">
        <f t="shared" si="91"/>
        <v>0</v>
      </c>
      <c r="I2392" s="1277"/>
      <c r="J2392" s="1277"/>
      <c r="K2392" s="1278"/>
      <c r="L2392" s="1125">
        <v>1000</v>
      </c>
    </row>
    <row r="2393" spans="1:13" s="1279" customFormat="1" ht="20.100000000000001" customHeight="1">
      <c r="A2393" s="1377">
        <f t="shared" si="92"/>
        <v>0</v>
      </c>
      <c r="B2393" s="1584" t="s">
        <v>884</v>
      </c>
      <c r="C2393" s="1286"/>
      <c r="D2393" s="1288">
        <f>VLOOKUP($B2393,DG!A:D,DG!$B$2,)</f>
        <v>0</v>
      </c>
      <c r="E2393" s="1310" t="str">
        <f>VLOOKUP($B2393,DG!A:D,DG!$C$2,)&amp;": 0,12m3/m"</f>
        <v>Đá 1x2: 0,12m3/m</v>
      </c>
      <c r="F2393" s="1288" t="str">
        <f>VLOOKUP($B2393,DG!A:D,DG!$D$2,)</f>
        <v>m3</v>
      </c>
      <c r="G2393" s="1276">
        <f>0.12*G2390*0</f>
        <v>0</v>
      </c>
      <c r="H2393" s="1353">
        <f t="shared" si="91"/>
        <v>0</v>
      </c>
      <c r="I2393" s="1277"/>
      <c r="J2393" s="1277"/>
      <c r="K2393" s="1278"/>
      <c r="L2393" s="1125">
        <v>1000</v>
      </c>
    </row>
    <row r="2394" spans="1:13" s="1279" customFormat="1" ht="20.100000000000001" customHeight="1">
      <c r="A2394" s="1377">
        <f t="shared" si="92"/>
        <v>0</v>
      </c>
      <c r="B2394" s="1584" t="s">
        <v>1728</v>
      </c>
      <c r="C2394" s="1286"/>
      <c r="D2394" s="1288">
        <f>VLOOKUP($B2394,DG!A:D,DG!$B$2,)</f>
        <v>0</v>
      </c>
      <c r="E2394" s="1310" t="str">
        <f>VLOOKUP($B2394,DG!A:D,DG!$C$2,)&amp;": 3,3vieân/m"</f>
        <v>Gạch tàu: 3,3vieân/m</v>
      </c>
      <c r="F2394" s="1288" t="str">
        <f>VLOOKUP($B2394,DG!A:D,DG!$D$2,)</f>
        <v>viên</v>
      </c>
      <c r="G2394" s="1276">
        <f>3.3*G2390</f>
        <v>0</v>
      </c>
      <c r="H2394" s="1353">
        <f t="shared" si="91"/>
        <v>0</v>
      </c>
      <c r="I2394" s="1277"/>
      <c r="J2394" s="1277"/>
      <c r="K2394" s="1278"/>
      <c r="L2394" s="1125">
        <v>1000</v>
      </c>
    </row>
    <row r="2395" spans="1:13" s="1279" customFormat="1" ht="20.100000000000001" customHeight="1">
      <c r="A2395" s="1377">
        <f t="shared" si="92"/>
        <v>0</v>
      </c>
      <c r="B2395" s="1584" t="s">
        <v>1729</v>
      </c>
      <c r="C2395" s="1286"/>
      <c r="D2395" s="1288">
        <f>VLOOKUP($B2395,DG!A:D,DG!$B$2,)</f>
        <v>0</v>
      </c>
      <c r="E2395" s="1310" t="str">
        <f>VLOOKUP($B2395,DG!A:D,DG!$C$2,)&amp;": 0,4m2/m"</f>
        <v>Tấm nilông màu cảnh báo: 0,4m2/m</v>
      </c>
      <c r="F2395" s="1288" t="str">
        <f>VLOOKUP($B2395,DG!A:D,DG!$D$2,)</f>
        <v>m2</v>
      </c>
      <c r="G2395" s="1276">
        <f>0.4*G2390</f>
        <v>0</v>
      </c>
      <c r="H2395" s="1353">
        <f t="shared" si="91"/>
        <v>0</v>
      </c>
      <c r="I2395" s="1277"/>
      <c r="J2395" s="1277"/>
      <c r="K2395" s="1278"/>
      <c r="L2395" s="1125">
        <v>1000</v>
      </c>
    </row>
    <row r="2396" spans="1:13" s="1279" customFormat="1" ht="20.100000000000001" customHeight="1">
      <c r="A2396" s="1377">
        <f t="shared" si="92"/>
        <v>0</v>
      </c>
      <c r="B2396" s="1584" t="s">
        <v>1570</v>
      </c>
      <c r="C2396" s="1273"/>
      <c r="D2396" s="1288">
        <f>VLOOKUP($B2396,DG!A:D,DG!$B$2,)</f>
        <v>0</v>
      </c>
      <c r="E2396" s="1310" t="str">
        <f>VLOOKUP($B2396,DG!A:D,DG!$C$2,)</f>
        <v>Ống PVC D140x6,7mm</v>
      </c>
      <c r="F2396" s="1288" t="str">
        <f>VLOOKUP($B2396,DG!A:D,DG!$D$2,)</f>
        <v>m</v>
      </c>
      <c r="G2396" s="1276">
        <f>1*G2390</f>
        <v>0</v>
      </c>
      <c r="H2396" s="1353">
        <f t="shared" si="91"/>
        <v>0</v>
      </c>
      <c r="I2396" s="1277"/>
      <c r="J2396" s="1277"/>
      <c r="K2396" s="1278"/>
      <c r="L2396" s="1125">
        <v>1000</v>
      </c>
    </row>
    <row r="2397" spans="1:13" s="1279" customFormat="1" ht="20.100000000000001" customHeight="1">
      <c r="A2397" s="1377">
        <f t="shared" si="92"/>
        <v>0</v>
      </c>
      <c r="B2397" s="1584" t="s">
        <v>1731</v>
      </c>
      <c r="C2397" s="1286"/>
      <c r="D2397" s="1288" t="str">
        <f>VLOOKUP($B2397,DG!A:D,DG!$B$2,)</f>
        <v>03.7000</v>
      </c>
      <c r="E2397" s="1310" t="str">
        <f>VLOOKUP($B2397,DG!A:D,DG!$C$2,)&amp;" + ñaép ñaù"</f>
        <v>Đắp cát  + ñaép ñaù</v>
      </c>
      <c r="F2397" s="1288" t="str">
        <f>VLOOKUP($B2397,DG!A:D,DG!$D$2,)</f>
        <v>m3</v>
      </c>
      <c r="G2397" s="1276">
        <f>G2392+G2393</f>
        <v>0</v>
      </c>
      <c r="H2397" s="1353">
        <f t="shared" si="91"/>
        <v>0</v>
      </c>
      <c r="I2397" s="1277"/>
      <c r="J2397" s="1277"/>
      <c r="K2397" s="1278"/>
      <c r="L2397" s="1125">
        <v>1000</v>
      </c>
    </row>
    <row r="2398" spans="1:13" s="1279" customFormat="1" ht="20.100000000000001" customHeight="1">
      <c r="A2398" s="1377">
        <f t="shared" si="92"/>
        <v>0</v>
      </c>
      <c r="B2398" s="1584" t="s">
        <v>145</v>
      </c>
      <c r="C2398" s="1286"/>
      <c r="D2398" s="1288" t="str">
        <f>VLOOKUP($B2398,DG!A:D,DG!$B$2,)</f>
        <v>03.3103</v>
      </c>
      <c r="E2398" s="1310" t="str">
        <f>VLOOKUP($B2398,DG!A:D,DG!$C$2,)&amp;" : 0,48m3/m"</f>
        <v>Đào mương cáp ngầm đất cấp 3 : 0,48m3/m</v>
      </c>
      <c r="F2398" s="1288" t="str">
        <f>VLOOKUP($B2398,DG!A:D,DG!$D$2,)</f>
        <v>m3</v>
      </c>
      <c r="G2398" s="1276">
        <f>G2390*0.48</f>
        <v>0</v>
      </c>
      <c r="H2398" s="1353">
        <f t="shared" si="91"/>
        <v>0</v>
      </c>
      <c r="I2398" s="1277"/>
      <c r="J2398" s="1277"/>
      <c r="K2398" s="1278"/>
      <c r="L2398" s="1125">
        <v>1000</v>
      </c>
    </row>
    <row r="2399" spans="1:13" s="1279" customFormat="1" ht="20.100000000000001" customHeight="1">
      <c r="A2399" s="1377">
        <f t="shared" si="92"/>
        <v>0</v>
      </c>
      <c r="B2399" s="1584" t="s">
        <v>532</v>
      </c>
      <c r="C2399" s="1286"/>
      <c r="D2399" s="1288" t="str">
        <f>VLOOKUP($B2399,DG!A:D,DG!$B$2,)</f>
        <v>03.3203</v>
      </c>
      <c r="E2399" s="1310" t="str">
        <f>VLOOKUP($B2399,DG!A:D,DG!$C$2,)&amp;" : 0,16m3/m"</f>
        <v>Đắp đất mương cáp ngầm, đất cấp 3 : 0,16m3/m</v>
      </c>
      <c r="F2399" s="1288" t="str">
        <f>VLOOKUP($B2399,DG!A:D,DG!$D$2,)</f>
        <v>m3</v>
      </c>
      <c r="G2399" s="1276">
        <f>0.16*G2390</f>
        <v>0</v>
      </c>
      <c r="H2399" s="1353">
        <f t="shared" si="91"/>
        <v>0</v>
      </c>
      <c r="I2399" s="1277"/>
      <c r="J2399" s="1277"/>
      <c r="K2399" s="1278"/>
      <c r="L2399" s="1125">
        <v>1000</v>
      </c>
      <c r="M2399" s="1349">
        <v>0.47499999999999998</v>
      </c>
    </row>
    <row r="2400" spans="1:13" s="1279" customFormat="1" ht="20.100000000000001" customHeight="1">
      <c r="A2400" s="1377">
        <f t="shared" si="92"/>
        <v>0</v>
      </c>
      <c r="B2400" s="1582"/>
      <c r="C2400" s="1280">
        <f>IF(G2400&gt;0,C2390+1,C2390)</f>
        <v>0</v>
      </c>
      <c r="D2400" s="1281"/>
      <c r="E2400" s="1282" t="s">
        <v>3858</v>
      </c>
      <c r="F2400" s="1280" t="s">
        <v>2449</v>
      </c>
      <c r="G2400" s="1283">
        <f>G2409</f>
        <v>0</v>
      </c>
      <c r="H2400" s="1353">
        <f t="shared" si="91"/>
        <v>0</v>
      </c>
      <c r="I2400" s="1277"/>
      <c r="J2400" s="1277"/>
      <c r="K2400" s="1278"/>
      <c r="L2400" s="1125">
        <v>1000</v>
      </c>
      <c r="M2400" s="1349">
        <v>0.88100000000000001</v>
      </c>
    </row>
    <row r="2401" spans="1:12" s="1279" customFormat="1" ht="20.100000000000001" customHeight="1">
      <c r="A2401" s="1377">
        <f>IF(A2400&gt;0,1,0)</f>
        <v>0</v>
      </c>
      <c r="B2401" s="1582"/>
      <c r="C2401" s="1273"/>
      <c r="D2401" s="1284"/>
      <c r="E2401" s="1637" t="s">
        <v>2342</v>
      </c>
      <c r="F2401" s="1286"/>
      <c r="G2401" s="1348"/>
      <c r="H2401" s="1353">
        <f t="shared" si="91"/>
        <v>0</v>
      </c>
      <c r="I2401" s="1277"/>
      <c r="J2401" s="1277"/>
      <c r="K2401" s="1278"/>
      <c r="L2401" s="1125">
        <v>1000</v>
      </c>
    </row>
    <row r="2402" spans="1:12" s="1279" customFormat="1" ht="20.100000000000001" customHeight="1">
      <c r="A2402" s="1377">
        <f t="shared" si="92"/>
        <v>0</v>
      </c>
      <c r="B2402" s="1582" t="s">
        <v>628</v>
      </c>
      <c r="C2402" s="1286"/>
      <c r="D2402" s="1288" t="str">
        <f>VLOOKUP($B2402,DG!A:D,DG!$B$2,)</f>
        <v>07.2204</v>
      </c>
      <c r="E2402" s="1289" t="str">
        <f>VLOOKUP($B2402,DG!A:D,DG!$C$2,)</f>
        <v>ÔÁng sắt tráng kẽm D140</v>
      </c>
      <c r="F2402" s="1288" t="str">
        <f>VLOOKUP($B2402,DG!A:D,DG!$D$2,)</f>
        <v>mét</v>
      </c>
      <c r="G2402" s="1276">
        <f>G2400*4</f>
        <v>0</v>
      </c>
      <c r="H2402" s="1353">
        <f t="shared" si="91"/>
        <v>0</v>
      </c>
      <c r="I2402" s="1277"/>
      <c r="J2402" s="1277"/>
      <c r="K2402" s="1278"/>
      <c r="L2402" s="1125">
        <v>1000</v>
      </c>
    </row>
    <row r="2403" spans="1:12" s="1279" customFormat="1" ht="20.100000000000001" customHeight="1">
      <c r="A2403" s="1377">
        <f t="shared" si="92"/>
        <v>0</v>
      </c>
      <c r="B2403" s="1584" t="s">
        <v>476</v>
      </c>
      <c r="C2403" s="1273"/>
      <c r="D2403" s="1288">
        <f>VLOOKUP($B2403,DG!A:D,DG!$B$2,)</f>
        <v>0</v>
      </c>
      <c r="E2403" s="1289" t="str">
        <f>VLOOKUP($B2403,DG!A:D,DG!$C$2,)</f>
        <v>Co sừng 90 độ PVC 140</v>
      </c>
      <c r="F2403" s="1288" t="str">
        <f>VLOOKUP($B2403,DG!A:D,DG!$D$2,)</f>
        <v>cái</v>
      </c>
      <c r="G2403" s="1276">
        <f>G2400*1</f>
        <v>0</v>
      </c>
      <c r="H2403" s="1353">
        <f t="shared" si="91"/>
        <v>0</v>
      </c>
      <c r="I2403" s="1277"/>
      <c r="J2403" s="1277"/>
      <c r="K2403" s="1278"/>
      <c r="L2403" s="1125">
        <v>1000</v>
      </c>
    </row>
    <row r="2404" spans="1:12" s="1279" customFormat="1" ht="20.100000000000001" customHeight="1">
      <c r="A2404" s="1377">
        <f t="shared" si="92"/>
        <v>0</v>
      </c>
      <c r="B2404" s="1582" t="s">
        <v>121</v>
      </c>
      <c r="C2404" s="1286"/>
      <c r="D2404" s="1288" t="str">
        <f>VLOOKUP($B2404,DG!A:D,DG!$B$2,)</f>
        <v>06.3231</v>
      </c>
      <c r="E2404" s="1289" t="str">
        <f>VLOOKUP($B2404,DG!A:D,DG!$C$2,)</f>
        <v>Cổ dê giữ ống STK D140 vào tường+Boulon+long đền+tắc ke sắt</v>
      </c>
      <c r="F2404" s="1288" t="str">
        <f>VLOOKUP($B2404,DG!A:D,DG!$D$2,)</f>
        <v>bộ</v>
      </c>
      <c r="G2404" s="1276">
        <f>G2400*2</f>
        <v>0</v>
      </c>
      <c r="H2404" s="1353">
        <f t="shared" si="91"/>
        <v>0</v>
      </c>
      <c r="I2404" s="1277"/>
      <c r="J2404" s="1277"/>
      <c r="K2404" s="1278"/>
      <c r="L2404" s="1125">
        <v>1000</v>
      </c>
    </row>
    <row r="2405" spans="1:12" s="1279" customFormat="1" ht="20.100000000000001" customHeight="1">
      <c r="A2405" s="1377">
        <f t="shared" si="92"/>
        <v>0</v>
      </c>
      <c r="B2405" s="1378" t="s">
        <v>1442</v>
      </c>
      <c r="C2405" s="1286"/>
      <c r="D2405" s="1288">
        <f>VLOOKUP($B2405,DG!A:D,DG!$B$2,)</f>
        <v>0</v>
      </c>
      <c r="E2405" s="1289" t="str">
        <f>VLOOKUP($B2405,DG!A:D,DG!$C$2,)</f>
        <v>Giá đỡ cáp ngầm (V63x6)</v>
      </c>
      <c r="F2405" s="1288" t="str">
        <f>VLOOKUP($B2405,DG!A:D,DG!$D$2,)</f>
        <v>bộ</v>
      </c>
      <c r="G2405" s="1276">
        <f>G2400</f>
        <v>0</v>
      </c>
      <c r="H2405" s="1353">
        <f t="shared" si="91"/>
        <v>0</v>
      </c>
      <c r="I2405" s="1277"/>
      <c r="J2405" s="1277"/>
      <c r="K2405" s="1278"/>
      <c r="L2405" s="1125">
        <v>1000</v>
      </c>
    </row>
    <row r="2406" spans="1:12" s="1279" customFormat="1" ht="20.100000000000001" customHeight="1">
      <c r="A2406" s="1377">
        <f t="shared" si="92"/>
        <v>0</v>
      </c>
      <c r="B2406" s="1378" t="s">
        <v>1014</v>
      </c>
      <c r="C2406" s="1286"/>
      <c r="D2406" s="1288">
        <f>VLOOKUP($B2406,DG!A:D,DG!$B$2,)</f>
        <v>0</v>
      </c>
      <c r="E2406" s="1289" t="str">
        <f>VLOOKUP($B2406,DG!A:D,DG!$C$2,)</f>
        <v>Giá đỡ cáp trung thế</v>
      </c>
      <c r="F2406" s="1288" t="str">
        <f>VLOOKUP($B2406,DG!A:D,DG!$D$2,)</f>
        <v>bộ</v>
      </c>
      <c r="G2406" s="1276">
        <f>G2400*0</f>
        <v>0</v>
      </c>
      <c r="H2406" s="1353">
        <f t="shared" si="91"/>
        <v>0</v>
      </c>
      <c r="I2406" s="1277"/>
      <c r="J2406" s="1277"/>
      <c r="K2406" s="1278"/>
      <c r="L2406" s="1125">
        <v>1000</v>
      </c>
    </row>
    <row r="2407" spans="1:12" s="1279" customFormat="1" ht="20.100000000000001" customHeight="1">
      <c r="A2407" s="1377">
        <f t="shared" si="92"/>
        <v>0</v>
      </c>
      <c r="B2407" s="1582" t="s">
        <v>1443</v>
      </c>
      <c r="C2407" s="1273"/>
      <c r="D2407" s="1288" t="str">
        <f>VLOOKUP($B2407,DG!A:D,DG!$B$2,)</f>
        <v>05.6101</v>
      </c>
      <c r="E2407" s="1289" t="str">
        <f>VLOOKUP($B2407,DG!A:D,DG!$C$2,)</f>
        <v>Lắp Giá đỡ cáp</v>
      </c>
      <c r="F2407" s="1288" t="str">
        <f>VLOOKUP($B2407,DG!A:D,DG!$D$2,)</f>
        <v>bộ</v>
      </c>
      <c r="G2407" s="1276">
        <f>G2405</f>
        <v>0</v>
      </c>
      <c r="H2407" s="1353">
        <f t="shared" si="91"/>
        <v>0</v>
      </c>
      <c r="I2407" s="1277"/>
      <c r="J2407" s="1277"/>
      <c r="K2407" s="1278"/>
      <c r="L2407" s="1125">
        <v>1000</v>
      </c>
    </row>
    <row r="2408" spans="1:12" s="1279" customFormat="1" ht="20.100000000000001" customHeight="1">
      <c r="A2408" s="1377">
        <f t="shared" si="92"/>
        <v>0</v>
      </c>
      <c r="B2408" s="1582" t="s">
        <v>290</v>
      </c>
      <c r="C2408" s="1286"/>
      <c r="D2408" s="1288" t="str">
        <f>VLOOKUP($B2408,DG!A:D,DG!$B$2,)</f>
        <v>06.3191</v>
      </c>
      <c r="E2408" s="1289" t="str">
        <f>VLOOKUP($B2408,DG!A:D,DG!$C$2,)</f>
        <v>Bảng tên trạm, bảng báo nguy hiểm + đinh vít</v>
      </c>
      <c r="F2408" s="1288" t="str">
        <f>VLOOKUP($B2408,DG!A:D,DG!$D$2,)</f>
        <v>bộ</v>
      </c>
      <c r="G2408" s="1276">
        <f>G2400</f>
        <v>0</v>
      </c>
      <c r="H2408" s="1353">
        <f t="shared" si="91"/>
        <v>0</v>
      </c>
      <c r="I2408" s="1277"/>
      <c r="J2408" s="1277"/>
      <c r="K2408" s="1278"/>
      <c r="L2408" s="1125">
        <v>1000</v>
      </c>
    </row>
    <row r="2409" spans="1:12" s="1279" customFormat="1" ht="20.100000000000001" customHeight="1">
      <c r="A2409" s="1377">
        <f t="shared" si="92"/>
        <v>0</v>
      </c>
      <c r="B2409" s="1582"/>
      <c r="C2409" s="1280">
        <f>IF(G2409&gt;0,C2400+1,C2400)</f>
        <v>0</v>
      </c>
      <c r="D2409" s="1281"/>
      <c r="E2409" s="1292" t="s">
        <v>3839</v>
      </c>
      <c r="F2409" s="1280" t="s">
        <v>2449</v>
      </c>
      <c r="G2409" s="1283">
        <f>G2295</f>
        <v>0</v>
      </c>
      <c r="H2409" s="1353">
        <f t="shared" si="91"/>
        <v>0</v>
      </c>
      <c r="I2409" s="1277"/>
      <c r="J2409" s="1277"/>
      <c r="K2409" s="1278"/>
      <c r="L2409" s="1125">
        <v>1000</v>
      </c>
    </row>
    <row r="2410" spans="1:12" s="1279" customFormat="1" ht="20.100000000000001" customHeight="1">
      <c r="A2410" s="1377">
        <f>IF(A2409&gt;0,1,0)</f>
        <v>0</v>
      </c>
      <c r="B2410" s="1582"/>
      <c r="C2410" s="1273"/>
      <c r="D2410" s="1284"/>
      <c r="E2410" s="1638" t="s">
        <v>2342</v>
      </c>
      <c r="F2410" s="1273"/>
      <c r="G2410" s="1293"/>
      <c r="H2410" s="1353">
        <f t="shared" si="91"/>
        <v>0</v>
      </c>
      <c r="I2410" s="1277"/>
      <c r="J2410" s="1277"/>
      <c r="K2410" s="1278"/>
      <c r="L2410" s="1125">
        <v>1000</v>
      </c>
    </row>
    <row r="2411" spans="1:12" s="1279" customFormat="1" ht="20.100000000000001" customHeight="1">
      <c r="A2411" s="1377">
        <f t="shared" si="92"/>
        <v>0</v>
      </c>
      <c r="B2411" s="1378" t="s">
        <v>473</v>
      </c>
      <c r="C2411" s="1286"/>
      <c r="D2411" s="1274">
        <f>VLOOKUP($B2411,DG!A:D,DG!$B$2,)</f>
        <v>0</v>
      </c>
      <c r="E2411" s="1275" t="str">
        <f>VLOOKUP($B2411,DG!A:D,DG!$C$2,)&amp;": töø trụ ño ñeám ñeán tuû LBSA"</f>
        <v>Cáp 24kV C/XLPE/DSTA/PVC3x50: töø trụ ño ñeám ñeán tuû LBSA</v>
      </c>
      <c r="F2411" s="1274" t="str">
        <f>VLOOKUP($B2411,DG!A:D,DG!$D$2,)</f>
        <v>mét</v>
      </c>
      <c r="G2411" s="1276">
        <f>(3+10)*1.02*G2409*0</f>
        <v>0</v>
      </c>
      <c r="H2411" s="1353">
        <f t="shared" si="91"/>
        <v>0</v>
      </c>
      <c r="I2411" s="1277"/>
      <c r="J2411" s="1277"/>
      <c r="K2411" s="1278"/>
      <c r="L2411" s="1125">
        <v>1000</v>
      </c>
    </row>
    <row r="2412" spans="1:12" s="1279" customFormat="1" ht="20.100000000000001" customHeight="1">
      <c r="A2412" s="1377">
        <f t="shared" si="92"/>
        <v>0</v>
      </c>
      <c r="B2412" s="1378" t="s">
        <v>272</v>
      </c>
      <c r="C2412" s="1286"/>
      <c r="D2412" s="1274">
        <f>VLOOKUP($B2412,DG!A:D,DG!$B$2,)</f>
        <v>0</v>
      </c>
      <c r="E2412" s="1275" t="str">
        <f>VLOOKUP($B2412,DG!A:D,DG!$C$2,)&amp;": 0,5m/pha"</f>
        <v>Cáp 24KV C/XLPE/PVC 50mm2: 0,5m/pha</v>
      </c>
      <c r="F2412" s="1274" t="str">
        <f>VLOOKUP($B2412,DG!A:D,DG!$D$2,)</f>
        <v>mét</v>
      </c>
      <c r="G2412" s="1276">
        <f>G2409*0.5*3</f>
        <v>0</v>
      </c>
      <c r="H2412" s="1353">
        <f t="shared" si="91"/>
        <v>0</v>
      </c>
      <c r="I2412" s="1277"/>
      <c r="J2412" s="1277"/>
      <c r="K2412" s="1278"/>
      <c r="L2412" s="1125">
        <v>1000</v>
      </c>
    </row>
    <row r="2413" spans="1:12" s="1279" customFormat="1" ht="20.100000000000001" customHeight="1">
      <c r="A2413" s="1377">
        <f t="shared" si="92"/>
        <v>0</v>
      </c>
      <c r="B2413" s="1378" t="s">
        <v>1385</v>
      </c>
      <c r="C2413" s="1286"/>
      <c r="D2413" s="1274">
        <f>VLOOKUP($B2413,DG!A:D,DG!$B$2,)</f>
        <v>0</v>
      </c>
      <c r="E2413" s="1275" t="str">
        <f>VLOOKUP($B2413,DG!A:D,DG!$C$2,)</f>
        <v>Đầu cáp ngầm 24KV 3x50mm2 outdoor</v>
      </c>
      <c r="F2413" s="1274" t="str">
        <f>VLOOKUP($B2413,DG!A:D,DG!$D$2,)</f>
        <v>cái</v>
      </c>
      <c r="G2413" s="1276">
        <f>G2409*2*0</f>
        <v>0</v>
      </c>
      <c r="H2413" s="1353">
        <f t="shared" si="91"/>
        <v>0</v>
      </c>
      <c r="I2413" s="1277"/>
      <c r="J2413" s="1277"/>
      <c r="K2413" s="1278"/>
      <c r="L2413" s="1125">
        <v>1000</v>
      </c>
    </row>
    <row r="2414" spans="1:12" s="1279" customFormat="1" ht="20.100000000000001" customHeight="1">
      <c r="A2414" s="1377">
        <f t="shared" si="92"/>
        <v>0</v>
      </c>
      <c r="B2414" s="1378" t="s">
        <v>473</v>
      </c>
      <c r="C2414" s="1286"/>
      <c r="D2414" s="1274">
        <f>VLOOKUP($B2414,DG!A:D,DG!$B$2,)</f>
        <v>0</v>
      </c>
      <c r="E2414" s="1275" t="str">
        <f>VLOOKUP($B2414,DG!A:D,DG!$C$2,)&amp;": töø tuû LBS ñeán MBA"</f>
        <v>Cáp 24kV C/XLPE/DSTA/PVC3x50: töø tuû LBS ñeán MBA</v>
      </c>
      <c r="F2414" s="1274" t="str">
        <f>VLOOKUP($B2414,DG!A:D,DG!$D$2,)</f>
        <v>mét</v>
      </c>
      <c r="G2414" s="1276">
        <f>(1.2+2.4)*G2409*0</f>
        <v>0</v>
      </c>
      <c r="H2414" s="1353">
        <f t="shared" ref="H2414:H2477" si="93">IF(L2414=$L$23,G2414+I2414-J2414,0)</f>
        <v>0</v>
      </c>
      <c r="I2414" s="1277"/>
      <c r="J2414" s="1277"/>
      <c r="K2414" s="1278"/>
      <c r="L2414" s="1125">
        <v>1000</v>
      </c>
    </row>
    <row r="2415" spans="1:12" s="1279" customFormat="1" ht="20.100000000000001" customHeight="1">
      <c r="A2415" s="1377">
        <f t="shared" si="92"/>
        <v>0</v>
      </c>
      <c r="B2415" s="1378" t="s">
        <v>272</v>
      </c>
      <c r="C2415" s="1286"/>
      <c r="D2415" s="1274">
        <f>VLOOKUP($B2415,DG!A:D,DG!$B$2,)</f>
        <v>0</v>
      </c>
      <c r="E2415" s="1275" t="str">
        <f>VLOOKUP($B2415,DG!A:D,DG!$C$2,)&amp;": töø tuû LBS ñeán MBA"</f>
        <v>Cáp 24KV C/XLPE/PVC 50mm2: töø tuû LBS ñeán MBA</v>
      </c>
      <c r="F2415" s="1274" t="str">
        <f>VLOOKUP($B2415,DG!A:D,DG!$D$2,)</f>
        <v>mét</v>
      </c>
      <c r="G2415" s="1276">
        <f>G2414*0</f>
        <v>0</v>
      </c>
      <c r="H2415" s="1353">
        <f t="shared" si="93"/>
        <v>0</v>
      </c>
      <c r="I2415" s="1277"/>
      <c r="J2415" s="1277"/>
      <c r="K2415" s="1278"/>
      <c r="L2415" s="1125">
        <v>1000</v>
      </c>
    </row>
    <row r="2416" spans="1:12" s="1279" customFormat="1" ht="20.100000000000001" customHeight="1">
      <c r="A2416" s="1377">
        <f t="shared" si="92"/>
        <v>0</v>
      </c>
      <c r="B2416" s="1378" t="s">
        <v>1386</v>
      </c>
      <c r="C2416" s="1286"/>
      <c r="D2416" s="1274">
        <f>VLOOKUP($B2416,DG!A:D,DG!$B$2,)</f>
        <v>0</v>
      </c>
      <c r="E2416" s="1275" t="str">
        <f>VLOOKUP($B2416,DG!A:D,DG!$C$2,)</f>
        <v>Đầu cáp ngầm 24KV 3x50mm2 indoor</v>
      </c>
      <c r="F2416" s="1274" t="str">
        <f>VLOOKUP($B2416,DG!A:D,DG!$D$2,)</f>
        <v>cái</v>
      </c>
      <c r="G2416" s="1276">
        <f>G2409*3*0</f>
        <v>0</v>
      </c>
      <c r="H2416" s="1353">
        <f t="shared" si="93"/>
        <v>0</v>
      </c>
      <c r="I2416" s="1277"/>
      <c r="J2416" s="1277"/>
      <c r="K2416" s="1278"/>
      <c r="L2416" s="1125">
        <v>1000</v>
      </c>
    </row>
    <row r="2417" spans="1:12" s="1279" customFormat="1" ht="20.100000000000001" customHeight="1">
      <c r="A2417" s="1377">
        <f t="shared" si="92"/>
        <v>0</v>
      </c>
      <c r="B2417" s="1378" t="s">
        <v>1727</v>
      </c>
      <c r="C2417" s="1286"/>
      <c r="D2417" s="1274" t="str">
        <f>VLOOKUP($B2417,DG!A:D,DG!$B$2,)</f>
        <v>07.4312</v>
      </c>
      <c r="E2417" s="1275" t="str">
        <f>VLOOKUP($B2417,DG!A:D,DG!$C$2,)</f>
        <v>Lắp đầu cáp trung thế 3x50mm2, 70mm2</v>
      </c>
      <c r="F2417" s="1274" t="str">
        <f>VLOOKUP($B2417,DG!A:D,DG!$D$2,)</f>
        <v>cái</v>
      </c>
      <c r="G2417" s="1276">
        <f>G2413+G2416</f>
        <v>0</v>
      </c>
      <c r="H2417" s="1353">
        <f t="shared" si="93"/>
        <v>0</v>
      </c>
      <c r="I2417" s="1277"/>
      <c r="J2417" s="1277"/>
      <c r="K2417" s="1278"/>
      <c r="L2417" s="1125">
        <v>1000</v>
      </c>
    </row>
    <row r="2418" spans="1:12" s="1279" customFormat="1" ht="20.100000000000001" customHeight="1">
      <c r="A2418" s="1377">
        <f t="shared" si="92"/>
        <v>0</v>
      </c>
      <c r="B2418" s="1378" t="s">
        <v>1212</v>
      </c>
      <c r="C2418" s="1286"/>
      <c r="D2418" s="1274" t="str">
        <f>VLOOKUP($B2418,DG!A:D,DG!$B$2,)</f>
        <v>07.3405</v>
      </c>
      <c r="E2418" s="1275" t="str">
        <f>VLOOKUP($B2418,DG!A:D,DG!$C$2,)</f>
        <v>Lắp cáp trong ống bảo vệ loại &lt;=6kg</v>
      </c>
      <c r="F2418" s="1274" t="str">
        <f>VLOOKUP($B2418,DG!A:D,DG!$D$2,)</f>
        <v>mét</v>
      </c>
      <c r="G2418" s="1276">
        <f>G2411+G2414</f>
        <v>0</v>
      </c>
      <c r="H2418" s="1353">
        <f t="shared" si="93"/>
        <v>0</v>
      </c>
      <c r="I2418" s="1277"/>
      <c r="J2418" s="1277"/>
      <c r="K2418" s="1278"/>
      <c r="L2418" s="1125">
        <v>1000</v>
      </c>
    </row>
    <row r="2419" spans="1:12" s="1279" customFormat="1" ht="20.100000000000001" customHeight="1">
      <c r="A2419" s="1377">
        <f t="shared" si="92"/>
        <v>0</v>
      </c>
      <c r="B2419" s="1378" t="s">
        <v>1577</v>
      </c>
      <c r="C2419" s="1286"/>
      <c r="D2419" s="1274" t="str">
        <f>VLOOKUP($B2419,DG!A:D,DG!$B$2,)</f>
        <v>04.4201</v>
      </c>
      <c r="E2419" s="1275" t="str">
        <f>VLOOKUP($B2419,DG!A:D,DG!$C$2,)</f>
        <v>Lắp cáp đồng xuống thiết bị D ≤ 95mm2</v>
      </c>
      <c r="F2419" s="1274" t="str">
        <f>VLOOKUP($B2419,DG!A:D,DG!$D$2,)</f>
        <v>m</v>
      </c>
      <c r="G2419" s="1276">
        <f>G2412</f>
        <v>0</v>
      </c>
      <c r="H2419" s="1353">
        <f t="shared" si="93"/>
        <v>0</v>
      </c>
      <c r="I2419" s="1277"/>
      <c r="J2419" s="1277"/>
      <c r="K2419" s="1278"/>
      <c r="L2419" s="1125">
        <v>1000</v>
      </c>
    </row>
    <row r="2420" spans="1:12" s="1279" customFormat="1" ht="20.100000000000001" customHeight="1">
      <c r="A2420" s="1377">
        <f t="shared" si="92"/>
        <v>0</v>
      </c>
      <c r="B2420" s="1378" t="s">
        <v>1382</v>
      </c>
      <c r="C2420" s="1286"/>
      <c r="D2420" s="1274">
        <f>VLOOKUP($B2420,DG!A:D,DG!$B$2,)</f>
        <v>0</v>
      </c>
      <c r="E2420" s="1275" t="str">
        <f>VLOOKUP($B2420,DG!A:D,DG!$C$2,)</f>
        <v>Dây rút cáp</v>
      </c>
      <c r="F2420" s="1274" t="str">
        <f>VLOOKUP($B2420,DG!A:D,DG!$D$2,)</f>
        <v>bọc</v>
      </c>
      <c r="G2420" s="1276">
        <f>G2409*2*0</f>
        <v>0</v>
      </c>
      <c r="H2420" s="1353">
        <f t="shared" si="93"/>
        <v>0</v>
      </c>
      <c r="I2420" s="1277"/>
      <c r="J2420" s="1277"/>
      <c r="K2420" s="1278"/>
      <c r="L2420" s="1125">
        <v>1000</v>
      </c>
    </row>
    <row r="2421" spans="1:12" s="1279" customFormat="1" ht="20.100000000000001" customHeight="1">
      <c r="A2421" s="1377">
        <f t="shared" si="92"/>
        <v>0</v>
      </c>
      <c r="B2421" s="1582"/>
      <c r="C2421" s="1280">
        <f>IF(G2421&gt;0,C2409+1,C2409)</f>
        <v>0</v>
      </c>
      <c r="D2421" s="1281"/>
      <c r="E2421" s="1292" t="s">
        <v>3826</v>
      </c>
      <c r="F2421" s="1280" t="s">
        <v>2449</v>
      </c>
      <c r="G2421" s="1283">
        <f>G2295</f>
        <v>0</v>
      </c>
      <c r="H2421" s="1353">
        <f t="shared" si="93"/>
        <v>0</v>
      </c>
      <c r="I2421" s="1277"/>
      <c r="J2421" s="1277"/>
      <c r="K2421" s="1278"/>
      <c r="L2421" s="1125">
        <v>1000</v>
      </c>
    </row>
    <row r="2422" spans="1:12" s="1279" customFormat="1" ht="20.100000000000001" customHeight="1">
      <c r="A2422" s="1377">
        <f>IF(A2421&gt;0,1,0)</f>
        <v>0</v>
      </c>
      <c r="B2422" s="1582"/>
      <c r="C2422" s="1273"/>
      <c r="D2422" s="1284"/>
      <c r="E2422" s="1638" t="s">
        <v>2342</v>
      </c>
      <c r="F2422" s="1273"/>
      <c r="G2422" s="1293"/>
      <c r="H2422" s="1353">
        <f t="shared" si="93"/>
        <v>0</v>
      </c>
      <c r="I2422" s="1277"/>
      <c r="J2422" s="1277"/>
      <c r="K2422" s="1278"/>
      <c r="L2422" s="1125">
        <v>1000</v>
      </c>
    </row>
    <row r="2423" spans="1:12" s="1279" customFormat="1" ht="20.100000000000001" customHeight="1">
      <c r="A2423" s="1377">
        <f t="shared" si="92"/>
        <v>0</v>
      </c>
      <c r="B2423" s="1378" t="s">
        <v>704</v>
      </c>
      <c r="C2423" s="1286"/>
      <c r="D2423" s="1274">
        <f>VLOOKUP($B2423,DG!A:D,DG!$B$2,)</f>
        <v>0</v>
      </c>
      <c r="E2423" s="1275" t="str">
        <f>VLOOKUP($B2423,DG!A:D,DG!$C$2,)&amp;": 7m/1pha"</f>
        <v>Cáp 24KV C/XLPE/PVC 25mm2: 7m/1pha</v>
      </c>
      <c r="F2423" s="1274" t="str">
        <f>VLOOKUP($B2423,DG!A:D,DG!$D$2,)</f>
        <v>mét</v>
      </c>
      <c r="G2423" s="1287">
        <f>G2421*7*3</f>
        <v>0</v>
      </c>
      <c r="H2423" s="1353">
        <f t="shared" si="93"/>
        <v>0</v>
      </c>
      <c r="I2423" s="1277"/>
      <c r="J2423" s="1277"/>
      <c r="K2423" s="1278"/>
      <c r="L2423" s="1125">
        <v>1000</v>
      </c>
    </row>
    <row r="2424" spans="1:12" s="1279" customFormat="1" ht="20.100000000000001" customHeight="1">
      <c r="A2424" s="1377">
        <f t="shared" si="92"/>
        <v>0</v>
      </c>
      <c r="B2424" s="1378" t="s">
        <v>1145</v>
      </c>
      <c r="C2424" s="1286"/>
      <c r="D2424" s="1274">
        <f>VLOOKUP($B2424,DG!A:D,DG!$B$2,)</f>
        <v>0</v>
      </c>
      <c r="E2424" s="1275" t="str">
        <f>VLOOKUP($B2424,DG!A:D,DG!$C$2,)</f>
        <v>Kẹp ép cỡ dây 25mm2</v>
      </c>
      <c r="F2424" s="1274" t="str">
        <f>VLOOKUP($B2424,DG!A:D,DG!$D$2,)</f>
        <v>cái</v>
      </c>
      <c r="G2424" s="1287">
        <f>G2421*3*2</f>
        <v>0</v>
      </c>
      <c r="H2424" s="1353">
        <f t="shared" si="93"/>
        <v>0</v>
      </c>
      <c r="I2424" s="1277"/>
      <c r="J2424" s="1277"/>
      <c r="K2424" s="1278"/>
      <c r="L2424" s="1125">
        <v>1000</v>
      </c>
    </row>
    <row r="2425" spans="1:12" s="1279" customFormat="1" ht="20.100000000000001" customHeight="1">
      <c r="A2425" s="1377">
        <f t="shared" si="92"/>
        <v>0</v>
      </c>
      <c r="B2425" s="1378" t="s">
        <v>1531</v>
      </c>
      <c r="C2425" s="1286"/>
      <c r="D2425" s="1274" t="str">
        <f>VLOOKUP($B2425,DG!A:D,DG!$B$2,)</f>
        <v>04.3007</v>
      </c>
      <c r="E2425" s="1275" t="str">
        <f>VLOOKUP($B2425,DG!A:D,DG!$C$2,)</f>
        <v>Kẹp quai 2/0</v>
      </c>
      <c r="F2425" s="1274" t="str">
        <f>VLOOKUP($B2425,DG!A:D,DG!$D$2,)</f>
        <v>cái</v>
      </c>
      <c r="G2425" s="1287">
        <f>G2421*3*0</f>
        <v>0</v>
      </c>
      <c r="H2425" s="1353">
        <f t="shared" si="93"/>
        <v>0</v>
      </c>
      <c r="I2425" s="1277"/>
      <c r="J2425" s="1277"/>
      <c r="K2425" s="1278"/>
      <c r="L2425" s="1125">
        <v>1000</v>
      </c>
    </row>
    <row r="2426" spans="1:12" s="1279" customFormat="1" ht="20.100000000000001" customHeight="1">
      <c r="A2426" s="1377">
        <f t="shared" si="92"/>
        <v>0</v>
      </c>
      <c r="B2426" s="1378" t="s">
        <v>1529</v>
      </c>
      <c r="C2426" s="1286"/>
      <c r="D2426" s="1274" t="str">
        <f>VLOOKUP($B2426,DG!A:D,DG!$B$2,)</f>
        <v>04.3007</v>
      </c>
      <c r="E2426" s="1275" t="str">
        <f>VLOOKUP($B2426,DG!A:D,DG!$C$2,)&amp;": "</f>
        <v xml:space="preserve">Kẹp hotline 2/0: </v>
      </c>
      <c r="F2426" s="1274" t="str">
        <f>VLOOKUP($B2426,DG!A:D,DG!$D$2,)</f>
        <v>cái</v>
      </c>
      <c r="G2426" s="1287">
        <f>G2425</f>
        <v>0</v>
      </c>
      <c r="H2426" s="1353">
        <f t="shared" si="93"/>
        <v>0</v>
      </c>
      <c r="I2426" s="1277"/>
      <c r="J2426" s="1277"/>
      <c r="K2426" s="1278"/>
      <c r="L2426" s="1125">
        <v>1000</v>
      </c>
    </row>
    <row r="2427" spans="1:12" s="1279" customFormat="1" ht="20.100000000000001" customHeight="1">
      <c r="A2427" s="1377">
        <f t="shared" si="92"/>
        <v>0</v>
      </c>
      <c r="B2427" s="1378" t="s">
        <v>703</v>
      </c>
      <c r="C2427" s="1312"/>
      <c r="D2427" s="1274">
        <f>VLOOKUP($B2427,DG!A:D,DG!$B$2,)</f>
        <v>0</v>
      </c>
      <c r="E2427" s="1275" t="str">
        <f>VLOOKUP($B2427,DG!A:D,DG!$C$2,)</f>
        <v xml:space="preserve">Sứ đứng 24KV </v>
      </c>
      <c r="F2427" s="1274" t="str">
        <f>VLOOKUP($B2427,DG!A:D,DG!$D$2,)</f>
        <v>cái</v>
      </c>
      <c r="G2427" s="1287">
        <f>+G2421*3*4</f>
        <v>0</v>
      </c>
      <c r="H2427" s="1353">
        <f t="shared" si="93"/>
        <v>0</v>
      </c>
      <c r="I2427" s="1277"/>
      <c r="J2427" s="1277"/>
      <c r="K2427" s="1278"/>
      <c r="L2427" s="1125">
        <v>1000</v>
      </c>
    </row>
    <row r="2428" spans="1:12" s="1279" customFormat="1" ht="20.100000000000001" customHeight="1">
      <c r="A2428" s="1377">
        <f t="shared" si="92"/>
        <v>0</v>
      </c>
      <c r="B2428" s="1378" t="s">
        <v>1298</v>
      </c>
      <c r="C2428" s="1286"/>
      <c r="D2428" s="1274">
        <f>VLOOKUP($B2428,DG!A:D,DG!$B$2,)</f>
        <v>0</v>
      </c>
      <c r="E2428" s="1275" t="str">
        <f>VLOOKUP($B2428,DG!A:D,DG!$C$2,)</f>
        <v>Chân sứ đứng D20</v>
      </c>
      <c r="F2428" s="1274" t="str">
        <f>VLOOKUP($B2428,DG!A:D,DG!$D$2,)</f>
        <v>cái</v>
      </c>
      <c r="G2428" s="1287">
        <f>+G2427</f>
        <v>0</v>
      </c>
      <c r="H2428" s="1353">
        <f t="shared" si="93"/>
        <v>0</v>
      </c>
      <c r="I2428" s="1277"/>
      <c r="J2428" s="1277"/>
      <c r="K2428" s="1278"/>
      <c r="L2428" s="1125">
        <v>1000</v>
      </c>
    </row>
    <row r="2429" spans="1:12" s="1279" customFormat="1" ht="20.100000000000001" customHeight="1">
      <c r="A2429" s="1377">
        <f t="shared" si="92"/>
        <v>0</v>
      </c>
      <c r="B2429" s="1378" t="s">
        <v>348</v>
      </c>
      <c r="C2429" s="1286"/>
      <c r="D2429" s="1274" t="str">
        <f>VLOOKUP($B2429,DG!A:D,DG!$B$2,)</f>
        <v>06.1115</v>
      </c>
      <c r="E2429" s="1275" t="str">
        <f>VLOOKUP($B2429,DG!A:D,DG!$C$2,)</f>
        <v>Lắp sứ đứng 24KV</v>
      </c>
      <c r="F2429" s="1274" t="str">
        <f>VLOOKUP($B2429,DG!A:D,DG!$D$2,)</f>
        <v>bộ</v>
      </c>
      <c r="G2429" s="1287">
        <f>G2427</f>
        <v>0</v>
      </c>
      <c r="H2429" s="1353">
        <f t="shared" si="93"/>
        <v>0</v>
      </c>
      <c r="I2429" s="1277"/>
      <c r="J2429" s="1277"/>
      <c r="K2429" s="1278"/>
      <c r="L2429" s="1125">
        <v>1000</v>
      </c>
    </row>
    <row r="2430" spans="1:12" s="1279" customFormat="1" ht="20.100000000000001" customHeight="1">
      <c r="A2430" s="1377">
        <f t="shared" si="92"/>
        <v>0</v>
      </c>
      <c r="B2430" s="1582"/>
      <c r="C2430" s="1280">
        <f>IF(G2430&gt;0,C2421+1,C2421)</f>
        <v>0</v>
      </c>
      <c r="D2430" s="1281"/>
      <c r="E2430" s="1282" t="s">
        <v>3859</v>
      </c>
      <c r="F2430" s="1280" t="s">
        <v>2449</v>
      </c>
      <c r="G2430" s="1283">
        <f>G2295*1</f>
        <v>0</v>
      </c>
      <c r="H2430" s="1353">
        <f t="shared" si="93"/>
        <v>0</v>
      </c>
      <c r="I2430" s="1277"/>
      <c r="J2430" s="1277"/>
      <c r="K2430" s="1278"/>
      <c r="L2430" s="1125">
        <v>1000</v>
      </c>
    </row>
    <row r="2431" spans="1:12" s="1279" customFormat="1" ht="20.100000000000001" customHeight="1">
      <c r="A2431" s="1377">
        <f>IF(A2430&gt;0,1,0)</f>
        <v>0</v>
      </c>
      <c r="B2431" s="1582"/>
      <c r="C2431" s="1273"/>
      <c r="D2431" s="1284"/>
      <c r="E2431" s="1638" t="s">
        <v>2342</v>
      </c>
      <c r="F2431" s="1273"/>
      <c r="G2431" s="1293"/>
      <c r="H2431" s="1353">
        <f t="shared" si="93"/>
        <v>0</v>
      </c>
      <c r="I2431" s="1277"/>
      <c r="J2431" s="1277"/>
      <c r="K2431" s="1278"/>
      <c r="L2431" s="1125">
        <v>1000</v>
      </c>
    </row>
    <row r="2432" spans="1:12" s="1279" customFormat="1" ht="20.100000000000001" customHeight="1">
      <c r="A2432" s="1377">
        <f t="shared" si="92"/>
        <v>0</v>
      </c>
      <c r="B2432" s="1582" t="s">
        <v>1154</v>
      </c>
      <c r="C2432" s="1286"/>
      <c r="D2432" s="1274">
        <f>VLOOKUP($B2432,DG!A:D,DG!$B$2,)</f>
        <v>0</v>
      </c>
      <c r="E2432" s="1275" t="str">
        <f>VLOOKUP($B2432,DG!A:D,DG!$C$2,)</f>
        <v xml:space="preserve">Giá đỡ cáp hạ thế </v>
      </c>
      <c r="F2432" s="1274" t="str">
        <f>VLOOKUP($B2432,DG!A:D,DG!$D$2,)</f>
        <v>bộ</v>
      </c>
      <c r="G2432" s="1287">
        <f>G2430</f>
        <v>0</v>
      </c>
      <c r="H2432" s="1353">
        <f t="shared" si="93"/>
        <v>0</v>
      </c>
      <c r="I2432" s="1277"/>
      <c r="J2432" s="1277"/>
      <c r="K2432" s="1278"/>
      <c r="L2432" s="1125">
        <v>1000</v>
      </c>
    </row>
    <row r="2433" spans="1:13" s="1279" customFormat="1" ht="20.100000000000001" customHeight="1">
      <c r="A2433" s="1377">
        <f t="shared" si="92"/>
        <v>0</v>
      </c>
      <c r="B2433" s="1582" t="s">
        <v>1443</v>
      </c>
      <c r="C2433" s="1286"/>
      <c r="D2433" s="1274" t="str">
        <f>VLOOKUP($B2433,DG!A:D,DG!$B$2,)</f>
        <v>05.6101</v>
      </c>
      <c r="E2433" s="1275" t="str">
        <f>VLOOKUP($B2433,DG!A:D,DG!$C$2,)</f>
        <v>Lắp Giá đỡ cáp</v>
      </c>
      <c r="F2433" s="1274" t="str">
        <f>VLOOKUP($B2433,DG!A:D,DG!$D$2,)</f>
        <v>bộ</v>
      </c>
      <c r="G2433" s="1287">
        <f>G2432</f>
        <v>0</v>
      </c>
      <c r="H2433" s="1353">
        <f t="shared" si="93"/>
        <v>0</v>
      </c>
      <c r="I2433" s="1277"/>
      <c r="J2433" s="1277"/>
      <c r="K2433" s="1278"/>
      <c r="L2433" s="1125">
        <v>1000</v>
      </c>
    </row>
    <row r="2434" spans="1:13" s="1279" customFormat="1" ht="20.100000000000001" customHeight="1">
      <c r="A2434" s="1377">
        <f t="shared" si="92"/>
        <v>0</v>
      </c>
      <c r="B2434" s="1378"/>
      <c r="C2434" s="1280">
        <f>IF(G2434&gt;0,C2430+1,C2430)</f>
        <v>0</v>
      </c>
      <c r="D2434" s="1281"/>
      <c r="E2434" s="1292" t="s">
        <v>3860</v>
      </c>
      <c r="F2434" s="1280" t="s">
        <v>2449</v>
      </c>
      <c r="G2434" s="1351">
        <f>G2409+G2421</f>
        <v>0</v>
      </c>
      <c r="H2434" s="1353">
        <f t="shared" si="93"/>
        <v>0</v>
      </c>
      <c r="I2434" s="1277"/>
      <c r="J2434" s="1277"/>
      <c r="K2434" s="1278"/>
      <c r="L2434" s="1125">
        <v>1000</v>
      </c>
    </row>
    <row r="2435" spans="1:13" s="1279" customFormat="1" ht="20.100000000000001" customHeight="1">
      <c r="A2435" s="1377">
        <f t="shared" ref="A2435:A2440" si="94">IF(A2434&gt;0,1,0)</f>
        <v>0</v>
      </c>
      <c r="B2435" s="1378"/>
      <c r="C2435" s="1273"/>
      <c r="D2435" s="1284"/>
      <c r="E2435" s="1638" t="s">
        <v>2342</v>
      </c>
      <c r="F2435" s="1273"/>
      <c r="G2435" s="1287"/>
      <c r="H2435" s="1353">
        <f t="shared" si="93"/>
        <v>0</v>
      </c>
      <c r="I2435" s="1277"/>
      <c r="J2435" s="1277"/>
      <c r="K2435" s="1278"/>
      <c r="L2435" s="1125">
        <v>1000</v>
      </c>
    </row>
    <row r="2436" spans="1:13" s="1279" customFormat="1" ht="20.100000000000001" customHeight="1">
      <c r="A2436" s="1377">
        <f t="shared" si="94"/>
        <v>0</v>
      </c>
      <c r="B2436" s="1582"/>
      <c r="C2436" s="1286"/>
      <c r="D2436" s="1274" t="e">
        <f>VLOOKUP($B2436,DG!A:D,DG!$B$2,)</f>
        <v>#N/A</v>
      </c>
      <c r="E2436" s="1275" t="e">
        <f>VLOOKUP($B2436,DG!A:D,DG!$C$2,)&amp;": "&amp;#REF!&amp;"x 8m/pha "</f>
        <v>#N/A</v>
      </c>
      <c r="F2436" s="1274" t="e">
        <f>VLOOKUP($B2436,DG!A:D,DG!$D$2,)</f>
        <v>#N/A</v>
      </c>
      <c r="G2436" s="1287">
        <f>8*3*G2434*K16</f>
        <v>0</v>
      </c>
      <c r="H2436" s="1353">
        <f t="shared" si="93"/>
        <v>0</v>
      </c>
      <c r="I2436" s="1277"/>
      <c r="J2436" s="1277"/>
      <c r="K2436" s="1278"/>
      <c r="L2436" s="1125">
        <v>1000</v>
      </c>
      <c r="M2436" s="1279">
        <f>48*(30+6)</f>
        <v>1728</v>
      </c>
    </row>
    <row r="2437" spans="1:13" s="1279" customFormat="1" ht="20.100000000000001" customHeight="1">
      <c r="A2437" s="1377">
        <f t="shared" si="94"/>
        <v>0</v>
      </c>
      <c r="B2437" s="1582"/>
      <c r="C2437" s="1286"/>
      <c r="D2437" s="1274" t="e">
        <f>VLOOKUP($B2437,DG!A:D,DG!$B$2,)</f>
        <v>#N/A</v>
      </c>
      <c r="E2437" s="1275" t="e">
        <f>VLOOKUP($B2437,DG!A:D,DG!$C$2,)&amp;": "&amp;#REF!/2&amp;"x 8m/trung tính "</f>
        <v>#N/A</v>
      </c>
      <c r="F2437" s="1274" t="e">
        <f>VLOOKUP($B2437,DG!A:D,DG!$D$2,)</f>
        <v>#N/A</v>
      </c>
      <c r="G2437" s="1843"/>
      <c r="H2437" s="1353">
        <f t="shared" si="93"/>
        <v>0</v>
      </c>
      <c r="I2437" s="1277"/>
      <c r="J2437" s="1277"/>
      <c r="K2437" s="1278"/>
      <c r="L2437" s="1125">
        <v>1000</v>
      </c>
      <c r="M2437" s="1279">
        <f>8*(30+6)</f>
        <v>288</v>
      </c>
    </row>
    <row r="2438" spans="1:13" s="1279" customFormat="1" ht="20.100000000000001" customHeight="1">
      <c r="A2438" s="1377">
        <f t="shared" si="94"/>
        <v>0</v>
      </c>
      <c r="B2438" s="1582" t="s">
        <v>451</v>
      </c>
      <c r="C2438" s="1286"/>
      <c r="D2438" s="1274" t="str">
        <f>VLOOKUP($B2438,DG!A:D,DG!$B$2,)</f>
        <v>03.4009</v>
      </c>
      <c r="E2438" s="1275" t="str">
        <f>VLOOKUP($B2438,DG!A:D,DG!$C$2,)&amp;": "</f>
        <v xml:space="preserve">Đầu cosse ép Cu 250mm2: </v>
      </c>
      <c r="F2438" s="1274" t="str">
        <f>VLOOKUP($B2438,DG!A:D,DG!$D$2,)</f>
        <v>cái</v>
      </c>
      <c r="G2438" s="1843"/>
      <c r="H2438" s="1353">
        <f t="shared" si="93"/>
        <v>0</v>
      </c>
      <c r="I2438" s="1277"/>
      <c r="J2438" s="1277"/>
      <c r="K2438" s="1278"/>
      <c r="L2438" s="1125">
        <v>1000</v>
      </c>
    </row>
    <row r="2439" spans="1:13" s="1279" customFormat="1" ht="20.100000000000001" customHeight="1">
      <c r="A2439" s="1377">
        <f t="shared" si="94"/>
        <v>0</v>
      </c>
      <c r="B2439" s="1582" t="s">
        <v>451</v>
      </c>
      <c r="C2439" s="1286"/>
      <c r="D2439" s="1274" t="str">
        <f>VLOOKUP($B2439,DG!A:D,DG!$B$2,)</f>
        <v>03.4009</v>
      </c>
      <c r="E2439" s="1275" t="str">
        <f>VLOOKUP($B2439,DG!A:D,DG!$C$2,)&amp;": "</f>
        <v xml:space="preserve">Đầu cosse ép Cu 250mm2: </v>
      </c>
      <c r="F2439" s="1274" t="str">
        <f>VLOOKUP($B2439,DG!A:D,DG!$D$2,)</f>
        <v>cái</v>
      </c>
      <c r="G2439" s="1843"/>
      <c r="H2439" s="1353">
        <f t="shared" si="93"/>
        <v>0</v>
      </c>
      <c r="I2439" s="1277"/>
      <c r="J2439" s="1277"/>
      <c r="K2439" s="1278"/>
      <c r="L2439" s="1125">
        <v>1000</v>
      </c>
    </row>
    <row r="2440" spans="1:13" s="1279" customFormat="1" ht="20.100000000000001" customHeight="1">
      <c r="A2440" s="1377">
        <f t="shared" si="94"/>
        <v>0</v>
      </c>
      <c r="B2440" s="1582" t="s">
        <v>1102</v>
      </c>
      <c r="C2440" s="1286"/>
      <c r="D2440" s="1274">
        <f>VLOOKUP($B2440,DG!A:D,DG!$B$2,)</f>
        <v>0</v>
      </c>
      <c r="E2440" s="1275" t="str">
        <f>VLOOKUP($B2440,DG!A:D,DG!$C$2,)&amp;": "</f>
        <v xml:space="preserve">Chụp đầu cosse  250mm2: </v>
      </c>
      <c r="F2440" s="1274" t="str">
        <f>VLOOKUP($B2440,DG!A:D,DG!$D$2,)</f>
        <v>cái</v>
      </c>
      <c r="G2440" s="1843"/>
      <c r="H2440" s="1353">
        <f t="shared" si="93"/>
        <v>0</v>
      </c>
      <c r="I2440" s="1277"/>
      <c r="J2440" s="1277"/>
      <c r="K2440" s="1278"/>
      <c r="L2440" s="1125">
        <v>1000</v>
      </c>
    </row>
    <row r="2441" spans="1:13" s="1279" customFormat="1" ht="20.100000000000001" customHeight="1">
      <c r="A2441" s="1377">
        <f t="shared" si="92"/>
        <v>0</v>
      </c>
      <c r="B2441" s="1582" t="s">
        <v>1102</v>
      </c>
      <c r="C2441" s="1286"/>
      <c r="D2441" s="1274">
        <f>VLOOKUP($B2441,DG!A:D,DG!$B$2,)</f>
        <v>0</v>
      </c>
      <c r="E2441" s="1275" t="str">
        <f>VLOOKUP($B2441,DG!A:D,DG!$C$2,)&amp;": "</f>
        <v xml:space="preserve">Chụp đầu cosse  250mm2: </v>
      </c>
      <c r="F2441" s="1274" t="str">
        <f>VLOOKUP($B2441,DG!A:D,DG!$D$2,)</f>
        <v>cái</v>
      </c>
      <c r="G2441" s="1843"/>
      <c r="H2441" s="1353">
        <f t="shared" si="93"/>
        <v>0</v>
      </c>
      <c r="I2441" s="1277"/>
      <c r="J2441" s="1277"/>
      <c r="K2441" s="1278"/>
      <c r="L2441" s="1125">
        <v>1000</v>
      </c>
    </row>
    <row r="2442" spans="1:13" s="1279" customFormat="1" ht="20.100000000000001" customHeight="1">
      <c r="A2442" s="1377">
        <f t="shared" si="92"/>
        <v>0</v>
      </c>
      <c r="B2442" s="1582" t="s">
        <v>1072</v>
      </c>
      <c r="C2442" s="1286"/>
      <c r="D2442" s="1274">
        <f>VLOOKUP($B2442,DG!A:D,DG!$B$2,)</f>
        <v>0</v>
      </c>
      <c r="E2442" s="1275" t="str">
        <f>VLOOKUP($B2442,DG!A:D,DG!$C$2,)</f>
        <v xml:space="preserve">Ống PVC D114x4,9mm </v>
      </c>
      <c r="F2442" s="1274" t="str">
        <f>VLOOKUP($B2442,DG!A:D,DG!$D$2,)</f>
        <v>m</v>
      </c>
      <c r="G2442" s="1843"/>
      <c r="H2442" s="1353">
        <f t="shared" si="93"/>
        <v>0</v>
      </c>
      <c r="I2442" s="1277"/>
      <c r="J2442" s="1277"/>
      <c r="K2442" s="1278"/>
      <c r="L2442" s="1125">
        <v>1000</v>
      </c>
    </row>
    <row r="2443" spans="1:13" s="1279" customFormat="1" ht="20.100000000000001" customHeight="1">
      <c r="A2443" s="1377">
        <f t="shared" si="92"/>
        <v>0</v>
      </c>
      <c r="B2443" s="1378" t="s">
        <v>739</v>
      </c>
      <c r="C2443" s="1286"/>
      <c r="D2443" s="1274" t="str">
        <f>VLOOKUP($B2443,DG!A:D,DG!$B$2,)</f>
        <v>06.3231</v>
      </c>
      <c r="E2443" s="1275" t="str">
        <f>VLOOKUP($B2443,DG!A:D,DG!$C$2,)</f>
        <v>Cổ dê kẹp ống PVC Ø 114</v>
      </c>
      <c r="F2443" s="1274" t="str">
        <f>VLOOKUP($B2443,DG!A:D,DG!$D$2,)</f>
        <v>bộ</v>
      </c>
      <c r="G2443" s="1843"/>
      <c r="H2443" s="1353">
        <f t="shared" si="93"/>
        <v>0</v>
      </c>
      <c r="I2443" s="1277"/>
      <c r="J2443" s="1277"/>
      <c r="K2443" s="1278"/>
      <c r="L2443" s="1125">
        <v>1000</v>
      </c>
    </row>
    <row r="2444" spans="1:13" s="1279" customFormat="1" ht="20.100000000000001" customHeight="1">
      <c r="A2444" s="1377">
        <f t="shared" si="92"/>
        <v>0</v>
      </c>
      <c r="B2444" s="1582" t="s">
        <v>1073</v>
      </c>
      <c r="C2444" s="1286"/>
      <c r="D2444" s="1274">
        <f>VLOOKUP($B2444,DG!A:D,DG!$B$2,)</f>
        <v>0</v>
      </c>
      <c r="E2444" s="1275" t="str">
        <f>VLOOKUP($B2444,DG!A:D,DG!$C$2,)</f>
        <v>Co sừng 90 độ PVC 114</v>
      </c>
      <c r="F2444" s="1274" t="str">
        <f>VLOOKUP($B2444,DG!A:D,DG!$D$2,)</f>
        <v>cái</v>
      </c>
      <c r="G2444" s="1843"/>
      <c r="H2444" s="1353">
        <f t="shared" si="93"/>
        <v>0</v>
      </c>
      <c r="I2444" s="1277"/>
      <c r="J2444" s="1277"/>
      <c r="K2444" s="1278"/>
      <c r="L2444" s="1125">
        <v>1000</v>
      </c>
    </row>
    <row r="2445" spans="1:13" s="1279" customFormat="1" ht="20.100000000000001" customHeight="1">
      <c r="A2445" s="1377">
        <f t="shared" si="92"/>
        <v>0</v>
      </c>
      <c r="B2445" s="1582" t="s">
        <v>2229</v>
      </c>
      <c r="C2445" s="1286"/>
      <c r="D2445" s="1274">
        <f>VLOOKUP($B2445,DG!A:D,DG!$B$2,)</f>
        <v>0</v>
      </c>
      <c r="E2445" s="1275" t="str">
        <f>VLOOKUP($B2445,DG!A:D,DG!$C$2,)</f>
        <v>Khâu ven răng trong D114</v>
      </c>
      <c r="F2445" s="1274" t="str">
        <f>VLOOKUP($B2445,DG!A:D,DG!$D$2,)</f>
        <v>cái</v>
      </c>
      <c r="G2445" s="1843"/>
      <c r="H2445" s="1353">
        <f t="shared" si="93"/>
        <v>0</v>
      </c>
      <c r="I2445" s="1277"/>
      <c r="J2445" s="1277"/>
      <c r="K2445" s="1278"/>
      <c r="L2445" s="1125">
        <v>1000</v>
      </c>
    </row>
    <row r="2446" spans="1:13" s="1279" customFormat="1" ht="20.100000000000001" customHeight="1">
      <c r="A2446" s="1377">
        <f t="shared" ref="A2446:A2507" si="95">IF(H2446&gt;0,1,0)</f>
        <v>0</v>
      </c>
      <c r="B2446" s="1582" t="s">
        <v>2230</v>
      </c>
      <c r="C2446" s="1286"/>
      <c r="D2446" s="1274">
        <f>VLOOKUP($B2446,DG!A:D,DG!$B$2,)</f>
        <v>0</v>
      </c>
      <c r="E2446" s="1275" t="str">
        <f>VLOOKUP($B2446,DG!A:D,DG!$C$2,)&amp;": "</f>
        <v xml:space="preserve">Khâu ven răng ngoài D114: </v>
      </c>
      <c r="F2446" s="1274" t="str">
        <f>VLOOKUP($B2446,DG!A:D,DG!$D$2,)</f>
        <v>cái</v>
      </c>
      <c r="G2446" s="1843"/>
      <c r="H2446" s="1353">
        <f t="shared" si="93"/>
        <v>0</v>
      </c>
      <c r="I2446" s="1277"/>
      <c r="J2446" s="1277"/>
      <c r="K2446" s="1278"/>
      <c r="L2446" s="1125">
        <v>1000</v>
      </c>
    </row>
    <row r="2447" spans="1:13" s="1279" customFormat="1" ht="20.100000000000001" customHeight="1">
      <c r="A2447" s="1377">
        <f t="shared" si="95"/>
        <v>0</v>
      </c>
      <c r="B2447" s="1582" t="s">
        <v>734</v>
      </c>
      <c r="C2447" s="1286"/>
      <c r="D2447" s="1274">
        <f>VLOOKUP($B2447,DG!A:D,DG!$B$2,)</f>
        <v>0</v>
      </c>
      <c r="E2447" s="1275" t="str">
        <f>VLOOKUP($B2447,DG!A:D,DG!$C$2,)&amp;": "</f>
        <v xml:space="preserve">Keo dán ống PVC (500gr): </v>
      </c>
      <c r="F2447" s="1274" t="str">
        <f>VLOOKUP($B2447,DG!A:D,DG!$D$2,)</f>
        <v>lon</v>
      </c>
      <c r="G2447" s="1843"/>
      <c r="H2447" s="1353">
        <f t="shared" si="93"/>
        <v>0</v>
      </c>
      <c r="I2447" s="1277"/>
      <c r="J2447" s="1277"/>
      <c r="K2447" s="1278"/>
      <c r="L2447" s="1125">
        <v>1000</v>
      </c>
    </row>
    <row r="2448" spans="1:13" s="1279" customFormat="1" ht="20.100000000000001" customHeight="1">
      <c r="A2448" s="1377">
        <f t="shared" si="95"/>
        <v>0</v>
      </c>
      <c r="B2448" s="1378" t="s">
        <v>6</v>
      </c>
      <c r="C2448" s="1286"/>
      <c r="D2448" s="1274"/>
      <c r="E2448" s="1275" t="str">
        <f>VLOOKUP($B2448,DG!A:D,DG!$C$2,)&amp;":"</f>
        <v>Keo silicon bít miệng ống:</v>
      </c>
      <c r="F2448" s="1274" t="str">
        <f>VLOOKUP($B2448,DG!A:D,DG!$D$2,)</f>
        <v>ống</v>
      </c>
      <c r="G2448" s="1843"/>
      <c r="H2448" s="1353">
        <f t="shared" si="93"/>
        <v>0</v>
      </c>
      <c r="I2448" s="1277"/>
      <c r="J2448" s="1277"/>
      <c r="K2448" s="1278"/>
      <c r="L2448" s="1125">
        <v>1000</v>
      </c>
    </row>
    <row r="2449" spans="1:12" s="1279" customFormat="1" ht="20.100000000000001" customHeight="1">
      <c r="A2449" s="1377">
        <f t="shared" si="95"/>
        <v>0</v>
      </c>
      <c r="B2449" s="1582" t="s">
        <v>1381</v>
      </c>
      <c r="C2449" s="1286"/>
      <c r="D2449" s="1274">
        <f>VLOOKUP($B2449,DG!A:D,DG!$B$2,)</f>
        <v>0</v>
      </c>
      <c r="E2449" s="1275" t="str">
        <f>VLOOKUP($B2449,DG!A:D,DG!$C$2,)</f>
        <v>Dây rút cáp</v>
      </c>
      <c r="F2449" s="1274" t="str">
        <f>VLOOKUP($B2449,DG!A:D,DG!$D$2,)</f>
        <v>bọc</v>
      </c>
      <c r="G2449" s="1843"/>
      <c r="H2449" s="1353">
        <f t="shared" si="93"/>
        <v>0</v>
      </c>
      <c r="I2449" s="1277"/>
      <c r="J2449" s="1277"/>
      <c r="K2449" s="1278"/>
      <c r="L2449" s="1125">
        <v>1000</v>
      </c>
    </row>
    <row r="2450" spans="1:12" s="1279" customFormat="1" ht="20.100000000000001" customHeight="1">
      <c r="A2450" s="1377">
        <f t="shared" si="95"/>
        <v>0</v>
      </c>
      <c r="B2450" s="1378" t="s">
        <v>677</v>
      </c>
      <c r="C2450" s="1286"/>
      <c r="D2450" s="1274">
        <f>VLOOKUP($B2450,DG!A:D,DG!$B$2,)</f>
        <v>0</v>
      </c>
      <c r="E2450" s="1275" t="str">
        <f>VLOOKUP($B2450,DG!A:D,DG!$C$2,)</f>
        <v>Băng keo cách điện</v>
      </c>
      <c r="F2450" s="1274" t="str">
        <f>VLOOKUP($B2450,DG!A:D,DG!$D$2,)</f>
        <v>cuộn</v>
      </c>
      <c r="G2450" s="1843"/>
      <c r="H2450" s="1353">
        <f t="shared" si="93"/>
        <v>0</v>
      </c>
      <c r="I2450" s="1277"/>
      <c r="J2450" s="1277"/>
      <c r="K2450" s="1278"/>
      <c r="L2450" s="1125">
        <v>1000</v>
      </c>
    </row>
    <row r="2451" spans="1:12" s="1279" customFormat="1" ht="20.100000000000001" customHeight="1">
      <c r="A2451" s="1377">
        <f t="shared" si="95"/>
        <v>0</v>
      </c>
      <c r="B2451" s="1378" t="s">
        <v>248</v>
      </c>
      <c r="C2451" s="1294"/>
      <c r="D2451" s="1274"/>
      <c r="E2451" s="1275" t="str">
        <f>VLOOKUP($B2451,DG!A:D,DG!$C$2,)&amp;":"</f>
        <v>Lắp cáp đồng xuống thiết bị D &gt; 150mm2:</v>
      </c>
      <c r="F2451" s="1274" t="str">
        <f>VLOOKUP($B2451,DG!A:D,DG!$D$2,)</f>
        <v>m</v>
      </c>
      <c r="G2451" s="1843"/>
      <c r="H2451" s="1353">
        <f t="shared" si="93"/>
        <v>0</v>
      </c>
      <c r="I2451" s="1277"/>
      <c r="J2451" s="1277"/>
      <c r="K2451" s="1278"/>
      <c r="L2451" s="1125">
        <v>1000</v>
      </c>
    </row>
    <row r="2452" spans="1:12" s="1279" customFormat="1" ht="20.100000000000001" customHeight="1">
      <c r="A2452" s="1377">
        <f t="shared" si="95"/>
        <v>0</v>
      </c>
      <c r="B2452" s="1378"/>
      <c r="C2452" s="1280">
        <f>IF(G2452&gt;0,C2434+1,C2434)</f>
        <v>0</v>
      </c>
      <c r="D2452" s="1281"/>
      <c r="E2452" s="1292" t="s">
        <v>3828</v>
      </c>
      <c r="F2452" s="1280" t="s">
        <v>2449</v>
      </c>
      <c r="G2452" s="1843"/>
      <c r="H2452" s="1353">
        <f t="shared" si="93"/>
        <v>0</v>
      </c>
      <c r="I2452" s="1277"/>
      <c r="J2452" s="1277"/>
      <c r="K2452" s="1278"/>
      <c r="L2452" s="1125">
        <v>1000</v>
      </c>
    </row>
    <row r="2453" spans="1:12" s="1352" customFormat="1" ht="20.100000000000001" customHeight="1">
      <c r="A2453" s="1377">
        <f>IF(A2452&gt;0,1,0)</f>
        <v>0</v>
      </c>
      <c r="B2453" s="1626"/>
      <c r="C2453" s="1273"/>
      <c r="D2453" s="1284"/>
      <c r="E2453" s="1638" t="s">
        <v>2342</v>
      </c>
      <c r="F2453" s="1273" t="s">
        <v>2503</v>
      </c>
      <c r="G2453" s="1844"/>
      <c r="H2453" s="1353">
        <f t="shared" si="93"/>
        <v>0</v>
      </c>
      <c r="I2453" s="1277"/>
      <c r="J2453" s="1277"/>
      <c r="K2453" s="1278"/>
      <c r="L2453" s="1125">
        <v>1000</v>
      </c>
    </row>
    <row r="2454" spans="1:12" s="1279" customFormat="1" ht="20.100000000000001" customHeight="1">
      <c r="A2454" s="1377">
        <f t="shared" si="95"/>
        <v>0</v>
      </c>
      <c r="B2454" s="1582" t="s">
        <v>1875</v>
      </c>
      <c r="C2454" s="1312"/>
      <c r="D2454" s="1274" t="str">
        <f>VLOOKUP($B2454,DG!A:D,DG!$B$2,)</f>
        <v>03.1401</v>
      </c>
      <c r="E2454" s="1310" t="str">
        <f>VLOOKUP($B2454,DG!A:D,DG!$C$2,)</f>
        <v xml:space="preserve">Cáp CVV 4x2,5mm2  </v>
      </c>
      <c r="F2454" s="1353" t="str">
        <f>VLOOKUP($B2454,DG!A:D,DG!$D$2,)</f>
        <v>mét</v>
      </c>
      <c r="G2454" s="1843"/>
      <c r="H2454" s="1353">
        <f t="shared" si="93"/>
        <v>0</v>
      </c>
      <c r="I2454" s="1277"/>
      <c r="J2454" s="1277"/>
      <c r="K2454" s="1278"/>
      <c r="L2454" s="1125">
        <v>1000</v>
      </c>
    </row>
    <row r="2455" spans="1:12" s="1279" customFormat="1" ht="20.100000000000001" customHeight="1">
      <c r="A2455" s="1377">
        <f t="shared" si="95"/>
        <v>0</v>
      </c>
      <c r="B2455" s="1582" t="s">
        <v>247</v>
      </c>
      <c r="C2455" s="1312"/>
      <c r="D2455" s="1274" t="str">
        <f>VLOOKUP($B2455,DG!A:D,DG!$B$2,)</f>
        <v>05.6101</v>
      </c>
      <c r="E2455" s="1310" t="str">
        <f>VLOOKUP($B2455,DG!A:D,DG!$C$2,)</f>
        <v>Xà kẹp TU, TI U50x32x4 350</v>
      </c>
      <c r="F2455" s="1353" t="str">
        <f>VLOOKUP($B2455,DG!A:D,DG!$D$2,)</f>
        <v>Bộ</v>
      </c>
      <c r="G2455" s="1843"/>
      <c r="H2455" s="1353">
        <f t="shared" si="93"/>
        <v>0</v>
      </c>
      <c r="I2455" s="1277"/>
      <c r="J2455" s="1277"/>
      <c r="K2455" s="1278"/>
      <c r="L2455" s="1125">
        <v>1000</v>
      </c>
    </row>
    <row r="2456" spans="1:12" s="1279" customFormat="1" ht="20.100000000000001" customHeight="1">
      <c r="A2456" s="1377">
        <f t="shared" si="95"/>
        <v>0</v>
      </c>
      <c r="B2456" s="1582" t="s">
        <v>1918</v>
      </c>
      <c r="C2456" s="1286"/>
      <c r="D2456" s="1274" t="str">
        <f>VLOOKUP($B2456,DG!A:D,DG!$B$2,)</f>
        <v>03.4001</v>
      </c>
      <c r="E2456" s="1310" t="str">
        <f>VLOOKUP($B2456,DG!A:D,DG!$C$2,)</f>
        <v xml:space="preserve">Đầu cosse ép Cu 2,5mm2 + bao PVC </v>
      </c>
      <c r="F2456" s="1353" t="str">
        <f>VLOOKUP($B2456,DG!A:D,DG!$D$2,)</f>
        <v>cái</v>
      </c>
      <c r="G2456" s="1843"/>
      <c r="H2456" s="1353">
        <f t="shared" si="93"/>
        <v>0</v>
      </c>
      <c r="I2456" s="1277"/>
      <c r="J2456" s="1277"/>
      <c r="K2456" s="1278"/>
      <c r="L2456" s="1125">
        <v>1000</v>
      </c>
    </row>
    <row r="2457" spans="1:12" s="1279" customFormat="1" ht="20.100000000000001" customHeight="1">
      <c r="A2457" s="1377">
        <f t="shared" si="95"/>
        <v>0</v>
      </c>
      <c r="B2457" s="1582" t="s">
        <v>1562</v>
      </c>
      <c r="C2457" s="1286"/>
      <c r="D2457" s="1274">
        <f>VLOOKUP($B2457,DG!A:D,DG!$B$2,)</f>
        <v>0</v>
      </c>
      <c r="E2457" s="1310" t="str">
        <f>VLOOKUP($B2457,DG!A:D,DG!$C$2,)</f>
        <v>Dây điện đôi 16/10</v>
      </c>
      <c r="F2457" s="1353" t="str">
        <f>VLOOKUP($B2457,DG!A:D,DG!$D$2,)</f>
        <v>mét</v>
      </c>
      <c r="G2457" s="1843"/>
      <c r="H2457" s="1353">
        <f t="shared" si="93"/>
        <v>0</v>
      </c>
      <c r="I2457" s="1277"/>
      <c r="J2457" s="1277"/>
      <c r="K2457" s="1278"/>
      <c r="L2457" s="1125">
        <v>1000</v>
      </c>
    </row>
    <row r="2458" spans="1:12" s="1279" customFormat="1" ht="20.100000000000001" customHeight="1">
      <c r="A2458" s="1377">
        <f t="shared" si="95"/>
        <v>0</v>
      </c>
      <c r="B2458" s="1582" t="s">
        <v>1144</v>
      </c>
      <c r="C2458" s="1286"/>
      <c r="D2458" s="1274">
        <f>VLOOKUP($B2458,DG!A:D,DG!$B$2,)</f>
        <v>0</v>
      </c>
      <c r="E2458" s="1310" t="str">
        <f>VLOOKUP($B2458,DG!A:D,DG!$C$2,)&amp;" (ñaáu TU)"</f>
        <v>Kẹp ép cỡ dây 25mm2 (ñaáu TU)</v>
      </c>
      <c r="F2458" s="1353" t="str">
        <f>VLOOKUP($B2458,DG!A:D,DG!$D$2,)</f>
        <v>cái</v>
      </c>
      <c r="G2458" s="1843"/>
      <c r="H2458" s="1353">
        <f t="shared" si="93"/>
        <v>0</v>
      </c>
      <c r="I2458" s="1277"/>
      <c r="J2458" s="1277"/>
      <c r="K2458" s="1278"/>
      <c r="L2458" s="1125">
        <v>1000</v>
      </c>
    </row>
    <row r="2459" spans="1:12" s="1279" customFormat="1" ht="20.100000000000001" customHeight="1">
      <c r="A2459" s="1377">
        <f t="shared" si="95"/>
        <v>0</v>
      </c>
      <c r="B2459" s="1582" t="s">
        <v>2203</v>
      </c>
      <c r="C2459" s="1286"/>
      <c r="D2459" s="1274" t="str">
        <f>VLOOKUP($B2459,DG!A:D,DG!$B$2,)</f>
        <v>07.2403</v>
      </c>
      <c r="E2459" s="1310" t="str">
        <f>VLOOKUP($B2459,DG!A:D,DG!$C$2,)</f>
        <v>Ống PVC D42x2,1mm</v>
      </c>
      <c r="F2459" s="1353" t="str">
        <f>VLOOKUP($B2459,DG!A:D,DG!$D$2,)</f>
        <v>m</v>
      </c>
      <c r="G2459" s="1843"/>
      <c r="H2459" s="1353">
        <f t="shared" si="93"/>
        <v>0</v>
      </c>
      <c r="I2459" s="1277"/>
      <c r="J2459" s="1277"/>
      <c r="K2459" s="1278"/>
      <c r="L2459" s="1125">
        <v>1000</v>
      </c>
    </row>
    <row r="2460" spans="1:12" s="1279" customFormat="1" ht="20.100000000000001" customHeight="1">
      <c r="A2460" s="1377">
        <f t="shared" si="95"/>
        <v>0</v>
      </c>
      <c r="B2460" s="1378" t="s">
        <v>205</v>
      </c>
      <c r="C2460" s="1286"/>
      <c r="D2460" s="1274" t="str">
        <f>VLOOKUP($B2460,DG!A:D,DG!$B$2,)</f>
        <v>06.3231</v>
      </c>
      <c r="E2460" s="1310" t="str">
        <f>VLOOKUP($B2460,DG!A:D,DG!$C$2,)</f>
        <v>Cổ dê giữ ống PVC D42</v>
      </c>
      <c r="F2460" s="1353" t="str">
        <f>VLOOKUP($B2460,DG!A:D,DG!$D$2,)</f>
        <v>bộ</v>
      </c>
      <c r="G2460" s="1843"/>
      <c r="H2460" s="1353">
        <f t="shared" si="93"/>
        <v>0</v>
      </c>
      <c r="I2460" s="1277"/>
      <c r="J2460" s="1277"/>
      <c r="K2460" s="1278"/>
      <c r="L2460" s="1125">
        <v>1000</v>
      </c>
    </row>
    <row r="2461" spans="1:12" s="1279" customFormat="1" ht="20.100000000000001" customHeight="1">
      <c r="A2461" s="1377">
        <f t="shared" si="95"/>
        <v>0</v>
      </c>
      <c r="B2461" s="1582" t="s">
        <v>1668</v>
      </c>
      <c r="C2461" s="1286"/>
      <c r="D2461" s="1274">
        <f>VLOOKUP($B2461,DG!A:D,DG!$B$2,)</f>
        <v>0</v>
      </c>
      <c r="E2461" s="1310" t="str">
        <f>VLOOKUP($B2461,DG!A:D,DG!$C$2,)</f>
        <v>Co 90 độ PVC 42</v>
      </c>
      <c r="F2461" s="1353" t="str">
        <f>VLOOKUP($B2461,DG!A:D,DG!$D$2,)</f>
        <v>cái</v>
      </c>
      <c r="G2461" s="1843"/>
      <c r="H2461" s="1353">
        <f t="shared" si="93"/>
        <v>0</v>
      </c>
      <c r="I2461" s="1277"/>
      <c r="J2461" s="1277"/>
      <c r="K2461" s="1278"/>
      <c r="L2461" s="1125">
        <v>1000</v>
      </c>
    </row>
    <row r="2462" spans="1:12" s="1279" customFormat="1" ht="20.100000000000001" customHeight="1">
      <c r="A2462" s="1377">
        <f t="shared" si="95"/>
        <v>0</v>
      </c>
      <c r="B2462" s="1582" t="s">
        <v>1080</v>
      </c>
      <c r="C2462" s="1286"/>
      <c r="D2462" s="1274">
        <f>VLOOKUP($B2462,DG!A:D,DG!$B$2,)</f>
        <v>0</v>
      </c>
      <c r="E2462" s="1310" t="str">
        <f>VLOOKUP($B2462,DG!A:D,DG!$C$2,)</f>
        <v>Co chữ T ống PVC 42</v>
      </c>
      <c r="F2462" s="1353" t="str">
        <f>VLOOKUP($B2462,DG!A:D,DG!$D$2,)</f>
        <v>cái</v>
      </c>
      <c r="G2462" s="1843"/>
      <c r="H2462" s="1353">
        <f t="shared" si="93"/>
        <v>0</v>
      </c>
      <c r="I2462" s="1277"/>
      <c r="J2462" s="1277"/>
      <c r="K2462" s="1278"/>
      <c r="L2462" s="1125">
        <v>1000</v>
      </c>
    </row>
    <row r="2463" spans="1:12" s="1279" customFormat="1" ht="20.100000000000001" customHeight="1">
      <c r="A2463" s="1377">
        <f t="shared" si="95"/>
        <v>0</v>
      </c>
      <c r="B2463" s="1582" t="s">
        <v>1966</v>
      </c>
      <c r="C2463" s="1286"/>
      <c r="D2463" s="1274">
        <f>VLOOKUP($B2463,DG!A:D,DG!$B$2,)</f>
        <v>0</v>
      </c>
      <c r="E2463" s="1310" t="str">
        <f>VLOOKUP($B2463,DG!A:D,DG!$C$2,)</f>
        <v>Nối thẳng ống PVC 42</v>
      </c>
      <c r="F2463" s="1353" t="str">
        <f>VLOOKUP($B2463,DG!A:D,DG!$D$2,)</f>
        <v>cái</v>
      </c>
      <c r="G2463" s="1843"/>
      <c r="H2463" s="1353">
        <f t="shared" si="93"/>
        <v>0</v>
      </c>
      <c r="I2463" s="1277"/>
      <c r="J2463" s="1277"/>
      <c r="K2463" s="1278"/>
      <c r="L2463" s="1125">
        <v>1000</v>
      </c>
    </row>
    <row r="2464" spans="1:12" s="1279" customFormat="1" ht="20.100000000000001" customHeight="1">
      <c r="A2464" s="1377">
        <f t="shared" si="95"/>
        <v>0</v>
      </c>
      <c r="B2464" s="1582" t="s">
        <v>704</v>
      </c>
      <c r="C2464" s="1286"/>
      <c r="D2464" s="1274">
        <f>VLOOKUP($B2464,DG!A:D,DG!$B$2,)</f>
        <v>0</v>
      </c>
      <c r="E2464" s="1310" t="str">
        <f>VLOOKUP($B2464,DG!A:D,DG!$C$2,)&amp;" ñaáu TU"</f>
        <v>Cáp 24KV C/XLPE/PVC 25mm2 ñaáu TU</v>
      </c>
      <c r="F2464" s="1353" t="str">
        <f>VLOOKUP($B2464,DG!A:D,DG!$D$2,)</f>
        <v>mét</v>
      </c>
      <c r="G2464" s="1842"/>
      <c r="H2464" s="1353">
        <f t="shared" si="93"/>
        <v>0</v>
      </c>
      <c r="I2464" s="1277"/>
      <c r="J2464" s="1277"/>
      <c r="K2464" s="1278"/>
      <c r="L2464" s="1125">
        <v>1000</v>
      </c>
    </row>
    <row r="2465" spans="1:12" s="1279" customFormat="1" ht="20.100000000000001" customHeight="1">
      <c r="A2465" s="1377">
        <f t="shared" si="95"/>
        <v>0</v>
      </c>
      <c r="B2465" s="1582" t="s">
        <v>734</v>
      </c>
      <c r="C2465" s="1286"/>
      <c r="D2465" s="1274">
        <f>VLOOKUP($B2465,DG!A:D,DG!$B$2,)</f>
        <v>0</v>
      </c>
      <c r="E2465" s="1310" t="str">
        <f>VLOOKUP($B2465,DG!A:D,DG!$C$2,)</f>
        <v>Keo dán ống PVC (500gr)</v>
      </c>
      <c r="F2465" s="1353" t="str">
        <f>VLOOKUP($B2465,DG!A:D,DG!$D$2,)</f>
        <v>lon</v>
      </c>
      <c r="G2465" s="1843"/>
      <c r="H2465" s="1353">
        <f t="shared" si="93"/>
        <v>0</v>
      </c>
      <c r="I2465" s="1277"/>
      <c r="J2465" s="1277"/>
      <c r="K2465" s="1278"/>
      <c r="L2465" s="1125">
        <v>1000</v>
      </c>
    </row>
    <row r="2466" spans="1:12" s="1279" customFormat="1" ht="20.100000000000001" customHeight="1">
      <c r="A2466" s="1377">
        <f t="shared" si="95"/>
        <v>0</v>
      </c>
      <c r="B2466" s="1378" t="s">
        <v>677</v>
      </c>
      <c r="C2466" s="1286"/>
      <c r="D2466" s="1274">
        <f>VLOOKUP($B2466,DG!A:D,DG!$B$2,)</f>
        <v>0</v>
      </c>
      <c r="E2466" s="1310" t="str">
        <f>VLOOKUP($B2466,DG!A:D,DG!$C$2,)</f>
        <v>Băng keo cách điện</v>
      </c>
      <c r="F2466" s="1353" t="str">
        <f>VLOOKUP($B2466,DG!A:D,DG!$D$2,)</f>
        <v>cuộn</v>
      </c>
      <c r="G2466" s="1843"/>
      <c r="H2466" s="1353">
        <f t="shared" si="93"/>
        <v>0</v>
      </c>
      <c r="I2466" s="1277"/>
      <c r="J2466" s="1277"/>
      <c r="K2466" s="1278"/>
      <c r="L2466" s="1125">
        <v>1000</v>
      </c>
    </row>
    <row r="2467" spans="1:12" s="1279" customFormat="1" ht="20.100000000000001" customHeight="1">
      <c r="A2467" s="1377">
        <f t="shared" si="95"/>
        <v>0</v>
      </c>
      <c r="B2467" s="1582" t="s">
        <v>2182</v>
      </c>
      <c r="C2467" s="1286"/>
      <c r="D2467" s="1274">
        <f>VLOOKUP($B2467,DG!A:D,DG!$B$2,)</f>
        <v>0</v>
      </c>
      <c r="E2467" s="1310" t="str">
        <f>VLOOKUP($B2467,DG!A:D,DG!$C$2,)</f>
        <v>Khâu ven răng trong D42</v>
      </c>
      <c r="F2467" s="1353" t="str">
        <f>VLOOKUP($B2467,DG!A:D,DG!$D$2,)</f>
        <v>cái</v>
      </c>
      <c r="G2467" s="1843"/>
      <c r="H2467" s="1353">
        <f t="shared" si="93"/>
        <v>0</v>
      </c>
      <c r="I2467" s="1277"/>
      <c r="J2467" s="1277"/>
      <c r="K2467" s="1278"/>
      <c r="L2467" s="1125">
        <v>1000</v>
      </c>
    </row>
    <row r="2468" spans="1:12" s="1279" customFormat="1" ht="20.100000000000001" customHeight="1">
      <c r="A2468" s="1377">
        <f t="shared" si="95"/>
        <v>0</v>
      </c>
      <c r="B2468" s="1378" t="s">
        <v>989</v>
      </c>
      <c r="C2468" s="1286"/>
      <c r="D2468" s="1274">
        <f>VLOOKUP($B2468,DG!A:D,DG!$B$2,)</f>
        <v>0</v>
      </c>
      <c r="E2468" s="1310" t="str">
        <f>VLOOKUP($B2468,DG!A:D,DG!$C$2,)</f>
        <v>Khâu ven răng ngoài D42</v>
      </c>
      <c r="F2468" s="1353" t="str">
        <f>VLOOKUP($B2468,DG!A:D,DG!$D$2,)</f>
        <v>cái</v>
      </c>
      <c r="G2468" s="1843"/>
      <c r="H2468" s="1353">
        <f t="shared" si="93"/>
        <v>0</v>
      </c>
      <c r="I2468" s="1277"/>
      <c r="J2468" s="1277"/>
      <c r="K2468" s="1278"/>
      <c r="L2468" s="1125">
        <v>1000</v>
      </c>
    </row>
    <row r="2469" spans="1:12" s="1279" customFormat="1" ht="20.100000000000001" customHeight="1">
      <c r="A2469" s="1377">
        <f t="shared" si="95"/>
        <v>0</v>
      </c>
      <c r="B2469" s="1378" t="s">
        <v>320</v>
      </c>
      <c r="C2469" s="1286"/>
      <c r="D2469" s="1274" t="str">
        <f>VLOOKUP($B2469,DG!A:D,DG!$B$2,)</f>
        <v>06.3231</v>
      </c>
      <c r="E2469" s="1310" t="str">
        <f>VLOOKUP($B2469,DG!A:D,DG!$C$2,)</f>
        <v>Cổ dê CDĐKĐT( bắt thùng điện kế)</v>
      </c>
      <c r="F2469" s="1353" t="str">
        <f>VLOOKUP($B2469,DG!A:D,DG!$D$2,)</f>
        <v>bộ</v>
      </c>
      <c r="G2469" s="1843"/>
      <c r="H2469" s="1353">
        <f t="shared" si="93"/>
        <v>0</v>
      </c>
      <c r="I2469" s="1277"/>
      <c r="J2469" s="1277"/>
      <c r="K2469" s="1278"/>
      <c r="L2469" s="1125">
        <v>1000</v>
      </c>
    </row>
    <row r="2470" spans="1:12" s="1279" customFormat="1" ht="20.100000000000001" customHeight="1">
      <c r="A2470" s="1377">
        <f t="shared" si="95"/>
        <v>0</v>
      </c>
      <c r="B2470" s="1378" t="s">
        <v>1968</v>
      </c>
      <c r="C2470" s="1286"/>
      <c r="D2470" s="1274" t="str">
        <f>VLOOKUP($B2470,DG!A:D,DG!$B$2,)</f>
        <v>05.1101</v>
      </c>
      <c r="E2470" s="1310" t="str">
        <f>VLOOKUP($B2470,DG!A:D,DG!$C$2,)</f>
        <v>Thùng điện kế 450x300x200mm đo đếm trung thế</v>
      </c>
      <c r="F2470" s="1353" t="str">
        <f>VLOOKUP($B2470,DG!A:D,DG!$D$2,)</f>
        <v>cái</v>
      </c>
      <c r="G2470" s="1843"/>
      <c r="H2470" s="1353">
        <f t="shared" si="93"/>
        <v>0</v>
      </c>
      <c r="I2470" s="1277"/>
      <c r="J2470" s="1277"/>
      <c r="K2470" s="1278"/>
      <c r="L2470" s="1125">
        <v>1000</v>
      </c>
    </row>
    <row r="2471" spans="1:12" s="1279" customFormat="1" ht="20.100000000000001" customHeight="1">
      <c r="A2471" s="1377">
        <f t="shared" si="95"/>
        <v>0</v>
      </c>
      <c r="B2471" s="1378" t="s">
        <v>6</v>
      </c>
      <c r="C2471" s="1286"/>
      <c r="D2471" s="1274">
        <f>VLOOKUP($B2471,DG!A:D,DG!$B$2,)</f>
        <v>0</v>
      </c>
      <c r="E2471" s="1310" t="str">
        <f>VLOOKUP($B2471,DG!A:D,DG!$C$2,)</f>
        <v>Keo silicon bít miệng ống</v>
      </c>
      <c r="F2471" s="1353" t="str">
        <f>VLOOKUP($B2471,DG!A:D,DG!$D$2,)</f>
        <v>ống</v>
      </c>
      <c r="G2471" s="1843"/>
      <c r="H2471" s="1353">
        <f t="shared" si="93"/>
        <v>0</v>
      </c>
      <c r="I2471" s="1277"/>
      <c r="J2471" s="1277"/>
      <c r="K2471" s="1278"/>
      <c r="L2471" s="1125">
        <v>1000</v>
      </c>
    </row>
    <row r="2472" spans="1:12" s="1279" customFormat="1" ht="20.100000000000001" customHeight="1">
      <c r="A2472" s="1377">
        <f t="shared" si="95"/>
        <v>0</v>
      </c>
      <c r="B2472" s="1378" t="s">
        <v>2201</v>
      </c>
      <c r="C2472" s="1286"/>
      <c r="D2472" s="1274">
        <f>VLOOKUP($B2472,DG!A:D,DG!$B$2,)</f>
        <v>0</v>
      </c>
      <c r="E2472" s="1310" t="str">
        <f>VLOOKUP($B2472,DG!A:D,DG!$C$2,)</f>
        <v>Dây đồng trần mềm dẹt</v>
      </c>
      <c r="F2472" s="1353" t="str">
        <f>VLOOKUP($B2472,DG!A:D,DG!$D$2,)</f>
        <v>mét</v>
      </c>
      <c r="G2472" s="1843"/>
      <c r="H2472" s="1353">
        <f t="shared" si="93"/>
        <v>0</v>
      </c>
      <c r="I2472" s="1277"/>
      <c r="J2472" s="1277"/>
      <c r="K2472" s="1278"/>
      <c r="L2472" s="1125">
        <v>1000</v>
      </c>
    </row>
    <row r="2473" spans="1:12" s="1279" customFormat="1" ht="20.100000000000001" customHeight="1">
      <c r="A2473" s="1377">
        <f t="shared" si="95"/>
        <v>0</v>
      </c>
      <c r="B2473" s="1378" t="s">
        <v>1065</v>
      </c>
      <c r="C2473" s="1286"/>
      <c r="D2473" s="1274">
        <v>0</v>
      </c>
      <c r="E2473" s="1310" t="str">
        <f>VLOOKUP($B2473,DG!A:D,DG!$C$2,)&amp;" : 2 thanh daøi 0,5m"</f>
        <v>Sắt góc L50 x50 x5 : 2 thanh daøi 0,5m</v>
      </c>
      <c r="F2473" s="1353" t="str">
        <f>VLOOKUP($B2473,DG!A:D,DG!$D$2,)</f>
        <v>kg</v>
      </c>
      <c r="G2473" s="1845"/>
      <c r="H2473" s="1353">
        <f t="shared" si="93"/>
        <v>0</v>
      </c>
      <c r="I2473" s="1277"/>
      <c r="J2473" s="1277"/>
      <c r="K2473" s="1278"/>
      <c r="L2473" s="1125">
        <v>1000</v>
      </c>
    </row>
    <row r="2474" spans="1:12" s="1279" customFormat="1" ht="20.100000000000001" customHeight="1">
      <c r="A2474" s="1377">
        <f t="shared" si="95"/>
        <v>0</v>
      </c>
      <c r="B2474" s="1378" t="s">
        <v>1383</v>
      </c>
      <c r="C2474" s="1286"/>
      <c r="D2474" s="1274">
        <v>0</v>
      </c>
      <c r="E2474" s="1372" t="str">
        <f>VLOOKUP($B2474,DG!A:D,DG!$C$2,)&amp;" baét thuøng ÑKÑT"</f>
        <v>Boulon 12x60+ 2 long đền vuông D14-50x50x3/Zn baét thuøng ÑKÑT</v>
      </c>
      <c r="F2474" s="1353" t="str">
        <f>VLOOKUP($B2474,DG!A:D,DG!$D$2,)</f>
        <v>bộ</v>
      </c>
      <c r="G2474" s="1843"/>
      <c r="H2474" s="1353">
        <f t="shared" si="93"/>
        <v>0</v>
      </c>
      <c r="I2474" s="1277"/>
      <c r="J2474" s="1277"/>
      <c r="K2474" s="1278"/>
      <c r="L2474" s="1125">
        <v>1000</v>
      </c>
    </row>
    <row r="2475" spans="1:12" s="1279" customFormat="1" ht="20.100000000000001" customHeight="1">
      <c r="A2475" s="1377">
        <f t="shared" si="95"/>
        <v>0</v>
      </c>
      <c r="B2475" s="1378" t="s">
        <v>6</v>
      </c>
      <c r="C2475" s="1319"/>
      <c r="D2475" s="1320"/>
      <c r="E2475" s="1306" t="s">
        <v>3861</v>
      </c>
      <c r="F2475" s="1306"/>
      <c r="G2475" s="1846"/>
      <c r="H2475" s="1353">
        <f t="shared" si="93"/>
        <v>0</v>
      </c>
      <c r="I2475" s="1306"/>
      <c r="J2475" s="1306"/>
      <c r="K2475" s="1354"/>
      <c r="L2475" s="1125">
        <v>1000</v>
      </c>
    </row>
    <row r="2476" spans="1:12" s="1279" customFormat="1" ht="20.100000000000001" customHeight="1">
      <c r="A2476" s="1377">
        <f t="shared" si="95"/>
        <v>0</v>
      </c>
      <c r="B2476" s="1378" t="s">
        <v>1971</v>
      </c>
      <c r="C2476" s="1286"/>
      <c r="D2476" s="1274" t="str">
        <f>VLOOKUP($B2476,DG!A:D,DG!$B$2,)</f>
        <v>06.3241</v>
      </c>
      <c r="E2476" s="1310" t="s">
        <v>2524</v>
      </c>
      <c r="F2476" s="1353" t="str">
        <f>VLOOKUP($B2476,DG!A:D,DG!$D$2,)</f>
        <v>bộ</v>
      </c>
      <c r="G2476" s="1843"/>
      <c r="H2476" s="1353">
        <f t="shared" si="93"/>
        <v>0</v>
      </c>
      <c r="I2476" s="1277"/>
      <c r="J2476" s="1277"/>
      <c r="K2476" s="1278"/>
      <c r="L2476" s="1125">
        <v>1000</v>
      </c>
    </row>
    <row r="2477" spans="1:12" s="1279" customFormat="1" ht="20.100000000000001" customHeight="1">
      <c r="A2477" s="1377">
        <f t="shared" si="95"/>
        <v>0</v>
      </c>
      <c r="B2477" s="1378" t="s">
        <v>817</v>
      </c>
      <c r="C2477" s="1286"/>
      <c r="D2477" s="1274" t="str">
        <f>VLOOKUP($B2477,DG!A:D,DG!$B$2,)</f>
        <v>05.6011</v>
      </c>
      <c r="E2477" s="1310" t="s">
        <v>2525</v>
      </c>
      <c r="F2477" s="1353" t="str">
        <f>VLOOKUP($B2477,DG!A:D,DG!$D$2,)</f>
        <v>bộ</v>
      </c>
      <c r="G2477" s="1845"/>
      <c r="H2477" s="1353">
        <f t="shared" si="93"/>
        <v>0</v>
      </c>
      <c r="I2477" s="1277"/>
      <c r="J2477" s="1277"/>
      <c r="K2477" s="1278"/>
      <c r="L2477" s="1125">
        <v>1000</v>
      </c>
    </row>
    <row r="2478" spans="1:12" s="1279" customFormat="1" ht="20.100000000000001" customHeight="1">
      <c r="A2478" s="1377">
        <f t="shared" si="95"/>
        <v>0</v>
      </c>
      <c r="B2478" s="1378" t="s">
        <v>1383</v>
      </c>
      <c r="C2478" s="1286"/>
      <c r="D2478" s="1274">
        <f>VLOOKUP($B2478,DG!A:D,DG!$B$2,)</f>
        <v>0</v>
      </c>
      <c r="E2478" s="1372" t="str">
        <f>VLOOKUP($B2478,DG!A:D,DG!$C$2,)&amp;" baét thuøng ÑKÑT"</f>
        <v>Boulon 12x60+ 2 long đền vuông D14-50x50x3/Zn baét thuøng ÑKÑT</v>
      </c>
      <c r="F2478" s="1353" t="str">
        <f>VLOOKUP($B2478,DG!A:D,DG!$D$2,)</f>
        <v>bộ</v>
      </c>
      <c r="G2478" s="1843"/>
      <c r="H2478" s="1353">
        <f t="shared" ref="H2478:H2541" si="96">IF(L2478=$L$23,G2478+I2478-J2478,0)</f>
        <v>0</v>
      </c>
      <c r="I2478" s="1277"/>
      <c r="J2478" s="1277"/>
      <c r="K2478" s="1278"/>
      <c r="L2478" s="1125">
        <v>1000</v>
      </c>
    </row>
    <row r="2479" spans="1:12" s="1279" customFormat="1" ht="20.100000000000001" customHeight="1">
      <c r="A2479" s="1377">
        <f t="shared" si="95"/>
        <v>0</v>
      </c>
      <c r="B2479" s="1378"/>
      <c r="C2479" s="1373"/>
      <c r="D2479" s="1356"/>
      <c r="E2479" s="1306"/>
      <c r="F2479" s="1357"/>
      <c r="G2479" s="1358"/>
      <c r="H2479" s="1353">
        <f t="shared" si="96"/>
        <v>0</v>
      </c>
      <c r="I2479" s="1359"/>
      <c r="J2479" s="1360"/>
      <c r="K2479" s="1354"/>
      <c r="L2479" s="1125"/>
    </row>
    <row r="2480" spans="1:12" s="1279" customFormat="1" ht="20.100000000000001" customHeight="1">
      <c r="A2480" s="1377">
        <f t="shared" si="95"/>
        <v>0</v>
      </c>
      <c r="B2480" s="1378"/>
      <c r="C2480" s="1361"/>
      <c r="E2480" s="1362"/>
      <c r="G2480" s="1363"/>
      <c r="H2480" s="1353">
        <f t="shared" si="96"/>
        <v>0</v>
      </c>
      <c r="L2480" s="1125"/>
    </row>
    <row r="2481" spans="1:12" s="1279" customFormat="1" ht="20.100000000000001" customHeight="1">
      <c r="A2481" s="1377">
        <f t="shared" si="95"/>
        <v>0</v>
      </c>
      <c r="B2481" s="1619"/>
      <c r="C2481" s="1131" t="e">
        <f>"BAÛNG TOÅNG HÔÏP VAÄT LIEÄU, NHAÂN COÂNG, MAÙY THI COÂNG : "&amp;#REF!&amp;" TRAÏM 3P_2,000KVA"</f>
        <v>#REF!</v>
      </c>
      <c r="D2481" s="1131"/>
      <c r="E2481" s="1131"/>
      <c r="F2481" s="1131"/>
      <c r="G2481" s="1131"/>
      <c r="H2481" s="1353">
        <f t="shared" si="96"/>
        <v>0</v>
      </c>
      <c r="I2481" s="1364"/>
      <c r="J2481" s="1364"/>
      <c r="K2481" s="1365"/>
      <c r="L2481" s="1125"/>
    </row>
    <row r="2482" spans="1:12" s="1279" customFormat="1" ht="20.100000000000001" customHeight="1">
      <c r="A2482" s="1377">
        <f t="shared" si="95"/>
        <v>0</v>
      </c>
      <c r="B2482" s="1582"/>
      <c r="C2482" s="1304"/>
      <c r="D2482" s="1305"/>
      <c r="E2482" s="1306" t="s">
        <v>3771</v>
      </c>
      <c r="F2482" s="1307"/>
      <c r="G2482" s="1308"/>
      <c r="H2482" s="1353">
        <f t="shared" si="96"/>
        <v>0</v>
      </c>
      <c r="I2482" s="1307"/>
      <c r="J2482" s="1307"/>
      <c r="K2482" s="1354"/>
      <c r="L2482" s="1125">
        <v>2000</v>
      </c>
    </row>
    <row r="2483" spans="1:12" s="1279" customFormat="1" ht="20.100000000000001" customHeight="1">
      <c r="A2483" s="1377">
        <f t="shared" si="95"/>
        <v>0</v>
      </c>
      <c r="B2483" s="1583" t="s">
        <v>4787</v>
      </c>
      <c r="C2483" s="1286">
        <f>IF(G2483&gt;0,1,0)</f>
        <v>0</v>
      </c>
      <c r="D2483" s="1274" t="str">
        <f>VLOOKUP($B2483,DG!A:D,DG!$B$2,)</f>
        <v>01.1147</v>
      </c>
      <c r="E2483" s="1275" t="str">
        <f>VLOOKUP($B2483,DG!A:D,DG!$C$2,)</f>
        <v>Máy biến áp 22/0,4kV- 2000kVA</v>
      </c>
      <c r="F2483" s="1274" t="str">
        <f>VLOOKUP($B2483,DG!A:D,DG!$D$2,)</f>
        <v>máy</v>
      </c>
      <c r="G2483" s="1367">
        <f>K17</f>
        <v>0</v>
      </c>
      <c r="H2483" s="1353">
        <f t="shared" si="96"/>
        <v>0</v>
      </c>
      <c r="I2483" s="1310"/>
      <c r="J2483" s="1310"/>
      <c r="K2483" s="1368"/>
      <c r="L2483" s="1125">
        <v>2000</v>
      </c>
    </row>
    <row r="2484" spans="1:12" s="1279" customFormat="1" ht="20.100000000000001" customHeight="1">
      <c r="A2484" s="1377">
        <f t="shared" si="95"/>
        <v>0</v>
      </c>
      <c r="B2484" s="1583" t="s">
        <v>396</v>
      </c>
      <c r="C2484" s="1286">
        <f t="shared" ref="C2484:C2490" si="97">IF(G2484&gt;0,C2483+1,C2483)</f>
        <v>0</v>
      </c>
      <c r="D2484" s="1274" t="str">
        <f>VLOOKUP($B2484,DG!A:D,DG!$B$2,)</f>
        <v>02.3302</v>
      </c>
      <c r="E2484" s="1275" t="str">
        <f>VLOOKUP($B2484,DG!A:D,DG!$C$2,)</f>
        <v xml:space="preserve">DS 3P - 24KV - 630A </v>
      </c>
      <c r="F2484" s="1274" t="str">
        <f>VLOOKUP($B2484,DG!A:D,DG!$D$2,)</f>
        <v>bộ</v>
      </c>
      <c r="G2484" s="1287">
        <f>+G2483</f>
        <v>0</v>
      </c>
      <c r="H2484" s="1353">
        <f t="shared" si="96"/>
        <v>0</v>
      </c>
      <c r="I2484" s="1310"/>
      <c r="J2484" s="1310"/>
      <c r="K2484" s="1278"/>
      <c r="L2484" s="1125">
        <v>2000</v>
      </c>
    </row>
    <row r="2485" spans="1:12" s="1279" customFormat="1" ht="20.100000000000001" customHeight="1">
      <c r="A2485" s="1377">
        <f t="shared" si="95"/>
        <v>0</v>
      </c>
      <c r="B2485" s="1582" t="s">
        <v>1</v>
      </c>
      <c r="C2485" s="1286">
        <f t="shared" si="97"/>
        <v>0</v>
      </c>
      <c r="D2485" s="1274" t="str">
        <f>VLOOKUP($B2485,DG!A:D,DG!$B$2,)</f>
        <v>05.2102</v>
      </c>
      <c r="E2485" s="1275" t="str">
        <f>VLOOKUP($B2485,DG!A:D,DG!$C$2,)</f>
        <v>Tủ LBS 3 pha 630-800A</v>
      </c>
      <c r="F2485" s="1274" t="str">
        <f>VLOOKUP($B2485,DG!A:D,DG!$D$2,)</f>
        <v>tủ</v>
      </c>
      <c r="G2485" s="1287">
        <f>G2483</f>
        <v>0</v>
      </c>
      <c r="H2485" s="1353">
        <f t="shared" si="96"/>
        <v>0</v>
      </c>
      <c r="I2485" s="1310"/>
      <c r="J2485" s="1310"/>
      <c r="K2485" s="1312" t="s">
        <v>3850</v>
      </c>
      <c r="L2485" s="1125">
        <v>2000</v>
      </c>
    </row>
    <row r="2486" spans="1:12" s="1279" customFormat="1" ht="20.100000000000001" customHeight="1">
      <c r="A2486" s="1377">
        <f t="shared" si="95"/>
        <v>0</v>
      </c>
      <c r="B2486" s="1583" t="s">
        <v>1704</v>
      </c>
      <c r="C2486" s="1286">
        <f t="shared" si="97"/>
        <v>0</v>
      </c>
      <c r="D2486" s="1274" t="str">
        <f>VLOOKUP($B2486,DG!A:D,DG!$B$2,)</f>
        <v>02.3155</v>
      </c>
      <c r="E2486" s="1275" t="str">
        <f>VLOOKUP($B2486,DG!A:D,DG!$C$2,)</f>
        <v>FCO 24kV - 100A</v>
      </c>
      <c r="F2486" s="1274" t="str">
        <f>VLOOKUP($B2486,DG!A:D,DG!$D$2,)</f>
        <v>cái</v>
      </c>
      <c r="G2486" s="1287">
        <f>+G2483*3</f>
        <v>0</v>
      </c>
      <c r="H2486" s="1353">
        <f t="shared" si="96"/>
        <v>0</v>
      </c>
      <c r="I2486" s="1277"/>
      <c r="J2486" s="1277"/>
      <c r="K2486" s="1278"/>
      <c r="L2486" s="1125">
        <v>2000</v>
      </c>
    </row>
    <row r="2487" spans="1:12" s="1279" customFormat="1" ht="20.100000000000001" customHeight="1">
      <c r="A2487" s="1377">
        <f t="shared" si="95"/>
        <v>0</v>
      </c>
      <c r="B2487" s="1582" t="s">
        <v>2129</v>
      </c>
      <c r="C2487" s="1286">
        <f t="shared" si="97"/>
        <v>0</v>
      </c>
      <c r="D2487" s="1274">
        <f>VLOOKUP($B2487,DG!A:D,DG!$B$2,)</f>
        <v>0</v>
      </c>
      <c r="E2487" s="1275" t="str">
        <f>VLOOKUP($B2487,DG!A:D,DG!$C$2,)</f>
        <v>Dây chảy 30K</v>
      </c>
      <c r="F2487" s="1274" t="str">
        <f>VLOOKUP($B2487,DG!A:D,DG!$D$2,)</f>
        <v>Sợi</v>
      </c>
      <c r="G2487" s="1287">
        <f>G2486</f>
        <v>0</v>
      </c>
      <c r="H2487" s="1353">
        <f t="shared" si="96"/>
        <v>0</v>
      </c>
      <c r="I2487" s="1277"/>
      <c r="J2487" s="1277"/>
      <c r="K2487" s="1278"/>
      <c r="L2487" s="1125">
        <v>2000</v>
      </c>
    </row>
    <row r="2488" spans="1:12" s="1279" customFormat="1" ht="20.100000000000001" customHeight="1">
      <c r="A2488" s="1377">
        <f t="shared" si="95"/>
        <v>0</v>
      </c>
      <c r="B2488" s="1582" t="s">
        <v>1406</v>
      </c>
      <c r="C2488" s="1286">
        <f t="shared" si="97"/>
        <v>0</v>
      </c>
      <c r="D2488" s="1274" t="str">
        <f>VLOOKUP($B2488,DG!A:D,DG!$B$2,)</f>
        <v>02.5114</v>
      </c>
      <c r="E2488" s="1275" t="str">
        <f>VLOOKUP($B2488,DG!A:D,DG!$C$2,)</f>
        <v>LA 18kV 10kA</v>
      </c>
      <c r="F2488" s="1274" t="str">
        <f>VLOOKUP($B2488,DG!A:D,DG!$D$2,)</f>
        <v>cái</v>
      </c>
      <c r="G2488" s="1287">
        <f>G2483*3</f>
        <v>0</v>
      </c>
      <c r="H2488" s="1353">
        <f t="shared" si="96"/>
        <v>0</v>
      </c>
      <c r="I2488" s="1277"/>
      <c r="J2488" s="1277"/>
      <c r="K2488" s="1278"/>
      <c r="L2488" s="1125">
        <v>2000</v>
      </c>
    </row>
    <row r="2489" spans="1:12" s="1279" customFormat="1" ht="20.100000000000001" customHeight="1">
      <c r="A2489" s="1377">
        <f t="shared" si="95"/>
        <v>0</v>
      </c>
      <c r="B2489" s="1583" t="s">
        <v>899</v>
      </c>
      <c r="C2489" s="1286">
        <f t="shared" si="97"/>
        <v>0</v>
      </c>
      <c r="D2489" s="1274" t="str">
        <f>VLOOKUP($B2489,DG!A:D,DG!$B$2,)</f>
        <v>02.8404</v>
      </c>
      <c r="E2489" s="1275" t="str">
        <f>VLOOKUP($B2489,DG!A:D,DG!$C$2,)</f>
        <v>MCCB 3 cực 400V -1000A - 50KA</v>
      </c>
      <c r="F2489" s="1274" t="str">
        <f>VLOOKUP($B2489,DG!A:D,DG!$D$2,)</f>
        <v>cái</v>
      </c>
      <c r="G2489" s="1287">
        <f>G2483</f>
        <v>0</v>
      </c>
      <c r="H2489" s="1353">
        <f t="shared" si="96"/>
        <v>0</v>
      </c>
      <c r="I2489" s="1277"/>
      <c r="J2489" s="1277"/>
      <c r="K2489" s="1278"/>
      <c r="L2489" s="1125">
        <v>2000</v>
      </c>
    </row>
    <row r="2490" spans="1:12" s="1279" customFormat="1" ht="20.100000000000001" customHeight="1">
      <c r="A2490" s="1377">
        <f t="shared" si="95"/>
        <v>0</v>
      </c>
      <c r="B2490" s="1583" t="s">
        <v>900</v>
      </c>
      <c r="C2490" s="1286">
        <f t="shared" si="97"/>
        <v>0</v>
      </c>
      <c r="D2490" s="1274" t="str">
        <f>VLOOKUP($B2490,DG!A:D,DG!$B$2,)</f>
        <v>02.8534</v>
      </c>
      <c r="E2490" s="1275" t="str">
        <f>VLOOKUP($B2490,DG!A:D,DG!$C$2,)</f>
        <v>Tủ tụ bù hạ thế 220kVAr</v>
      </c>
      <c r="F2490" s="1274" t="str">
        <f>VLOOKUP($B2490,DG!A:D,DG!$D$2,)</f>
        <v>tủ</v>
      </c>
      <c r="G2490" s="1287">
        <f>G2489</f>
        <v>0</v>
      </c>
      <c r="H2490" s="1353">
        <f t="shared" si="96"/>
        <v>0</v>
      </c>
      <c r="I2490" s="1277"/>
      <c r="J2490" s="1277"/>
      <c r="K2490" s="1278"/>
      <c r="L2490" s="1125">
        <v>2000</v>
      </c>
    </row>
    <row r="2491" spans="1:12" s="1279" customFormat="1" ht="20.100000000000001" customHeight="1">
      <c r="A2491" s="1377">
        <f t="shared" si="95"/>
        <v>0</v>
      </c>
      <c r="B2491" s="1378" t="s">
        <v>2096</v>
      </c>
      <c r="C2491" s="1286">
        <f>IF(G2491&gt;0,C2489+1,C2489)</f>
        <v>0</v>
      </c>
      <c r="D2491" s="1274">
        <f>VLOOKUP($B2491,DG!A:D,DG!$B$2,)</f>
        <v>0</v>
      </c>
      <c r="E2491" s="1275" t="str">
        <f>VLOOKUP($B2491,DG!A:D,DG!$C$2,)</f>
        <v>Biến dòng 600V - 800/5A</v>
      </c>
      <c r="F2491" s="1274" t="str">
        <f>VLOOKUP($B2491,DG!A:D,DG!$D$2,)</f>
        <v>cái</v>
      </c>
      <c r="G2491" s="1313">
        <f>G2483*3</f>
        <v>0</v>
      </c>
      <c r="H2491" s="1353">
        <f t="shared" si="96"/>
        <v>0</v>
      </c>
      <c r="I2491" s="1277"/>
      <c r="J2491" s="1277"/>
      <c r="K2491" s="1314" t="s">
        <v>2666</v>
      </c>
      <c r="L2491" s="1125">
        <v>2000</v>
      </c>
    </row>
    <row r="2492" spans="1:12" s="1279" customFormat="1" ht="20.100000000000001" customHeight="1">
      <c r="A2492" s="1377">
        <f t="shared" si="95"/>
        <v>0</v>
      </c>
      <c r="B2492" s="1378" t="s">
        <v>1721</v>
      </c>
      <c r="C2492" s="1286">
        <f>IF(G2492&gt;0,C2490+1,C2490)</f>
        <v>0</v>
      </c>
      <c r="D2492" s="1274">
        <f>VLOOKUP($B2492,DG!A:D,DG!$B$2,)</f>
        <v>0</v>
      </c>
      <c r="E2492" s="1275" t="str">
        <f>VLOOKUP($B2492,DG!A:D,DG!$C$2,)</f>
        <v>Biến dòng 600V - 250/5A</v>
      </c>
      <c r="F2492" s="1274" t="str">
        <f>VLOOKUP($B2492,DG!A:D,DG!$D$2,)</f>
        <v>cái</v>
      </c>
      <c r="G2492" s="1313">
        <f>G2483*3</f>
        <v>0</v>
      </c>
      <c r="H2492" s="1353">
        <f t="shared" si="96"/>
        <v>0</v>
      </c>
      <c r="I2492" s="1277"/>
      <c r="J2492" s="1277"/>
      <c r="K2492" s="1314" t="s">
        <v>2666</v>
      </c>
      <c r="L2492" s="1125">
        <v>2000</v>
      </c>
    </row>
    <row r="2493" spans="1:12" s="1279" customFormat="1" ht="20.100000000000001" customHeight="1">
      <c r="A2493" s="1377">
        <f t="shared" si="95"/>
        <v>0</v>
      </c>
      <c r="B2493" s="1378" t="s">
        <v>2249</v>
      </c>
      <c r="C2493" s="1286">
        <f>IF(G2493&gt;0,C2492+1,C2492)</f>
        <v>0</v>
      </c>
      <c r="D2493" s="1274" t="str">
        <f>VLOOKUP($B2493,DG!A:D,DG!$B$2,)</f>
        <v>02.1114</v>
      </c>
      <c r="E2493" s="1275" t="str">
        <f>VLOOKUP($B2493,DG!A:D,DG!$C$2,)</f>
        <v>Biến điện áp 12000/120(60)V</v>
      </c>
      <c r="F2493" s="1274" t="str">
        <f>VLOOKUP($B2493,DG!A:D,DG!$D$2,)</f>
        <v>cái</v>
      </c>
      <c r="G2493" s="1369">
        <f>+G2492</f>
        <v>0</v>
      </c>
      <c r="H2493" s="1353">
        <f t="shared" si="96"/>
        <v>0</v>
      </c>
      <c r="I2493" s="1277"/>
      <c r="J2493" s="1277"/>
      <c r="K2493" s="1314" t="s">
        <v>2666</v>
      </c>
      <c r="L2493" s="1125">
        <v>2000</v>
      </c>
    </row>
    <row r="2494" spans="1:12" s="1279" customFormat="1" ht="20.100000000000001" customHeight="1">
      <c r="A2494" s="1377">
        <f t="shared" si="95"/>
        <v>0</v>
      </c>
      <c r="B2494" s="1630" t="s">
        <v>289</v>
      </c>
      <c r="C2494" s="1286">
        <f>IF(G2494&gt;0,C2493+1,C2493)</f>
        <v>0</v>
      </c>
      <c r="D2494" s="1274" t="str">
        <f>VLOOKUP($B2494,DG!A:D,DG!$B$2,)</f>
        <v>05.5104</v>
      </c>
      <c r="E2494" s="1275" t="str">
        <f>VLOOKUP($B2494,DG!A:D,DG!$C$2,)</f>
        <v>Điện kế 3 pha 4 dây 220/380V-5A</v>
      </c>
      <c r="F2494" s="1274" t="str">
        <f>VLOOKUP($B2494,DG!A:D,DG!$D$2,)</f>
        <v>cái</v>
      </c>
      <c r="G2494" s="1313">
        <f>G2483</f>
        <v>0</v>
      </c>
      <c r="H2494" s="1353">
        <f t="shared" si="96"/>
        <v>0</v>
      </c>
      <c r="I2494" s="1310"/>
      <c r="J2494" s="1310"/>
      <c r="K2494" s="1315" t="s">
        <v>2666</v>
      </c>
      <c r="L2494" s="1125">
        <v>2000</v>
      </c>
    </row>
    <row r="2495" spans="1:12" s="1279" customFormat="1" ht="20.100000000000001" customHeight="1">
      <c r="A2495" s="1377">
        <f t="shared" si="95"/>
        <v>0</v>
      </c>
      <c r="B2495" s="1582"/>
      <c r="C2495" s="1316"/>
      <c r="D2495" s="1317"/>
      <c r="E2495" s="1271"/>
      <c r="F2495" s="1316"/>
      <c r="G2495" s="1318"/>
      <c r="H2495" s="1353">
        <f t="shared" si="96"/>
        <v>0</v>
      </c>
      <c r="I2495" s="1271"/>
      <c r="J2495" s="1316"/>
      <c r="K2495" s="1354"/>
      <c r="L2495" s="1125">
        <v>2000</v>
      </c>
    </row>
    <row r="2496" spans="1:12" s="1279" customFormat="1" ht="20.100000000000001" customHeight="1">
      <c r="A2496" s="1377">
        <f t="shared" si="95"/>
        <v>0</v>
      </c>
      <c r="B2496" s="1582"/>
      <c r="C2496" s="1319"/>
      <c r="D2496" s="1320"/>
      <c r="E2496" s="1306" t="s">
        <v>3772</v>
      </c>
      <c r="F2496" s="1306"/>
      <c r="G2496" s="1321"/>
      <c r="H2496" s="1353">
        <f t="shared" si="96"/>
        <v>0</v>
      </c>
      <c r="I2496" s="1306"/>
      <c r="J2496" s="1306"/>
      <c r="K2496" s="1354"/>
      <c r="L2496" s="1125">
        <v>2000</v>
      </c>
    </row>
    <row r="2497" spans="1:12" s="1279" customFormat="1" ht="20.100000000000001" customHeight="1">
      <c r="A2497" s="1377">
        <f t="shared" si="95"/>
        <v>0</v>
      </c>
      <c r="B2497" s="1622"/>
      <c r="C2497" s="1322">
        <f>IF(G2497&gt;0,1,0)</f>
        <v>0</v>
      </c>
      <c r="D2497" s="1323"/>
      <c r="E2497" s="1324" t="s">
        <v>3811</v>
      </c>
      <c r="F2497" s="1325" t="s">
        <v>2340</v>
      </c>
      <c r="G2497" s="1331">
        <f>G2483</f>
        <v>0</v>
      </c>
      <c r="H2497" s="1353">
        <f t="shared" si="96"/>
        <v>0</v>
      </c>
      <c r="I2497" s="1327"/>
      <c r="J2497" s="1327"/>
      <c r="K2497" s="1278"/>
      <c r="L2497" s="1125">
        <v>2000</v>
      </c>
    </row>
    <row r="2498" spans="1:12" s="1279" customFormat="1" ht="20.100000000000001" customHeight="1">
      <c r="A2498" s="1377">
        <f t="shared" si="95"/>
        <v>0</v>
      </c>
      <c r="B2498" s="1378" t="s">
        <v>2295</v>
      </c>
      <c r="C2498" s="1328"/>
      <c r="D2498" s="1274"/>
      <c r="E2498" s="1329" t="str">
        <f>VLOOKUP($B2498,DG!A:D,DG!$C$2,)</f>
        <v>Trụ BTLT 10,5m F350 dự ứng lực</v>
      </c>
      <c r="F2498" s="1274" t="str">
        <f>VLOOKUP($B2498,DG!A:D,DG!$D$2,)</f>
        <v>trụ</v>
      </c>
      <c r="G2498" s="1330">
        <f>G2497</f>
        <v>0</v>
      </c>
      <c r="H2498" s="1353">
        <f t="shared" si="96"/>
        <v>0</v>
      </c>
      <c r="I2498" s="1310"/>
      <c r="J2498" s="1273"/>
      <c r="K2498" s="1278"/>
      <c r="L2498" s="1125">
        <v>2000</v>
      </c>
    </row>
    <row r="2499" spans="1:12" s="1279" customFormat="1" ht="20.100000000000001" customHeight="1">
      <c r="A2499" s="1377">
        <f t="shared" si="95"/>
        <v>0</v>
      </c>
      <c r="B2499" s="1378" t="s">
        <v>1867</v>
      </c>
      <c r="C2499" s="1328"/>
      <c r="D2499" s="1274"/>
      <c r="E2499" s="1329" t="str">
        <f>VLOOKUP($B2499,DG!A:D,DG!$C$2,)</f>
        <v>Vật liệu dựng trụ</v>
      </c>
      <c r="F2499" s="1274" t="str">
        <f>VLOOKUP($B2499,DG!A:D,DG!$D$2,)</f>
        <v>trụ</v>
      </c>
      <c r="G2499" s="1330">
        <f>G2498</f>
        <v>0</v>
      </c>
      <c r="H2499" s="1353">
        <f t="shared" si="96"/>
        <v>0</v>
      </c>
      <c r="I2499" s="1273"/>
      <c r="J2499" s="1273"/>
      <c r="K2499" s="1278"/>
      <c r="L2499" s="1125">
        <v>2000</v>
      </c>
    </row>
    <row r="2500" spans="1:12" s="1279" customFormat="1" ht="20.100000000000001" customHeight="1">
      <c r="A2500" s="1377">
        <f t="shared" si="95"/>
        <v>0</v>
      </c>
      <c r="B2500" s="1378" t="s">
        <v>1664</v>
      </c>
      <c r="C2500" s="1328"/>
      <c r="D2500" s="1274" t="str">
        <f>VLOOKUP($B2500,DG!A:D,DG!$B$2,)</f>
        <v>05.5402</v>
      </c>
      <c r="E2500" s="1329" t="str">
        <f>VLOOKUP($B2500,DG!A:D,DG!$C$2,)</f>
        <v>Dựng trụ BTLT 10,5m thủ công + cơ giới</v>
      </c>
      <c r="F2500" s="1274" t="str">
        <f>VLOOKUP($B2500,DG!A:D,DG!$D$2,)</f>
        <v>trụ</v>
      </c>
      <c r="G2500" s="1330">
        <f>G2498</f>
        <v>0</v>
      </c>
      <c r="H2500" s="1353">
        <f t="shared" si="96"/>
        <v>0</v>
      </c>
      <c r="I2500" s="1310"/>
      <c r="J2500" s="1310"/>
      <c r="K2500" s="1278"/>
      <c r="L2500" s="1125">
        <v>2000</v>
      </c>
    </row>
    <row r="2501" spans="1:12" s="1279" customFormat="1" ht="20.100000000000001" customHeight="1">
      <c r="A2501" s="1377">
        <f t="shared" si="95"/>
        <v>0</v>
      </c>
      <c r="B2501" s="1378" t="s">
        <v>2296</v>
      </c>
      <c r="C2501" s="1328"/>
      <c r="D2501" s="1274"/>
      <c r="E2501" s="1329" t="str">
        <f>VLOOKUP($B2501,DG!A:D,DG!$C$2,)</f>
        <v>Đào hố móng đất cấp 3 sâu &gt;1m DT&lt;5m2</v>
      </c>
      <c r="F2501" s="1274" t="str">
        <f>VLOOKUP($B2501,DG!A:D,DG!$D$2,)</f>
        <v>m3</v>
      </c>
      <c r="G2501" s="1330">
        <f>G2497*0.201</f>
        <v>0</v>
      </c>
      <c r="H2501" s="1353">
        <f t="shared" si="96"/>
        <v>0</v>
      </c>
      <c r="I2501" s="1310"/>
      <c r="J2501" s="1310"/>
      <c r="K2501" s="1278"/>
      <c r="L2501" s="1125">
        <v>2000</v>
      </c>
    </row>
    <row r="2502" spans="1:12" s="1279" customFormat="1" ht="20.100000000000001" customHeight="1">
      <c r="A2502" s="1377">
        <f t="shared" si="95"/>
        <v>0</v>
      </c>
      <c r="B2502" s="1378" t="s">
        <v>21</v>
      </c>
      <c r="C2502" s="1328"/>
      <c r="D2502" s="1274" t="str">
        <f>VLOOKUP($B2502,DG!A:D,DG!$B$2,)</f>
        <v>03.4113</v>
      </c>
      <c r="E2502" s="1329" t="str">
        <f>VLOOKUP($B2502,DG!A:D,DG!$C$2,)</f>
        <v>Đắp đất hố móng, độ chặt k=0,95</v>
      </c>
      <c r="F2502" s="1274" t="str">
        <f>VLOOKUP($B2502,DG!A:D,DG!$D$2,)</f>
        <v>m3</v>
      </c>
      <c r="G2502" s="1330">
        <f>G2497*0.182</f>
        <v>0</v>
      </c>
      <c r="H2502" s="1353">
        <f t="shared" si="96"/>
        <v>0</v>
      </c>
      <c r="I2502" s="1310"/>
      <c r="J2502" s="1310"/>
      <c r="K2502" s="1278"/>
      <c r="L2502" s="1125">
        <v>2000</v>
      </c>
    </row>
    <row r="2503" spans="1:12" s="1279" customFormat="1" ht="20.100000000000001" customHeight="1">
      <c r="A2503" s="1377">
        <f t="shared" si="95"/>
        <v>0</v>
      </c>
      <c r="B2503" s="1623"/>
      <c r="C2503" s="1280">
        <f>IF(G2503&gt;0,C2497+1,C2497)</f>
        <v>0</v>
      </c>
      <c r="D2503" s="1323"/>
      <c r="E2503" s="1324" t="s">
        <v>2398</v>
      </c>
      <c r="F2503" s="1325" t="s">
        <v>2391</v>
      </c>
      <c r="G2503" s="1331">
        <f>G2497*0</f>
        <v>0</v>
      </c>
      <c r="H2503" s="1353">
        <f t="shared" si="96"/>
        <v>0</v>
      </c>
      <c r="I2503" s="1273"/>
      <c r="J2503" s="1273"/>
      <c r="K2503" s="1278"/>
      <c r="L2503" s="1125">
        <v>2000</v>
      </c>
    </row>
    <row r="2504" spans="1:12" s="1279" customFormat="1" ht="20.100000000000001" customHeight="1">
      <c r="A2504" s="1377">
        <f t="shared" si="95"/>
        <v>0</v>
      </c>
      <c r="B2504" s="1589" t="s">
        <v>641</v>
      </c>
      <c r="C2504" s="1328"/>
      <c r="D2504" s="1274" t="str">
        <f>VLOOKUP($B2504,DG!A:D,DG!$B$2,)</f>
        <v>04.4001</v>
      </c>
      <c r="E2504" s="1332" t="str">
        <f>VLOOKUP($B2504,DG!A:D,DG!$C$2,)</f>
        <v>Đà cản BTCT 1,2m</v>
      </c>
      <c r="F2504" s="1288" t="str">
        <f>VLOOKUP($B2504,DG!A:D,DG!$D$2,)</f>
        <v>cái</v>
      </c>
      <c r="G2504" s="1330">
        <f>G2503</f>
        <v>0</v>
      </c>
      <c r="H2504" s="1353">
        <f t="shared" si="96"/>
        <v>0</v>
      </c>
      <c r="I2504" s="1310"/>
      <c r="J2504" s="1273"/>
      <c r="K2504" s="1278"/>
      <c r="L2504" s="1125">
        <v>2000</v>
      </c>
    </row>
    <row r="2505" spans="1:12" s="1279" customFormat="1" ht="20.100000000000001" customHeight="1">
      <c r="A2505" s="1377">
        <f t="shared" si="95"/>
        <v>0</v>
      </c>
      <c r="B2505" s="1589" t="s">
        <v>570</v>
      </c>
      <c r="C2505" s="1328"/>
      <c r="D2505" s="1288"/>
      <c r="E2505" s="1332" t="str">
        <f>VLOOKUP($B2505,DG!A:D,DG!$C$2,)</f>
        <v>Boulon 22x650+ 2 long đền vuông D24-50x50x3/Zn</v>
      </c>
      <c r="F2505" s="1288" t="str">
        <f>VLOOKUP($B2505,DG!A:D,DG!$D$2,)</f>
        <v>bộ</v>
      </c>
      <c r="G2505" s="1330">
        <f>G2504</f>
        <v>0</v>
      </c>
      <c r="H2505" s="1353">
        <f t="shared" si="96"/>
        <v>0</v>
      </c>
      <c r="I2505" s="1332"/>
      <c r="J2505" s="1273"/>
      <c r="K2505" s="1278"/>
      <c r="L2505" s="1125">
        <v>2000</v>
      </c>
    </row>
    <row r="2506" spans="1:12" s="1279" customFormat="1" ht="20.100000000000001" customHeight="1">
      <c r="A2506" s="1377">
        <f t="shared" si="95"/>
        <v>0</v>
      </c>
      <c r="B2506" s="1589" t="str">
        <f>IF(chitiet!F5=1,"MDD1",IF(chitiet!F5=2,"MDD2",IF(chitiet!F5=3,"MDD3",IF(chitiet!F5=4,"MDD4"))))</f>
        <v>MDD3</v>
      </c>
      <c r="C2506" s="1328"/>
      <c r="D2506" s="1288" t="str">
        <f>VLOOKUP($B2506,DG!A:D,DG!$B$2,)</f>
        <v>03.1013</v>
      </c>
      <c r="E2506" s="1332" t="str">
        <f>VLOOKUP($B2506,DG!A:D,DG!$C$2,)</f>
        <v>Đào hố móng đất cấp 3 sâu &gt;1m DT&lt;5m2</v>
      </c>
      <c r="F2506" s="1288" t="str">
        <f>VLOOKUP($B2506,DG!A:D,DG!$D$2,)</f>
        <v>m3</v>
      </c>
      <c r="G2506" s="1335">
        <f>1.48*G2504</f>
        <v>0</v>
      </c>
      <c r="H2506" s="1353">
        <f t="shared" si="96"/>
        <v>0</v>
      </c>
      <c r="I2506" s="1334"/>
      <c r="J2506" s="1273"/>
      <c r="K2506" s="1278"/>
      <c r="L2506" s="1125">
        <v>2000</v>
      </c>
    </row>
    <row r="2507" spans="1:12" s="1279" customFormat="1" ht="20.100000000000001" customHeight="1">
      <c r="A2507" s="1377">
        <f t="shared" si="95"/>
        <v>0</v>
      </c>
      <c r="B2507" s="1589" t="str">
        <f>IF(chitiet!F5=1,"MDAP1",IF(chitiet!F5=2,"MDAP2",IF(chitiet!F5=3,"MDAP3",IF(chitiet!F5=4,"MDAP4"))))</f>
        <v>MDAP3</v>
      </c>
      <c r="C2507" s="1328"/>
      <c r="D2507" s="1288" t="str">
        <f>VLOOKUP($B2507,DG!A:D,DG!$B$2,)</f>
        <v>03.4113</v>
      </c>
      <c r="E2507" s="1332" t="str">
        <f>VLOOKUP($B2507,DG!A:D,DG!$C$2,)</f>
        <v>Đắp đất hố móng, độ chặt k=0,95</v>
      </c>
      <c r="F2507" s="1288" t="str">
        <f>VLOOKUP($B2507,DG!A:D,DG!$D$2,)</f>
        <v>m3</v>
      </c>
      <c r="G2507" s="1335">
        <f>1.39*G2503</f>
        <v>0</v>
      </c>
      <c r="H2507" s="1353">
        <f t="shared" si="96"/>
        <v>0</v>
      </c>
      <c r="I2507" s="1334"/>
      <c r="J2507" s="1273"/>
      <c r="K2507" s="1278"/>
      <c r="L2507" s="1125">
        <v>2000</v>
      </c>
    </row>
    <row r="2508" spans="1:12" s="1279" customFormat="1" ht="20.100000000000001" customHeight="1">
      <c r="A2508" s="1377">
        <f t="shared" ref="A2508:A2571" si="98">IF(H2508&gt;0,1,0)</f>
        <v>0</v>
      </c>
      <c r="B2508" s="1582"/>
      <c r="C2508" s="1280">
        <f>IF(G2508&gt;0,C2503+1,C2503)</f>
        <v>0</v>
      </c>
      <c r="D2508" s="1336"/>
      <c r="E2508" s="1324" t="s">
        <v>3813</v>
      </c>
      <c r="F2508" s="1322" t="s">
        <v>2449</v>
      </c>
      <c r="G2508" s="1337">
        <f>G2483*0</f>
        <v>0</v>
      </c>
      <c r="H2508" s="1353">
        <f t="shared" si="96"/>
        <v>0</v>
      </c>
      <c r="I2508" s="1338"/>
      <c r="J2508" s="1338"/>
      <c r="K2508" s="1278"/>
      <c r="L2508" s="1125">
        <v>2000</v>
      </c>
    </row>
    <row r="2509" spans="1:12" s="1279" customFormat="1" ht="20.100000000000001" customHeight="1">
      <c r="A2509" s="1377">
        <f>IF(A2508&gt;0,1,0)</f>
        <v>0</v>
      </c>
      <c r="B2509" s="1582"/>
      <c r="C2509" s="1273"/>
      <c r="D2509" s="1339"/>
      <c r="E2509" s="1637" t="s">
        <v>2342</v>
      </c>
      <c r="F2509" s="1286"/>
      <c r="G2509" s="1287"/>
      <c r="H2509" s="1353">
        <f t="shared" si="96"/>
        <v>0</v>
      </c>
      <c r="I2509" s="1340"/>
      <c r="J2509" s="1340"/>
      <c r="K2509" s="1278"/>
      <c r="L2509" s="1125">
        <v>2000</v>
      </c>
    </row>
    <row r="2510" spans="1:12" s="1279" customFormat="1" ht="20.100000000000001" customHeight="1">
      <c r="A2510" s="1377">
        <f t="shared" si="98"/>
        <v>0</v>
      </c>
      <c r="B2510" s="1378" t="s">
        <v>1166</v>
      </c>
      <c r="C2510" s="1273"/>
      <c r="D2510" s="1274" t="str">
        <f>VLOOKUP($B2510,DG!A:D,DG!$B$2,)</f>
        <v>05.6105</v>
      </c>
      <c r="E2510" s="1275" t="str">
        <f>VLOOKUP($B2510,DG!A:D,DG!$C$2,)</f>
        <v>Đà U160x68x5x2800 đỡ MBA</v>
      </c>
      <c r="F2510" s="1274" t="str">
        <f>VLOOKUP($B2510,DG!A:D,DG!$D$2,)</f>
        <v>kg</v>
      </c>
      <c r="G2510" s="1287">
        <f>2*G2508</f>
        <v>0</v>
      </c>
      <c r="H2510" s="1353">
        <f t="shared" si="96"/>
        <v>0</v>
      </c>
      <c r="I2510" s="1310"/>
      <c r="J2510" s="1310"/>
      <c r="K2510" s="1278"/>
      <c r="L2510" s="1125">
        <v>2000</v>
      </c>
    </row>
    <row r="2511" spans="1:12" s="1279" customFormat="1" ht="20.100000000000001" customHeight="1">
      <c r="A2511" s="1377">
        <f t="shared" si="98"/>
        <v>0</v>
      </c>
      <c r="B2511" s="1378" t="s">
        <v>1167</v>
      </c>
      <c r="C2511" s="1273"/>
      <c r="D2511" s="1274" t="str">
        <f>VLOOKUP($B2511,DG!A:D,DG!$B$2,)</f>
        <v>05.6101</v>
      </c>
      <c r="E2511" s="1275" t="str">
        <f>VLOOKUP($B2511,DG!A:D,DG!$C$2,)</f>
        <v xml:space="preserve">Đà U100x46x4.5x400 </v>
      </c>
      <c r="F2511" s="1274" t="str">
        <f>VLOOKUP($B2511,DG!A:D,DG!$D$2,)</f>
        <v>kg</v>
      </c>
      <c r="G2511" s="1287">
        <f>G2508*4</f>
        <v>0</v>
      </c>
      <c r="H2511" s="1353">
        <f t="shared" si="96"/>
        <v>0</v>
      </c>
      <c r="I2511" s="1310"/>
      <c r="J2511" s="1310"/>
      <c r="K2511" s="1278"/>
      <c r="L2511" s="1125">
        <v>2000</v>
      </c>
    </row>
    <row r="2512" spans="1:12" s="1279" customFormat="1" ht="20.100000000000001" customHeight="1">
      <c r="A2512" s="1377">
        <f t="shared" si="98"/>
        <v>0</v>
      </c>
      <c r="B2512" s="1378" t="s">
        <v>1168</v>
      </c>
      <c r="C2512" s="1273"/>
      <c r="D2512" s="1274" t="str">
        <f>VLOOKUP($B2512,DG!A:D,DG!$B$2,)</f>
        <v>05.6101</v>
      </c>
      <c r="E2512" s="1275" t="str">
        <f>VLOOKUP($B2512,DG!A:D,DG!$C$2,)</f>
        <v xml:space="preserve">Đà U100x46x5x800 </v>
      </c>
      <c r="F2512" s="1274" t="str">
        <f>VLOOKUP($B2512,DG!A:D,DG!$D$2,)</f>
        <v>kg</v>
      </c>
      <c r="G2512" s="1287">
        <f>G2508*2</f>
        <v>0</v>
      </c>
      <c r="H2512" s="1353">
        <f t="shared" si="96"/>
        <v>0</v>
      </c>
      <c r="I2512" s="1310"/>
      <c r="J2512" s="1310"/>
      <c r="K2512" s="1278"/>
      <c r="L2512" s="1125">
        <v>2000</v>
      </c>
    </row>
    <row r="2513" spans="1:12" s="1279" customFormat="1" ht="20.100000000000001" customHeight="1">
      <c r="A2513" s="1377">
        <f t="shared" si="98"/>
        <v>0</v>
      </c>
      <c r="B2513" s="1582" t="s">
        <v>1834</v>
      </c>
      <c r="C2513" s="1273"/>
      <c r="D2513" s="1274">
        <f>VLOOKUP($B2513,DG!A:D,DG!$B$2,)</f>
        <v>0</v>
      </c>
      <c r="E2513" s="1275" t="str">
        <f>VLOOKUP($B2513,DG!A:D,DG!$C$2,)</f>
        <v>Boulon 16x400VRS+ 4 long đền vuông D18-50x50x3/Zn</v>
      </c>
      <c r="F2513" s="1274" t="str">
        <f>VLOOKUP($B2513,DG!A:D,DG!$D$2,)</f>
        <v>bộ</v>
      </c>
      <c r="G2513" s="1287">
        <f>G2508*12</f>
        <v>0</v>
      </c>
      <c r="H2513" s="1353">
        <f t="shared" si="96"/>
        <v>0</v>
      </c>
      <c r="I2513" s="1310"/>
      <c r="J2513" s="1310"/>
      <c r="K2513" s="1278"/>
      <c r="L2513" s="1125">
        <v>2000</v>
      </c>
    </row>
    <row r="2514" spans="1:12" s="1279" customFormat="1" ht="20.100000000000001" customHeight="1">
      <c r="A2514" s="1377">
        <f t="shared" si="98"/>
        <v>0</v>
      </c>
      <c r="B2514" s="1582" t="s">
        <v>1113</v>
      </c>
      <c r="C2514" s="1273"/>
      <c r="D2514" s="1274">
        <f>VLOOKUP($B2514,DG!A:D,DG!$B$2,)</f>
        <v>0</v>
      </c>
      <c r="E2514" s="1275" t="str">
        <f>VLOOKUP($B2514,DG!A:D,DG!$C$2,)</f>
        <v>Boulon 16x400+ 2 long đền vuông D18-50x50x3/Zn</v>
      </c>
      <c r="F2514" s="1274" t="str">
        <f>VLOOKUP($B2514,DG!A:D,DG!$D$2,)</f>
        <v>bộ</v>
      </c>
      <c r="G2514" s="1287">
        <f>G2508*2</f>
        <v>0</v>
      </c>
      <c r="H2514" s="1353">
        <f t="shared" si="96"/>
        <v>0</v>
      </c>
      <c r="I2514" s="1310"/>
      <c r="J2514" s="1310"/>
      <c r="K2514" s="1278"/>
      <c r="L2514" s="1125">
        <v>2000</v>
      </c>
    </row>
    <row r="2515" spans="1:12" s="1279" customFormat="1" ht="20.100000000000001" customHeight="1">
      <c r="A2515" s="1377">
        <f t="shared" si="98"/>
        <v>0</v>
      </c>
      <c r="B2515" s="1582" t="s">
        <v>1109</v>
      </c>
      <c r="C2515" s="1273"/>
      <c r="D2515" s="1274">
        <f>VLOOKUP($B2515,DG!A:D,DG!$B$2,)</f>
        <v>0</v>
      </c>
      <c r="E2515" s="1275" t="str">
        <f>VLOOKUP($B2515,DG!A:D,DG!$C$2,)</f>
        <v>Boulon 16x350+ 2 long đền vuông D18-50x50x3/Zn</v>
      </c>
      <c r="F2515" s="1274" t="str">
        <f>VLOOKUP($B2515,DG!A:D,DG!$D$2,)</f>
        <v>bộ</v>
      </c>
      <c r="G2515" s="1287">
        <f>+G2508*4</f>
        <v>0</v>
      </c>
      <c r="H2515" s="1353">
        <f t="shared" si="96"/>
        <v>0</v>
      </c>
      <c r="I2515" s="1310"/>
      <c r="J2515" s="1310"/>
      <c r="K2515" s="1278"/>
      <c r="L2515" s="1125">
        <v>2000</v>
      </c>
    </row>
    <row r="2516" spans="1:12" s="1279" customFormat="1" ht="20.100000000000001" customHeight="1">
      <c r="A2516" s="1377">
        <f t="shared" si="98"/>
        <v>0</v>
      </c>
      <c r="B2516" s="1582"/>
      <c r="C2516" s="1280">
        <f>IF(G2516&gt;0,C2508+1,C2508)</f>
        <v>0</v>
      </c>
      <c r="D2516" s="1281"/>
      <c r="E2516" s="1341" t="s">
        <v>3814</v>
      </c>
      <c r="F2516" s="1280" t="s">
        <v>2449</v>
      </c>
      <c r="G2516" s="1283">
        <f>G2508*2*0</f>
        <v>0</v>
      </c>
      <c r="H2516" s="1353">
        <f t="shared" si="96"/>
        <v>0</v>
      </c>
      <c r="I2516" s="1342"/>
      <c r="J2516" s="1342"/>
      <c r="K2516" s="1278"/>
      <c r="L2516" s="1125">
        <v>2000</v>
      </c>
    </row>
    <row r="2517" spans="1:12" s="1279" customFormat="1" ht="20.100000000000001" customHeight="1">
      <c r="A2517" s="1377">
        <f>IF(A2516&gt;0,1,0)</f>
        <v>0</v>
      </c>
      <c r="B2517" s="1582"/>
      <c r="C2517" s="1273"/>
      <c r="D2517" s="1284"/>
      <c r="E2517" s="1637" t="s">
        <v>2342</v>
      </c>
      <c r="F2517" s="1286"/>
      <c r="G2517" s="1287"/>
      <c r="H2517" s="1353">
        <f t="shared" si="96"/>
        <v>0</v>
      </c>
      <c r="I2517" s="1342"/>
      <c r="J2517" s="1342"/>
      <c r="K2517" s="1278"/>
      <c r="L2517" s="1125">
        <v>2000</v>
      </c>
    </row>
    <row r="2518" spans="1:12" s="1279" customFormat="1" ht="20.100000000000001" customHeight="1">
      <c r="A2518" s="1377">
        <f t="shared" si="98"/>
        <v>0</v>
      </c>
      <c r="B2518" s="1589" t="s">
        <v>2075</v>
      </c>
      <c r="C2518" s="1273"/>
      <c r="D2518" s="1274">
        <v>0</v>
      </c>
      <c r="E2518" s="1275" t="str">
        <f>VLOOKUP($B2518,DG!A:D,DG!$C$2,)</f>
        <v>Sắt góc L75 x75 x8</v>
      </c>
      <c r="F2518" s="1274" t="s">
        <v>2310</v>
      </c>
      <c r="G2518" s="1276">
        <f>G2516*9.02*(2.6+3*0.07)*2</f>
        <v>0</v>
      </c>
      <c r="H2518" s="1353">
        <f t="shared" si="96"/>
        <v>0</v>
      </c>
      <c r="I2518" s="1310"/>
      <c r="J2518" s="1310"/>
      <c r="K2518" s="1278"/>
      <c r="L2518" s="1125">
        <v>2000</v>
      </c>
    </row>
    <row r="2519" spans="1:12" s="1279" customFormat="1" ht="20.100000000000001" customHeight="1">
      <c r="A2519" s="1377">
        <f t="shared" si="98"/>
        <v>0</v>
      </c>
      <c r="B2519" s="1582" t="s">
        <v>1837</v>
      </c>
      <c r="C2519" s="1273"/>
      <c r="D2519" s="1274">
        <v>0</v>
      </c>
      <c r="E2519" s="1275" t="str">
        <f>VLOOKUP($B2519,DG!A:D,DG!$C$2,)</f>
        <v>Boulon 16x300VRS+ 4 long đền vuông D18-50x50x3/Zn</v>
      </c>
      <c r="F2519" s="1274" t="s">
        <v>2503</v>
      </c>
      <c r="G2519" s="1287">
        <f>G2516*2</f>
        <v>0</v>
      </c>
      <c r="H2519" s="1353">
        <f t="shared" si="96"/>
        <v>0</v>
      </c>
      <c r="I2519" s="1310"/>
      <c r="J2519" s="1310"/>
      <c r="K2519" s="1278"/>
      <c r="L2519" s="1125">
        <v>2000</v>
      </c>
    </row>
    <row r="2520" spans="1:12" s="1279" customFormat="1" ht="20.100000000000001" customHeight="1">
      <c r="A2520" s="1377">
        <f t="shared" si="98"/>
        <v>0</v>
      </c>
      <c r="B2520" s="1582" t="s">
        <v>1662</v>
      </c>
      <c r="C2520" s="1273"/>
      <c r="D2520" s="1274">
        <v>0</v>
      </c>
      <c r="E2520" s="1275" t="str">
        <f>VLOOKUP($B2520,DG!A:D,DG!$C$2,)</f>
        <v>Boulon 16x300+ 2 long đền vuông D18-50x50x3/Zn</v>
      </c>
      <c r="F2520" s="1274" t="s">
        <v>2503</v>
      </c>
      <c r="G2520" s="1287">
        <f>G2516*2</f>
        <v>0</v>
      </c>
      <c r="H2520" s="1353">
        <f t="shared" si="96"/>
        <v>0</v>
      </c>
      <c r="I2520" s="1310"/>
      <c r="J2520" s="1310"/>
      <c r="K2520" s="1278"/>
      <c r="L2520" s="1125">
        <v>2000</v>
      </c>
    </row>
    <row r="2521" spans="1:12" s="1279" customFormat="1" ht="20.100000000000001" customHeight="1">
      <c r="A2521" s="1377">
        <f t="shared" si="98"/>
        <v>0</v>
      </c>
      <c r="B2521" s="1582" t="s">
        <v>1661</v>
      </c>
      <c r="C2521" s="1273"/>
      <c r="D2521" s="1274">
        <v>0</v>
      </c>
      <c r="E2521" s="1275" t="str">
        <f>VLOOKUP($B2521,DG!A:D,DG!$C$2,)</f>
        <v>Boulon 16x250+ 2 long đền vuông D18-50x50x3/Zn</v>
      </c>
      <c r="F2521" s="1274" t="s">
        <v>2503</v>
      </c>
      <c r="G2521" s="1287">
        <f>G2520</f>
        <v>0</v>
      </c>
      <c r="H2521" s="1353">
        <f t="shared" si="96"/>
        <v>0</v>
      </c>
      <c r="I2521" s="1310"/>
      <c r="J2521" s="1310"/>
      <c r="K2521" s="1278"/>
      <c r="L2521" s="1125">
        <v>2000</v>
      </c>
    </row>
    <row r="2522" spans="1:12" s="1279" customFormat="1" ht="20.100000000000001" customHeight="1">
      <c r="A2522" s="1377">
        <f t="shared" si="98"/>
        <v>0</v>
      </c>
      <c r="B2522" s="1582" t="s">
        <v>2304</v>
      </c>
      <c r="C2522" s="1273"/>
      <c r="D2522" s="1274" t="s">
        <v>738</v>
      </c>
      <c r="E2522" s="1275" t="str">
        <f>VLOOKUP($B2522,DG!A:D,DG!$C$2,)</f>
        <v>Lắp xà cột Pi loại ≤140kg/xà</v>
      </c>
      <c r="F2522" s="1274" t="s">
        <v>2503</v>
      </c>
      <c r="G2522" s="1287">
        <f>G2516</f>
        <v>0</v>
      </c>
      <c r="H2522" s="1353">
        <f t="shared" si="96"/>
        <v>0</v>
      </c>
      <c r="I2522" s="1310"/>
      <c r="J2522" s="1310"/>
      <c r="K2522" s="1278"/>
      <c r="L2522" s="1125">
        <v>2000</v>
      </c>
    </row>
    <row r="2523" spans="1:12" s="1279" customFormat="1" ht="20.100000000000001" customHeight="1">
      <c r="A2523" s="1377">
        <f t="shared" si="98"/>
        <v>0</v>
      </c>
      <c r="B2523" s="1582"/>
      <c r="C2523" s="1280">
        <f>IF(G2523&gt;0,C2516+1,C2516)</f>
        <v>0</v>
      </c>
      <c r="D2523" s="1281"/>
      <c r="E2523" s="1341" t="s">
        <v>3851</v>
      </c>
      <c r="F2523" s="1280" t="s">
        <v>2449</v>
      </c>
      <c r="G2523" s="1283">
        <f>G2508*3</f>
        <v>0</v>
      </c>
      <c r="H2523" s="1353">
        <f t="shared" si="96"/>
        <v>0</v>
      </c>
      <c r="I2523" s="1342"/>
      <c r="J2523" s="1342"/>
      <c r="K2523" s="1278"/>
      <c r="L2523" s="1125">
        <v>2000</v>
      </c>
    </row>
    <row r="2524" spans="1:12" s="1279" customFormat="1" ht="20.100000000000001" customHeight="1">
      <c r="A2524" s="1377">
        <f>IF(A2523&gt;0,1,0)</f>
        <v>0</v>
      </c>
      <c r="B2524" s="1582"/>
      <c r="C2524" s="1273"/>
      <c r="D2524" s="1284"/>
      <c r="E2524" s="1637" t="s">
        <v>2342</v>
      </c>
      <c r="F2524" s="1286"/>
      <c r="G2524" s="1287"/>
      <c r="H2524" s="1353">
        <f t="shared" si="96"/>
        <v>0</v>
      </c>
      <c r="I2524" s="1342"/>
      <c r="J2524" s="1342"/>
      <c r="K2524" s="1278"/>
      <c r="L2524" s="1125">
        <v>2000</v>
      </c>
    </row>
    <row r="2525" spans="1:12" s="1279" customFormat="1" ht="20.100000000000001" customHeight="1">
      <c r="A2525" s="1377">
        <f t="shared" si="98"/>
        <v>0</v>
      </c>
      <c r="B2525" s="1589" t="s">
        <v>2075</v>
      </c>
      <c r="C2525" s="1273"/>
      <c r="D2525" s="1274">
        <v>0</v>
      </c>
      <c r="E2525" s="1275" t="str">
        <f>VLOOKUP($B2525,DG!A:D,DG!$C$2,)</f>
        <v>Sắt góc L75 x75 x8</v>
      </c>
      <c r="F2525" s="1274" t="s">
        <v>2310</v>
      </c>
      <c r="G2525" s="1276">
        <f>G2523*9.02*(2.6+3*0.07)</f>
        <v>0</v>
      </c>
      <c r="H2525" s="1353">
        <f t="shared" si="96"/>
        <v>0</v>
      </c>
      <c r="I2525" s="1310"/>
      <c r="J2525" s="1310"/>
      <c r="K2525" s="1278"/>
      <c r="L2525" s="1125">
        <v>2000</v>
      </c>
    </row>
    <row r="2526" spans="1:12" s="1279" customFormat="1" ht="20.100000000000001" customHeight="1">
      <c r="A2526" s="1377">
        <f t="shared" si="98"/>
        <v>0</v>
      </c>
      <c r="B2526" s="1582" t="s">
        <v>1661</v>
      </c>
      <c r="C2526" s="1273"/>
      <c r="D2526" s="1274">
        <v>0</v>
      </c>
      <c r="E2526" s="1275" t="str">
        <f>VLOOKUP($B2526,DG!A:D,DG!$C$2,)</f>
        <v>Boulon 16x250+ 2 long đền vuông D18-50x50x3/Zn</v>
      </c>
      <c r="F2526" s="1274" t="s">
        <v>2503</v>
      </c>
      <c r="G2526" s="1287">
        <f>IF(G2523&gt;2,(G2523-1)*2,0)</f>
        <v>0</v>
      </c>
      <c r="H2526" s="1353">
        <f t="shared" si="96"/>
        <v>0</v>
      </c>
      <c r="I2526" s="1310"/>
      <c r="J2526" s="1310"/>
      <c r="K2526" s="1278"/>
      <c r="L2526" s="1125">
        <v>2000</v>
      </c>
    </row>
    <row r="2527" spans="1:12" s="1279" customFormat="1" ht="20.100000000000001" customHeight="1">
      <c r="A2527" s="1377">
        <f t="shared" si="98"/>
        <v>0</v>
      </c>
      <c r="B2527" s="1582" t="s">
        <v>1662</v>
      </c>
      <c r="C2527" s="1273"/>
      <c r="D2527" s="1274">
        <v>0</v>
      </c>
      <c r="E2527" s="1275" t="str">
        <f>VLOOKUP($B2527,DG!A:D,DG!$C$2,)</f>
        <v>Boulon 16x300+ 2 long đền vuông D18-50x50x3/Zn</v>
      </c>
      <c r="F2527" s="1274" t="s">
        <v>2503</v>
      </c>
      <c r="G2527" s="1287">
        <f>IF(G2523=0,0,2)</f>
        <v>0</v>
      </c>
      <c r="H2527" s="1353">
        <f t="shared" si="96"/>
        <v>0</v>
      </c>
      <c r="I2527" s="1310"/>
      <c r="J2527" s="1310"/>
      <c r="K2527" s="1278"/>
      <c r="L2527" s="1125">
        <v>2000</v>
      </c>
    </row>
    <row r="2528" spans="1:12" s="1279" customFormat="1" ht="20.100000000000001" customHeight="1">
      <c r="A2528" s="1377">
        <f t="shared" si="98"/>
        <v>0</v>
      </c>
      <c r="B2528" s="1589" t="s">
        <v>2333</v>
      </c>
      <c r="C2528" s="1273"/>
      <c r="D2528" s="1274">
        <v>0</v>
      </c>
      <c r="E2528" s="1275" t="str">
        <f>VLOOKUP($B2528,DG!A:D,DG!$C$2,)</f>
        <v>Bass LL bắt FCO và LA</v>
      </c>
      <c r="F2528" s="1274" t="s">
        <v>2449</v>
      </c>
      <c r="G2528" s="1287">
        <f>G2523*1</f>
        <v>0</v>
      </c>
      <c r="H2528" s="1353">
        <f t="shared" si="96"/>
        <v>0</v>
      </c>
      <c r="I2528" s="1310"/>
      <c r="J2528" s="1310"/>
      <c r="K2528" s="1278"/>
      <c r="L2528" s="1125">
        <v>2000</v>
      </c>
    </row>
    <row r="2529" spans="1:12" s="1279" customFormat="1" ht="20.100000000000001" customHeight="1">
      <c r="A2529" s="1377">
        <f t="shared" si="98"/>
        <v>0</v>
      </c>
      <c r="B2529" s="1582" t="s">
        <v>2304</v>
      </c>
      <c r="C2529" s="1273"/>
      <c r="D2529" s="1274" t="s">
        <v>738</v>
      </c>
      <c r="E2529" s="1275" t="str">
        <f>VLOOKUP($B2529,DG!A:D,DG!$C$2,)</f>
        <v>Lắp xà cột Pi loại ≤140kg/xà</v>
      </c>
      <c r="F2529" s="1274" t="s">
        <v>2503</v>
      </c>
      <c r="G2529" s="1287">
        <f>G2523</f>
        <v>0</v>
      </c>
      <c r="H2529" s="1353">
        <f t="shared" si="96"/>
        <v>0</v>
      </c>
      <c r="I2529" s="1310"/>
      <c r="J2529" s="1310"/>
      <c r="K2529" s="1278"/>
      <c r="L2529" s="1125">
        <v>2000</v>
      </c>
    </row>
    <row r="2530" spans="1:12" s="1279" customFormat="1" ht="20.100000000000001" customHeight="1">
      <c r="A2530" s="1377">
        <f t="shared" si="98"/>
        <v>0</v>
      </c>
      <c r="B2530" s="1582"/>
      <c r="C2530" s="1280">
        <f>IF(G2530&gt;0,C2523+1,C2523)</f>
        <v>0</v>
      </c>
      <c r="D2530" s="1281"/>
      <c r="E2530" s="1341" t="s">
        <v>3816</v>
      </c>
      <c r="F2530" s="1280" t="s">
        <v>2449</v>
      </c>
      <c r="G2530" s="1283">
        <f>G2508*2</f>
        <v>0</v>
      </c>
      <c r="H2530" s="1353">
        <f t="shared" si="96"/>
        <v>0</v>
      </c>
      <c r="I2530" s="1342"/>
      <c r="J2530" s="1342"/>
      <c r="K2530" s="1278"/>
      <c r="L2530" s="1125">
        <v>2000</v>
      </c>
    </row>
    <row r="2531" spans="1:12" s="1279" customFormat="1" ht="20.100000000000001" customHeight="1">
      <c r="A2531" s="1377">
        <f>IF(A2530&gt;0,1,0)</f>
        <v>0</v>
      </c>
      <c r="B2531" s="1582"/>
      <c r="C2531" s="1273"/>
      <c r="D2531" s="1284"/>
      <c r="E2531" s="1637" t="s">
        <v>2342</v>
      </c>
      <c r="F2531" s="1286"/>
      <c r="G2531" s="1287"/>
      <c r="H2531" s="1353">
        <f t="shared" si="96"/>
        <v>0</v>
      </c>
      <c r="I2531" s="1342"/>
      <c r="J2531" s="1342"/>
      <c r="K2531" s="1278"/>
      <c r="L2531" s="1125">
        <v>2000</v>
      </c>
    </row>
    <row r="2532" spans="1:12" s="1279" customFormat="1" ht="20.100000000000001" customHeight="1">
      <c r="A2532" s="1377">
        <f t="shared" si="98"/>
        <v>0</v>
      </c>
      <c r="B2532" s="1582" t="s">
        <v>2075</v>
      </c>
      <c r="C2532" s="1273"/>
      <c r="D2532" s="1274">
        <v>0</v>
      </c>
      <c r="E2532" s="1275" t="str">
        <f>VLOOKUP($B2532,DG!A:D,DG!$C$2,)</f>
        <v>Sắt góc L75 x75 x8</v>
      </c>
      <c r="F2532" s="1274" t="s">
        <v>2310</v>
      </c>
      <c r="G2532" s="1276">
        <f>G2530*9.02*2.6</f>
        <v>0</v>
      </c>
      <c r="H2532" s="1353">
        <f t="shared" si="96"/>
        <v>0</v>
      </c>
      <c r="I2532" s="1310"/>
      <c r="J2532" s="1310"/>
      <c r="K2532" s="1278"/>
      <c r="L2532" s="1125">
        <v>2000</v>
      </c>
    </row>
    <row r="2533" spans="1:12" s="1279" customFormat="1" ht="20.100000000000001" customHeight="1">
      <c r="A2533" s="1377">
        <f t="shared" si="98"/>
        <v>0</v>
      </c>
      <c r="B2533" s="1582" t="s">
        <v>1113</v>
      </c>
      <c r="C2533" s="1273"/>
      <c r="D2533" s="1274">
        <v>0</v>
      </c>
      <c r="E2533" s="1275" t="str">
        <f>VLOOKUP($B2533,DG!A:D,DG!$C$2,)</f>
        <v>Boulon 16x400+ 2 long đền vuông D18-50x50x3/Zn</v>
      </c>
      <c r="F2533" s="1274" t="s">
        <v>2503</v>
      </c>
      <c r="G2533" s="1287">
        <f>G2530*2</f>
        <v>0</v>
      </c>
      <c r="H2533" s="1353">
        <f t="shared" si="96"/>
        <v>0</v>
      </c>
      <c r="I2533" s="1310"/>
      <c r="J2533" s="1310"/>
      <c r="K2533" s="1278"/>
      <c r="L2533" s="1125">
        <v>2000</v>
      </c>
    </row>
    <row r="2534" spans="1:12" s="1279" customFormat="1" ht="20.100000000000001" customHeight="1">
      <c r="A2534" s="1377">
        <f t="shared" si="98"/>
        <v>0</v>
      </c>
      <c r="B2534" s="1582" t="s">
        <v>2304</v>
      </c>
      <c r="C2534" s="1273"/>
      <c r="D2534" s="1274" t="s">
        <v>738</v>
      </c>
      <c r="E2534" s="1275" t="str">
        <f>VLOOKUP($B2534,DG!A:D,DG!$C$2,)</f>
        <v>Lắp xà cột Pi loại ≤140kg/xà</v>
      </c>
      <c r="F2534" s="1274" t="s">
        <v>2503</v>
      </c>
      <c r="G2534" s="1287">
        <f>G2530</f>
        <v>0</v>
      </c>
      <c r="H2534" s="1353">
        <f t="shared" si="96"/>
        <v>0</v>
      </c>
      <c r="I2534" s="1310"/>
      <c r="J2534" s="1310"/>
      <c r="K2534" s="1278"/>
      <c r="L2534" s="1125">
        <v>2000</v>
      </c>
    </row>
    <row r="2535" spans="1:12" s="1279" customFormat="1" ht="20.100000000000001" customHeight="1">
      <c r="A2535" s="1377">
        <f t="shared" si="98"/>
        <v>0</v>
      </c>
      <c r="B2535" s="1582" t="s">
        <v>1662</v>
      </c>
      <c r="C2535" s="1273"/>
      <c r="D2535" s="1274">
        <v>0</v>
      </c>
      <c r="E2535" s="1275" t="str">
        <f>VLOOKUP($B2535,DG!A:D,DG!$C$2,)</f>
        <v>Boulon 16x300+ 2 long đền vuông D18-50x50x3/Zn</v>
      </c>
      <c r="F2535" s="1274" t="s">
        <v>2503</v>
      </c>
      <c r="G2535" s="1287">
        <f>G2530*2*0</f>
        <v>0</v>
      </c>
      <c r="H2535" s="1353">
        <f t="shared" si="96"/>
        <v>0</v>
      </c>
      <c r="I2535" s="1310"/>
      <c r="J2535" s="1310"/>
      <c r="K2535" s="1278"/>
      <c r="L2535" s="1125">
        <v>2000</v>
      </c>
    </row>
    <row r="2536" spans="1:12" s="1279" customFormat="1" ht="20.100000000000001" customHeight="1">
      <c r="A2536" s="1377">
        <f t="shared" si="98"/>
        <v>0</v>
      </c>
      <c r="B2536" s="1582" t="s">
        <v>1661</v>
      </c>
      <c r="C2536" s="1273"/>
      <c r="D2536" s="1274">
        <v>0</v>
      </c>
      <c r="E2536" s="1275" t="str">
        <f>VLOOKUP($B2536,DG!A:D,DG!$C$2,)</f>
        <v>Boulon 16x250+ 2 long đền vuông D18-50x50x3/Zn</v>
      </c>
      <c r="F2536" s="1274" t="s">
        <v>2503</v>
      </c>
      <c r="G2536" s="1287">
        <f>2*G2530*2*0</f>
        <v>0</v>
      </c>
      <c r="H2536" s="1353">
        <f t="shared" si="96"/>
        <v>0</v>
      </c>
      <c r="I2536" s="1310"/>
      <c r="J2536" s="1310"/>
      <c r="K2536" s="1278"/>
      <c r="L2536" s="1125">
        <v>2000</v>
      </c>
    </row>
    <row r="2537" spans="1:12" s="1279" customFormat="1" ht="20.100000000000001" customHeight="1" collapsed="1">
      <c r="A2537" s="1377">
        <f t="shared" si="98"/>
        <v>0</v>
      </c>
      <c r="B2537" s="1582"/>
      <c r="C2537" s="1280">
        <f>IF(G2537&gt;0,C2530+1,C2530)</f>
        <v>0</v>
      </c>
      <c r="D2537" s="1281"/>
      <c r="E2537" s="1341" t="s">
        <v>3852</v>
      </c>
      <c r="F2537" s="1280" t="s">
        <v>2449</v>
      </c>
      <c r="G2537" s="1283">
        <f>G2483</f>
        <v>0</v>
      </c>
      <c r="H2537" s="1353">
        <f t="shared" si="96"/>
        <v>0</v>
      </c>
      <c r="I2537" s="1277"/>
      <c r="J2537" s="1277"/>
      <c r="K2537" s="1278"/>
      <c r="L2537" s="1125">
        <v>2000</v>
      </c>
    </row>
    <row r="2538" spans="1:12" s="1279" customFormat="1" ht="20.100000000000001" customHeight="1">
      <c r="A2538" s="1377">
        <f>IF(A2537&gt;0,1,0)</f>
        <v>0</v>
      </c>
      <c r="B2538" s="1582"/>
      <c r="C2538" s="1273"/>
      <c r="D2538" s="1284"/>
      <c r="E2538" s="1637" t="s">
        <v>2342</v>
      </c>
      <c r="F2538" s="1286"/>
      <c r="G2538" s="1287"/>
      <c r="H2538" s="1353">
        <f t="shared" si="96"/>
        <v>0</v>
      </c>
      <c r="I2538" s="1277"/>
      <c r="J2538" s="1277"/>
      <c r="K2538" s="1278"/>
      <c r="L2538" s="1125">
        <v>2000</v>
      </c>
    </row>
    <row r="2539" spans="1:12" s="1279" customFormat="1" ht="20.100000000000001" customHeight="1">
      <c r="A2539" s="1377">
        <f t="shared" si="98"/>
        <v>0</v>
      </c>
      <c r="B2539" s="1582" t="s">
        <v>2075</v>
      </c>
      <c r="C2539" s="1273"/>
      <c r="D2539" s="1274">
        <v>0</v>
      </c>
      <c r="E2539" s="1275" t="str">
        <f>VLOOKUP($B2539,DG!A:D,DG!$C$2,)</f>
        <v>Sắt góc L75 x75 x8</v>
      </c>
      <c r="F2539" s="1274" t="s">
        <v>2310</v>
      </c>
      <c r="G2539" s="1276">
        <f>G2537*9.02*(2.4+4*0.07)*2</f>
        <v>0</v>
      </c>
      <c r="H2539" s="1353">
        <f t="shared" si="96"/>
        <v>0</v>
      </c>
      <c r="I2539" s="1277"/>
      <c r="J2539" s="1277"/>
      <c r="K2539" s="1278"/>
      <c r="L2539" s="1125">
        <v>2000</v>
      </c>
    </row>
    <row r="2540" spans="1:12" s="1279" customFormat="1" ht="20.100000000000001" customHeight="1">
      <c r="A2540" s="1377">
        <f t="shared" si="98"/>
        <v>0</v>
      </c>
      <c r="B2540" s="1582" t="s">
        <v>1065</v>
      </c>
      <c r="C2540" s="1273"/>
      <c r="D2540" s="1274" t="s">
        <v>558</v>
      </c>
      <c r="E2540" s="1275" t="str">
        <f>VLOOKUP($B2540,DG!A:D,DG!$C$2,)&amp;" (Thanh choáng 920)"</f>
        <v>Sắt góc L50 x50 x5 (Thanh choáng 920)</v>
      </c>
      <c r="F2540" s="1274" t="s">
        <v>2310</v>
      </c>
      <c r="G2540" s="1276">
        <f>G2537*3.77*0.92*4</f>
        <v>0</v>
      </c>
      <c r="H2540" s="1353">
        <f t="shared" si="96"/>
        <v>0</v>
      </c>
      <c r="I2540" s="1277"/>
      <c r="J2540" s="1277"/>
      <c r="K2540" s="1278"/>
      <c r="L2540" s="1125">
        <v>2000</v>
      </c>
    </row>
    <row r="2541" spans="1:12" s="1279" customFormat="1" ht="20.100000000000001" customHeight="1">
      <c r="A2541" s="1377">
        <f t="shared" si="98"/>
        <v>0</v>
      </c>
      <c r="B2541" s="1582" t="s">
        <v>1662</v>
      </c>
      <c r="C2541" s="1273"/>
      <c r="D2541" s="1274">
        <v>0</v>
      </c>
      <c r="E2541" s="1275" t="str">
        <f>VLOOKUP($B2541,DG!A:D,DG!$C$2,)</f>
        <v>Boulon 16x300+ 2 long đền vuông D18-50x50x3/Zn</v>
      </c>
      <c r="F2541" s="1274" t="s">
        <v>2503</v>
      </c>
      <c r="G2541" s="1287">
        <f>G2537*2</f>
        <v>0</v>
      </c>
      <c r="H2541" s="1353">
        <f t="shared" si="96"/>
        <v>0</v>
      </c>
      <c r="I2541" s="1277"/>
      <c r="J2541" s="1277"/>
      <c r="K2541" s="1278"/>
      <c r="L2541" s="1125">
        <v>2000</v>
      </c>
    </row>
    <row r="2542" spans="1:12" s="1279" customFormat="1" ht="20.100000000000001" customHeight="1">
      <c r="A2542" s="1377">
        <f t="shared" si="98"/>
        <v>0</v>
      </c>
      <c r="B2542" s="1582" t="s">
        <v>1839</v>
      </c>
      <c r="C2542" s="1273"/>
      <c r="D2542" s="1274">
        <v>0</v>
      </c>
      <c r="E2542" s="1275" t="str">
        <f>VLOOKUP($B2542,DG!A:D,DG!$C$2,)</f>
        <v>Boulon 16x50+ 2 long đền vuông D18-50x50x3/Zn</v>
      </c>
      <c r="F2542" s="1274" t="s">
        <v>2503</v>
      </c>
      <c r="G2542" s="1287">
        <f>G2537*4</f>
        <v>0</v>
      </c>
      <c r="H2542" s="1353">
        <f t="shared" ref="H2542:H2605" si="99">IF(L2542=$L$23,G2542+I2542-J2542,0)</f>
        <v>0</v>
      </c>
      <c r="I2542" s="1277"/>
      <c r="J2542" s="1277"/>
      <c r="K2542" s="1278"/>
      <c r="L2542" s="1125">
        <v>2000</v>
      </c>
    </row>
    <row r="2543" spans="1:12" s="1279" customFormat="1" ht="20.100000000000001" customHeight="1">
      <c r="A2543" s="1377">
        <f t="shared" si="98"/>
        <v>0</v>
      </c>
      <c r="B2543" s="1582" t="s">
        <v>1837</v>
      </c>
      <c r="C2543" s="1273"/>
      <c r="D2543" s="1274">
        <v>0</v>
      </c>
      <c r="E2543" s="1275" t="str">
        <f>VLOOKUP($B2543,DG!A:D,DG!$C$2,)</f>
        <v>Boulon 16x300VRS+ 4 long đền vuông D18-50x50x3/Zn</v>
      </c>
      <c r="F2543" s="1274" t="s">
        <v>2503</v>
      </c>
      <c r="G2543" s="1287">
        <f>G2537*4</f>
        <v>0</v>
      </c>
      <c r="H2543" s="1353">
        <f t="shared" si="99"/>
        <v>0</v>
      </c>
      <c r="I2543" s="1277"/>
      <c r="J2543" s="1277"/>
      <c r="K2543" s="1278"/>
      <c r="L2543" s="1125">
        <v>2000</v>
      </c>
    </row>
    <row r="2544" spans="1:12" s="1279" customFormat="1" ht="20.100000000000001" customHeight="1">
      <c r="A2544" s="1377">
        <f t="shared" si="98"/>
        <v>0</v>
      </c>
      <c r="B2544" s="1582" t="s">
        <v>554</v>
      </c>
      <c r="C2544" s="1273"/>
      <c r="D2544" s="1274">
        <v>0</v>
      </c>
      <c r="E2544" s="1275" t="str">
        <f>VLOOKUP($B2544,DG!A:D,DG!$C$2,)</f>
        <v>Bass LI bắt FCO</v>
      </c>
      <c r="F2544" s="1274" t="s">
        <v>2503</v>
      </c>
      <c r="G2544" s="1287">
        <f>G2537*3/2*0</f>
        <v>0</v>
      </c>
      <c r="H2544" s="1353">
        <f t="shared" si="99"/>
        <v>0</v>
      </c>
      <c r="I2544" s="1277"/>
      <c r="J2544" s="1277"/>
      <c r="K2544" s="1278"/>
      <c r="L2544" s="1125">
        <v>2000</v>
      </c>
    </row>
    <row r="2545" spans="1:12" s="1279" customFormat="1" ht="20.100000000000001" customHeight="1">
      <c r="A2545" s="1377">
        <f t="shared" si="98"/>
        <v>0</v>
      </c>
      <c r="B2545" s="1582" t="s">
        <v>520</v>
      </c>
      <c r="C2545" s="1273"/>
      <c r="D2545" s="1274" t="s">
        <v>1509</v>
      </c>
      <c r="E2545" s="1275" t="str">
        <f>VLOOKUP($B2545,DG!A:D,DG!$C$2,)</f>
        <v>Lắp xà néo ≤ 100kg</v>
      </c>
      <c r="F2545" s="1274" t="s">
        <v>2503</v>
      </c>
      <c r="G2545" s="1287">
        <f>G2537</f>
        <v>0</v>
      </c>
      <c r="H2545" s="1353">
        <f t="shared" si="99"/>
        <v>0</v>
      </c>
      <c r="I2545" s="1277"/>
      <c r="J2545" s="1277"/>
      <c r="K2545" s="1278"/>
      <c r="L2545" s="1125">
        <v>2000</v>
      </c>
    </row>
    <row r="2546" spans="1:12" s="1279" customFormat="1" ht="20.100000000000001" customHeight="1">
      <c r="A2546" s="1377">
        <f t="shared" si="98"/>
        <v>0</v>
      </c>
      <c r="B2546" s="1582"/>
      <c r="C2546" s="1280">
        <f>IF(G2546&gt;0,C2537+1,C2537)</f>
        <v>0</v>
      </c>
      <c r="D2546" s="1281"/>
      <c r="E2546" s="1341" t="s">
        <v>3853</v>
      </c>
      <c r="F2546" s="1280" t="s">
        <v>2449</v>
      </c>
      <c r="G2546" s="1283">
        <f>G2483*3</f>
        <v>0</v>
      </c>
      <c r="H2546" s="1353">
        <f t="shared" si="99"/>
        <v>0</v>
      </c>
      <c r="I2546" s="1277"/>
      <c r="J2546" s="1277"/>
      <c r="K2546" s="1278"/>
      <c r="L2546" s="1125">
        <v>2000</v>
      </c>
    </row>
    <row r="2547" spans="1:12" s="1279" customFormat="1" ht="20.100000000000001" customHeight="1">
      <c r="A2547" s="1377">
        <f>IF(A2546&gt;0,1,0)</f>
        <v>0</v>
      </c>
      <c r="B2547" s="1582"/>
      <c r="C2547" s="1273"/>
      <c r="D2547" s="1284"/>
      <c r="E2547" s="1637" t="s">
        <v>2342</v>
      </c>
      <c r="F2547" s="1286"/>
      <c r="G2547" s="1287"/>
      <c r="H2547" s="1353">
        <f t="shared" si="99"/>
        <v>0</v>
      </c>
      <c r="I2547" s="1277"/>
      <c r="J2547" s="1277"/>
      <c r="K2547" s="1278"/>
      <c r="L2547" s="1125">
        <v>2000</v>
      </c>
    </row>
    <row r="2548" spans="1:12" s="1279" customFormat="1" ht="20.100000000000001" customHeight="1">
      <c r="A2548" s="1377">
        <f t="shared" si="98"/>
        <v>0</v>
      </c>
      <c r="B2548" s="1582" t="s">
        <v>2075</v>
      </c>
      <c r="C2548" s="1273"/>
      <c r="D2548" s="1274">
        <v>0</v>
      </c>
      <c r="E2548" s="1275" t="str">
        <f>VLOOKUP($B2548,DG!A:D,DG!$C$2,)</f>
        <v>Sắt góc L75 x75 x8</v>
      </c>
      <c r="F2548" s="1274" t="s">
        <v>2310</v>
      </c>
      <c r="G2548" s="1276">
        <f>G2546*9.02*(2.2+4*0.07)</f>
        <v>0</v>
      </c>
      <c r="H2548" s="1353">
        <f t="shared" si="99"/>
        <v>0</v>
      </c>
      <c r="I2548" s="1277"/>
      <c r="J2548" s="1277"/>
      <c r="K2548" s="1278"/>
      <c r="L2548" s="1125">
        <v>2000</v>
      </c>
    </row>
    <row r="2549" spans="1:12" s="1279" customFormat="1" ht="20.100000000000001" customHeight="1">
      <c r="A2549" s="1377">
        <f t="shared" si="98"/>
        <v>0</v>
      </c>
      <c r="B2549" s="1582" t="s">
        <v>1065</v>
      </c>
      <c r="C2549" s="1273"/>
      <c r="D2549" s="1274">
        <v>0</v>
      </c>
      <c r="E2549" s="1275" t="str">
        <f>VLOOKUP($B2549,DG!A:D,DG!$C$2,)&amp;" (Thanh choáng 920)"</f>
        <v>Sắt góc L50 x50 x5 (Thanh choáng 920)</v>
      </c>
      <c r="F2549" s="1274" t="s">
        <v>2310</v>
      </c>
      <c r="G2549" s="1371">
        <f>G2546*3.77*0.92*2</f>
        <v>0</v>
      </c>
      <c r="H2549" s="1353">
        <f t="shared" si="99"/>
        <v>0</v>
      </c>
      <c r="I2549" s="1277"/>
      <c r="J2549" s="1277"/>
      <c r="K2549" s="1278"/>
      <c r="L2549" s="1125">
        <v>2000</v>
      </c>
    </row>
    <row r="2550" spans="1:12" s="1279" customFormat="1" ht="20.100000000000001" customHeight="1">
      <c r="A2550" s="1377">
        <f t="shared" si="98"/>
        <v>0</v>
      </c>
      <c r="B2550" s="1582" t="s">
        <v>1109</v>
      </c>
      <c r="C2550" s="1273"/>
      <c r="D2550" s="1274">
        <v>0</v>
      </c>
      <c r="E2550" s="1275" t="str">
        <f>VLOOKUP($B2550,DG!A:D,DG!$C$2,)</f>
        <v>Boulon 16x350+ 2 long đền vuông D18-50x50x3/Zn</v>
      </c>
      <c r="F2550" s="1274" t="s">
        <v>2503</v>
      </c>
      <c r="G2550" s="1287">
        <f>G2546*2</f>
        <v>0</v>
      </c>
      <c r="H2550" s="1353">
        <f t="shared" si="99"/>
        <v>0</v>
      </c>
      <c r="I2550" s="1277"/>
      <c r="J2550" s="1277"/>
      <c r="K2550" s="1278"/>
      <c r="L2550" s="1125">
        <v>2000</v>
      </c>
    </row>
    <row r="2551" spans="1:12" s="1279" customFormat="1" ht="20.100000000000001" customHeight="1">
      <c r="A2551" s="1377">
        <f t="shared" si="98"/>
        <v>0</v>
      </c>
      <c r="B2551" s="1582" t="s">
        <v>1839</v>
      </c>
      <c r="C2551" s="1273"/>
      <c r="D2551" s="1274">
        <v>0</v>
      </c>
      <c r="E2551" s="1275" t="str">
        <f>VLOOKUP($B2551,DG!A:D,DG!$C$2,)</f>
        <v>Boulon 16x50+ 2 long đền vuông D18-50x50x3/Zn</v>
      </c>
      <c r="F2551" s="1274" t="s">
        <v>2503</v>
      </c>
      <c r="G2551" s="1287">
        <f>G2546*2</f>
        <v>0</v>
      </c>
      <c r="H2551" s="1353">
        <f t="shared" si="99"/>
        <v>0</v>
      </c>
      <c r="I2551" s="1277"/>
      <c r="J2551" s="1277"/>
      <c r="K2551" s="1278"/>
      <c r="L2551" s="1125">
        <v>2000</v>
      </c>
    </row>
    <row r="2552" spans="1:12" s="1279" customFormat="1" ht="20.100000000000001" customHeight="1">
      <c r="A2552" s="1377">
        <f t="shared" si="98"/>
        <v>0</v>
      </c>
      <c r="B2552" s="1582" t="s">
        <v>1788</v>
      </c>
      <c r="C2552" s="1273"/>
      <c r="D2552" s="1274">
        <v>0</v>
      </c>
      <c r="E2552" s="1275" t="str">
        <f>VLOOKUP($B2552,DG!A:D,DG!$C$2,)</f>
        <v>Bass LI bắt FCO</v>
      </c>
      <c r="F2552" s="1274" t="s">
        <v>2503</v>
      </c>
      <c r="G2552" s="1344">
        <f>G2546</f>
        <v>0</v>
      </c>
      <c r="H2552" s="1353">
        <f t="shared" si="99"/>
        <v>0</v>
      </c>
      <c r="I2552" s="1277"/>
      <c r="J2552" s="1277"/>
      <c r="K2552" s="1278"/>
      <c r="L2552" s="1125">
        <v>2000</v>
      </c>
    </row>
    <row r="2553" spans="1:12" s="1279" customFormat="1" ht="20.100000000000001" customHeight="1">
      <c r="A2553" s="1377">
        <f t="shared" si="98"/>
        <v>0</v>
      </c>
      <c r="B2553" s="1582" t="s">
        <v>1018</v>
      </c>
      <c r="C2553" s="1273"/>
      <c r="D2553" s="1274">
        <v>0</v>
      </c>
      <c r="E2553" s="1275" t="str">
        <f>VLOOKUP($B2553,DG!A:D,DG!$C$2,)</f>
        <v xml:space="preserve">Cổ dê chống lắc 8x80x800 </v>
      </c>
      <c r="F2553" s="1274" t="s">
        <v>2503</v>
      </c>
      <c r="G2553" s="1287">
        <f>G2546/3</f>
        <v>0</v>
      </c>
      <c r="H2553" s="1353">
        <f t="shared" si="99"/>
        <v>0</v>
      </c>
      <c r="I2553" s="1277"/>
      <c r="J2553" s="1277"/>
      <c r="K2553" s="1278"/>
      <c r="L2553" s="1125">
        <v>2000</v>
      </c>
    </row>
    <row r="2554" spans="1:12" s="1279" customFormat="1" ht="20.100000000000001" customHeight="1">
      <c r="A2554" s="1377">
        <f t="shared" si="98"/>
        <v>0</v>
      </c>
      <c r="B2554" s="1582" t="s">
        <v>2051</v>
      </c>
      <c r="C2554" s="1273"/>
      <c r="D2554" s="1274" t="s">
        <v>2327</v>
      </c>
      <c r="E2554" s="1275" t="str">
        <f>VLOOKUP($B2554,DG!A:D,DG!$C$2,)</f>
        <v>Lắp xà néo ≤ 50kg</v>
      </c>
      <c r="F2554" s="1274" t="s">
        <v>2503</v>
      </c>
      <c r="G2554" s="1287">
        <f>G2546</f>
        <v>0</v>
      </c>
      <c r="H2554" s="1353">
        <f t="shared" si="99"/>
        <v>0</v>
      </c>
      <c r="I2554" s="1277"/>
      <c r="J2554" s="1277"/>
      <c r="K2554" s="1278"/>
      <c r="L2554" s="1125">
        <v>2000</v>
      </c>
    </row>
    <row r="2555" spans="1:12" s="1279" customFormat="1" ht="20.100000000000001" customHeight="1">
      <c r="A2555" s="1377">
        <f t="shared" si="98"/>
        <v>0</v>
      </c>
      <c r="B2555" s="1582"/>
      <c r="C2555" s="1280">
        <f>IF(G2555&gt;0,C2546+1,C2546)</f>
        <v>0</v>
      </c>
      <c r="D2555" s="1281"/>
      <c r="E2555" s="1341" t="s">
        <v>3854</v>
      </c>
      <c r="F2555" s="1280" t="s">
        <v>2449</v>
      </c>
      <c r="G2555" s="1283">
        <f>G2483</f>
        <v>0</v>
      </c>
      <c r="H2555" s="1353">
        <f t="shared" si="99"/>
        <v>0</v>
      </c>
      <c r="I2555" s="1277"/>
      <c r="J2555" s="1277"/>
      <c r="K2555" s="1278"/>
      <c r="L2555" s="1125">
        <v>2000</v>
      </c>
    </row>
    <row r="2556" spans="1:12" s="1279" customFormat="1" ht="20.100000000000001" customHeight="1">
      <c r="A2556" s="1377">
        <f t="shared" si="98"/>
        <v>0</v>
      </c>
      <c r="B2556" s="1624"/>
      <c r="C2556" s="1273"/>
      <c r="D2556" s="1284"/>
      <c r="E2556" s="1285" t="s">
        <v>3855</v>
      </c>
      <c r="F2556" s="1286"/>
      <c r="G2556" s="1287"/>
      <c r="H2556" s="1353">
        <f t="shared" si="99"/>
        <v>0</v>
      </c>
      <c r="I2556" s="1277"/>
      <c r="J2556" s="1277"/>
      <c r="K2556" s="1278"/>
      <c r="L2556" s="1125">
        <v>2000</v>
      </c>
    </row>
    <row r="2557" spans="1:12" s="1279" customFormat="1" ht="20.100000000000001" customHeight="1">
      <c r="A2557" s="1377">
        <f t="shared" si="98"/>
        <v>0</v>
      </c>
      <c r="B2557" s="1582" t="s">
        <v>1063</v>
      </c>
      <c r="C2557" s="1273"/>
      <c r="D2557" s="1274">
        <f>VLOOKUP($B2557,DG!A:D,DG!$B$2,)</f>
        <v>0</v>
      </c>
      <c r="E2557" s="1275" t="str">
        <f>VLOOKUP($B2557,DG!A:D,DG!$C$2,)&amp; ": "&amp;H3&amp;"m"</f>
        <v>Cáp đồng trần M25mm2: 51m</v>
      </c>
      <c r="F2557" s="1274" t="str">
        <f>VLOOKUP($B2557,DG!A:D,DG!$D$2,)</f>
        <v>kg</v>
      </c>
      <c r="G2557" s="1276">
        <f>H3*0.224*G2555*0</f>
        <v>0</v>
      </c>
      <c r="H2557" s="1353">
        <f t="shared" si="99"/>
        <v>0</v>
      </c>
      <c r="I2557" s="1277"/>
      <c r="J2557" s="1277"/>
      <c r="K2557" s="1278"/>
      <c r="L2557" s="1125">
        <v>2000</v>
      </c>
    </row>
    <row r="2558" spans="1:12" s="1279" customFormat="1" ht="20.100000000000001" customHeight="1">
      <c r="A2558" s="1377">
        <f t="shared" si="98"/>
        <v>0</v>
      </c>
      <c r="B2558" s="1582" t="s">
        <v>1063</v>
      </c>
      <c r="C2558" s="1273"/>
      <c r="D2558" s="1274">
        <f>VLOOKUP($B2558,DG!A:D,DG!$B$2,)</f>
        <v>0</v>
      </c>
      <c r="E2558" s="1275" t="str">
        <f>VLOOKUP($B2558,DG!A:D,DG!$C$2,)&amp;": 10m noái leân voû caùc thieát bò"</f>
        <v>Cáp đồng trần M25mm2: 10m noái leân voû caùc thieát bò</v>
      </c>
      <c r="F2558" s="1274" t="str">
        <f>VLOOKUP($B2558,DG!A:D,DG!$D$2,)</f>
        <v>kg</v>
      </c>
      <c r="G2558" s="1276">
        <f>10*0.224*G2555*0</f>
        <v>0</v>
      </c>
      <c r="H2558" s="1353">
        <f t="shared" si="99"/>
        <v>0</v>
      </c>
      <c r="I2558" s="1277"/>
      <c r="J2558" s="1277"/>
      <c r="K2558" s="1278"/>
      <c r="L2558" s="1125">
        <v>2000</v>
      </c>
    </row>
    <row r="2559" spans="1:12" s="1279" customFormat="1" ht="20.100000000000001" customHeight="1">
      <c r="A2559" s="1377">
        <f t="shared" si="98"/>
        <v>0</v>
      </c>
      <c r="B2559" s="1378" t="s">
        <v>1560</v>
      </c>
      <c r="C2559" s="1273"/>
      <c r="D2559" s="1274">
        <f>VLOOKUP($B2559,DG!A:D,DG!$B$2,)</f>
        <v>0</v>
      </c>
      <c r="E2559" s="1275" t="str">
        <f>VLOOKUP($B2559,DG!A:D,DG!$C$2,)</f>
        <v>Cọc tiếp đất Ø 16- 2,4m + kẹp cọc</v>
      </c>
      <c r="F2559" s="1274" t="str">
        <f>VLOOKUP($B2559,DG!A:D,DG!$D$2,)</f>
        <v>bộ</v>
      </c>
      <c r="G2559" s="1287">
        <f>H2*G2555</f>
        <v>0</v>
      </c>
      <c r="H2559" s="1353">
        <f t="shared" si="99"/>
        <v>0</v>
      </c>
      <c r="I2559" s="1277"/>
      <c r="J2559" s="1277"/>
      <c r="K2559" s="1278"/>
      <c r="L2559" s="1125">
        <v>2000</v>
      </c>
    </row>
    <row r="2560" spans="1:12" s="1279" customFormat="1" ht="20.100000000000001" customHeight="1">
      <c r="A2560" s="1377">
        <f t="shared" si="98"/>
        <v>0</v>
      </c>
      <c r="B2560" s="1378" t="s">
        <v>1542</v>
      </c>
      <c r="C2560" s="1273"/>
      <c r="D2560" s="1274" t="str">
        <f>VLOOKUP($B2560,DG!A:D,DG!$B$2,)</f>
        <v>07.2403</v>
      </c>
      <c r="E2560" s="1275" t="str">
        <f>VLOOKUP($B2560,DG!A:D,DG!$C$2,)</f>
        <v xml:space="preserve">Ống PVC D21x1,6mm </v>
      </c>
      <c r="F2560" s="1274" t="str">
        <f>VLOOKUP($B2560,DG!A:D,DG!$D$2,)</f>
        <v>m</v>
      </c>
      <c r="G2560" s="1287">
        <f>G2555*6*0</f>
        <v>0</v>
      </c>
      <c r="H2560" s="1353">
        <f t="shared" si="99"/>
        <v>0</v>
      </c>
      <c r="I2560" s="1277"/>
      <c r="J2560" s="1277"/>
      <c r="K2560" s="1278"/>
      <c r="L2560" s="1125">
        <v>2000</v>
      </c>
    </row>
    <row r="2561" spans="1:12" s="1279" customFormat="1" ht="20.100000000000001" customHeight="1">
      <c r="A2561" s="1377">
        <f t="shared" si="98"/>
        <v>0</v>
      </c>
      <c r="B2561" s="1587" t="s">
        <v>1631</v>
      </c>
      <c r="C2561" s="1273"/>
      <c r="D2561" s="1274">
        <f>VLOOKUP($B2561,DG!A:D,DG!$B$2,)</f>
        <v>0</v>
      </c>
      <c r="E2561" s="1275" t="str">
        <f>VLOOKUP($B2561,DG!A:D,DG!$C$2,)&amp; " baét trung tính löôùi"</f>
        <v>Kẹp ép WR cỡ dây 50mm2 baét trung tính löôùi</v>
      </c>
      <c r="F2561" s="1274" t="str">
        <f>VLOOKUP($B2561,DG!A:D,DG!$D$2,)</f>
        <v>cái</v>
      </c>
      <c r="G2561" s="1287">
        <f>2*G2555*0</f>
        <v>0</v>
      </c>
      <c r="H2561" s="1353">
        <f t="shared" si="99"/>
        <v>0</v>
      </c>
      <c r="I2561" s="1277"/>
      <c r="J2561" s="1277"/>
      <c r="K2561" s="1278"/>
      <c r="L2561" s="1125">
        <v>2000</v>
      </c>
    </row>
    <row r="2562" spans="1:12" s="1279" customFormat="1" ht="20.100000000000001" customHeight="1">
      <c r="A2562" s="1377">
        <f t="shared" si="98"/>
        <v>0</v>
      </c>
      <c r="B2562" s="1587" t="s">
        <v>1144</v>
      </c>
      <c r="C2562" s="1273"/>
      <c r="D2562" s="1274">
        <f>VLOOKUP($B2562,DG!A:D,DG!$B$2,)</f>
        <v>0</v>
      </c>
      <c r="E2562" s="1275" t="str">
        <f>VLOOKUP($B2562,DG!A:D,DG!$C$2,)</f>
        <v>Kẹp ép cỡ dây 25mm2</v>
      </c>
      <c r="F2562" s="1274" t="str">
        <f>VLOOKUP($B2562,DG!A:D,DG!$D$2,)</f>
        <v>cái</v>
      </c>
      <c r="G2562" s="1344">
        <f>G2555*11*0</f>
        <v>0</v>
      </c>
      <c r="H2562" s="1353">
        <f t="shared" si="99"/>
        <v>0</v>
      </c>
      <c r="I2562" s="1277"/>
      <c r="J2562" s="1277"/>
      <c r="K2562" s="1278"/>
      <c r="L2562" s="1125">
        <v>2000</v>
      </c>
    </row>
    <row r="2563" spans="1:12" s="1279" customFormat="1" ht="20.100000000000001" customHeight="1">
      <c r="A2563" s="1377">
        <f t="shared" si="98"/>
        <v>0</v>
      </c>
      <c r="B2563" s="1378" t="s">
        <v>139</v>
      </c>
      <c r="C2563" s="1273"/>
      <c r="D2563" s="1274">
        <f>VLOOKUP($B2563,DG!A:D,DG!$B$2,)</f>
        <v>0</v>
      </c>
      <c r="E2563" s="1275" t="str">
        <f>VLOOKUP($B2563,DG!A:D,DG!$C$2,)</f>
        <v>Boulon 12x40+ 2 long đền vuông D14-50x50x3/Zn</v>
      </c>
      <c r="F2563" s="1274" t="str">
        <f>VLOOKUP($B2563,DG!A:D,DG!$D$2,)</f>
        <v>bộ</v>
      </c>
      <c r="G2563" s="1287">
        <f>G2564/2</f>
        <v>0</v>
      </c>
      <c r="H2563" s="1353">
        <f t="shared" si="99"/>
        <v>0</v>
      </c>
      <c r="I2563" s="1277"/>
      <c r="J2563" s="1277"/>
      <c r="K2563" s="1278"/>
      <c r="L2563" s="1125">
        <v>2000</v>
      </c>
    </row>
    <row r="2564" spans="1:12" s="1279" customFormat="1" ht="20.100000000000001" customHeight="1">
      <c r="A2564" s="1377">
        <f t="shared" si="98"/>
        <v>0</v>
      </c>
      <c r="B2564" s="1378" t="s">
        <v>104</v>
      </c>
      <c r="C2564" s="1273"/>
      <c r="D2564" s="1274" t="str">
        <f>VLOOKUP($B2564,DG!A:D,DG!$B$2,)</f>
        <v>03.4001</v>
      </c>
      <c r="E2564" s="1275" t="str">
        <f>VLOOKUP($B2564,DG!A:D,DG!$C$2,)</f>
        <v>Đầu cosse ép Cu 25mm2</v>
      </c>
      <c r="F2564" s="1274" t="str">
        <f>VLOOKUP($B2564,DG!A:D,DG!$D$2,)</f>
        <v>cái</v>
      </c>
      <c r="G2564" s="1287">
        <f>+G2555*2*0</f>
        <v>0</v>
      </c>
      <c r="H2564" s="1353">
        <f t="shared" si="99"/>
        <v>0</v>
      </c>
      <c r="I2564" s="1277"/>
      <c r="J2564" s="1277"/>
      <c r="K2564" s="1278"/>
      <c r="L2564" s="1125">
        <v>2000</v>
      </c>
    </row>
    <row r="2565" spans="1:12" s="1279" customFormat="1" ht="20.100000000000001" customHeight="1">
      <c r="A2565" s="1377">
        <f t="shared" si="98"/>
        <v>0</v>
      </c>
      <c r="B2565" s="1378" t="s">
        <v>528</v>
      </c>
      <c r="C2565" s="1273"/>
      <c r="D2565" s="1274" t="str">
        <f>VLOOKUP($B2565,DG!A:D,DG!$B$2,)</f>
        <v>06.3231</v>
      </c>
      <c r="E2565" s="1275" t="str">
        <f>VLOOKUP($B2565,DG!A:D,DG!$C$2,)</f>
        <v>Cổ dê kẹp ống PVC  21</v>
      </c>
      <c r="F2565" s="1274" t="str">
        <f>VLOOKUP($B2565,DG!A:D,DG!$D$2,)</f>
        <v>bộ</v>
      </c>
      <c r="G2565" s="1287">
        <f>G2555*2*0</f>
        <v>0</v>
      </c>
      <c r="H2565" s="1353">
        <f t="shared" si="99"/>
        <v>0</v>
      </c>
      <c r="I2565" s="1277"/>
      <c r="J2565" s="1277"/>
      <c r="K2565" s="1278"/>
      <c r="L2565" s="1125">
        <v>2000</v>
      </c>
    </row>
    <row r="2566" spans="1:12" s="1279" customFormat="1" ht="20.100000000000001" customHeight="1">
      <c r="A2566" s="1377">
        <f t="shared" si="98"/>
        <v>0</v>
      </c>
      <c r="B2566" s="1378" t="s">
        <v>1637</v>
      </c>
      <c r="C2566" s="1273"/>
      <c r="D2566" s="1274">
        <f>VLOOKUP($B2566,DG!A:D,DG!$B$2,)</f>
        <v>0</v>
      </c>
      <c r="E2566" s="1275" t="str">
        <f>VLOOKUP($B2566,DG!A:D,DG!$C$2,)</f>
        <v>Giếng tiếp địa khoan đất</v>
      </c>
      <c r="F2566" s="1274" t="str">
        <f>VLOOKUP($B2566,DG!A:D,DG!$D$2,)</f>
        <v>Cái</v>
      </c>
      <c r="G2566" s="1287"/>
      <c r="H2566" s="1353">
        <f t="shared" si="99"/>
        <v>0</v>
      </c>
      <c r="I2566" s="1277"/>
      <c r="J2566" s="1277"/>
      <c r="K2566" s="1278"/>
      <c r="L2566" s="1125">
        <v>2000</v>
      </c>
    </row>
    <row r="2567" spans="1:12" s="1279" customFormat="1" ht="20.100000000000001" customHeight="1">
      <c r="A2567" s="1377">
        <f t="shared" si="98"/>
        <v>0</v>
      </c>
      <c r="B2567" s="1378" t="s">
        <v>456</v>
      </c>
      <c r="C2567" s="1286"/>
      <c r="D2567" s="1274" t="str">
        <f>VLOOKUP($B2567,DG!A:D,DG!$B$2,)</f>
        <v>03.8133</v>
      </c>
      <c r="E2567" s="1310" t="str">
        <f>VLOOKUP($B2567,DG!A:D,DG!$C$2,)&amp;": (2m3/cọc)x"&amp;G2559&amp;" cọc"</f>
        <v>Phá đá chân hố móng, đá cấp II: (2m3/cọc)x0 cọc</v>
      </c>
      <c r="F2567" s="1353" t="s">
        <v>873</v>
      </c>
      <c r="G2567" s="1312"/>
      <c r="H2567" s="1353">
        <f t="shared" si="99"/>
        <v>0</v>
      </c>
      <c r="I2567" s="1277"/>
      <c r="J2567" s="1277"/>
      <c r="K2567" s="1278"/>
      <c r="L2567" s="1125">
        <v>2000</v>
      </c>
    </row>
    <row r="2568" spans="1:12" s="1279" customFormat="1" ht="20.100000000000001" customHeight="1">
      <c r="A2568" s="1377">
        <f t="shared" si="98"/>
        <v>0</v>
      </c>
      <c r="B2568" s="1378" t="s">
        <v>802</v>
      </c>
      <c r="C2568" s="1286"/>
      <c r="D2568" s="1274" t="str">
        <f>VLOOKUP($B2568,DG!A:D,DG!$B$2,)</f>
        <v>03.3123</v>
      </c>
      <c r="E2568" s="1275" t="str">
        <f>VLOOKUP($B2568,DG!A:D,DG!$C$2,)</f>
        <v>Đào rãnh tiếp địa đất cấp 3</v>
      </c>
      <c r="F2568" s="1353" t="s">
        <v>873</v>
      </c>
      <c r="G2568" s="1346">
        <f>H3*G2555</f>
        <v>0</v>
      </c>
      <c r="H2568" s="1353">
        <f t="shared" si="99"/>
        <v>0</v>
      </c>
      <c r="I2568" s="1277"/>
      <c r="J2568" s="1277"/>
      <c r="K2568" s="1278"/>
      <c r="L2568" s="1125">
        <v>2000</v>
      </c>
    </row>
    <row r="2569" spans="1:12" s="1279" customFormat="1" ht="20.100000000000001" customHeight="1">
      <c r="A2569" s="1377">
        <f t="shared" si="98"/>
        <v>0</v>
      </c>
      <c r="B2569" s="1378" t="s">
        <v>806</v>
      </c>
      <c r="C2569" s="1286"/>
      <c r="D2569" s="1274" t="str">
        <f>VLOOKUP($B2569,DG!A:D,DG!$B$2,)</f>
        <v>03.4123</v>
      </c>
      <c r="E2569" s="1275" t="str">
        <f>VLOOKUP($B2569,DG!A:D,DG!$C$2,)</f>
        <v>Đắp đất rãnh tiếp độ chặt k=0,95</v>
      </c>
      <c r="F2569" s="1353" t="s">
        <v>873</v>
      </c>
      <c r="G2569" s="1346">
        <f>($G2568+G2567)*G2555</f>
        <v>0</v>
      </c>
      <c r="H2569" s="1353">
        <f t="shared" si="99"/>
        <v>0</v>
      </c>
      <c r="I2569" s="1277"/>
      <c r="J2569" s="1277"/>
      <c r="K2569" s="1278"/>
      <c r="L2569" s="1125">
        <v>2000</v>
      </c>
    </row>
    <row r="2570" spans="1:12" s="1279" customFormat="1" ht="20.100000000000001" customHeight="1">
      <c r="A2570" s="1377">
        <f t="shared" si="98"/>
        <v>0</v>
      </c>
      <c r="B2570" s="1378" t="s">
        <v>919</v>
      </c>
      <c r="C2570" s="1286"/>
      <c r="D2570" s="1274" t="str">
        <f>VLOOKUP($B2570,DG!A:D,DG!$B$2,)</f>
        <v>04.7001</v>
      </c>
      <c r="E2570" s="1275" t="str">
        <f>VLOOKUP($B2570,DG!A:D,DG!$C$2,)</f>
        <v>Đóng cọc tiếp địa trong TBA</v>
      </c>
      <c r="F2570" s="1353" t="s">
        <v>873</v>
      </c>
      <c r="G2570" s="1346">
        <f>G2559</f>
        <v>0</v>
      </c>
      <c r="H2570" s="1353">
        <f t="shared" si="99"/>
        <v>0</v>
      </c>
      <c r="I2570" s="1277"/>
      <c r="J2570" s="1277"/>
      <c r="K2570" s="1278"/>
      <c r="L2570" s="1125">
        <v>2000</v>
      </c>
    </row>
    <row r="2571" spans="1:12" s="1279" customFormat="1" ht="20.100000000000001" customHeight="1">
      <c r="A2571" s="1377">
        <f t="shared" si="98"/>
        <v>0</v>
      </c>
      <c r="B2571" s="1378" t="s">
        <v>1470</v>
      </c>
      <c r="C2571" s="1273"/>
      <c r="D2571" s="1274" t="str">
        <f>VLOOKUP($B2571,DG!A:D,DG!$B$2,)</f>
        <v>04.7002</v>
      </c>
      <c r="E2571" s="1275" t="str">
        <f>VLOOKUP($B2571,DG!A:D,DG!$C$2,)</f>
        <v>Kéo dây tiếp địa trong TBA</v>
      </c>
      <c r="F2571" s="1274" t="str">
        <f>VLOOKUP($B2571,DG!A:D,DG!$D$2,)</f>
        <v>mét</v>
      </c>
      <c r="G2571" s="1287">
        <f>G2555*H3*0</f>
        <v>0</v>
      </c>
      <c r="H2571" s="1353">
        <f t="shared" si="99"/>
        <v>0</v>
      </c>
      <c r="I2571" s="1277"/>
      <c r="J2571" s="1277"/>
      <c r="K2571" s="1278"/>
      <c r="L2571" s="1125">
        <v>2000</v>
      </c>
    </row>
    <row r="2572" spans="1:12" s="1279" customFormat="1" ht="20.100000000000001" customHeight="1">
      <c r="A2572" s="1377">
        <f t="shared" ref="A2572:A2635" si="100">IF(H2572&gt;0,1,0)</f>
        <v>0</v>
      </c>
      <c r="B2572" s="1582"/>
      <c r="C2572" s="1280">
        <f>IF(G2572&gt;0,C2555+1,C2555)</f>
        <v>0</v>
      </c>
      <c r="D2572" s="1281"/>
      <c r="E2572" s="1282" t="s">
        <v>3856</v>
      </c>
      <c r="F2572" s="1280" t="s">
        <v>2449</v>
      </c>
      <c r="G2572" s="1283">
        <f>G2483</f>
        <v>0</v>
      </c>
      <c r="H2572" s="1353">
        <f t="shared" si="99"/>
        <v>0</v>
      </c>
      <c r="I2572" s="1277"/>
      <c r="J2572" s="1277"/>
      <c r="K2572" s="1278"/>
      <c r="L2572" s="1125">
        <v>2000</v>
      </c>
    </row>
    <row r="2573" spans="1:12" s="1279" customFormat="1" ht="20.100000000000001" customHeight="1">
      <c r="A2573" s="1377">
        <f>IF(A2572&gt;0,1,0)</f>
        <v>0</v>
      </c>
      <c r="B2573" s="1582"/>
      <c r="C2573" s="1273"/>
      <c r="D2573" s="1284"/>
      <c r="E2573" s="1637" t="s">
        <v>2342</v>
      </c>
      <c r="F2573" s="1286"/>
      <c r="G2573" s="1287"/>
      <c r="H2573" s="1353">
        <f t="shared" si="99"/>
        <v>0</v>
      </c>
      <c r="I2573" s="1277"/>
      <c r="J2573" s="1277"/>
      <c r="K2573" s="1278"/>
      <c r="L2573" s="1125">
        <v>2000</v>
      </c>
    </row>
    <row r="2574" spans="1:12" s="1279" customFormat="1" ht="20.100000000000001" customHeight="1">
      <c r="A2574" s="1377">
        <f t="shared" si="100"/>
        <v>0</v>
      </c>
      <c r="B2574" s="1631" t="s">
        <v>1222</v>
      </c>
      <c r="C2574" s="1286"/>
      <c r="D2574" s="1288" t="str">
        <f>VLOOKUP($B2574,DG!A:D,DG!$B$2,)</f>
        <v>05.1002</v>
      </c>
      <c r="E2574" s="1289" t="str">
        <f>VLOOKUP($B2574,DG!A:D,DG!$C$2,)</f>
        <v>Tủ CB trạm 3 pha + khoá + bulon</v>
      </c>
      <c r="F2574" s="1288" t="str">
        <f>VLOOKUP($B2574,DG!A:D,DG!$D$2,)</f>
        <v>cái</v>
      </c>
      <c r="G2574" s="1276">
        <f>G2572</f>
        <v>0</v>
      </c>
      <c r="H2574" s="1353">
        <f t="shared" si="99"/>
        <v>0</v>
      </c>
      <c r="I2574" s="1277"/>
      <c r="J2574" s="1277"/>
      <c r="K2574" s="1278"/>
      <c r="L2574" s="1125">
        <v>2000</v>
      </c>
    </row>
    <row r="2575" spans="1:12" s="1279" customFormat="1" ht="20.100000000000001" customHeight="1">
      <c r="A2575" s="1377">
        <f t="shared" si="100"/>
        <v>0</v>
      </c>
      <c r="B2575" s="1582" t="s">
        <v>1587</v>
      </c>
      <c r="C2575" s="1273"/>
      <c r="D2575" s="1288">
        <f>VLOOKUP($B2575,DG!A:D,DG!$B$2,)</f>
        <v>0</v>
      </c>
      <c r="E2575" s="1289" t="str">
        <f>VLOOKUP($B2575,DG!A:D,DG!$C$2,)</f>
        <v>Giá nới + Thanh cái tủ CB</v>
      </c>
      <c r="F2575" s="1288" t="str">
        <f>VLOOKUP($B2575,DG!A:D,DG!$D$2,)</f>
        <v>bộ</v>
      </c>
      <c r="G2575" s="1290">
        <f>G2572</f>
        <v>0</v>
      </c>
      <c r="H2575" s="1353">
        <f t="shared" si="99"/>
        <v>0</v>
      </c>
      <c r="I2575" s="1277"/>
      <c r="J2575" s="1277"/>
      <c r="K2575" s="1278"/>
      <c r="L2575" s="1125">
        <v>2000</v>
      </c>
    </row>
    <row r="2576" spans="1:12" s="1279" customFormat="1" ht="20.100000000000001" customHeight="1">
      <c r="A2576" s="1377">
        <f t="shared" si="100"/>
        <v>0</v>
      </c>
      <c r="B2576" s="1582" t="s">
        <v>897</v>
      </c>
      <c r="C2576" s="1273"/>
      <c r="D2576" s="1288">
        <f>VLOOKUP($B2576,DG!A:D,DG!$B$2,)</f>
        <v>0</v>
      </c>
      <c r="E2576" s="1289" t="str">
        <f>VLOOKUP($B2576,DG!A:D,DG!$C$2,)</f>
        <v xml:space="preserve">Bakelit 550x450 dầy 10mm </v>
      </c>
      <c r="F2576" s="1288" t="str">
        <f>VLOOKUP($B2576,DG!A:D,DG!$D$2,)</f>
        <v>cái</v>
      </c>
      <c r="G2576" s="1290">
        <f>G2572*1</f>
        <v>0</v>
      </c>
      <c r="H2576" s="1353">
        <f t="shared" si="99"/>
        <v>0</v>
      </c>
      <c r="I2576" s="1277"/>
      <c r="J2576" s="1277"/>
      <c r="K2576" s="1278"/>
      <c r="L2576" s="1125">
        <v>2000</v>
      </c>
    </row>
    <row r="2577" spans="1:13" s="1279" customFormat="1" ht="20.100000000000001" customHeight="1">
      <c r="A2577" s="1377">
        <f t="shared" si="100"/>
        <v>0</v>
      </c>
      <c r="B2577" s="1582" t="s">
        <v>290</v>
      </c>
      <c r="C2577" s="1286"/>
      <c r="D2577" s="1288" t="str">
        <f>VLOOKUP($B2577,DG!A:D,DG!$B$2,)</f>
        <v>06.3191</v>
      </c>
      <c r="E2577" s="1289" t="str">
        <f>VLOOKUP($B2577,DG!A:D,DG!$C$2,)</f>
        <v>Bảng tên trạm, bảng báo nguy hiểm + đinh vít</v>
      </c>
      <c r="F2577" s="1288" t="str">
        <f>VLOOKUP($B2577,DG!A:D,DG!$D$2,)</f>
        <v>bộ</v>
      </c>
      <c r="G2577" s="1276">
        <f>G2572</f>
        <v>0</v>
      </c>
      <c r="H2577" s="1353">
        <f t="shared" si="99"/>
        <v>0</v>
      </c>
      <c r="I2577" s="1277"/>
      <c r="J2577" s="1277"/>
      <c r="K2577" s="1278"/>
      <c r="L2577" s="1125">
        <v>2000</v>
      </c>
    </row>
    <row r="2578" spans="1:13" s="1279" customFormat="1" ht="20.100000000000001" customHeight="1">
      <c r="A2578" s="1377">
        <f t="shared" si="100"/>
        <v>0</v>
      </c>
      <c r="B2578" s="1582"/>
      <c r="C2578" s="1280">
        <f>IF(G2578&gt;0,C2572+1,C2572)</f>
        <v>0</v>
      </c>
      <c r="D2578" s="1281"/>
      <c r="E2578" s="1282" t="s">
        <v>3857</v>
      </c>
      <c r="F2578" s="1280" t="s">
        <v>2596</v>
      </c>
      <c r="G2578" s="1347"/>
      <c r="H2578" s="1353">
        <f t="shared" si="99"/>
        <v>0</v>
      </c>
      <c r="I2578" s="1277"/>
      <c r="J2578" s="1277"/>
      <c r="K2578" s="1278"/>
      <c r="L2578" s="1125">
        <v>2000</v>
      </c>
    </row>
    <row r="2579" spans="1:13" s="1279" customFormat="1" ht="20.100000000000001" customHeight="1">
      <c r="A2579" s="1377">
        <f>IF(A2578&gt;0,1,0)</f>
        <v>0</v>
      </c>
      <c r="B2579" s="1582"/>
      <c r="C2579" s="1273"/>
      <c r="D2579" s="1284"/>
      <c r="E2579" s="1637" t="s">
        <v>2342</v>
      </c>
      <c r="F2579" s="1286"/>
      <c r="G2579" s="1348"/>
      <c r="H2579" s="1353">
        <f t="shared" si="99"/>
        <v>0</v>
      </c>
      <c r="I2579" s="1277"/>
      <c r="J2579" s="1277"/>
      <c r="K2579" s="1278"/>
      <c r="L2579" s="1125">
        <v>2000</v>
      </c>
    </row>
    <row r="2580" spans="1:13" s="1279" customFormat="1" ht="20.100000000000001" customHeight="1">
      <c r="A2580" s="1377">
        <f t="shared" si="100"/>
        <v>0</v>
      </c>
      <c r="B2580" s="1584" t="s">
        <v>760</v>
      </c>
      <c r="C2580" s="1286"/>
      <c r="D2580" s="1288" t="e">
        <f>VLOOKUP($B2580,DG!A:D,DG!$B$2,)</f>
        <v>#N/A</v>
      </c>
      <c r="E2580" s="1310" t="e">
        <f>VLOOKUP($B2580,DG!A:D,DG!$C$2,)&amp;": 0,38m3/m"</f>
        <v>#N/A</v>
      </c>
      <c r="F2580" s="1288" t="e">
        <f>VLOOKUP($B2580,DG!A:D,DG!$D$2,)</f>
        <v>#N/A</v>
      </c>
      <c r="G2580" s="1276">
        <f>G2578*0.38</f>
        <v>0</v>
      </c>
      <c r="H2580" s="1353">
        <f t="shared" si="99"/>
        <v>0</v>
      </c>
      <c r="I2580" s="1277"/>
      <c r="J2580" s="1277"/>
      <c r="K2580" s="1278"/>
      <c r="L2580" s="1125">
        <v>2000</v>
      </c>
    </row>
    <row r="2581" spans="1:13" s="1279" customFormat="1" ht="20.100000000000001" customHeight="1">
      <c r="A2581" s="1377">
        <f t="shared" si="100"/>
        <v>0</v>
      </c>
      <c r="B2581" s="1584" t="s">
        <v>884</v>
      </c>
      <c r="C2581" s="1286"/>
      <c r="D2581" s="1288">
        <f>VLOOKUP($B2581,DG!A:D,DG!$B$2,)</f>
        <v>0</v>
      </c>
      <c r="E2581" s="1310" t="str">
        <f>VLOOKUP($B2581,DG!A:D,DG!$C$2,)&amp;": 0,12m3/m"</f>
        <v>Đá 1x2: 0,12m3/m</v>
      </c>
      <c r="F2581" s="1288" t="str">
        <f>VLOOKUP($B2581,DG!A:D,DG!$D$2,)</f>
        <v>m3</v>
      </c>
      <c r="G2581" s="1276">
        <f>0.12*G2578*0</f>
        <v>0</v>
      </c>
      <c r="H2581" s="1353">
        <f t="shared" si="99"/>
        <v>0</v>
      </c>
      <c r="I2581" s="1277"/>
      <c r="J2581" s="1277"/>
      <c r="K2581" s="1278"/>
      <c r="L2581" s="1125">
        <v>2000</v>
      </c>
    </row>
    <row r="2582" spans="1:13" s="1279" customFormat="1" ht="20.100000000000001" customHeight="1">
      <c r="A2582" s="1377">
        <f t="shared" si="100"/>
        <v>0</v>
      </c>
      <c r="B2582" s="1584" t="s">
        <v>1728</v>
      </c>
      <c r="C2582" s="1286"/>
      <c r="D2582" s="1288">
        <f>VLOOKUP($B2582,DG!A:D,DG!$B$2,)</f>
        <v>0</v>
      </c>
      <c r="E2582" s="1310" t="str">
        <f>VLOOKUP($B2582,DG!A:D,DG!$C$2,)&amp;": 3,3vieân/m"</f>
        <v>Gạch tàu: 3,3vieân/m</v>
      </c>
      <c r="F2582" s="1288" t="str">
        <f>VLOOKUP($B2582,DG!A:D,DG!$D$2,)</f>
        <v>viên</v>
      </c>
      <c r="G2582" s="1276">
        <f>3.3*G2578</f>
        <v>0</v>
      </c>
      <c r="H2582" s="1353">
        <f t="shared" si="99"/>
        <v>0</v>
      </c>
      <c r="I2582" s="1277"/>
      <c r="J2582" s="1277"/>
      <c r="K2582" s="1278"/>
      <c r="L2582" s="1125">
        <v>2000</v>
      </c>
    </row>
    <row r="2583" spans="1:13" s="1279" customFormat="1" ht="20.100000000000001" customHeight="1">
      <c r="A2583" s="1377">
        <f t="shared" si="100"/>
        <v>0</v>
      </c>
      <c r="B2583" s="1584" t="s">
        <v>1729</v>
      </c>
      <c r="C2583" s="1286"/>
      <c r="D2583" s="1288">
        <f>VLOOKUP($B2583,DG!A:D,DG!$B$2,)</f>
        <v>0</v>
      </c>
      <c r="E2583" s="1310" t="str">
        <f>VLOOKUP($B2583,DG!A:D,DG!$C$2,)&amp;": 0,4m2/m"</f>
        <v>Tấm nilông màu cảnh báo: 0,4m2/m</v>
      </c>
      <c r="F2583" s="1288" t="str">
        <f>VLOOKUP($B2583,DG!A:D,DG!$D$2,)</f>
        <v>m2</v>
      </c>
      <c r="G2583" s="1276">
        <f>0.4*G2578</f>
        <v>0</v>
      </c>
      <c r="H2583" s="1353">
        <f t="shared" si="99"/>
        <v>0</v>
      </c>
      <c r="I2583" s="1277"/>
      <c r="J2583" s="1277"/>
      <c r="K2583" s="1278"/>
      <c r="L2583" s="1125">
        <v>2000</v>
      </c>
    </row>
    <row r="2584" spans="1:13" s="1279" customFormat="1" ht="20.100000000000001" customHeight="1">
      <c r="A2584" s="1377">
        <f t="shared" si="100"/>
        <v>0</v>
      </c>
      <c r="B2584" s="1584" t="s">
        <v>1570</v>
      </c>
      <c r="C2584" s="1273"/>
      <c r="D2584" s="1288">
        <f>VLOOKUP($B2584,DG!A:D,DG!$B$2,)</f>
        <v>0</v>
      </c>
      <c r="E2584" s="1310" t="str">
        <f>VLOOKUP($B2584,DG!A:D,DG!$C$2,)</f>
        <v>Ống PVC D140x6,7mm</v>
      </c>
      <c r="F2584" s="1288" t="str">
        <f>VLOOKUP($B2584,DG!A:D,DG!$D$2,)</f>
        <v>m</v>
      </c>
      <c r="G2584" s="1276">
        <f>1*G2578</f>
        <v>0</v>
      </c>
      <c r="H2584" s="1353">
        <f t="shared" si="99"/>
        <v>0</v>
      </c>
      <c r="I2584" s="1277"/>
      <c r="J2584" s="1277"/>
      <c r="K2584" s="1278"/>
      <c r="L2584" s="1125">
        <v>2000</v>
      </c>
    </row>
    <row r="2585" spans="1:13" s="1279" customFormat="1" ht="20.100000000000001" customHeight="1">
      <c r="A2585" s="1377">
        <f t="shared" si="100"/>
        <v>0</v>
      </c>
      <c r="B2585" s="1584" t="s">
        <v>1731</v>
      </c>
      <c r="C2585" s="1286"/>
      <c r="D2585" s="1288" t="str">
        <f>VLOOKUP($B2585,DG!A:D,DG!$B$2,)</f>
        <v>03.7000</v>
      </c>
      <c r="E2585" s="1310" t="str">
        <f>VLOOKUP($B2585,DG!A:D,DG!$C$2,)&amp;" + ñaép ñaù"</f>
        <v>Đắp cát  + ñaép ñaù</v>
      </c>
      <c r="F2585" s="1288" t="str">
        <f>VLOOKUP($B2585,DG!A:D,DG!$D$2,)</f>
        <v>m3</v>
      </c>
      <c r="G2585" s="1276">
        <f>G2580+G2581</f>
        <v>0</v>
      </c>
      <c r="H2585" s="1353">
        <f t="shared" si="99"/>
        <v>0</v>
      </c>
      <c r="I2585" s="1277"/>
      <c r="J2585" s="1277"/>
      <c r="K2585" s="1278"/>
      <c r="L2585" s="1125">
        <v>2000</v>
      </c>
    </row>
    <row r="2586" spans="1:13" s="1279" customFormat="1" ht="20.100000000000001" customHeight="1">
      <c r="A2586" s="1377">
        <f t="shared" si="100"/>
        <v>0</v>
      </c>
      <c r="B2586" s="1584" t="s">
        <v>145</v>
      </c>
      <c r="C2586" s="1286"/>
      <c r="D2586" s="1288" t="str">
        <f>VLOOKUP($B2586,DG!A:D,DG!$B$2,)</f>
        <v>03.3103</v>
      </c>
      <c r="E2586" s="1310" t="str">
        <f>VLOOKUP($B2586,DG!A:D,DG!$C$2,)&amp;" : 0,48m3/m"</f>
        <v>Đào mương cáp ngầm đất cấp 3 : 0,48m3/m</v>
      </c>
      <c r="F2586" s="1288" t="str">
        <f>VLOOKUP($B2586,DG!A:D,DG!$D$2,)</f>
        <v>m3</v>
      </c>
      <c r="G2586" s="1276">
        <f>G2578*0.48</f>
        <v>0</v>
      </c>
      <c r="H2586" s="1353">
        <f t="shared" si="99"/>
        <v>0</v>
      </c>
      <c r="I2586" s="1277"/>
      <c r="J2586" s="1277"/>
      <c r="K2586" s="1278"/>
      <c r="L2586" s="1125">
        <v>2000</v>
      </c>
    </row>
    <row r="2587" spans="1:13" s="1279" customFormat="1" ht="20.100000000000001" customHeight="1">
      <c r="A2587" s="1377">
        <f t="shared" si="100"/>
        <v>0</v>
      </c>
      <c r="B2587" s="1584" t="s">
        <v>532</v>
      </c>
      <c r="C2587" s="1286"/>
      <c r="D2587" s="1288" t="str">
        <f>VLOOKUP($B2587,DG!A:D,DG!$B$2,)</f>
        <v>03.3203</v>
      </c>
      <c r="E2587" s="1310" t="str">
        <f>VLOOKUP($B2587,DG!A:D,DG!$C$2,)&amp;" : 0,16m3/m"</f>
        <v>Đắp đất mương cáp ngầm, đất cấp 3 : 0,16m3/m</v>
      </c>
      <c r="F2587" s="1288" t="str">
        <f>VLOOKUP($B2587,DG!A:D,DG!$D$2,)</f>
        <v>m3</v>
      </c>
      <c r="G2587" s="1276">
        <f>0.16*G2578</f>
        <v>0</v>
      </c>
      <c r="H2587" s="1353">
        <f t="shared" si="99"/>
        <v>0</v>
      </c>
      <c r="I2587" s="1277"/>
      <c r="J2587" s="1277"/>
      <c r="K2587" s="1278"/>
      <c r="L2587" s="1125">
        <v>2000</v>
      </c>
      <c r="M2587" s="1349">
        <v>0.47499999999999998</v>
      </c>
    </row>
    <row r="2588" spans="1:13" s="1279" customFormat="1" ht="20.100000000000001" customHeight="1">
      <c r="A2588" s="1377">
        <f t="shared" si="100"/>
        <v>0</v>
      </c>
      <c r="B2588" s="1582"/>
      <c r="C2588" s="1280">
        <f>IF(G2588&gt;0,C2578+1,C2578)</f>
        <v>0</v>
      </c>
      <c r="D2588" s="1281"/>
      <c r="E2588" s="1282" t="s">
        <v>3858</v>
      </c>
      <c r="F2588" s="1280" t="s">
        <v>2449</v>
      </c>
      <c r="G2588" s="1283">
        <f>G2597</f>
        <v>0</v>
      </c>
      <c r="H2588" s="1353">
        <f t="shared" si="99"/>
        <v>0</v>
      </c>
      <c r="I2588" s="1277"/>
      <c r="J2588" s="1277"/>
      <c r="K2588" s="1278"/>
      <c r="L2588" s="1125">
        <v>2000</v>
      </c>
      <c r="M2588" s="1349">
        <v>0.88100000000000001</v>
      </c>
    </row>
    <row r="2589" spans="1:13" s="1279" customFormat="1" ht="20.100000000000001" customHeight="1">
      <c r="A2589" s="1377">
        <f>IF(A2588&gt;0,1,0)</f>
        <v>0</v>
      </c>
      <c r="B2589" s="1582"/>
      <c r="C2589" s="1273"/>
      <c r="D2589" s="1284"/>
      <c r="E2589" s="1637" t="s">
        <v>2342</v>
      </c>
      <c r="F2589" s="1286"/>
      <c r="G2589" s="1348"/>
      <c r="H2589" s="1353">
        <f t="shared" si="99"/>
        <v>0</v>
      </c>
      <c r="I2589" s="1277"/>
      <c r="J2589" s="1277"/>
      <c r="K2589" s="1278"/>
      <c r="L2589" s="1125">
        <v>2000</v>
      </c>
    </row>
    <row r="2590" spans="1:13" s="1279" customFormat="1" ht="20.100000000000001" customHeight="1">
      <c r="A2590" s="1377">
        <f t="shared" si="100"/>
        <v>0</v>
      </c>
      <c r="B2590" s="1582" t="s">
        <v>628</v>
      </c>
      <c r="C2590" s="1286"/>
      <c r="D2590" s="1288" t="str">
        <f>VLOOKUP($B2590,DG!A:D,DG!$B$2,)</f>
        <v>07.2204</v>
      </c>
      <c r="E2590" s="1289" t="str">
        <f>VLOOKUP($B2590,DG!A:D,DG!$C$2,)</f>
        <v>ÔÁng sắt tráng kẽm D140</v>
      </c>
      <c r="F2590" s="1288" t="str">
        <f>VLOOKUP($B2590,DG!A:D,DG!$D$2,)</f>
        <v>mét</v>
      </c>
      <c r="G2590" s="1276">
        <f>G2588*4</f>
        <v>0</v>
      </c>
      <c r="H2590" s="1353">
        <f t="shared" si="99"/>
        <v>0</v>
      </c>
      <c r="I2590" s="1277"/>
      <c r="J2590" s="1277"/>
      <c r="K2590" s="1278"/>
      <c r="L2590" s="1125">
        <v>2000</v>
      </c>
    </row>
    <row r="2591" spans="1:13" s="1279" customFormat="1" ht="20.100000000000001" customHeight="1">
      <c r="A2591" s="1377">
        <f t="shared" si="100"/>
        <v>0</v>
      </c>
      <c r="B2591" s="1584" t="s">
        <v>476</v>
      </c>
      <c r="C2591" s="1273"/>
      <c r="D2591" s="1288">
        <f>VLOOKUP($B2591,DG!A:D,DG!$B$2,)</f>
        <v>0</v>
      </c>
      <c r="E2591" s="1289" t="str">
        <f>VLOOKUP($B2591,DG!A:D,DG!$C$2,)</f>
        <v>Co sừng 90 độ PVC 140</v>
      </c>
      <c r="F2591" s="1288" t="str">
        <f>VLOOKUP($B2591,DG!A:D,DG!$D$2,)</f>
        <v>cái</v>
      </c>
      <c r="G2591" s="1276">
        <f>G2588*1</f>
        <v>0</v>
      </c>
      <c r="H2591" s="1353">
        <f t="shared" si="99"/>
        <v>0</v>
      </c>
      <c r="I2591" s="1277"/>
      <c r="J2591" s="1277"/>
      <c r="K2591" s="1278"/>
      <c r="L2591" s="1125">
        <v>2000</v>
      </c>
    </row>
    <row r="2592" spans="1:13" s="1279" customFormat="1" ht="20.100000000000001" customHeight="1">
      <c r="A2592" s="1377">
        <f t="shared" si="100"/>
        <v>0</v>
      </c>
      <c r="B2592" s="1582" t="s">
        <v>121</v>
      </c>
      <c r="C2592" s="1286"/>
      <c r="D2592" s="1288" t="str">
        <f>VLOOKUP($B2592,DG!A:D,DG!$B$2,)</f>
        <v>06.3231</v>
      </c>
      <c r="E2592" s="1289" t="str">
        <f>VLOOKUP($B2592,DG!A:D,DG!$C$2,)</f>
        <v>Cổ dê giữ ống STK D140 vào tường+Boulon+long đền+tắc ke sắt</v>
      </c>
      <c r="F2592" s="1288" t="str">
        <f>VLOOKUP($B2592,DG!A:D,DG!$D$2,)</f>
        <v>bộ</v>
      </c>
      <c r="G2592" s="1276">
        <f>G2588*2</f>
        <v>0</v>
      </c>
      <c r="H2592" s="1353">
        <f t="shared" si="99"/>
        <v>0</v>
      </c>
      <c r="I2592" s="1277"/>
      <c r="J2592" s="1277"/>
      <c r="K2592" s="1278"/>
      <c r="L2592" s="1125">
        <v>2000</v>
      </c>
    </row>
    <row r="2593" spans="1:12" s="1279" customFormat="1" ht="20.100000000000001" customHeight="1">
      <c r="A2593" s="1377">
        <f t="shared" si="100"/>
        <v>0</v>
      </c>
      <c r="B2593" s="1378" t="s">
        <v>1442</v>
      </c>
      <c r="C2593" s="1286"/>
      <c r="D2593" s="1288">
        <f>VLOOKUP($B2593,DG!A:D,DG!$B$2,)</f>
        <v>0</v>
      </c>
      <c r="E2593" s="1289" t="str">
        <f>VLOOKUP($B2593,DG!A:D,DG!$C$2,)</f>
        <v>Giá đỡ cáp ngầm (V63x6)</v>
      </c>
      <c r="F2593" s="1288" t="str">
        <f>VLOOKUP($B2593,DG!A:D,DG!$D$2,)</f>
        <v>bộ</v>
      </c>
      <c r="G2593" s="1276">
        <f>G2588</f>
        <v>0</v>
      </c>
      <c r="H2593" s="1353">
        <f t="shared" si="99"/>
        <v>0</v>
      </c>
      <c r="I2593" s="1277"/>
      <c r="J2593" s="1277"/>
      <c r="K2593" s="1278"/>
      <c r="L2593" s="1125">
        <v>2000</v>
      </c>
    </row>
    <row r="2594" spans="1:12" s="1279" customFormat="1" ht="20.100000000000001" customHeight="1">
      <c r="A2594" s="1377">
        <f t="shared" si="100"/>
        <v>0</v>
      </c>
      <c r="B2594" s="1378" t="s">
        <v>1014</v>
      </c>
      <c r="C2594" s="1286"/>
      <c r="D2594" s="1288">
        <f>VLOOKUP($B2594,DG!A:D,DG!$B$2,)</f>
        <v>0</v>
      </c>
      <c r="E2594" s="1289" t="str">
        <f>VLOOKUP($B2594,DG!A:D,DG!$C$2,)</f>
        <v>Giá đỡ cáp trung thế</v>
      </c>
      <c r="F2594" s="1288" t="str">
        <f>VLOOKUP($B2594,DG!A:D,DG!$D$2,)</f>
        <v>bộ</v>
      </c>
      <c r="G2594" s="1276">
        <f>G2588*0</f>
        <v>0</v>
      </c>
      <c r="H2594" s="1353">
        <f t="shared" si="99"/>
        <v>0</v>
      </c>
      <c r="I2594" s="1277"/>
      <c r="J2594" s="1277"/>
      <c r="K2594" s="1278"/>
      <c r="L2594" s="1125">
        <v>2000</v>
      </c>
    </row>
    <row r="2595" spans="1:12" s="1279" customFormat="1" ht="20.100000000000001" customHeight="1">
      <c r="A2595" s="1377">
        <f t="shared" si="100"/>
        <v>0</v>
      </c>
      <c r="B2595" s="1582" t="s">
        <v>1443</v>
      </c>
      <c r="C2595" s="1273"/>
      <c r="D2595" s="1288" t="str">
        <f>VLOOKUP($B2595,DG!A:D,DG!$B$2,)</f>
        <v>05.6101</v>
      </c>
      <c r="E2595" s="1289" t="str">
        <f>VLOOKUP($B2595,DG!A:D,DG!$C$2,)</f>
        <v>Lắp Giá đỡ cáp</v>
      </c>
      <c r="F2595" s="1288" t="str">
        <f>VLOOKUP($B2595,DG!A:D,DG!$D$2,)</f>
        <v>bộ</v>
      </c>
      <c r="G2595" s="1276">
        <f>G2593</f>
        <v>0</v>
      </c>
      <c r="H2595" s="1353">
        <f t="shared" si="99"/>
        <v>0</v>
      </c>
      <c r="I2595" s="1277"/>
      <c r="J2595" s="1277"/>
      <c r="K2595" s="1278"/>
      <c r="L2595" s="1125">
        <v>2000</v>
      </c>
    </row>
    <row r="2596" spans="1:12" s="1279" customFormat="1" ht="20.100000000000001" customHeight="1">
      <c r="A2596" s="1377">
        <f t="shared" si="100"/>
        <v>0</v>
      </c>
      <c r="B2596" s="1582" t="s">
        <v>290</v>
      </c>
      <c r="C2596" s="1286"/>
      <c r="D2596" s="1288" t="str">
        <f>VLOOKUP($B2596,DG!A:D,DG!$B$2,)</f>
        <v>06.3191</v>
      </c>
      <c r="E2596" s="1289" t="str">
        <f>VLOOKUP($B2596,DG!A:D,DG!$C$2,)</f>
        <v>Bảng tên trạm, bảng báo nguy hiểm + đinh vít</v>
      </c>
      <c r="F2596" s="1288" t="str">
        <f>VLOOKUP($B2596,DG!A:D,DG!$D$2,)</f>
        <v>bộ</v>
      </c>
      <c r="G2596" s="1276">
        <f>G2588</f>
        <v>0</v>
      </c>
      <c r="H2596" s="1353">
        <f t="shared" si="99"/>
        <v>0</v>
      </c>
      <c r="I2596" s="1277"/>
      <c r="J2596" s="1277"/>
      <c r="K2596" s="1278"/>
      <c r="L2596" s="1125">
        <v>2000</v>
      </c>
    </row>
    <row r="2597" spans="1:12" s="1279" customFormat="1" ht="20.100000000000001" customHeight="1">
      <c r="A2597" s="1377">
        <f t="shared" si="100"/>
        <v>0</v>
      </c>
      <c r="B2597" s="1582"/>
      <c r="C2597" s="1280">
        <f>IF(G2597&gt;0,C2588+1,C2588)</f>
        <v>0</v>
      </c>
      <c r="D2597" s="1281"/>
      <c r="E2597" s="1292" t="s">
        <v>3825</v>
      </c>
      <c r="F2597" s="1280" t="s">
        <v>2449</v>
      </c>
      <c r="G2597" s="1283">
        <f>G2483*0</f>
        <v>0</v>
      </c>
      <c r="H2597" s="1353">
        <f t="shared" si="99"/>
        <v>0</v>
      </c>
      <c r="I2597" s="1277"/>
      <c r="J2597" s="1277"/>
      <c r="K2597" s="1278"/>
      <c r="L2597" s="1125">
        <v>2000</v>
      </c>
    </row>
    <row r="2598" spans="1:12" s="1279" customFormat="1" ht="20.100000000000001" customHeight="1">
      <c r="A2598" s="1377">
        <f>IF(A2597&gt;0,1,0)</f>
        <v>0</v>
      </c>
      <c r="B2598" s="1582"/>
      <c r="C2598" s="1273"/>
      <c r="D2598" s="1284"/>
      <c r="E2598" s="1638" t="s">
        <v>2342</v>
      </c>
      <c r="F2598" s="1273"/>
      <c r="G2598" s="1293"/>
      <c r="H2598" s="1353">
        <f t="shared" si="99"/>
        <v>0</v>
      </c>
      <c r="I2598" s="1277"/>
      <c r="J2598" s="1277"/>
      <c r="K2598" s="1278"/>
      <c r="L2598" s="1125">
        <v>2000</v>
      </c>
    </row>
    <row r="2599" spans="1:12" s="1279" customFormat="1" ht="20.100000000000001" customHeight="1">
      <c r="A2599" s="1377">
        <f t="shared" si="100"/>
        <v>0</v>
      </c>
      <c r="B2599" s="1378" t="s">
        <v>473</v>
      </c>
      <c r="C2599" s="1286"/>
      <c r="D2599" s="1274">
        <f>VLOOKUP($B2599,DG!A:D,DG!$B$2,)</f>
        <v>0</v>
      </c>
      <c r="E2599" s="1275" t="str">
        <f>VLOOKUP($B2599,DG!A:D,DG!$C$2,)&amp;": töø trụ ño ñeám ñeán tuû LBSA"</f>
        <v>Cáp 24kV C/XLPE/DSTA/PVC3x50: töø trụ ño ñeám ñeán tuû LBSA</v>
      </c>
      <c r="F2599" s="1274" t="str">
        <f>VLOOKUP($B2599,DG!A:D,DG!$D$2,)</f>
        <v>mét</v>
      </c>
      <c r="G2599" s="1276">
        <f>(3+10)*1.02*G2597*0</f>
        <v>0</v>
      </c>
      <c r="H2599" s="1353">
        <f t="shared" si="99"/>
        <v>0</v>
      </c>
      <c r="I2599" s="1277"/>
      <c r="J2599" s="1277"/>
      <c r="K2599" s="1278"/>
      <c r="L2599" s="1125">
        <v>2000</v>
      </c>
    </row>
    <row r="2600" spans="1:12" s="1279" customFormat="1" ht="20.100000000000001" customHeight="1">
      <c r="A2600" s="1377">
        <f t="shared" si="100"/>
        <v>0</v>
      </c>
      <c r="B2600" s="1378" t="s">
        <v>272</v>
      </c>
      <c r="C2600" s="1286"/>
      <c r="D2600" s="1274">
        <f>VLOOKUP($B2600,DG!A:D,DG!$B$2,)</f>
        <v>0</v>
      </c>
      <c r="E2600" s="1275" t="str">
        <f>VLOOKUP($B2600,DG!A:D,DG!$C$2,)&amp;": 0,5m/pha"</f>
        <v>Cáp 24KV C/XLPE/PVC 50mm2: 0,5m/pha</v>
      </c>
      <c r="F2600" s="1274" t="str">
        <f>VLOOKUP($B2600,DG!A:D,DG!$D$2,)</f>
        <v>mét</v>
      </c>
      <c r="G2600" s="1276">
        <f>G2597*0.5*3</f>
        <v>0</v>
      </c>
      <c r="H2600" s="1353">
        <f t="shared" si="99"/>
        <v>0</v>
      </c>
      <c r="I2600" s="1277"/>
      <c r="J2600" s="1277"/>
      <c r="K2600" s="1278"/>
      <c r="L2600" s="1125">
        <v>2000</v>
      </c>
    </row>
    <row r="2601" spans="1:12" s="1279" customFormat="1" ht="20.100000000000001" customHeight="1">
      <c r="A2601" s="1377">
        <f t="shared" si="100"/>
        <v>0</v>
      </c>
      <c r="B2601" s="1378" t="s">
        <v>1385</v>
      </c>
      <c r="C2601" s="1286"/>
      <c r="D2601" s="1274">
        <f>VLOOKUP($B2601,DG!A:D,DG!$B$2,)</f>
        <v>0</v>
      </c>
      <c r="E2601" s="1275" t="str">
        <f>VLOOKUP($B2601,DG!A:D,DG!$C$2,)</f>
        <v>Đầu cáp ngầm 24KV 3x50mm2 outdoor</v>
      </c>
      <c r="F2601" s="1274" t="str">
        <f>VLOOKUP($B2601,DG!A:D,DG!$D$2,)</f>
        <v>cái</v>
      </c>
      <c r="G2601" s="1276">
        <f>G2597*2*0</f>
        <v>0</v>
      </c>
      <c r="H2601" s="1353">
        <f t="shared" si="99"/>
        <v>0</v>
      </c>
      <c r="I2601" s="1277"/>
      <c r="J2601" s="1277"/>
      <c r="K2601" s="1278"/>
      <c r="L2601" s="1125">
        <v>2000</v>
      </c>
    </row>
    <row r="2602" spans="1:12" s="1279" customFormat="1" ht="20.100000000000001" customHeight="1">
      <c r="A2602" s="1377">
        <f t="shared" si="100"/>
        <v>0</v>
      </c>
      <c r="B2602" s="1378" t="s">
        <v>473</v>
      </c>
      <c r="C2602" s="1286"/>
      <c r="D2602" s="1274">
        <f>VLOOKUP($B2602,DG!A:D,DG!$B$2,)</f>
        <v>0</v>
      </c>
      <c r="E2602" s="1275" t="str">
        <f>VLOOKUP($B2602,DG!A:D,DG!$C$2,)&amp;": töø tuû LBS ñeán MBA"</f>
        <v>Cáp 24kV C/XLPE/DSTA/PVC3x50: töø tuû LBS ñeán MBA</v>
      </c>
      <c r="F2602" s="1274" t="str">
        <f>VLOOKUP($B2602,DG!A:D,DG!$D$2,)</f>
        <v>mét</v>
      </c>
      <c r="G2602" s="1276">
        <f>(1.2+2.4)*G2597*0</f>
        <v>0</v>
      </c>
      <c r="H2602" s="1353">
        <f t="shared" si="99"/>
        <v>0</v>
      </c>
      <c r="I2602" s="1277"/>
      <c r="J2602" s="1277"/>
      <c r="K2602" s="1278"/>
      <c r="L2602" s="1125">
        <v>2000</v>
      </c>
    </row>
    <row r="2603" spans="1:12" s="1279" customFormat="1" ht="20.100000000000001" customHeight="1">
      <c r="A2603" s="1377">
        <f t="shared" si="100"/>
        <v>0</v>
      </c>
      <c r="B2603" s="1378" t="s">
        <v>272</v>
      </c>
      <c r="C2603" s="1286"/>
      <c r="D2603" s="1274">
        <f>VLOOKUP($B2603,DG!A:D,DG!$B$2,)</f>
        <v>0</v>
      </c>
      <c r="E2603" s="1275" t="str">
        <f>VLOOKUP($B2603,DG!A:D,DG!$C$2,)&amp;": töø tuû LBS ñeán MBA"</f>
        <v>Cáp 24KV C/XLPE/PVC 50mm2: töø tuû LBS ñeán MBA</v>
      </c>
      <c r="F2603" s="1274" t="str">
        <f>VLOOKUP($B2603,DG!A:D,DG!$D$2,)</f>
        <v>mét</v>
      </c>
      <c r="G2603" s="1276">
        <f>G2602*0</f>
        <v>0</v>
      </c>
      <c r="H2603" s="1353">
        <f t="shared" si="99"/>
        <v>0</v>
      </c>
      <c r="I2603" s="1277"/>
      <c r="J2603" s="1277"/>
      <c r="K2603" s="1278"/>
      <c r="L2603" s="1125">
        <v>2000</v>
      </c>
    </row>
    <row r="2604" spans="1:12" s="1279" customFormat="1" ht="20.100000000000001" customHeight="1">
      <c r="A2604" s="1377">
        <f t="shared" si="100"/>
        <v>0</v>
      </c>
      <c r="B2604" s="1378" t="s">
        <v>1386</v>
      </c>
      <c r="C2604" s="1286"/>
      <c r="D2604" s="1274">
        <f>VLOOKUP($B2604,DG!A:D,DG!$B$2,)</f>
        <v>0</v>
      </c>
      <c r="E2604" s="1275" t="str">
        <f>VLOOKUP($B2604,DG!A:D,DG!$C$2,)</f>
        <v>Đầu cáp ngầm 24KV 3x50mm2 indoor</v>
      </c>
      <c r="F2604" s="1274" t="str">
        <f>VLOOKUP($B2604,DG!A:D,DG!$D$2,)</f>
        <v>cái</v>
      </c>
      <c r="G2604" s="1276">
        <f>G2597*3*0</f>
        <v>0</v>
      </c>
      <c r="H2604" s="1353">
        <f t="shared" si="99"/>
        <v>0</v>
      </c>
      <c r="I2604" s="1277"/>
      <c r="J2604" s="1277"/>
      <c r="K2604" s="1278"/>
      <c r="L2604" s="1125">
        <v>2000</v>
      </c>
    </row>
    <row r="2605" spans="1:12" s="1279" customFormat="1" ht="20.100000000000001" customHeight="1">
      <c r="A2605" s="1377">
        <f t="shared" si="100"/>
        <v>0</v>
      </c>
      <c r="B2605" s="1378" t="s">
        <v>1727</v>
      </c>
      <c r="C2605" s="1286"/>
      <c r="D2605" s="1274" t="str">
        <f>VLOOKUP($B2605,DG!A:D,DG!$B$2,)</f>
        <v>07.4312</v>
      </c>
      <c r="E2605" s="1275" t="str">
        <f>VLOOKUP($B2605,DG!A:D,DG!$C$2,)</f>
        <v>Lắp đầu cáp trung thế 3x50mm2, 70mm2</v>
      </c>
      <c r="F2605" s="1274" t="str">
        <f>VLOOKUP($B2605,DG!A:D,DG!$D$2,)</f>
        <v>cái</v>
      </c>
      <c r="G2605" s="1276">
        <f>G2601+G2604</f>
        <v>0</v>
      </c>
      <c r="H2605" s="1353">
        <f t="shared" si="99"/>
        <v>0</v>
      </c>
      <c r="I2605" s="1277"/>
      <c r="J2605" s="1277"/>
      <c r="K2605" s="1278"/>
      <c r="L2605" s="1125">
        <v>2000</v>
      </c>
    </row>
    <row r="2606" spans="1:12" s="1279" customFormat="1" ht="20.100000000000001" customHeight="1">
      <c r="A2606" s="1377">
        <f t="shared" si="100"/>
        <v>0</v>
      </c>
      <c r="B2606" s="1378" t="s">
        <v>1212</v>
      </c>
      <c r="C2606" s="1286"/>
      <c r="D2606" s="1274" t="str">
        <f>VLOOKUP($B2606,DG!A:D,DG!$B$2,)</f>
        <v>07.3405</v>
      </c>
      <c r="E2606" s="1275" t="str">
        <f>VLOOKUP($B2606,DG!A:D,DG!$C$2,)</f>
        <v>Lắp cáp trong ống bảo vệ loại &lt;=6kg</v>
      </c>
      <c r="F2606" s="1274" t="str">
        <f>VLOOKUP($B2606,DG!A:D,DG!$D$2,)</f>
        <v>mét</v>
      </c>
      <c r="G2606" s="1276">
        <f>G2599+G2602</f>
        <v>0</v>
      </c>
      <c r="H2606" s="1353">
        <f t="shared" ref="H2606:H2666" si="101">IF(L2606=$L$23,G2606+I2606-J2606,0)</f>
        <v>0</v>
      </c>
      <c r="I2606" s="1277"/>
      <c r="J2606" s="1277"/>
      <c r="K2606" s="1278"/>
      <c r="L2606" s="1125">
        <v>2000</v>
      </c>
    </row>
    <row r="2607" spans="1:12" s="1279" customFormat="1" ht="20.100000000000001" customHeight="1">
      <c r="A2607" s="1377">
        <f t="shared" si="100"/>
        <v>0</v>
      </c>
      <c r="B2607" s="1378" t="s">
        <v>1577</v>
      </c>
      <c r="C2607" s="1286"/>
      <c r="D2607" s="1274" t="str">
        <f>VLOOKUP($B2607,DG!A:D,DG!$B$2,)</f>
        <v>04.4201</v>
      </c>
      <c r="E2607" s="1275" t="str">
        <f>VLOOKUP($B2607,DG!A:D,DG!$C$2,)</f>
        <v>Lắp cáp đồng xuống thiết bị D ≤ 95mm2</v>
      </c>
      <c r="F2607" s="1274" t="str">
        <f>VLOOKUP($B2607,DG!A:D,DG!$D$2,)</f>
        <v>m</v>
      </c>
      <c r="G2607" s="1276">
        <f>G2600</f>
        <v>0</v>
      </c>
      <c r="H2607" s="1353">
        <f t="shared" si="101"/>
        <v>0</v>
      </c>
      <c r="I2607" s="1277"/>
      <c r="J2607" s="1277"/>
      <c r="K2607" s="1278"/>
      <c r="L2607" s="1125">
        <v>2000</v>
      </c>
    </row>
    <row r="2608" spans="1:12" s="1279" customFormat="1" ht="20.100000000000001" customHeight="1">
      <c r="A2608" s="1377">
        <f t="shared" si="100"/>
        <v>0</v>
      </c>
      <c r="B2608" s="1378" t="s">
        <v>1382</v>
      </c>
      <c r="C2608" s="1286"/>
      <c r="D2608" s="1274">
        <f>VLOOKUP($B2608,DG!A:D,DG!$B$2,)</f>
        <v>0</v>
      </c>
      <c r="E2608" s="1275" t="str">
        <f>VLOOKUP($B2608,DG!A:D,DG!$C$2,)</f>
        <v>Dây rút cáp</v>
      </c>
      <c r="F2608" s="1274" t="str">
        <f>VLOOKUP($B2608,DG!A:D,DG!$D$2,)</f>
        <v>bọc</v>
      </c>
      <c r="G2608" s="1276">
        <f>G2597*2*0</f>
        <v>0</v>
      </c>
      <c r="H2608" s="1353">
        <f t="shared" si="101"/>
        <v>0</v>
      </c>
      <c r="I2608" s="1277"/>
      <c r="J2608" s="1277"/>
      <c r="K2608" s="1278"/>
      <c r="L2608" s="1125">
        <v>2000</v>
      </c>
    </row>
    <row r="2609" spans="1:13" s="1279" customFormat="1" ht="20.100000000000001" customHeight="1">
      <c r="A2609" s="1377">
        <f t="shared" si="100"/>
        <v>0</v>
      </c>
      <c r="B2609" s="1582"/>
      <c r="C2609" s="1280">
        <f>IF(G2609&gt;0,C2597+1,C2597)</f>
        <v>0</v>
      </c>
      <c r="D2609" s="1281"/>
      <c r="E2609" s="1292" t="s">
        <v>3826</v>
      </c>
      <c r="F2609" s="1280" t="s">
        <v>2449</v>
      </c>
      <c r="G2609" s="1283">
        <f>G2483</f>
        <v>0</v>
      </c>
      <c r="H2609" s="1353">
        <f t="shared" si="101"/>
        <v>0</v>
      </c>
      <c r="I2609" s="1277"/>
      <c r="J2609" s="1277"/>
      <c r="K2609" s="1278"/>
      <c r="L2609" s="1125">
        <v>2000</v>
      </c>
    </row>
    <row r="2610" spans="1:13" s="1279" customFormat="1" ht="20.100000000000001" customHeight="1">
      <c r="A2610" s="1377">
        <f>IF(A2609&gt;0,1,0)</f>
        <v>0</v>
      </c>
      <c r="B2610" s="1582"/>
      <c r="C2610" s="1273"/>
      <c r="D2610" s="1284"/>
      <c r="E2610" s="1638" t="s">
        <v>2342</v>
      </c>
      <c r="F2610" s="1273"/>
      <c r="G2610" s="1293"/>
      <c r="H2610" s="1353">
        <f t="shared" si="101"/>
        <v>0</v>
      </c>
      <c r="I2610" s="1277"/>
      <c r="J2610" s="1277"/>
      <c r="K2610" s="1278"/>
      <c r="L2610" s="1125">
        <v>2000</v>
      </c>
    </row>
    <row r="2611" spans="1:13" s="1279" customFormat="1" ht="20.100000000000001" customHeight="1">
      <c r="A2611" s="1377">
        <f t="shared" si="100"/>
        <v>0</v>
      </c>
      <c r="B2611" s="1378" t="s">
        <v>704</v>
      </c>
      <c r="C2611" s="1286"/>
      <c r="D2611" s="1274">
        <f>VLOOKUP($B2611,DG!A:D,DG!$B$2,)</f>
        <v>0</v>
      </c>
      <c r="E2611" s="1275" t="str">
        <f>VLOOKUP($B2611,DG!A:D,DG!$C$2,)&amp;": 7m/1pha"</f>
        <v>Cáp 24KV C/XLPE/PVC 25mm2: 7m/1pha</v>
      </c>
      <c r="F2611" s="1274" t="str">
        <f>VLOOKUP($B2611,DG!A:D,DG!$D$2,)</f>
        <v>mét</v>
      </c>
      <c r="G2611" s="1287">
        <f>G2609*7*3</f>
        <v>0</v>
      </c>
      <c r="H2611" s="1353">
        <f t="shared" si="101"/>
        <v>0</v>
      </c>
      <c r="I2611" s="1277"/>
      <c r="J2611" s="1277"/>
      <c r="K2611" s="1278"/>
      <c r="L2611" s="1125">
        <v>2000</v>
      </c>
    </row>
    <row r="2612" spans="1:13" s="1279" customFormat="1" ht="20.100000000000001" customHeight="1">
      <c r="A2612" s="1377">
        <f t="shared" si="100"/>
        <v>0</v>
      </c>
      <c r="B2612" s="1378" t="s">
        <v>1145</v>
      </c>
      <c r="C2612" s="1286"/>
      <c r="D2612" s="1274">
        <f>VLOOKUP($B2612,DG!A:D,DG!$B$2,)</f>
        <v>0</v>
      </c>
      <c r="E2612" s="1275" t="str">
        <f>VLOOKUP($B2612,DG!A:D,DG!$C$2,)</f>
        <v>Kẹp ép cỡ dây 25mm2</v>
      </c>
      <c r="F2612" s="1274" t="str">
        <f>VLOOKUP($B2612,DG!A:D,DG!$D$2,)</f>
        <v>cái</v>
      </c>
      <c r="G2612" s="1287">
        <f>G2609*3*2</f>
        <v>0</v>
      </c>
      <c r="H2612" s="1353">
        <f t="shared" si="101"/>
        <v>0</v>
      </c>
      <c r="I2612" s="1277"/>
      <c r="J2612" s="1277"/>
      <c r="K2612" s="1278"/>
      <c r="L2612" s="1125">
        <v>2000</v>
      </c>
    </row>
    <row r="2613" spans="1:13" s="1279" customFormat="1" ht="20.100000000000001" customHeight="1">
      <c r="A2613" s="1377">
        <f t="shared" si="100"/>
        <v>0</v>
      </c>
      <c r="B2613" s="1378" t="s">
        <v>1531</v>
      </c>
      <c r="C2613" s="1286"/>
      <c r="D2613" s="1274" t="str">
        <f>VLOOKUP($B2613,DG!A:D,DG!$B$2,)</f>
        <v>04.3007</v>
      </c>
      <c r="E2613" s="1275" t="str">
        <f>VLOOKUP($B2613,DG!A:D,DG!$C$2,)</f>
        <v>Kẹp quai 2/0</v>
      </c>
      <c r="F2613" s="1274" t="str">
        <f>VLOOKUP($B2613,DG!A:D,DG!$D$2,)</f>
        <v>cái</v>
      </c>
      <c r="G2613" s="1287">
        <f>G2609*3*0</f>
        <v>0</v>
      </c>
      <c r="H2613" s="1353">
        <f t="shared" si="101"/>
        <v>0</v>
      </c>
      <c r="I2613" s="1277"/>
      <c r="J2613" s="1277"/>
      <c r="K2613" s="1278"/>
      <c r="L2613" s="1125">
        <v>2000</v>
      </c>
    </row>
    <row r="2614" spans="1:13" s="1279" customFormat="1" ht="20.100000000000001" customHeight="1">
      <c r="A2614" s="1377">
        <f t="shared" si="100"/>
        <v>0</v>
      </c>
      <c r="B2614" s="1378" t="s">
        <v>1529</v>
      </c>
      <c r="C2614" s="1286"/>
      <c r="D2614" s="1274" t="str">
        <f>VLOOKUP($B2614,DG!A:D,DG!$B$2,)</f>
        <v>04.3007</v>
      </c>
      <c r="E2614" s="1275" t="str">
        <f>VLOOKUP($B2614,DG!A:D,DG!$C$2,)&amp;": "</f>
        <v xml:space="preserve">Kẹp hotline 2/0: </v>
      </c>
      <c r="F2614" s="1274" t="str">
        <f>VLOOKUP($B2614,DG!A:D,DG!$D$2,)</f>
        <v>cái</v>
      </c>
      <c r="G2614" s="1287">
        <f>G2613</f>
        <v>0</v>
      </c>
      <c r="H2614" s="1353">
        <f t="shared" si="101"/>
        <v>0</v>
      </c>
      <c r="I2614" s="1277"/>
      <c r="J2614" s="1277"/>
      <c r="K2614" s="1278"/>
      <c r="L2614" s="1125">
        <v>2000</v>
      </c>
    </row>
    <row r="2615" spans="1:13" s="1279" customFormat="1" ht="20.100000000000001" customHeight="1">
      <c r="A2615" s="1377">
        <f t="shared" si="100"/>
        <v>0</v>
      </c>
      <c r="B2615" s="1378" t="s">
        <v>703</v>
      </c>
      <c r="C2615" s="1312"/>
      <c r="D2615" s="1274">
        <f>VLOOKUP($B2615,DG!A:D,DG!$B$2,)</f>
        <v>0</v>
      </c>
      <c r="E2615" s="1275" t="str">
        <f>VLOOKUP($B2615,DG!A:D,DG!$C$2,)</f>
        <v xml:space="preserve">Sứ đứng 24KV </v>
      </c>
      <c r="F2615" s="1274" t="str">
        <f>VLOOKUP($B2615,DG!A:D,DG!$D$2,)</f>
        <v>cái</v>
      </c>
      <c r="G2615" s="1287">
        <f>+G2609*3*4</f>
        <v>0</v>
      </c>
      <c r="H2615" s="1353">
        <f t="shared" si="101"/>
        <v>0</v>
      </c>
      <c r="I2615" s="1277"/>
      <c r="J2615" s="1277"/>
      <c r="K2615" s="1278"/>
      <c r="L2615" s="1125">
        <v>2000</v>
      </c>
    </row>
    <row r="2616" spans="1:13" s="1279" customFormat="1" ht="20.100000000000001" customHeight="1">
      <c r="A2616" s="1377">
        <f t="shared" si="100"/>
        <v>0</v>
      </c>
      <c r="B2616" s="1378" t="s">
        <v>1298</v>
      </c>
      <c r="C2616" s="1286"/>
      <c r="D2616" s="1274">
        <f>VLOOKUP($B2616,DG!A:D,DG!$B$2,)</f>
        <v>0</v>
      </c>
      <c r="E2616" s="1275" t="str">
        <f>VLOOKUP($B2616,DG!A:D,DG!$C$2,)</f>
        <v>Chân sứ đứng D20</v>
      </c>
      <c r="F2616" s="1274" t="str">
        <f>VLOOKUP($B2616,DG!A:D,DG!$D$2,)</f>
        <v>cái</v>
      </c>
      <c r="G2616" s="1287">
        <f>+G2615</f>
        <v>0</v>
      </c>
      <c r="H2616" s="1353">
        <f t="shared" si="101"/>
        <v>0</v>
      </c>
      <c r="I2616" s="1277"/>
      <c r="J2616" s="1277"/>
      <c r="K2616" s="1278"/>
      <c r="L2616" s="1125">
        <v>2000</v>
      </c>
    </row>
    <row r="2617" spans="1:13" s="1279" customFormat="1" ht="20.100000000000001" customHeight="1">
      <c r="A2617" s="1377">
        <f t="shared" si="100"/>
        <v>0</v>
      </c>
      <c r="B2617" s="1378" t="s">
        <v>348</v>
      </c>
      <c r="C2617" s="1286"/>
      <c r="D2617" s="1274" t="str">
        <f>VLOOKUP($B2617,DG!A:D,DG!$B$2,)</f>
        <v>06.1115</v>
      </c>
      <c r="E2617" s="1275" t="str">
        <f>VLOOKUP($B2617,DG!A:D,DG!$C$2,)</f>
        <v>Lắp sứ đứng 24KV</v>
      </c>
      <c r="F2617" s="1274" t="str">
        <f>VLOOKUP($B2617,DG!A:D,DG!$D$2,)</f>
        <v>bộ</v>
      </c>
      <c r="G2617" s="1287">
        <f>G2615</f>
        <v>0</v>
      </c>
      <c r="H2617" s="1353">
        <f t="shared" si="101"/>
        <v>0</v>
      </c>
      <c r="I2617" s="1277"/>
      <c r="J2617" s="1277"/>
      <c r="K2617" s="1278"/>
      <c r="L2617" s="1125">
        <v>2000</v>
      </c>
    </row>
    <row r="2618" spans="1:13" s="1279" customFormat="1" ht="20.100000000000001" customHeight="1">
      <c r="A2618" s="1377">
        <f t="shared" si="100"/>
        <v>0</v>
      </c>
      <c r="B2618" s="1582"/>
      <c r="C2618" s="1280">
        <f>IF(G2618&gt;0,C2609+1,C2609)</f>
        <v>0</v>
      </c>
      <c r="D2618" s="1281"/>
      <c r="E2618" s="1282" t="s">
        <v>3859</v>
      </c>
      <c r="F2618" s="1280" t="s">
        <v>2449</v>
      </c>
      <c r="G2618" s="1283">
        <f>G2483*1</f>
        <v>0</v>
      </c>
      <c r="H2618" s="1353">
        <f t="shared" si="101"/>
        <v>0</v>
      </c>
      <c r="I2618" s="1277"/>
      <c r="J2618" s="1277"/>
      <c r="K2618" s="1278"/>
      <c r="L2618" s="1125">
        <v>2000</v>
      </c>
    </row>
    <row r="2619" spans="1:13" s="1279" customFormat="1" ht="20.100000000000001" customHeight="1">
      <c r="A2619" s="1377">
        <f>IF(A2618&gt;0,1,0)</f>
        <v>0</v>
      </c>
      <c r="B2619" s="1582"/>
      <c r="C2619" s="1273"/>
      <c r="D2619" s="1284"/>
      <c r="E2619" s="1638" t="s">
        <v>2342</v>
      </c>
      <c r="F2619" s="1273"/>
      <c r="G2619" s="1293"/>
      <c r="H2619" s="1353">
        <f t="shared" si="101"/>
        <v>0</v>
      </c>
      <c r="I2619" s="1277"/>
      <c r="J2619" s="1277"/>
      <c r="K2619" s="1278"/>
      <c r="L2619" s="1125">
        <v>2000</v>
      </c>
    </row>
    <row r="2620" spans="1:13" s="1279" customFormat="1" ht="20.100000000000001" customHeight="1">
      <c r="A2620" s="1377">
        <f t="shared" si="100"/>
        <v>0</v>
      </c>
      <c r="B2620" s="1582" t="s">
        <v>1154</v>
      </c>
      <c r="C2620" s="1286"/>
      <c r="D2620" s="1274">
        <f>VLOOKUP($B2620,DG!A:D,DG!$B$2,)</f>
        <v>0</v>
      </c>
      <c r="E2620" s="1275" t="str">
        <f>VLOOKUP($B2620,DG!A:D,DG!$C$2,)</f>
        <v xml:space="preserve">Giá đỡ cáp hạ thế </v>
      </c>
      <c r="F2620" s="1274" t="str">
        <f>VLOOKUP($B2620,DG!A:D,DG!$D$2,)</f>
        <v>bộ</v>
      </c>
      <c r="G2620" s="1287">
        <f>G2618</f>
        <v>0</v>
      </c>
      <c r="H2620" s="1353">
        <f t="shared" si="101"/>
        <v>0</v>
      </c>
      <c r="I2620" s="1277"/>
      <c r="J2620" s="1277"/>
      <c r="K2620" s="1278"/>
      <c r="L2620" s="1125">
        <v>2000</v>
      </c>
    </row>
    <row r="2621" spans="1:13" s="1279" customFormat="1" ht="20.100000000000001" customHeight="1">
      <c r="A2621" s="1377">
        <f t="shared" si="100"/>
        <v>0</v>
      </c>
      <c r="B2621" s="1582" t="s">
        <v>1443</v>
      </c>
      <c r="C2621" s="1286"/>
      <c r="D2621" s="1274" t="str">
        <f>VLOOKUP($B2621,DG!A:D,DG!$B$2,)</f>
        <v>05.6101</v>
      </c>
      <c r="E2621" s="1275" t="str">
        <f>VLOOKUP($B2621,DG!A:D,DG!$C$2,)</f>
        <v>Lắp Giá đỡ cáp</v>
      </c>
      <c r="F2621" s="1274" t="str">
        <f>VLOOKUP($B2621,DG!A:D,DG!$D$2,)</f>
        <v>bộ</v>
      </c>
      <c r="G2621" s="1287">
        <f>G2620</f>
        <v>0</v>
      </c>
      <c r="H2621" s="1353">
        <f t="shared" si="101"/>
        <v>0</v>
      </c>
      <c r="I2621" s="1277"/>
      <c r="J2621" s="1277"/>
      <c r="K2621" s="1278"/>
      <c r="L2621" s="1125">
        <v>2000</v>
      </c>
    </row>
    <row r="2622" spans="1:13" s="1279" customFormat="1" ht="20.100000000000001" customHeight="1">
      <c r="A2622" s="1377">
        <f t="shared" si="100"/>
        <v>0</v>
      </c>
      <c r="B2622" s="1378"/>
      <c r="C2622" s="1280">
        <f>IF(G2622&gt;0,C2618+1,C2618)</f>
        <v>0</v>
      </c>
      <c r="D2622" s="1281"/>
      <c r="E2622" s="1292" t="s">
        <v>3860</v>
      </c>
      <c r="F2622" s="1280" t="s">
        <v>2449</v>
      </c>
      <c r="G2622" s="1351">
        <f>G2597+G2609</f>
        <v>0</v>
      </c>
      <c r="H2622" s="1353">
        <f t="shared" si="101"/>
        <v>0</v>
      </c>
      <c r="I2622" s="1277"/>
      <c r="J2622" s="1277"/>
      <c r="K2622" s="1278"/>
      <c r="L2622" s="1125">
        <v>2000</v>
      </c>
    </row>
    <row r="2623" spans="1:13" s="1279" customFormat="1" ht="20.100000000000001" customHeight="1">
      <c r="A2623" s="1377">
        <f>IF(A2622&gt;0,1,0)</f>
        <v>0</v>
      </c>
      <c r="B2623" s="1378"/>
      <c r="C2623" s="1273"/>
      <c r="D2623" s="1284"/>
      <c r="E2623" s="1638" t="s">
        <v>2342</v>
      </c>
      <c r="F2623" s="1273"/>
      <c r="G2623" s="1287"/>
      <c r="H2623" s="1353">
        <f t="shared" si="101"/>
        <v>0</v>
      </c>
      <c r="I2623" s="1277"/>
      <c r="J2623" s="1277"/>
      <c r="K2623" s="1278"/>
      <c r="L2623" s="1125">
        <v>2000</v>
      </c>
    </row>
    <row r="2624" spans="1:13" s="1279" customFormat="1" ht="20.100000000000001" customHeight="1">
      <c r="A2624" s="1377">
        <f t="shared" si="100"/>
        <v>0</v>
      </c>
      <c r="B2624" s="1582" t="s">
        <v>1271</v>
      </c>
      <c r="C2624" s="1286"/>
      <c r="D2624" s="1274">
        <f>VLOOKUP($B2624,DG!A:D,DG!$B$2,)</f>
        <v>0</v>
      </c>
      <c r="E2624" s="1275" t="e">
        <f>VLOOKUP($B2624,DG!A:D,DG!$C$2,)&amp;": "&amp;#REF!&amp;"x 8m/pha "</f>
        <v>#REF!</v>
      </c>
      <c r="F2624" s="1274" t="str">
        <f>VLOOKUP($B2624,DG!A:D,DG!$D$2,)</f>
        <v>mét</v>
      </c>
      <c r="G2624" s="1843"/>
      <c r="H2624" s="1353">
        <f t="shared" si="101"/>
        <v>0</v>
      </c>
      <c r="I2624" s="1277"/>
      <c r="J2624" s="1277"/>
      <c r="K2624" s="1278"/>
      <c r="L2624" s="1125">
        <v>2000</v>
      </c>
      <c r="M2624" s="1279">
        <f>48*(30+6)</f>
        <v>1728</v>
      </c>
    </row>
    <row r="2625" spans="1:13" s="1279" customFormat="1" ht="20.100000000000001" customHeight="1">
      <c r="A2625" s="1377">
        <f t="shared" si="100"/>
        <v>0</v>
      </c>
      <c r="B2625" s="1582" t="s">
        <v>1271</v>
      </c>
      <c r="C2625" s="1286"/>
      <c r="D2625" s="1274">
        <f>VLOOKUP($B2625,DG!A:D,DG!$B$2,)</f>
        <v>0</v>
      </c>
      <c r="E2625" s="1275" t="e">
        <f>VLOOKUP($B2625,DG!A:D,DG!$C$2,)&amp;": "&amp;#REF!/2&amp;"x 8m/trung tính "</f>
        <v>#REF!</v>
      </c>
      <c r="F2625" s="1274" t="str">
        <f>VLOOKUP($B2625,DG!A:D,DG!$D$2,)</f>
        <v>mét</v>
      </c>
      <c r="G2625" s="1843"/>
      <c r="H2625" s="1353">
        <f t="shared" si="101"/>
        <v>0</v>
      </c>
      <c r="I2625" s="1277"/>
      <c r="J2625" s="1277"/>
      <c r="K2625" s="1278"/>
      <c r="L2625" s="1125">
        <v>2000</v>
      </c>
      <c r="M2625" s="1279">
        <f>8*(30+6)</f>
        <v>288</v>
      </c>
    </row>
    <row r="2626" spans="1:13" s="1279" customFormat="1" ht="20.100000000000001" customHeight="1">
      <c r="A2626" s="1377">
        <f t="shared" si="100"/>
        <v>0</v>
      </c>
      <c r="B2626" s="1582" t="s">
        <v>451</v>
      </c>
      <c r="C2626" s="1286"/>
      <c r="D2626" s="1274" t="str">
        <f>VLOOKUP($B2626,DG!A:D,DG!$B$2,)</f>
        <v>03.4009</v>
      </c>
      <c r="E2626" s="1275" t="str">
        <f>VLOOKUP($B2626,DG!A:D,DG!$C$2,)&amp;": "</f>
        <v xml:space="preserve">Đầu cosse ép Cu 250mm2: </v>
      </c>
      <c r="F2626" s="1274" t="str">
        <f>VLOOKUP($B2626,DG!A:D,DG!$D$2,)</f>
        <v>cái</v>
      </c>
      <c r="G2626" s="1843"/>
      <c r="H2626" s="1353">
        <f t="shared" si="101"/>
        <v>0</v>
      </c>
      <c r="I2626" s="1277"/>
      <c r="J2626" s="1277"/>
      <c r="K2626" s="1278"/>
      <c r="L2626" s="1125">
        <v>2000</v>
      </c>
    </row>
    <row r="2627" spans="1:13" s="1279" customFormat="1" ht="20.100000000000001" customHeight="1">
      <c r="A2627" s="1377">
        <f t="shared" si="100"/>
        <v>0</v>
      </c>
      <c r="B2627" s="1582" t="s">
        <v>451</v>
      </c>
      <c r="C2627" s="1286"/>
      <c r="D2627" s="1274" t="str">
        <f>VLOOKUP($B2627,DG!A:D,DG!$B$2,)</f>
        <v>03.4009</v>
      </c>
      <c r="E2627" s="1275" t="str">
        <f>VLOOKUP($B2627,DG!A:D,DG!$C$2,)&amp;": "</f>
        <v xml:space="preserve">Đầu cosse ép Cu 250mm2: </v>
      </c>
      <c r="F2627" s="1274" t="str">
        <f>VLOOKUP($B2627,DG!A:D,DG!$D$2,)</f>
        <v>cái</v>
      </c>
      <c r="G2627" s="1843"/>
      <c r="H2627" s="1353">
        <f t="shared" si="101"/>
        <v>0</v>
      </c>
      <c r="I2627" s="1277"/>
      <c r="J2627" s="1277"/>
      <c r="K2627" s="1278"/>
      <c r="L2627" s="1125">
        <v>2000</v>
      </c>
    </row>
    <row r="2628" spans="1:13" s="1279" customFormat="1" ht="20.100000000000001" customHeight="1">
      <c r="A2628" s="1377">
        <f t="shared" si="100"/>
        <v>0</v>
      </c>
      <c r="B2628" s="1582" t="s">
        <v>1102</v>
      </c>
      <c r="C2628" s="1286"/>
      <c r="D2628" s="1274">
        <f>VLOOKUP($B2628,DG!A:D,DG!$B$2,)</f>
        <v>0</v>
      </c>
      <c r="E2628" s="1275" t="str">
        <f>VLOOKUP($B2628,DG!A:D,DG!$C$2,)&amp;": "</f>
        <v xml:space="preserve">Chụp đầu cosse  250mm2: </v>
      </c>
      <c r="F2628" s="1274" t="str">
        <f>VLOOKUP($B2628,DG!A:D,DG!$D$2,)</f>
        <v>cái</v>
      </c>
      <c r="G2628" s="1843"/>
      <c r="H2628" s="1353">
        <f t="shared" si="101"/>
        <v>0</v>
      </c>
      <c r="I2628" s="1277"/>
      <c r="J2628" s="1277"/>
      <c r="K2628" s="1278"/>
      <c r="L2628" s="1125">
        <v>2000</v>
      </c>
    </row>
    <row r="2629" spans="1:13" s="1279" customFormat="1" ht="20.100000000000001" customHeight="1">
      <c r="A2629" s="1377">
        <f t="shared" si="100"/>
        <v>0</v>
      </c>
      <c r="B2629" s="1582" t="s">
        <v>1102</v>
      </c>
      <c r="C2629" s="1286"/>
      <c r="D2629" s="1274">
        <f>VLOOKUP($B2629,DG!A:D,DG!$B$2,)</f>
        <v>0</v>
      </c>
      <c r="E2629" s="1275" t="str">
        <f>VLOOKUP($B2629,DG!A:D,DG!$C$2,)&amp;": "</f>
        <v xml:space="preserve">Chụp đầu cosse  250mm2: </v>
      </c>
      <c r="F2629" s="1274" t="str">
        <f>VLOOKUP($B2629,DG!A:D,DG!$D$2,)</f>
        <v>cái</v>
      </c>
      <c r="G2629" s="1843"/>
      <c r="H2629" s="1353">
        <f t="shared" si="101"/>
        <v>0</v>
      </c>
      <c r="I2629" s="1277"/>
      <c r="J2629" s="1277"/>
      <c r="K2629" s="1278"/>
      <c r="L2629" s="1125">
        <v>2000</v>
      </c>
    </row>
    <row r="2630" spans="1:13" s="1279" customFormat="1" ht="20.100000000000001" customHeight="1">
      <c r="A2630" s="1377">
        <f t="shared" si="100"/>
        <v>0</v>
      </c>
      <c r="B2630" s="1582" t="s">
        <v>1072</v>
      </c>
      <c r="C2630" s="1286"/>
      <c r="D2630" s="1274">
        <f>VLOOKUP($B2630,DG!A:D,DG!$B$2,)</f>
        <v>0</v>
      </c>
      <c r="E2630" s="1275" t="str">
        <f>VLOOKUP($B2630,DG!A:D,DG!$C$2,)</f>
        <v xml:space="preserve">Ống PVC D114x4,9mm </v>
      </c>
      <c r="F2630" s="1274" t="str">
        <f>VLOOKUP($B2630,DG!A:D,DG!$D$2,)</f>
        <v>m</v>
      </c>
      <c r="G2630" s="1843"/>
      <c r="H2630" s="1353">
        <f t="shared" si="101"/>
        <v>0</v>
      </c>
      <c r="I2630" s="1277"/>
      <c r="J2630" s="1277"/>
      <c r="K2630" s="1278"/>
      <c r="L2630" s="1125">
        <v>2000</v>
      </c>
    </row>
    <row r="2631" spans="1:13" s="1279" customFormat="1" ht="20.100000000000001" customHeight="1">
      <c r="A2631" s="1377">
        <f t="shared" si="100"/>
        <v>0</v>
      </c>
      <c r="B2631" s="1378" t="s">
        <v>739</v>
      </c>
      <c r="C2631" s="1286"/>
      <c r="D2631" s="1274" t="str">
        <f>VLOOKUP($B2631,DG!A:D,DG!$B$2,)</f>
        <v>06.3231</v>
      </c>
      <c r="E2631" s="1275" t="str">
        <f>VLOOKUP($B2631,DG!A:D,DG!$C$2,)</f>
        <v>Cổ dê kẹp ống PVC Ø 114</v>
      </c>
      <c r="F2631" s="1274" t="str">
        <f>VLOOKUP($B2631,DG!A:D,DG!$D$2,)</f>
        <v>bộ</v>
      </c>
      <c r="G2631" s="1843"/>
      <c r="H2631" s="1353">
        <f t="shared" si="101"/>
        <v>0</v>
      </c>
      <c r="I2631" s="1277"/>
      <c r="J2631" s="1277"/>
      <c r="K2631" s="1278"/>
      <c r="L2631" s="1125">
        <v>2000</v>
      </c>
    </row>
    <row r="2632" spans="1:13" s="1279" customFormat="1" ht="20.100000000000001" customHeight="1">
      <c r="A2632" s="1377">
        <f t="shared" si="100"/>
        <v>0</v>
      </c>
      <c r="B2632" s="1582" t="s">
        <v>1073</v>
      </c>
      <c r="C2632" s="1286"/>
      <c r="D2632" s="1274">
        <f>VLOOKUP($B2632,DG!A:D,DG!$B$2,)</f>
        <v>0</v>
      </c>
      <c r="E2632" s="1275" t="str">
        <f>VLOOKUP($B2632,DG!A:D,DG!$C$2,)</f>
        <v>Co sừng 90 độ PVC 114</v>
      </c>
      <c r="F2632" s="1274" t="str">
        <f>VLOOKUP($B2632,DG!A:D,DG!$D$2,)</f>
        <v>cái</v>
      </c>
      <c r="G2632" s="1843"/>
      <c r="H2632" s="1353">
        <f t="shared" si="101"/>
        <v>0</v>
      </c>
      <c r="I2632" s="1277"/>
      <c r="J2632" s="1277"/>
      <c r="K2632" s="1278"/>
      <c r="L2632" s="1125">
        <v>2000</v>
      </c>
    </row>
    <row r="2633" spans="1:13" s="1279" customFormat="1" ht="20.100000000000001" customHeight="1">
      <c r="A2633" s="1377">
        <f t="shared" si="100"/>
        <v>0</v>
      </c>
      <c r="B2633" s="1582" t="s">
        <v>2229</v>
      </c>
      <c r="C2633" s="1286"/>
      <c r="D2633" s="1274">
        <f>VLOOKUP($B2633,DG!A:D,DG!$B$2,)</f>
        <v>0</v>
      </c>
      <c r="E2633" s="1275" t="str">
        <f>VLOOKUP($B2633,DG!A:D,DG!$C$2,)</f>
        <v>Khâu ven răng trong D114</v>
      </c>
      <c r="F2633" s="1274" t="str">
        <f>VLOOKUP($B2633,DG!A:D,DG!$D$2,)</f>
        <v>cái</v>
      </c>
      <c r="G2633" s="1843"/>
      <c r="H2633" s="1353">
        <f t="shared" si="101"/>
        <v>0</v>
      </c>
      <c r="I2633" s="1277"/>
      <c r="J2633" s="1277"/>
      <c r="K2633" s="1278"/>
      <c r="L2633" s="1125">
        <v>2000</v>
      </c>
    </row>
    <row r="2634" spans="1:13" s="1279" customFormat="1" ht="20.100000000000001" customHeight="1">
      <c r="A2634" s="1377">
        <f t="shared" si="100"/>
        <v>0</v>
      </c>
      <c r="B2634" s="1582" t="s">
        <v>2230</v>
      </c>
      <c r="C2634" s="1286"/>
      <c r="D2634" s="1274">
        <f>VLOOKUP($B2634,DG!A:D,DG!$B$2,)</f>
        <v>0</v>
      </c>
      <c r="E2634" s="1275" t="str">
        <f>VLOOKUP($B2634,DG!A:D,DG!$C$2,)&amp;": "</f>
        <v xml:space="preserve">Khâu ven răng ngoài D114: </v>
      </c>
      <c r="F2634" s="1274" t="str">
        <f>VLOOKUP($B2634,DG!A:D,DG!$D$2,)</f>
        <v>cái</v>
      </c>
      <c r="G2634" s="1843"/>
      <c r="H2634" s="1353">
        <f t="shared" si="101"/>
        <v>0</v>
      </c>
      <c r="I2634" s="1277"/>
      <c r="J2634" s="1277"/>
      <c r="K2634" s="1278"/>
      <c r="L2634" s="1125">
        <v>2000</v>
      </c>
    </row>
    <row r="2635" spans="1:13" s="1279" customFormat="1" ht="20.100000000000001" customHeight="1">
      <c r="A2635" s="1377">
        <f t="shared" si="100"/>
        <v>0</v>
      </c>
      <c r="B2635" s="1582" t="s">
        <v>734</v>
      </c>
      <c r="C2635" s="1286"/>
      <c r="D2635" s="1274">
        <f>VLOOKUP($B2635,DG!A:D,DG!$B$2,)</f>
        <v>0</v>
      </c>
      <c r="E2635" s="1275" t="str">
        <f>VLOOKUP($B2635,DG!A:D,DG!$C$2,)&amp;": "</f>
        <v xml:space="preserve">Keo dán ống PVC (500gr): </v>
      </c>
      <c r="F2635" s="1274" t="str">
        <f>VLOOKUP($B2635,DG!A:D,DG!$D$2,)</f>
        <v>lon</v>
      </c>
      <c r="G2635" s="1843"/>
      <c r="H2635" s="1353">
        <f t="shared" si="101"/>
        <v>0</v>
      </c>
      <c r="I2635" s="1277"/>
      <c r="J2635" s="1277"/>
      <c r="K2635" s="1278"/>
      <c r="L2635" s="1125">
        <v>2000</v>
      </c>
    </row>
    <row r="2636" spans="1:13" s="1279" customFormat="1" ht="20.100000000000001" customHeight="1">
      <c r="A2636" s="1377">
        <f t="shared" ref="A2636:A2666" si="102">IF(H2636&gt;0,1,0)</f>
        <v>0</v>
      </c>
      <c r="B2636" s="1378" t="s">
        <v>6</v>
      </c>
      <c r="C2636" s="1286"/>
      <c r="D2636" s="1274"/>
      <c r="E2636" s="1275" t="str">
        <f>VLOOKUP($B2636,DG!A:D,DG!$C$2,)&amp;":"</f>
        <v>Keo silicon bít miệng ống:</v>
      </c>
      <c r="F2636" s="1274" t="str">
        <f>VLOOKUP($B2636,DG!A:D,DG!$D$2,)</f>
        <v>ống</v>
      </c>
      <c r="G2636" s="1843"/>
      <c r="H2636" s="1353">
        <f t="shared" si="101"/>
        <v>0</v>
      </c>
      <c r="I2636" s="1277"/>
      <c r="J2636" s="1277"/>
      <c r="K2636" s="1278"/>
      <c r="L2636" s="1125">
        <v>2000</v>
      </c>
    </row>
    <row r="2637" spans="1:13" s="1279" customFormat="1" ht="20.100000000000001" customHeight="1">
      <c r="A2637" s="1377">
        <f t="shared" si="102"/>
        <v>0</v>
      </c>
      <c r="B2637" s="1582" t="s">
        <v>1381</v>
      </c>
      <c r="C2637" s="1286"/>
      <c r="D2637" s="1274">
        <f>VLOOKUP($B2637,DG!A:D,DG!$B$2,)</f>
        <v>0</v>
      </c>
      <c r="E2637" s="1275" t="str">
        <f>VLOOKUP($B2637,DG!A:D,DG!$C$2,)</f>
        <v>Dây rút cáp</v>
      </c>
      <c r="F2637" s="1274" t="str">
        <f>VLOOKUP($B2637,DG!A:D,DG!$D$2,)</f>
        <v>bọc</v>
      </c>
      <c r="G2637" s="1843"/>
      <c r="H2637" s="1353">
        <f t="shared" si="101"/>
        <v>0</v>
      </c>
      <c r="I2637" s="1277"/>
      <c r="J2637" s="1277"/>
      <c r="K2637" s="1278"/>
      <c r="L2637" s="1125">
        <v>2000</v>
      </c>
    </row>
    <row r="2638" spans="1:13" s="1279" customFormat="1" ht="20.100000000000001" customHeight="1">
      <c r="A2638" s="1377">
        <f t="shared" si="102"/>
        <v>0</v>
      </c>
      <c r="B2638" s="1378" t="s">
        <v>677</v>
      </c>
      <c r="C2638" s="1286"/>
      <c r="D2638" s="1274">
        <f>VLOOKUP($B2638,DG!A:D,DG!$B$2,)</f>
        <v>0</v>
      </c>
      <c r="E2638" s="1275" t="str">
        <f>VLOOKUP($B2638,DG!A:D,DG!$C$2,)</f>
        <v>Băng keo cách điện</v>
      </c>
      <c r="F2638" s="1274" t="str">
        <f>VLOOKUP($B2638,DG!A:D,DG!$D$2,)</f>
        <v>cuộn</v>
      </c>
      <c r="G2638" s="1843"/>
      <c r="H2638" s="1353">
        <f t="shared" si="101"/>
        <v>0</v>
      </c>
      <c r="I2638" s="1277"/>
      <c r="J2638" s="1277"/>
      <c r="K2638" s="1278"/>
      <c r="L2638" s="1125">
        <v>2000</v>
      </c>
    </row>
    <row r="2639" spans="1:13" s="1279" customFormat="1" ht="20.100000000000001" customHeight="1">
      <c r="A2639" s="1377">
        <f t="shared" si="102"/>
        <v>0</v>
      </c>
      <c r="B2639" s="1378" t="s">
        <v>248</v>
      </c>
      <c r="C2639" s="1294"/>
      <c r="D2639" s="1274"/>
      <c r="E2639" s="1275" t="str">
        <f>VLOOKUP($B2639,DG!A:D,DG!$C$2,)&amp;":"</f>
        <v>Lắp cáp đồng xuống thiết bị D &gt; 150mm2:</v>
      </c>
      <c r="F2639" s="1274" t="str">
        <f>VLOOKUP($B2639,DG!A:D,DG!$D$2,)</f>
        <v>m</v>
      </c>
      <c r="G2639" s="1843"/>
      <c r="H2639" s="1353">
        <f t="shared" si="101"/>
        <v>0</v>
      </c>
      <c r="I2639" s="1277"/>
      <c r="J2639" s="1277"/>
      <c r="K2639" s="1278"/>
      <c r="L2639" s="1125">
        <v>2000</v>
      </c>
    </row>
    <row r="2640" spans="1:13" s="1279" customFormat="1" ht="20.100000000000001" customHeight="1">
      <c r="A2640" s="1377">
        <f t="shared" si="102"/>
        <v>0</v>
      </c>
      <c r="B2640" s="1378"/>
      <c r="C2640" s="1280">
        <f>IF(G2640&gt;0,C2622+1,C2622)</f>
        <v>0</v>
      </c>
      <c r="D2640" s="1281"/>
      <c r="E2640" s="1292" t="s">
        <v>3828</v>
      </c>
      <c r="F2640" s="1280" t="s">
        <v>2449</v>
      </c>
      <c r="G2640" s="1351"/>
      <c r="H2640" s="1353">
        <f t="shared" si="101"/>
        <v>0</v>
      </c>
      <c r="I2640" s="1277"/>
      <c r="J2640" s="1277"/>
      <c r="K2640" s="1278"/>
      <c r="L2640" s="1125">
        <v>2000</v>
      </c>
    </row>
    <row r="2641" spans="1:12" s="1352" customFormat="1" ht="20.100000000000001" customHeight="1">
      <c r="A2641" s="1377">
        <f>IF(A2640&gt;0,1,0)</f>
        <v>0</v>
      </c>
      <c r="B2641" s="1626"/>
      <c r="C2641" s="1273"/>
      <c r="D2641" s="1284"/>
      <c r="E2641" s="1638" t="s">
        <v>2342</v>
      </c>
      <c r="F2641" s="1273" t="s">
        <v>2503</v>
      </c>
      <c r="G2641" s="1293"/>
      <c r="H2641" s="1353">
        <f t="shared" si="101"/>
        <v>0</v>
      </c>
      <c r="I2641" s="1277"/>
      <c r="J2641" s="1277"/>
      <c r="K2641" s="1278"/>
      <c r="L2641" s="1125">
        <v>2000</v>
      </c>
    </row>
    <row r="2642" spans="1:12" s="1279" customFormat="1" ht="20.100000000000001" customHeight="1">
      <c r="A2642" s="1377">
        <f t="shared" si="102"/>
        <v>0</v>
      </c>
      <c r="B2642" s="1582" t="s">
        <v>1875</v>
      </c>
      <c r="C2642" s="1312"/>
      <c r="D2642" s="1274" t="str">
        <f>VLOOKUP($B2642,DG!A:D,DG!$B$2,)</f>
        <v>03.1401</v>
      </c>
      <c r="E2642" s="1310" t="str">
        <f>VLOOKUP($B2642,DG!A:D,DG!$C$2,)</f>
        <v xml:space="preserve">Cáp CVV 4x2,5mm2  </v>
      </c>
      <c r="F2642" s="1353" t="str">
        <f>VLOOKUP($B2642,DG!A:D,DG!$D$2,)</f>
        <v>mét</v>
      </c>
      <c r="G2642" s="1287">
        <f>G2640*12</f>
        <v>0</v>
      </c>
      <c r="H2642" s="1353">
        <f t="shared" si="101"/>
        <v>0</v>
      </c>
      <c r="I2642" s="1277"/>
      <c r="J2642" s="1277"/>
      <c r="K2642" s="1278"/>
      <c r="L2642" s="1125">
        <v>2000</v>
      </c>
    </row>
    <row r="2643" spans="1:12" s="1279" customFormat="1" ht="20.100000000000001" customHeight="1">
      <c r="A2643" s="1377">
        <f t="shared" si="102"/>
        <v>0</v>
      </c>
      <c r="B2643" s="1582" t="s">
        <v>247</v>
      </c>
      <c r="C2643" s="1312"/>
      <c r="D2643" s="1274" t="str">
        <f>VLOOKUP($B2643,DG!A:D,DG!$B$2,)</f>
        <v>05.6101</v>
      </c>
      <c r="E2643" s="1310" t="str">
        <f>VLOOKUP($B2643,DG!A:D,DG!$C$2,)</f>
        <v>Xà kẹp TU, TI U50x32x4 350</v>
      </c>
      <c r="F2643" s="1353" t="str">
        <f>VLOOKUP($B2643,DG!A:D,DG!$D$2,)</f>
        <v>Bộ</v>
      </c>
      <c r="G2643" s="1287">
        <f>G2640*24*0</f>
        <v>0</v>
      </c>
      <c r="H2643" s="1353">
        <f t="shared" si="101"/>
        <v>0</v>
      </c>
      <c r="I2643" s="1277"/>
      <c r="J2643" s="1277"/>
      <c r="K2643" s="1278"/>
      <c r="L2643" s="1125">
        <v>2000</v>
      </c>
    </row>
    <row r="2644" spans="1:12" s="1279" customFormat="1" ht="20.100000000000001" customHeight="1">
      <c r="A2644" s="1377">
        <f t="shared" si="102"/>
        <v>0</v>
      </c>
      <c r="B2644" s="1582" t="s">
        <v>1918</v>
      </c>
      <c r="C2644" s="1286"/>
      <c r="D2644" s="1274" t="str">
        <f>VLOOKUP($B2644,DG!A:D,DG!$B$2,)</f>
        <v>03.4001</v>
      </c>
      <c r="E2644" s="1310" t="str">
        <f>VLOOKUP($B2644,DG!A:D,DG!$C$2,)</f>
        <v xml:space="preserve">Đầu cosse ép Cu 2,5mm2 + bao PVC </v>
      </c>
      <c r="F2644" s="1353" t="str">
        <f>VLOOKUP($B2644,DG!A:D,DG!$D$2,)</f>
        <v>cái</v>
      </c>
      <c r="G2644" s="1287">
        <f>G2640*16*0</f>
        <v>0</v>
      </c>
      <c r="H2644" s="1353">
        <f t="shared" si="101"/>
        <v>0</v>
      </c>
      <c r="I2644" s="1277"/>
      <c r="J2644" s="1277"/>
      <c r="K2644" s="1278"/>
      <c r="L2644" s="1125">
        <v>2000</v>
      </c>
    </row>
    <row r="2645" spans="1:12" s="1279" customFormat="1" ht="20.100000000000001" customHeight="1">
      <c r="A2645" s="1377">
        <f t="shared" si="102"/>
        <v>0</v>
      </c>
      <c r="B2645" s="1582" t="s">
        <v>1562</v>
      </c>
      <c r="C2645" s="1286"/>
      <c r="D2645" s="1274">
        <f>VLOOKUP($B2645,DG!A:D,DG!$B$2,)</f>
        <v>0</v>
      </c>
      <c r="E2645" s="1310" t="str">
        <f>VLOOKUP($B2645,DG!A:D,DG!$C$2,)</f>
        <v>Dây điện đôi 16/10</v>
      </c>
      <c r="F2645" s="1353" t="str">
        <f>VLOOKUP($B2645,DG!A:D,DG!$D$2,)</f>
        <v>mét</v>
      </c>
      <c r="G2645" s="1287">
        <f>6*G2640*0</f>
        <v>0</v>
      </c>
      <c r="H2645" s="1353">
        <f t="shared" si="101"/>
        <v>0</v>
      </c>
      <c r="I2645" s="1277"/>
      <c r="J2645" s="1277"/>
      <c r="K2645" s="1278"/>
      <c r="L2645" s="1125">
        <v>2000</v>
      </c>
    </row>
    <row r="2646" spans="1:12" s="1279" customFormat="1" ht="20.100000000000001" customHeight="1">
      <c r="A2646" s="1377">
        <f t="shared" si="102"/>
        <v>0</v>
      </c>
      <c r="B2646" s="1582" t="s">
        <v>1144</v>
      </c>
      <c r="C2646" s="1286"/>
      <c r="D2646" s="1274">
        <f>VLOOKUP($B2646,DG!A:D,DG!$B$2,)</f>
        <v>0</v>
      </c>
      <c r="E2646" s="1310" t="str">
        <f>VLOOKUP($B2646,DG!A:D,DG!$C$2,)&amp;" (ñaáu TU)"</f>
        <v>Kẹp ép cỡ dây 25mm2 (ñaáu TU)</v>
      </c>
      <c r="F2646" s="1353" t="str">
        <f>VLOOKUP($B2646,DG!A:D,DG!$D$2,)</f>
        <v>cái</v>
      </c>
      <c r="G2646" s="1287">
        <f>+G2640*3*0</f>
        <v>0</v>
      </c>
      <c r="H2646" s="1353">
        <f t="shared" si="101"/>
        <v>0</v>
      </c>
      <c r="I2646" s="1277"/>
      <c r="J2646" s="1277"/>
      <c r="K2646" s="1278"/>
      <c r="L2646" s="1125">
        <v>2000</v>
      </c>
    </row>
    <row r="2647" spans="1:12" s="1279" customFormat="1" ht="20.100000000000001" customHeight="1">
      <c r="A2647" s="1377">
        <f t="shared" si="102"/>
        <v>0</v>
      </c>
      <c r="B2647" s="1582" t="s">
        <v>2203</v>
      </c>
      <c r="C2647" s="1286"/>
      <c r="D2647" s="1274" t="str">
        <f>VLOOKUP($B2647,DG!A:D,DG!$B$2,)</f>
        <v>07.2403</v>
      </c>
      <c r="E2647" s="1310" t="str">
        <f>VLOOKUP($B2647,DG!A:D,DG!$C$2,)</f>
        <v>Ống PVC D42x2,1mm</v>
      </c>
      <c r="F2647" s="1353" t="str">
        <f>VLOOKUP($B2647,DG!A:D,DG!$D$2,)</f>
        <v>m</v>
      </c>
      <c r="G2647" s="1287">
        <f>G2658*6</f>
        <v>0</v>
      </c>
      <c r="H2647" s="1353">
        <f t="shared" si="101"/>
        <v>0</v>
      </c>
      <c r="I2647" s="1277"/>
      <c r="J2647" s="1277"/>
      <c r="K2647" s="1278"/>
      <c r="L2647" s="1125">
        <v>2000</v>
      </c>
    </row>
    <row r="2648" spans="1:12" s="1279" customFormat="1" ht="20.100000000000001" customHeight="1">
      <c r="A2648" s="1377">
        <f t="shared" si="102"/>
        <v>0</v>
      </c>
      <c r="B2648" s="1378" t="s">
        <v>205</v>
      </c>
      <c r="C2648" s="1286"/>
      <c r="D2648" s="1274" t="str">
        <f>VLOOKUP($B2648,DG!A:D,DG!$B$2,)</f>
        <v>06.3231</v>
      </c>
      <c r="E2648" s="1310" t="str">
        <f>VLOOKUP($B2648,DG!A:D,DG!$C$2,)</f>
        <v>Cổ dê giữ ống PVC D42</v>
      </c>
      <c r="F2648" s="1353" t="str">
        <f>VLOOKUP($B2648,DG!A:D,DG!$D$2,)</f>
        <v>bộ</v>
      </c>
      <c r="G2648" s="1287">
        <f>G2640*4</f>
        <v>0</v>
      </c>
      <c r="H2648" s="1353">
        <f t="shared" si="101"/>
        <v>0</v>
      </c>
      <c r="I2648" s="1277"/>
      <c r="J2648" s="1277"/>
      <c r="K2648" s="1278"/>
      <c r="L2648" s="1125">
        <v>2000</v>
      </c>
    </row>
    <row r="2649" spans="1:12" s="1279" customFormat="1" ht="20.100000000000001" customHeight="1">
      <c r="A2649" s="1377">
        <f t="shared" si="102"/>
        <v>0</v>
      </c>
      <c r="B2649" s="1582" t="s">
        <v>1668</v>
      </c>
      <c r="C2649" s="1286"/>
      <c r="D2649" s="1274">
        <f>VLOOKUP($B2649,DG!A:D,DG!$B$2,)</f>
        <v>0</v>
      </c>
      <c r="E2649" s="1310" t="str">
        <f>VLOOKUP($B2649,DG!A:D,DG!$C$2,)</f>
        <v>Co 90 độ PVC 42</v>
      </c>
      <c r="F2649" s="1353" t="str">
        <f>VLOOKUP($B2649,DG!A:D,DG!$D$2,)</f>
        <v>cái</v>
      </c>
      <c r="G2649" s="1287">
        <f>G2640*4</f>
        <v>0</v>
      </c>
      <c r="H2649" s="1353">
        <f t="shared" si="101"/>
        <v>0</v>
      </c>
      <c r="I2649" s="1277"/>
      <c r="J2649" s="1277"/>
      <c r="K2649" s="1278"/>
      <c r="L2649" s="1125">
        <v>2000</v>
      </c>
    </row>
    <row r="2650" spans="1:12" s="1279" customFormat="1" ht="20.100000000000001" customHeight="1">
      <c r="A2650" s="1377">
        <f t="shared" si="102"/>
        <v>0</v>
      </c>
      <c r="B2650" s="1582" t="s">
        <v>1080</v>
      </c>
      <c r="C2650" s="1286"/>
      <c r="D2650" s="1274">
        <f>VLOOKUP($B2650,DG!A:D,DG!$B$2,)</f>
        <v>0</v>
      </c>
      <c r="E2650" s="1310" t="str">
        <f>VLOOKUP($B2650,DG!A:D,DG!$C$2,)</f>
        <v>Co chữ T ống PVC 42</v>
      </c>
      <c r="F2650" s="1353" t="str">
        <f>VLOOKUP($B2650,DG!A:D,DG!$D$2,)</f>
        <v>cái</v>
      </c>
      <c r="G2650" s="1287">
        <f>G2640*5*0</f>
        <v>0</v>
      </c>
      <c r="H2650" s="1353">
        <f t="shared" si="101"/>
        <v>0</v>
      </c>
      <c r="I2650" s="1277"/>
      <c r="J2650" s="1277"/>
      <c r="K2650" s="1278"/>
      <c r="L2650" s="1125">
        <v>2000</v>
      </c>
    </row>
    <row r="2651" spans="1:12" s="1279" customFormat="1" ht="20.100000000000001" customHeight="1">
      <c r="A2651" s="1377">
        <f t="shared" si="102"/>
        <v>0</v>
      </c>
      <c r="B2651" s="1582" t="s">
        <v>1966</v>
      </c>
      <c r="C2651" s="1286"/>
      <c r="D2651" s="1274">
        <f>VLOOKUP($B2651,DG!A:D,DG!$B$2,)</f>
        <v>0</v>
      </c>
      <c r="E2651" s="1310" t="str">
        <f>VLOOKUP($B2651,DG!A:D,DG!$C$2,)</f>
        <v>Nối thẳng ống PVC 42</v>
      </c>
      <c r="F2651" s="1353" t="str">
        <f>VLOOKUP($B2651,DG!A:D,DG!$D$2,)</f>
        <v>cái</v>
      </c>
      <c r="G2651" s="1287">
        <f>G2640*0</f>
        <v>0</v>
      </c>
      <c r="H2651" s="1353">
        <f t="shared" si="101"/>
        <v>0</v>
      </c>
      <c r="I2651" s="1277"/>
      <c r="J2651" s="1277"/>
      <c r="K2651" s="1278"/>
      <c r="L2651" s="1125">
        <v>2000</v>
      </c>
    </row>
    <row r="2652" spans="1:12" s="1279" customFormat="1" ht="20.100000000000001" customHeight="1">
      <c r="A2652" s="1377">
        <f t="shared" si="102"/>
        <v>0</v>
      </c>
      <c r="B2652" s="1582" t="s">
        <v>704</v>
      </c>
      <c r="C2652" s="1286"/>
      <c r="D2652" s="1274">
        <f>VLOOKUP($B2652,DG!A:D,DG!$B$2,)</f>
        <v>0</v>
      </c>
      <c r="E2652" s="1310" t="str">
        <f>VLOOKUP($B2652,DG!A:D,DG!$C$2,)&amp;" ñaáu TU"</f>
        <v>Cáp 24KV C/XLPE/PVC 25mm2 ñaáu TU</v>
      </c>
      <c r="F2652" s="1353" t="str">
        <f>VLOOKUP($B2652,DG!A:D,DG!$D$2,)</f>
        <v>mét</v>
      </c>
      <c r="G2652" s="1348">
        <f>G2640*2.5*3*0</f>
        <v>0</v>
      </c>
      <c r="H2652" s="1353">
        <f t="shared" si="101"/>
        <v>0</v>
      </c>
      <c r="I2652" s="1277"/>
      <c r="J2652" s="1277"/>
      <c r="K2652" s="1278"/>
      <c r="L2652" s="1125">
        <v>2000</v>
      </c>
    </row>
    <row r="2653" spans="1:12" s="1279" customFormat="1" ht="20.100000000000001" customHeight="1">
      <c r="A2653" s="1377">
        <f t="shared" si="102"/>
        <v>0</v>
      </c>
      <c r="B2653" s="1582" t="s">
        <v>734</v>
      </c>
      <c r="C2653" s="1286"/>
      <c r="D2653" s="1274">
        <f>VLOOKUP($B2653,DG!A:D,DG!$B$2,)</f>
        <v>0</v>
      </c>
      <c r="E2653" s="1310" t="str">
        <f>VLOOKUP($B2653,DG!A:D,DG!$C$2,)</f>
        <v>Keo dán ống PVC (500gr)</v>
      </c>
      <c r="F2653" s="1353" t="str">
        <f>VLOOKUP($B2653,DG!A:D,DG!$D$2,)</f>
        <v>lon</v>
      </c>
      <c r="G2653" s="1287">
        <f>G2640</f>
        <v>0</v>
      </c>
      <c r="H2653" s="1353">
        <f t="shared" si="101"/>
        <v>0</v>
      </c>
      <c r="I2653" s="1277"/>
      <c r="J2653" s="1277"/>
      <c r="K2653" s="1278"/>
      <c r="L2653" s="1125">
        <v>2000</v>
      </c>
    </row>
    <row r="2654" spans="1:12" s="1279" customFormat="1" ht="20.100000000000001" customHeight="1">
      <c r="A2654" s="1377">
        <f t="shared" si="102"/>
        <v>0</v>
      </c>
      <c r="B2654" s="1378" t="s">
        <v>677</v>
      </c>
      <c r="C2654" s="1286"/>
      <c r="D2654" s="1274">
        <f>VLOOKUP($B2654,DG!A:D,DG!$B$2,)</f>
        <v>0</v>
      </c>
      <c r="E2654" s="1310" t="str">
        <f>VLOOKUP($B2654,DG!A:D,DG!$C$2,)</f>
        <v>Băng keo cách điện</v>
      </c>
      <c r="F2654" s="1353" t="str">
        <f>VLOOKUP($B2654,DG!A:D,DG!$D$2,)</f>
        <v>cuộn</v>
      </c>
      <c r="G2654" s="1287">
        <f>G2640</f>
        <v>0</v>
      </c>
      <c r="H2654" s="1353">
        <f t="shared" si="101"/>
        <v>0</v>
      </c>
      <c r="I2654" s="1277"/>
      <c r="J2654" s="1277"/>
      <c r="K2654" s="1278"/>
      <c r="L2654" s="1125">
        <v>2000</v>
      </c>
    </row>
    <row r="2655" spans="1:12" s="1279" customFormat="1" ht="20.100000000000001" customHeight="1">
      <c r="A2655" s="1377">
        <f t="shared" si="102"/>
        <v>0</v>
      </c>
      <c r="B2655" s="1582" t="s">
        <v>2182</v>
      </c>
      <c r="C2655" s="1286"/>
      <c r="D2655" s="1274">
        <f>VLOOKUP($B2655,DG!A:D,DG!$B$2,)</f>
        <v>0</v>
      </c>
      <c r="E2655" s="1310" t="str">
        <f>VLOOKUP($B2655,DG!A:D,DG!$C$2,)</f>
        <v>Khâu ven răng trong D42</v>
      </c>
      <c r="F2655" s="1353" t="str">
        <f>VLOOKUP($B2655,DG!A:D,DG!$D$2,)</f>
        <v>cái</v>
      </c>
      <c r="G2655" s="1287">
        <f>G2640*2</f>
        <v>0</v>
      </c>
      <c r="H2655" s="1353">
        <f t="shared" si="101"/>
        <v>0</v>
      </c>
      <c r="I2655" s="1277"/>
      <c r="J2655" s="1277"/>
      <c r="K2655" s="1278"/>
      <c r="L2655" s="1125">
        <v>2000</v>
      </c>
    </row>
    <row r="2656" spans="1:12" s="1279" customFormat="1" ht="20.100000000000001" customHeight="1">
      <c r="A2656" s="1377">
        <f t="shared" si="102"/>
        <v>0</v>
      </c>
      <c r="B2656" s="1378" t="s">
        <v>989</v>
      </c>
      <c r="C2656" s="1286"/>
      <c r="D2656" s="1274">
        <f>VLOOKUP($B2656,DG!A:D,DG!$B$2,)</f>
        <v>0</v>
      </c>
      <c r="E2656" s="1310" t="str">
        <f>VLOOKUP($B2656,DG!A:D,DG!$C$2,)</f>
        <v>Khâu ven răng ngoài D42</v>
      </c>
      <c r="F2656" s="1353" t="str">
        <f>VLOOKUP($B2656,DG!A:D,DG!$D$2,)</f>
        <v>cái</v>
      </c>
      <c r="G2656" s="1287">
        <f>G2640*2</f>
        <v>0</v>
      </c>
      <c r="H2656" s="1353">
        <f t="shared" si="101"/>
        <v>0</v>
      </c>
      <c r="I2656" s="1277"/>
      <c r="J2656" s="1277"/>
      <c r="K2656" s="1278"/>
      <c r="L2656" s="1125">
        <v>2000</v>
      </c>
    </row>
    <row r="2657" spans="1:12" s="1279" customFormat="1" ht="20.100000000000001" customHeight="1">
      <c r="A2657" s="1377">
        <f t="shared" si="102"/>
        <v>0</v>
      </c>
      <c r="B2657" s="1378" t="s">
        <v>320</v>
      </c>
      <c r="C2657" s="1286"/>
      <c r="D2657" s="1274" t="str">
        <f>VLOOKUP($B2657,DG!A:D,DG!$B$2,)</f>
        <v>06.3231</v>
      </c>
      <c r="E2657" s="1310" t="str">
        <f>VLOOKUP($B2657,DG!A:D,DG!$C$2,)</f>
        <v>Cổ dê CDĐKĐT( bắt thùng điện kế)</v>
      </c>
      <c r="F2657" s="1353" t="str">
        <f>VLOOKUP($B2657,DG!A:D,DG!$D$2,)</f>
        <v>bộ</v>
      </c>
      <c r="G2657" s="1287">
        <f>G2640*2*0</f>
        <v>0</v>
      </c>
      <c r="H2657" s="1353">
        <f t="shared" si="101"/>
        <v>0</v>
      </c>
      <c r="I2657" s="1277"/>
      <c r="J2657" s="1277"/>
      <c r="K2657" s="1278"/>
      <c r="L2657" s="1125">
        <v>2000</v>
      </c>
    </row>
    <row r="2658" spans="1:12" s="1279" customFormat="1" ht="20.100000000000001" customHeight="1">
      <c r="A2658" s="1377">
        <f t="shared" si="102"/>
        <v>0</v>
      </c>
      <c r="B2658" s="1378" t="s">
        <v>1968</v>
      </c>
      <c r="C2658" s="1286"/>
      <c r="D2658" s="1274" t="str">
        <f>VLOOKUP($B2658,DG!A:D,DG!$B$2,)</f>
        <v>05.1101</v>
      </c>
      <c r="E2658" s="1310" t="str">
        <f>VLOOKUP($B2658,DG!A:D,DG!$C$2,)</f>
        <v>Thùng điện kế 450x300x200mm đo đếm trung thế</v>
      </c>
      <c r="F2658" s="1353" t="str">
        <f>VLOOKUP($B2658,DG!A:D,DG!$D$2,)</f>
        <v>cái</v>
      </c>
      <c r="G2658" s="1287">
        <f>G2640</f>
        <v>0</v>
      </c>
      <c r="H2658" s="1353">
        <f t="shared" si="101"/>
        <v>0</v>
      </c>
      <c r="I2658" s="1277"/>
      <c r="J2658" s="1277"/>
      <c r="K2658" s="1278"/>
      <c r="L2658" s="1125">
        <v>2000</v>
      </c>
    </row>
    <row r="2659" spans="1:12" s="1279" customFormat="1" ht="20.100000000000001" customHeight="1">
      <c r="A2659" s="1377">
        <f t="shared" si="102"/>
        <v>0</v>
      </c>
      <c r="B2659" s="1378" t="s">
        <v>6</v>
      </c>
      <c r="C2659" s="1286"/>
      <c r="D2659" s="1274">
        <f>VLOOKUP($B2659,DG!A:D,DG!$B$2,)</f>
        <v>0</v>
      </c>
      <c r="E2659" s="1310" t="str">
        <f>VLOOKUP($B2659,DG!A:D,DG!$C$2,)</f>
        <v>Keo silicon bít miệng ống</v>
      </c>
      <c r="F2659" s="1353" t="str">
        <f>VLOOKUP($B2659,DG!A:D,DG!$D$2,)</f>
        <v>ống</v>
      </c>
      <c r="G2659" s="1287">
        <f>G2640*2</f>
        <v>0</v>
      </c>
      <c r="H2659" s="1353">
        <f t="shared" si="101"/>
        <v>0</v>
      </c>
      <c r="I2659" s="1277"/>
      <c r="J2659" s="1277"/>
      <c r="K2659" s="1278"/>
      <c r="L2659" s="1125">
        <v>2000</v>
      </c>
    </row>
    <row r="2660" spans="1:12" s="1279" customFormat="1" ht="20.100000000000001" customHeight="1">
      <c r="A2660" s="1377">
        <f t="shared" si="102"/>
        <v>0</v>
      </c>
      <c r="B2660" s="1378" t="s">
        <v>2201</v>
      </c>
      <c r="C2660" s="1286"/>
      <c r="D2660" s="1274">
        <f>VLOOKUP($B2660,DG!A:D,DG!$B$2,)</f>
        <v>0</v>
      </c>
      <c r="E2660" s="1310" t="str">
        <f>VLOOKUP($B2660,DG!A:D,DG!$C$2,)</f>
        <v>Dây đồng trần mềm dẹt</v>
      </c>
      <c r="F2660" s="1353" t="str">
        <f>VLOOKUP($B2660,DG!A:D,DG!$D$2,)</f>
        <v>mét</v>
      </c>
      <c r="G2660" s="1287">
        <f>G2640*4</f>
        <v>0</v>
      </c>
      <c r="H2660" s="1353">
        <f t="shared" si="101"/>
        <v>0</v>
      </c>
      <c r="I2660" s="1277"/>
      <c r="J2660" s="1277"/>
      <c r="K2660" s="1278"/>
      <c r="L2660" s="1125">
        <v>2000</v>
      </c>
    </row>
    <row r="2661" spans="1:12" s="1279" customFormat="1" ht="20.100000000000001" customHeight="1">
      <c r="A2661" s="1377">
        <f t="shared" si="102"/>
        <v>0</v>
      </c>
      <c r="B2661" s="1378" t="s">
        <v>1065</v>
      </c>
      <c r="C2661" s="1286"/>
      <c r="D2661" s="1274">
        <v>0</v>
      </c>
      <c r="E2661" s="1310" t="str">
        <f>VLOOKUP($B2661,DG!A:D,DG!$C$2,)&amp;" : 2 thanh daøi 0,5m"</f>
        <v>Sắt góc L50 x50 x5 : 2 thanh daøi 0,5m</v>
      </c>
      <c r="F2661" s="1353" t="str">
        <f>VLOOKUP($B2661,DG!A:D,DG!$D$2,)</f>
        <v>kg</v>
      </c>
      <c r="G2661" s="1276">
        <f>3.77*G2640</f>
        <v>0</v>
      </c>
      <c r="H2661" s="1353">
        <f t="shared" si="101"/>
        <v>0</v>
      </c>
      <c r="I2661" s="1277"/>
      <c r="J2661" s="1277"/>
      <c r="K2661" s="1278"/>
      <c r="L2661" s="1125">
        <v>2000</v>
      </c>
    </row>
    <row r="2662" spans="1:12" s="1279" customFormat="1" ht="20.100000000000001" customHeight="1">
      <c r="A2662" s="1377">
        <f t="shared" si="102"/>
        <v>0</v>
      </c>
      <c r="B2662" s="1378" t="s">
        <v>1383</v>
      </c>
      <c r="C2662" s="1286"/>
      <c r="D2662" s="1274">
        <v>0</v>
      </c>
      <c r="E2662" s="1372" t="str">
        <f>VLOOKUP($B2662,DG!A:D,DG!$C$2,)&amp;" baét thuøng ÑKÑT"</f>
        <v>Boulon 12x60+ 2 long đền vuông D14-50x50x3/Zn baét thuøng ÑKÑT</v>
      </c>
      <c r="F2662" s="1353" t="str">
        <f>VLOOKUP($B2662,DG!A:D,DG!$D$2,)</f>
        <v>bộ</v>
      </c>
      <c r="G2662" s="1287">
        <f>4*G2640</f>
        <v>0</v>
      </c>
      <c r="H2662" s="1353">
        <f t="shared" si="101"/>
        <v>0</v>
      </c>
      <c r="I2662" s="1277"/>
      <c r="J2662" s="1277"/>
      <c r="K2662" s="1278"/>
      <c r="L2662" s="1125">
        <v>2000</v>
      </c>
    </row>
    <row r="2663" spans="1:12" s="1279" customFormat="1" ht="20.100000000000001" customHeight="1">
      <c r="A2663" s="1377">
        <f t="shared" si="102"/>
        <v>0</v>
      </c>
      <c r="B2663" s="1378" t="s">
        <v>6</v>
      </c>
      <c r="C2663" s="1319"/>
      <c r="D2663" s="1320"/>
      <c r="E2663" s="1306" t="s">
        <v>3861</v>
      </c>
      <c r="F2663" s="1306"/>
      <c r="G2663" s="1321"/>
      <c r="H2663" s="1353">
        <f t="shared" si="101"/>
        <v>0</v>
      </c>
      <c r="I2663" s="1306"/>
      <c r="J2663" s="1306"/>
      <c r="K2663" s="1354"/>
      <c r="L2663" s="1125">
        <v>2000</v>
      </c>
    </row>
    <row r="2664" spans="1:12" s="1279" customFormat="1" ht="20.100000000000001" customHeight="1">
      <c r="A2664" s="1377">
        <f t="shared" si="102"/>
        <v>0</v>
      </c>
      <c r="B2664" s="1378" t="s">
        <v>1971</v>
      </c>
      <c r="C2664" s="1286"/>
      <c r="D2664" s="1274" t="str">
        <f>VLOOKUP($B2664,DG!A:D,DG!$B$2,)</f>
        <v>06.3241</v>
      </c>
      <c r="E2664" s="1310" t="s">
        <v>2524</v>
      </c>
      <c r="F2664" s="1353" t="str">
        <f>VLOOKUP($B2664,DG!A:D,DG!$D$2,)</f>
        <v>bộ</v>
      </c>
      <c r="G2664" s="1287"/>
      <c r="H2664" s="1353">
        <f t="shared" si="101"/>
        <v>0</v>
      </c>
      <c r="I2664" s="1277"/>
      <c r="J2664" s="1277"/>
      <c r="K2664" s="1278"/>
      <c r="L2664" s="1125">
        <v>2000</v>
      </c>
    </row>
    <row r="2665" spans="1:12" s="1279" customFormat="1" ht="20.100000000000001" customHeight="1">
      <c r="A2665" s="1377">
        <f t="shared" si="102"/>
        <v>0</v>
      </c>
      <c r="B2665" s="1378" t="s">
        <v>817</v>
      </c>
      <c r="C2665" s="1286"/>
      <c r="D2665" s="1274" t="str">
        <f>VLOOKUP($B2665,DG!A:D,DG!$B$2,)</f>
        <v>05.6011</v>
      </c>
      <c r="E2665" s="1310" t="s">
        <v>2525</v>
      </c>
      <c r="F2665" s="1353" t="str">
        <f>VLOOKUP($B2665,DG!A:D,DG!$D$2,)</f>
        <v>bộ</v>
      </c>
      <c r="G2665" s="1276"/>
      <c r="H2665" s="1353">
        <f t="shared" si="101"/>
        <v>0</v>
      </c>
      <c r="I2665" s="1277"/>
      <c r="J2665" s="1277"/>
      <c r="K2665" s="1278"/>
      <c r="L2665" s="1125">
        <v>2000</v>
      </c>
    </row>
    <row r="2666" spans="1:12" s="1279" customFormat="1" ht="20.100000000000001" customHeight="1">
      <c r="A2666" s="1377">
        <f t="shared" si="102"/>
        <v>0</v>
      </c>
      <c r="B2666" s="1378" t="s">
        <v>1383</v>
      </c>
      <c r="C2666" s="1294"/>
      <c r="D2666" s="1295">
        <f>VLOOKUP($B2666,DG!A:D,DG!$B$2,)</f>
        <v>0</v>
      </c>
      <c r="E2666" s="1374" t="str">
        <f>VLOOKUP($B2666,DG!A:D,DG!$C$2,)&amp;" baét thuøng ÑKÑT"</f>
        <v>Boulon 12x60+ 2 long đền vuông D14-50x50x3/Zn baét thuøng ÑKÑT</v>
      </c>
      <c r="F2666" s="1375" t="str">
        <f>VLOOKUP($B2666,DG!A:D,DG!$D$2,)</f>
        <v>bộ</v>
      </c>
      <c r="G2666" s="1297">
        <f>4*G2644</f>
        <v>0</v>
      </c>
      <c r="H2666" s="1353">
        <f t="shared" si="101"/>
        <v>0</v>
      </c>
      <c r="I2666" s="1376"/>
      <c r="J2666" s="1376"/>
      <c r="K2666" s="1298"/>
      <c r="L2666" s="1125">
        <v>2000</v>
      </c>
    </row>
    <row r="2667" spans="1:12" s="1279" customFormat="1" ht="20.100000000000001" customHeight="1">
      <c r="A2667" s="1377">
        <v>1</v>
      </c>
      <c r="B2667" s="1378"/>
      <c r="C2667" s="1373"/>
      <c r="D2667" s="1356"/>
      <c r="E2667" s="1306"/>
      <c r="F2667" s="1357"/>
      <c r="G2667" s="1358"/>
      <c r="H2667" s="1357"/>
      <c r="I2667" s="1359"/>
      <c r="J2667" s="1359"/>
      <c r="K2667" s="1379"/>
      <c r="L2667" s="1125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5" priority="14"/>
  </conditionalFormatting>
  <conditionalFormatting sqref="B1256">
    <cfRule type="duplicateValues" dxfId="84" priority="13"/>
  </conditionalFormatting>
  <conditionalFormatting sqref="B1257">
    <cfRule type="duplicateValues" dxfId="83" priority="12"/>
  </conditionalFormatting>
  <conditionalFormatting sqref="B1257">
    <cfRule type="duplicateValues" dxfId="82" priority="11"/>
  </conditionalFormatting>
  <conditionalFormatting sqref="B1301">
    <cfRule type="duplicateValues" dxfId="81" priority="10"/>
  </conditionalFormatting>
  <conditionalFormatting sqref="B1301">
    <cfRule type="duplicateValues" dxfId="80" priority="9"/>
  </conditionalFormatting>
  <conditionalFormatting sqref="B1335">
    <cfRule type="duplicateValues" dxfId="79" priority="8"/>
  </conditionalFormatting>
  <conditionalFormatting sqref="B1335">
    <cfRule type="duplicateValues" dxfId="78" priority="7"/>
  </conditionalFormatting>
  <conditionalFormatting sqref="B1340">
    <cfRule type="duplicateValues" dxfId="77" priority="6"/>
  </conditionalFormatting>
  <conditionalFormatting sqref="B1340">
    <cfRule type="duplicateValues" dxfId="76" priority="5"/>
  </conditionalFormatting>
  <conditionalFormatting sqref="B1341">
    <cfRule type="duplicateValues" dxfId="75" priority="4"/>
  </conditionalFormatting>
  <conditionalFormatting sqref="B1341">
    <cfRule type="duplicateValues" dxfId="74" priority="3"/>
  </conditionalFormatting>
  <conditionalFormatting sqref="B1299">
    <cfRule type="duplicateValues" dxfId="73" priority="2"/>
  </conditionalFormatting>
  <conditionalFormatting sqref="B1299">
    <cfRule type="duplicateValues" dxfId="72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topLeftCell="A58" workbookViewId="0">
      <selection activeCell="F140" sqref="F140"/>
    </sheetView>
  </sheetViews>
  <sheetFormatPr defaultRowHeight="16.8"/>
  <cols>
    <col min="3" max="3" width="11.36328125" customWidth="1"/>
    <col min="5" max="5" width="10.36328125" customWidth="1"/>
    <col min="6" max="6" width="56.90625" style="2295" customWidth="1"/>
    <col min="8" max="8" width="8.81640625" customWidth="1"/>
    <col min="9" max="9" width="13.08984375" customWidth="1"/>
    <col min="14" max="14" width="12.54296875" customWidth="1"/>
  </cols>
  <sheetData>
    <row r="1" spans="1:24" s="1516" customFormat="1" ht="22.5" customHeight="1">
      <c r="E1" s="2322" t="s">
        <v>4947</v>
      </c>
      <c r="F1" s="2324"/>
      <c r="G1" s="1510"/>
      <c r="H1" s="1510"/>
      <c r="I1" s="1510"/>
      <c r="J1" s="1510"/>
      <c r="K1" s="1510"/>
      <c r="L1" s="1510"/>
      <c r="M1" s="1510"/>
    </row>
    <row r="2" spans="1:24" s="1516" customFormat="1" ht="22.5" customHeight="1">
      <c r="E2" s="2323" t="e">
        <f>"Công trình: "&amp;WORD!#REF!</f>
        <v>#REF!</v>
      </c>
      <c r="F2" s="2324"/>
      <c r="G2" s="1510"/>
      <c r="H2" s="1510"/>
      <c r="I2" s="1510"/>
      <c r="J2" s="1510"/>
      <c r="K2" s="1510"/>
      <c r="L2" s="1510"/>
      <c r="M2" s="1510"/>
    </row>
    <row r="3" spans="1:24" s="1516" customFormat="1" ht="22.5" customHeight="1">
      <c r="E3" s="1072" t="e">
        <f>"Địa điểm: "&amp;WORD!#REF!</f>
        <v>#REF!</v>
      </c>
      <c r="F3" s="2324"/>
      <c r="G3" s="1510"/>
      <c r="H3" s="1510"/>
      <c r="I3" s="1510"/>
      <c r="J3" s="1510"/>
      <c r="K3" s="1510"/>
      <c r="L3" s="1510"/>
      <c r="M3" s="1510"/>
    </row>
    <row r="4" spans="1:24" s="2296" customFormat="1">
      <c r="A4" s="2296" t="s">
        <v>515</v>
      </c>
      <c r="B4" s="2296" t="s">
        <v>515</v>
      </c>
      <c r="C4" s="2296" t="s">
        <v>2347</v>
      </c>
      <c r="D4" s="2296" t="s">
        <v>515</v>
      </c>
      <c r="E4" s="2315" t="s">
        <v>2384</v>
      </c>
      <c r="F4" s="2402" t="s">
        <v>2344</v>
      </c>
      <c r="G4" s="2315" t="s">
        <v>2345</v>
      </c>
      <c r="H4" s="2315" t="s">
        <v>2346</v>
      </c>
      <c r="I4" s="2315" t="s">
        <v>4478</v>
      </c>
      <c r="J4" s="2315"/>
      <c r="K4" s="2315"/>
      <c r="L4" s="2315"/>
      <c r="M4" s="2315" t="s">
        <v>2664</v>
      </c>
      <c r="N4" s="2296" t="s">
        <v>4588</v>
      </c>
      <c r="P4" s="2296" t="s">
        <v>515</v>
      </c>
      <c r="Q4" s="2296" t="s">
        <v>515</v>
      </c>
      <c r="R4" s="2296" t="s">
        <v>515</v>
      </c>
      <c r="S4" s="2296" t="s">
        <v>515</v>
      </c>
      <c r="T4" s="2296" t="s">
        <v>515</v>
      </c>
      <c r="U4" s="2296" t="s">
        <v>515</v>
      </c>
      <c r="V4" s="2296" t="s">
        <v>515</v>
      </c>
      <c r="W4" s="2296" t="s">
        <v>515</v>
      </c>
      <c r="X4" s="2296" t="s">
        <v>515</v>
      </c>
    </row>
    <row r="5" spans="1:24" s="2314" customFormat="1" ht="30.75" customHeight="1">
      <c r="D5" s="2314" t="s">
        <v>515</v>
      </c>
      <c r="E5" s="2316" t="s">
        <v>5007</v>
      </c>
      <c r="F5" s="2403"/>
      <c r="G5" s="2316" t="s">
        <v>2348</v>
      </c>
      <c r="H5" s="2316" t="s">
        <v>2349</v>
      </c>
      <c r="I5" s="2316" t="s">
        <v>4477</v>
      </c>
      <c r="J5" s="2316" t="s">
        <v>4474</v>
      </c>
      <c r="K5" s="2316" t="s">
        <v>4731</v>
      </c>
      <c r="L5" s="2316" t="s">
        <v>4732</v>
      </c>
      <c r="M5" s="2316"/>
    </row>
    <row r="6" spans="1:24">
      <c r="D6" t="s">
        <v>515</v>
      </c>
      <c r="E6" s="902" t="s">
        <v>504</v>
      </c>
      <c r="F6" s="2317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318" t="s">
        <v>5383</v>
      </c>
      <c r="G7" s="2319" t="s">
        <v>2391</v>
      </c>
      <c r="H7" s="2319"/>
      <c r="I7" s="2319">
        <f>N7</f>
        <v>36</v>
      </c>
      <c r="J7" s="2319">
        <f>VLOOKUP(C7,BangKeTruDoc!B:E,4,0)</f>
        <v>36</v>
      </c>
      <c r="K7" s="2319">
        <f>J7-I7</f>
        <v>0</v>
      </c>
      <c r="L7" s="2319">
        <f>I7-J7</f>
        <v>0</v>
      </c>
      <c r="M7" s="902"/>
      <c r="N7">
        <v>36</v>
      </c>
    </row>
    <row r="8" spans="1:24">
      <c r="C8" t="s">
        <v>644</v>
      </c>
      <c r="D8" t="s">
        <v>515</v>
      </c>
      <c r="E8" s="902" t="s">
        <v>4978</v>
      </c>
      <c r="F8" s="2317" t="s">
        <v>5008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16">
        <v>36</v>
      </c>
      <c r="O8" s="1516"/>
    </row>
    <row r="9" spans="1:24">
      <c r="C9" t="s">
        <v>21</v>
      </c>
      <c r="D9" t="s">
        <v>515</v>
      </c>
      <c r="E9" s="902" t="s">
        <v>4979</v>
      </c>
      <c r="F9" s="2317" t="s">
        <v>5009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16">
        <v>36</v>
      </c>
      <c r="O9" s="1516"/>
    </row>
    <row r="10" spans="1:24">
      <c r="A10" t="s">
        <v>304</v>
      </c>
      <c r="C10" s="1516" t="str">
        <f>A10</f>
        <v>M12a</v>
      </c>
      <c r="D10" t="s">
        <v>515</v>
      </c>
      <c r="E10" s="902"/>
      <c r="F10" s="2318" t="s">
        <v>5384</v>
      </c>
      <c r="G10" s="2319" t="s">
        <v>2391</v>
      </c>
      <c r="H10" s="2319"/>
      <c r="I10" s="2319">
        <f>N10</f>
        <v>40</v>
      </c>
      <c r="J10" s="2319">
        <f>VLOOKUP(C10,BangKeTruDoc!B:E,4,0)</f>
        <v>40</v>
      </c>
      <c r="K10" s="2319">
        <f>J10-I10</f>
        <v>0</v>
      </c>
      <c r="L10" s="2319">
        <f>I10-J10</f>
        <v>0</v>
      </c>
      <c r="M10" s="902"/>
      <c r="N10" s="1516">
        <v>40</v>
      </c>
      <c r="O10" s="1516"/>
    </row>
    <row r="11" spans="1:24">
      <c r="C11" t="s">
        <v>641</v>
      </c>
      <c r="D11" t="s">
        <v>515</v>
      </c>
      <c r="E11" s="902" t="s">
        <v>4980</v>
      </c>
      <c r="F11" s="2317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0">N11*H11</f>
        <v>40</v>
      </c>
      <c r="K11" s="902"/>
      <c r="L11" s="902"/>
      <c r="M11" s="902"/>
      <c r="N11" s="1516">
        <v>40</v>
      </c>
      <c r="O11" s="1516"/>
    </row>
    <row r="12" spans="1:24">
      <c r="C12" t="s">
        <v>570</v>
      </c>
      <c r="D12" t="s">
        <v>515</v>
      </c>
      <c r="E12" s="902"/>
      <c r="F12" s="2317" t="s">
        <v>2738</v>
      </c>
      <c r="G12" s="902" t="s">
        <v>2503</v>
      </c>
      <c r="H12" s="902">
        <v>1</v>
      </c>
      <c r="I12" s="902">
        <f t="shared" ref="I12:I14" si="1">H12*N12</f>
        <v>40</v>
      </c>
      <c r="J12" s="902">
        <f t="shared" si="0"/>
        <v>40</v>
      </c>
      <c r="K12" s="902"/>
      <c r="L12" s="902"/>
      <c r="M12" s="902"/>
      <c r="N12" s="1516">
        <v>40</v>
      </c>
      <c r="O12" s="1516"/>
    </row>
    <row r="13" spans="1:24">
      <c r="C13" t="s">
        <v>4948</v>
      </c>
      <c r="D13" t="s">
        <v>515</v>
      </c>
      <c r="E13" s="902" t="s">
        <v>4981</v>
      </c>
      <c r="F13" s="2317" t="s">
        <v>5204</v>
      </c>
      <c r="G13" s="902" t="s">
        <v>873</v>
      </c>
      <c r="H13" s="902">
        <v>0.87</v>
      </c>
      <c r="I13" s="902">
        <f t="shared" si="1"/>
        <v>34.799999999999997</v>
      </c>
      <c r="J13" s="902">
        <f t="shared" si="0"/>
        <v>34.799999999999997</v>
      </c>
      <c r="K13" s="902"/>
      <c r="L13" s="902"/>
      <c r="M13" s="902"/>
      <c r="N13" s="1516">
        <v>40</v>
      </c>
      <c r="O13" s="1516"/>
    </row>
    <row r="14" spans="1:24">
      <c r="C14" t="s">
        <v>21</v>
      </c>
      <c r="D14" t="s">
        <v>515</v>
      </c>
      <c r="E14" s="902" t="s">
        <v>4979</v>
      </c>
      <c r="F14" s="2317" t="s">
        <v>5009</v>
      </c>
      <c r="G14" s="902" t="s">
        <v>873</v>
      </c>
      <c r="H14" s="902">
        <v>0.26100000000000001</v>
      </c>
      <c r="I14" s="902">
        <f t="shared" si="1"/>
        <v>10.440000000000001</v>
      </c>
      <c r="J14" s="902">
        <f t="shared" si="0"/>
        <v>10.440000000000001</v>
      </c>
      <c r="K14" s="902"/>
      <c r="L14" s="902"/>
      <c r="M14" s="902"/>
      <c r="N14" s="1516">
        <v>40</v>
      </c>
      <c r="O14" s="1516"/>
    </row>
    <row r="15" spans="1:24">
      <c r="A15" t="s">
        <v>2369</v>
      </c>
      <c r="C15" s="1516" t="str">
        <f>A15</f>
        <v>M12BT ĐÔI</v>
      </c>
      <c r="D15" t="s">
        <v>515</v>
      </c>
      <c r="E15" s="902"/>
      <c r="F15" s="2318" t="s">
        <v>2428</v>
      </c>
      <c r="G15" s="2319" t="s">
        <v>2391</v>
      </c>
      <c r="H15" s="2319"/>
      <c r="I15" s="2319">
        <f>N15</f>
        <v>10</v>
      </c>
      <c r="J15" s="2319">
        <f>VLOOKUP(C15,BangKeTruDoc!B:E,4,0)</f>
        <v>10</v>
      </c>
      <c r="K15" s="2319">
        <f>J15-I15</f>
        <v>0</v>
      </c>
      <c r="L15" s="2319">
        <f>I15-J15</f>
        <v>0</v>
      </c>
      <c r="M15" s="902"/>
      <c r="N15" s="1516">
        <v>10</v>
      </c>
      <c r="O15" s="1516"/>
    </row>
    <row r="16" spans="1:24">
      <c r="C16" t="s">
        <v>759</v>
      </c>
      <c r="D16" t="s">
        <v>515</v>
      </c>
      <c r="E16" s="902">
        <v>0</v>
      </c>
      <c r="F16" s="2317" t="s">
        <v>4757</v>
      </c>
      <c r="G16" s="902" t="s">
        <v>2310</v>
      </c>
      <c r="H16" s="902">
        <v>335</v>
      </c>
      <c r="I16" s="902">
        <f t="shared" ref="I16:I30" si="2">H16*N16</f>
        <v>3350</v>
      </c>
      <c r="J16" s="902">
        <f t="shared" ref="J16:J30" si="3">N16*H16</f>
        <v>3350</v>
      </c>
      <c r="K16" s="902"/>
      <c r="L16" s="902"/>
      <c r="M16" s="902"/>
      <c r="N16" s="1516">
        <v>10</v>
      </c>
      <c r="O16" s="1516"/>
    </row>
    <row r="17" spans="1:15">
      <c r="C17" s="1195" t="s">
        <v>4665</v>
      </c>
      <c r="D17" t="s">
        <v>515</v>
      </c>
      <c r="E17" s="902">
        <v>0</v>
      </c>
      <c r="F17" s="2317" t="s">
        <v>3082</v>
      </c>
      <c r="G17" s="902" t="s">
        <v>873</v>
      </c>
      <c r="H17" s="902">
        <v>0.53800000000000003</v>
      </c>
      <c r="I17" s="902">
        <f t="shared" si="2"/>
        <v>5.3800000000000008</v>
      </c>
      <c r="J17" s="902">
        <f t="shared" si="3"/>
        <v>5.3800000000000008</v>
      </c>
      <c r="K17" s="902"/>
      <c r="L17" s="902"/>
      <c r="M17" s="902"/>
      <c r="N17" s="1516">
        <v>10</v>
      </c>
      <c r="O17" s="1516"/>
    </row>
    <row r="18" spans="1:15">
      <c r="C18" t="s">
        <v>1865</v>
      </c>
      <c r="D18" t="s">
        <v>515</v>
      </c>
      <c r="E18" s="902">
        <v>0</v>
      </c>
      <c r="F18" s="2317" t="s">
        <v>3080</v>
      </c>
      <c r="G18" s="902" t="s">
        <v>873</v>
      </c>
      <c r="H18" s="902">
        <v>0.90800000000000003</v>
      </c>
      <c r="I18" s="902">
        <f t="shared" si="2"/>
        <v>9.08</v>
      </c>
      <c r="J18" s="902">
        <f t="shared" si="3"/>
        <v>9.08</v>
      </c>
      <c r="K18" s="902"/>
      <c r="L18" s="902"/>
      <c r="M18" s="902"/>
      <c r="N18" s="1516">
        <v>10</v>
      </c>
      <c r="O18" s="1516"/>
    </row>
    <row r="19" spans="1:15">
      <c r="C19" t="s">
        <v>2118</v>
      </c>
      <c r="D19" t="s">
        <v>515</v>
      </c>
      <c r="E19" s="902">
        <v>0</v>
      </c>
      <c r="F19" s="2317" t="s">
        <v>5010</v>
      </c>
      <c r="G19" s="902" t="s">
        <v>2310</v>
      </c>
      <c r="H19" s="902">
        <v>0.67500000000000004</v>
      </c>
      <c r="I19" s="902">
        <f t="shared" si="2"/>
        <v>6.75</v>
      </c>
      <c r="J19" s="902">
        <f t="shared" si="3"/>
        <v>6.75</v>
      </c>
      <c r="K19" s="902"/>
      <c r="L19" s="902"/>
      <c r="M19" s="902"/>
      <c r="N19" s="1516">
        <v>10</v>
      </c>
      <c r="O19" s="1516"/>
    </row>
    <row r="20" spans="1:15">
      <c r="C20" t="s">
        <v>4949</v>
      </c>
      <c r="D20" t="s">
        <v>515</v>
      </c>
      <c r="E20" s="902">
        <v>0</v>
      </c>
      <c r="F20" s="2317" t="s">
        <v>5011</v>
      </c>
      <c r="G20" s="902" t="s">
        <v>873</v>
      </c>
      <c r="H20" s="902">
        <v>1.5100000000000001E-2</v>
      </c>
      <c r="I20" s="902">
        <f t="shared" si="2"/>
        <v>0.151</v>
      </c>
      <c r="J20" s="902">
        <f t="shared" si="3"/>
        <v>0.151</v>
      </c>
      <c r="K20" s="902"/>
      <c r="L20" s="902"/>
      <c r="M20" s="902"/>
      <c r="N20" s="1516">
        <v>10</v>
      </c>
      <c r="O20" s="1516"/>
    </row>
    <row r="21" spans="1:15">
      <c r="C21" t="s">
        <v>4950</v>
      </c>
      <c r="D21" t="s">
        <v>515</v>
      </c>
      <c r="E21" s="902">
        <v>0</v>
      </c>
      <c r="F21" s="2317" t="s">
        <v>5012</v>
      </c>
      <c r="G21" s="902" t="s">
        <v>873</v>
      </c>
      <c r="H21" s="902">
        <v>9.4999999999999998E-3</v>
      </c>
      <c r="I21" s="902">
        <f t="shared" si="2"/>
        <v>9.5000000000000001E-2</v>
      </c>
      <c r="J21" s="902">
        <f t="shared" si="3"/>
        <v>9.5000000000000001E-2</v>
      </c>
      <c r="K21" s="902"/>
      <c r="L21" s="902"/>
      <c r="M21" s="902"/>
      <c r="N21" s="1516">
        <v>10</v>
      </c>
      <c r="O21" s="1516"/>
    </row>
    <row r="22" spans="1:15">
      <c r="C22" t="s">
        <v>4951</v>
      </c>
      <c r="D22" t="s">
        <v>515</v>
      </c>
      <c r="E22" s="902">
        <v>0</v>
      </c>
      <c r="F22" s="2317" t="s">
        <v>5013</v>
      </c>
      <c r="G22" s="902" t="s">
        <v>873</v>
      </c>
      <c r="H22" s="902">
        <v>3.56E-2</v>
      </c>
      <c r="I22" s="902">
        <f t="shared" si="2"/>
        <v>0.35599999999999998</v>
      </c>
      <c r="J22" s="902">
        <f t="shared" si="3"/>
        <v>0.35599999999999998</v>
      </c>
      <c r="K22" s="902"/>
      <c r="L22" s="902"/>
      <c r="M22" s="902"/>
      <c r="N22" s="1516">
        <v>10</v>
      </c>
      <c r="O22" s="1516"/>
    </row>
    <row r="23" spans="1:15">
      <c r="C23" t="s">
        <v>4952</v>
      </c>
      <c r="D23" t="s">
        <v>515</v>
      </c>
      <c r="E23" s="902" t="s">
        <v>4982</v>
      </c>
      <c r="F23" s="2317" t="s">
        <v>5362</v>
      </c>
      <c r="G23" s="902" t="s">
        <v>873</v>
      </c>
      <c r="H23" s="902">
        <v>1.93</v>
      </c>
      <c r="I23" s="902">
        <f t="shared" si="2"/>
        <v>19.3</v>
      </c>
      <c r="J23" s="902">
        <f t="shared" si="3"/>
        <v>19.3</v>
      </c>
      <c r="K23" s="902"/>
      <c r="L23" s="902"/>
      <c r="M23" s="902"/>
      <c r="N23" s="1516">
        <v>10</v>
      </c>
      <c r="O23" s="1516"/>
    </row>
    <row r="24" spans="1:15">
      <c r="C24" t="s">
        <v>21</v>
      </c>
      <c r="D24" t="s">
        <v>515</v>
      </c>
      <c r="E24" s="902" t="s">
        <v>4979</v>
      </c>
      <c r="F24" s="2317" t="s">
        <v>5009</v>
      </c>
      <c r="G24" s="902" t="s">
        <v>873</v>
      </c>
      <c r="H24" s="902">
        <v>0</v>
      </c>
      <c r="I24" s="902">
        <f t="shared" si="2"/>
        <v>0</v>
      </c>
      <c r="J24" s="902">
        <f t="shared" si="3"/>
        <v>0</v>
      </c>
      <c r="K24" s="902"/>
      <c r="L24" s="902"/>
      <c r="M24" s="902"/>
      <c r="N24" s="1516">
        <v>10</v>
      </c>
      <c r="O24" s="1516"/>
    </row>
    <row r="25" spans="1:15">
      <c r="C25" t="s">
        <v>1198</v>
      </c>
      <c r="D25" t="s">
        <v>515</v>
      </c>
      <c r="E25" s="902">
        <v>0</v>
      </c>
      <c r="F25" s="2317" t="s">
        <v>2728</v>
      </c>
      <c r="G25" s="902" t="s">
        <v>2503</v>
      </c>
      <c r="H25" s="902"/>
      <c r="I25" s="902">
        <f t="shared" si="2"/>
        <v>0</v>
      </c>
      <c r="J25" s="902">
        <f t="shared" si="3"/>
        <v>0</v>
      </c>
      <c r="K25" s="902"/>
      <c r="L25" s="902"/>
      <c r="M25" s="902"/>
      <c r="N25" s="1516">
        <v>10</v>
      </c>
      <c r="O25" s="1516"/>
    </row>
    <row r="26" spans="1:15">
      <c r="C26" t="s">
        <v>1414</v>
      </c>
      <c r="D26" t="s">
        <v>515</v>
      </c>
      <c r="E26" s="902">
        <v>0</v>
      </c>
      <c r="F26" s="2317" t="s">
        <v>2729</v>
      </c>
      <c r="G26" s="902" t="s">
        <v>2503</v>
      </c>
      <c r="H26" s="902">
        <v>1</v>
      </c>
      <c r="I26" s="902">
        <f t="shared" si="2"/>
        <v>10</v>
      </c>
      <c r="J26" s="902">
        <f t="shared" si="3"/>
        <v>10</v>
      </c>
      <c r="K26" s="902"/>
      <c r="L26" s="902"/>
      <c r="M26" s="902"/>
      <c r="N26" s="1516">
        <v>10</v>
      </c>
      <c r="O26" s="1516"/>
    </row>
    <row r="27" spans="1:15">
      <c r="C27" t="s">
        <v>1592</v>
      </c>
      <c r="D27" t="s">
        <v>515</v>
      </c>
      <c r="E27" s="902">
        <v>0</v>
      </c>
      <c r="F27" s="2317" t="s">
        <v>2731</v>
      </c>
      <c r="G27" s="902" t="s">
        <v>2503</v>
      </c>
      <c r="H27" s="902">
        <v>1</v>
      </c>
      <c r="I27" s="902">
        <f t="shared" si="2"/>
        <v>10</v>
      </c>
      <c r="J27" s="902">
        <f t="shared" si="3"/>
        <v>10</v>
      </c>
      <c r="K27" s="902"/>
      <c r="L27" s="902"/>
      <c r="M27" s="902"/>
      <c r="N27" s="1516">
        <v>10</v>
      </c>
      <c r="O27" s="1516"/>
    </row>
    <row r="28" spans="1:15">
      <c r="C28" t="s">
        <v>4953</v>
      </c>
      <c r="D28" t="s">
        <v>515</v>
      </c>
      <c r="E28" s="902">
        <v>0</v>
      </c>
      <c r="F28" s="2317" t="s">
        <v>5015</v>
      </c>
      <c r="G28" s="902" t="s">
        <v>2503</v>
      </c>
      <c r="H28" s="902">
        <v>1</v>
      </c>
      <c r="I28" s="902">
        <f t="shared" si="2"/>
        <v>10</v>
      </c>
      <c r="J28" s="902">
        <f t="shared" si="3"/>
        <v>10</v>
      </c>
      <c r="K28" s="902"/>
      <c r="L28" s="902"/>
      <c r="M28" s="902"/>
      <c r="N28" s="1516">
        <v>10</v>
      </c>
      <c r="O28" s="1516"/>
    </row>
    <row r="29" spans="1:15">
      <c r="C29" t="s">
        <v>4954</v>
      </c>
      <c r="D29" t="s">
        <v>515</v>
      </c>
      <c r="E29" s="902" t="s">
        <v>4983</v>
      </c>
      <c r="F29" s="2317" t="s">
        <v>5016</v>
      </c>
      <c r="G29" s="902" t="s">
        <v>4984</v>
      </c>
      <c r="H29" s="902">
        <v>4.4999999999999998E-2</v>
      </c>
      <c r="I29" s="902">
        <f t="shared" si="2"/>
        <v>0.44999999999999996</v>
      </c>
      <c r="J29" s="902">
        <f t="shared" si="3"/>
        <v>0.44999999999999996</v>
      </c>
      <c r="K29" s="902"/>
      <c r="L29" s="902"/>
      <c r="M29" s="902"/>
      <c r="N29" s="1516">
        <v>10</v>
      </c>
      <c r="O29" s="1516"/>
    </row>
    <row r="30" spans="1:15">
      <c r="C30" t="s">
        <v>2005</v>
      </c>
      <c r="D30" t="s">
        <v>515</v>
      </c>
      <c r="E30" s="902" t="s">
        <v>2006</v>
      </c>
      <c r="F30" s="2317" t="s">
        <v>3768</v>
      </c>
      <c r="G30" s="902" t="s">
        <v>873</v>
      </c>
      <c r="H30" s="902">
        <v>1.1339999999999999</v>
      </c>
      <c r="I30" s="902">
        <f t="shared" si="2"/>
        <v>11.34</v>
      </c>
      <c r="J30" s="902">
        <f t="shared" si="3"/>
        <v>11.34</v>
      </c>
      <c r="K30" s="902"/>
      <c r="L30" s="902"/>
      <c r="M30" s="902"/>
      <c r="N30" s="1516">
        <v>10</v>
      </c>
      <c r="O30" s="1516"/>
    </row>
    <row r="31" spans="1:15">
      <c r="A31" t="s">
        <v>653</v>
      </c>
      <c r="C31" s="1516" t="str">
        <f>A31</f>
        <v>M14a</v>
      </c>
      <c r="D31" t="s">
        <v>515</v>
      </c>
      <c r="E31" s="902"/>
      <c r="F31" s="2318" t="s">
        <v>5385</v>
      </c>
      <c r="G31" s="2319" t="s">
        <v>2391</v>
      </c>
      <c r="H31" s="2319"/>
      <c r="I31" s="2319">
        <f>N31</f>
        <v>15</v>
      </c>
      <c r="J31" s="2319">
        <f>VLOOKUP(C31,BangKeTruDoc!B:E,4,0)</f>
        <v>15</v>
      </c>
      <c r="K31" s="2319">
        <f>J31-I31</f>
        <v>0</v>
      </c>
      <c r="L31" s="2319">
        <f>I31-J31</f>
        <v>0</v>
      </c>
      <c r="M31" s="902"/>
      <c r="N31" s="1516">
        <v>15</v>
      </c>
      <c r="O31" s="1516"/>
    </row>
    <row r="32" spans="1:15">
      <c r="C32" t="s">
        <v>1627</v>
      </c>
      <c r="D32" t="s">
        <v>515</v>
      </c>
      <c r="E32" s="902" t="s">
        <v>4980</v>
      </c>
      <c r="F32" s="2317" t="s">
        <v>2673</v>
      </c>
      <c r="G32" s="902" t="s">
        <v>2621</v>
      </c>
      <c r="H32" s="902">
        <v>1</v>
      </c>
      <c r="I32" s="902">
        <f t="shared" ref="I32:I35" si="4">H32*N32</f>
        <v>15</v>
      </c>
      <c r="J32" s="902">
        <f t="shared" ref="J32:J35" si="5">N32*H32</f>
        <v>15</v>
      </c>
      <c r="K32" s="902"/>
      <c r="L32" s="902"/>
      <c r="M32" s="902"/>
      <c r="N32" s="1516">
        <v>15</v>
      </c>
      <c r="O32" s="1516"/>
    </row>
    <row r="33" spans="1:15">
      <c r="C33" t="s">
        <v>570</v>
      </c>
      <c r="D33" t="s">
        <v>515</v>
      </c>
      <c r="E33" s="902"/>
      <c r="F33" s="2317" t="s">
        <v>2738</v>
      </c>
      <c r="G33" s="902" t="s">
        <v>2503</v>
      </c>
      <c r="H33" s="902">
        <v>1</v>
      </c>
      <c r="I33" s="902">
        <f t="shared" si="4"/>
        <v>15</v>
      </c>
      <c r="J33" s="902">
        <f t="shared" si="5"/>
        <v>15</v>
      </c>
      <c r="K33" s="902"/>
      <c r="L33" s="902"/>
      <c r="M33" s="902"/>
      <c r="N33" s="1516">
        <v>15</v>
      </c>
      <c r="O33" s="1516"/>
    </row>
    <row r="34" spans="1:15">
      <c r="C34" t="s">
        <v>4948</v>
      </c>
      <c r="D34" t="s">
        <v>515</v>
      </c>
      <c r="E34" s="902" t="s">
        <v>4981</v>
      </c>
      <c r="F34" s="2317" t="s">
        <v>5204</v>
      </c>
      <c r="G34" s="902" t="s">
        <v>873</v>
      </c>
      <c r="H34" s="902">
        <v>0.9</v>
      </c>
      <c r="I34" s="902">
        <f t="shared" si="4"/>
        <v>13.5</v>
      </c>
      <c r="J34" s="902">
        <f t="shared" si="5"/>
        <v>13.5</v>
      </c>
      <c r="K34" s="902"/>
      <c r="L34" s="902"/>
      <c r="M34" s="902"/>
      <c r="N34" s="1516">
        <v>15</v>
      </c>
      <c r="O34" s="1516"/>
    </row>
    <row r="35" spans="1:15">
      <c r="C35" t="s">
        <v>21</v>
      </c>
      <c r="D35" t="s">
        <v>515</v>
      </c>
      <c r="E35" s="902" t="s">
        <v>4979</v>
      </c>
      <c r="F35" s="2317" t="s">
        <v>5009</v>
      </c>
      <c r="G35" s="902" t="s">
        <v>873</v>
      </c>
      <c r="H35" s="902">
        <v>0.27</v>
      </c>
      <c r="I35" s="902">
        <f t="shared" si="4"/>
        <v>4.0500000000000007</v>
      </c>
      <c r="J35" s="902">
        <f t="shared" si="5"/>
        <v>4.0500000000000007</v>
      </c>
      <c r="K35" s="902"/>
      <c r="L35" s="902"/>
      <c r="M35" s="902"/>
      <c r="N35" s="1516">
        <v>15</v>
      </c>
      <c r="O35" s="1516"/>
    </row>
    <row r="36" spans="1:15">
      <c r="A36" t="s">
        <v>5314</v>
      </c>
      <c r="C36" s="1516" t="str">
        <f>A36</f>
        <v>TDTT12HH</v>
      </c>
      <c r="D36" t="s">
        <v>515</v>
      </c>
      <c r="E36" s="902"/>
      <c r="F36" s="2318" t="s">
        <v>5017</v>
      </c>
      <c r="G36" s="2319" t="s">
        <v>2449</v>
      </c>
      <c r="H36" s="2319"/>
      <c r="I36" s="2319">
        <f>N36</f>
        <v>15</v>
      </c>
      <c r="J36" s="2319">
        <f>VLOOKUP(C36,BangKeTruDoc!B:E,4,0)</f>
        <v>15</v>
      </c>
      <c r="K36" s="2319">
        <f>J36-I36</f>
        <v>0</v>
      </c>
      <c r="L36" s="2319">
        <f>I36-J36</f>
        <v>0</v>
      </c>
      <c r="M36" s="902"/>
      <c r="N36" s="1516">
        <v>15</v>
      </c>
      <c r="O36" s="1516"/>
    </row>
    <row r="37" spans="1:15">
      <c r="C37" t="s">
        <v>103</v>
      </c>
      <c r="D37" t="s">
        <v>515</v>
      </c>
      <c r="E37" s="902"/>
      <c r="F37" s="2317" t="s">
        <v>5018</v>
      </c>
      <c r="G37" s="902" t="s">
        <v>2310</v>
      </c>
      <c r="H37" s="902">
        <v>0.45</v>
      </c>
      <c r="I37" s="902">
        <f t="shared" ref="I37:I39" si="6">H37*N37</f>
        <v>6.75</v>
      </c>
      <c r="J37" s="902">
        <f t="shared" ref="J37:J39" si="7">N37*H37</f>
        <v>6.75</v>
      </c>
      <c r="K37" s="902"/>
      <c r="L37" s="902"/>
      <c r="M37" s="902"/>
      <c r="N37" s="1516">
        <v>15</v>
      </c>
      <c r="O37" s="1516"/>
    </row>
    <row r="38" spans="1:15">
      <c r="C38" t="s">
        <v>4517</v>
      </c>
      <c r="D38" t="s">
        <v>515</v>
      </c>
      <c r="E38" s="902"/>
      <c r="F38" s="2317" t="s">
        <v>4516</v>
      </c>
      <c r="G38" s="902" t="s">
        <v>2621</v>
      </c>
      <c r="H38" s="902">
        <v>2</v>
      </c>
      <c r="I38" s="902">
        <f t="shared" si="6"/>
        <v>30</v>
      </c>
      <c r="J38" s="902">
        <f t="shared" si="7"/>
        <v>30</v>
      </c>
      <c r="K38" s="902"/>
      <c r="L38" s="902"/>
      <c r="M38" s="902"/>
      <c r="N38" s="1516">
        <v>15</v>
      </c>
      <c r="O38" s="1516"/>
    </row>
    <row r="39" spans="1:15">
      <c r="C39" t="s">
        <v>4955</v>
      </c>
      <c r="D39" t="s">
        <v>515</v>
      </c>
      <c r="E39" s="902"/>
      <c r="F39" s="2317" t="s">
        <v>5019</v>
      </c>
      <c r="G39" s="902" t="s">
        <v>2621</v>
      </c>
      <c r="H39" s="902">
        <v>2</v>
      </c>
      <c r="I39" s="902">
        <f t="shared" si="6"/>
        <v>30</v>
      </c>
      <c r="J39" s="902">
        <f t="shared" si="7"/>
        <v>30</v>
      </c>
      <c r="K39" s="902"/>
      <c r="L39" s="902"/>
      <c r="M39" s="902"/>
      <c r="N39" s="1516">
        <v>15</v>
      </c>
      <c r="O39" s="1516"/>
    </row>
    <row r="40" spans="1:15">
      <c r="A40" t="s">
        <v>2297</v>
      </c>
      <c r="C40" s="1516" t="str">
        <f>A40</f>
        <v>TDLL12</v>
      </c>
      <c r="D40" t="s">
        <v>515</v>
      </c>
      <c r="E40" s="902"/>
      <c r="F40" s="2318" t="s">
        <v>2456</v>
      </c>
      <c r="G40" s="2319" t="s">
        <v>2449</v>
      </c>
      <c r="H40" s="2319"/>
      <c r="I40" s="2319">
        <f>N40</f>
        <v>14</v>
      </c>
      <c r="J40" s="2319">
        <f>VLOOKUP(C40,BangKeTruDoc!B:E,4,0)</f>
        <v>14</v>
      </c>
      <c r="K40" s="2319">
        <f>J40-I40</f>
        <v>0</v>
      </c>
      <c r="L40" s="2319">
        <f>I40-J40</f>
        <v>0</v>
      </c>
      <c r="M40" s="902"/>
      <c r="N40" s="1516">
        <v>14</v>
      </c>
      <c r="O40" s="1516"/>
    </row>
    <row r="41" spans="1:15">
      <c r="C41" t="s">
        <v>103</v>
      </c>
      <c r="D41" t="s">
        <v>515</v>
      </c>
      <c r="E41" s="902"/>
      <c r="F41" s="2317" t="s">
        <v>5020</v>
      </c>
      <c r="G41" s="902" t="s">
        <v>2310</v>
      </c>
      <c r="H41" s="902">
        <v>2.2400000000000002</v>
      </c>
      <c r="I41" s="902">
        <f t="shared" ref="I41:I50" si="8">H41*N41</f>
        <v>31.360000000000003</v>
      </c>
      <c r="J41" s="902">
        <f t="shared" ref="J41:J50" si="9">N41*H41</f>
        <v>31.360000000000003</v>
      </c>
      <c r="K41" s="902"/>
      <c r="L41" s="902"/>
      <c r="M41" s="902"/>
      <c r="N41" s="1516">
        <v>14</v>
      </c>
      <c r="O41" s="1516"/>
    </row>
    <row r="42" spans="1:15">
      <c r="C42" t="s">
        <v>1560</v>
      </c>
      <c r="D42" t="s">
        <v>515</v>
      </c>
      <c r="E42" s="902"/>
      <c r="F42" s="2317" t="s">
        <v>5021</v>
      </c>
      <c r="G42" s="902" t="s">
        <v>2503</v>
      </c>
      <c r="H42" s="902">
        <v>1</v>
      </c>
      <c r="I42" s="902">
        <f t="shared" si="8"/>
        <v>14</v>
      </c>
      <c r="J42" s="902">
        <f t="shared" si="9"/>
        <v>14</v>
      </c>
      <c r="K42" s="902"/>
      <c r="L42" s="902"/>
      <c r="M42" s="902"/>
      <c r="N42" s="1516">
        <v>14</v>
      </c>
      <c r="O42" s="1516"/>
    </row>
    <row r="43" spans="1:15">
      <c r="C43" t="s">
        <v>4517</v>
      </c>
      <c r="D43" t="s">
        <v>515</v>
      </c>
      <c r="E43" s="902">
        <v>0</v>
      </c>
      <c r="F43" s="2317" t="s">
        <v>4516</v>
      </c>
      <c r="G43" s="902" t="s">
        <v>2621</v>
      </c>
      <c r="H43" s="902">
        <v>2</v>
      </c>
      <c r="I43" s="902">
        <f t="shared" si="8"/>
        <v>28</v>
      </c>
      <c r="J43" s="902">
        <f t="shared" si="9"/>
        <v>28</v>
      </c>
      <c r="K43" s="902"/>
      <c r="L43" s="902"/>
      <c r="M43" s="902"/>
      <c r="N43" s="1516">
        <v>14</v>
      </c>
      <c r="O43" s="1516"/>
    </row>
    <row r="44" spans="1:15">
      <c r="C44" t="s">
        <v>4955</v>
      </c>
      <c r="D44" t="s">
        <v>515</v>
      </c>
      <c r="E44" s="902"/>
      <c r="F44" s="2317" t="s">
        <v>5019</v>
      </c>
      <c r="G44" s="902" t="s">
        <v>2621</v>
      </c>
      <c r="H44" s="902">
        <v>2</v>
      </c>
      <c r="I44" s="902">
        <f t="shared" si="8"/>
        <v>28</v>
      </c>
      <c r="J44" s="902">
        <f t="shared" si="9"/>
        <v>28</v>
      </c>
      <c r="K44" s="902"/>
      <c r="L44" s="902"/>
      <c r="M44" s="902"/>
      <c r="N44" s="1516">
        <v>14</v>
      </c>
      <c r="O44" s="1516"/>
    </row>
    <row r="45" spans="1:15">
      <c r="C45" t="s">
        <v>1569</v>
      </c>
      <c r="D45" t="s">
        <v>515</v>
      </c>
      <c r="E45" s="902" t="s">
        <v>4985</v>
      </c>
      <c r="F45" s="2317" t="s">
        <v>3232</v>
      </c>
      <c r="G45" s="902" t="s">
        <v>2310</v>
      </c>
      <c r="H45" s="902">
        <v>2.2400000000000002</v>
      </c>
      <c r="I45" s="902">
        <f t="shared" si="8"/>
        <v>31.360000000000003</v>
      </c>
      <c r="J45" s="902">
        <f t="shared" si="9"/>
        <v>31.360000000000003</v>
      </c>
      <c r="K45" s="902"/>
      <c r="L45" s="902"/>
      <c r="M45" s="902"/>
      <c r="N45" s="1516">
        <v>14</v>
      </c>
      <c r="O45" s="1516"/>
    </row>
    <row r="46" spans="1:15">
      <c r="C46" t="s">
        <v>1134</v>
      </c>
      <c r="D46" t="s">
        <v>515</v>
      </c>
      <c r="E46" s="902" t="s">
        <v>4986</v>
      </c>
      <c r="F46" s="2317" t="s">
        <v>4533</v>
      </c>
      <c r="G46" s="902" t="s">
        <v>2341</v>
      </c>
      <c r="H46" s="902">
        <v>1</v>
      </c>
      <c r="I46" s="902">
        <f t="shared" si="8"/>
        <v>14</v>
      </c>
      <c r="J46" s="902">
        <f t="shared" si="9"/>
        <v>14</v>
      </c>
      <c r="K46" s="902"/>
      <c r="L46" s="902"/>
      <c r="M46" s="902"/>
      <c r="N46" s="1516">
        <v>14</v>
      </c>
      <c r="O46" s="1516"/>
    </row>
    <row r="47" spans="1:15">
      <c r="C47" t="s">
        <v>1085</v>
      </c>
      <c r="D47" t="s">
        <v>515</v>
      </c>
      <c r="E47" s="902" t="s">
        <v>4987</v>
      </c>
      <c r="F47" s="2317" t="s">
        <v>5022</v>
      </c>
      <c r="G47" s="902" t="s">
        <v>873</v>
      </c>
      <c r="H47" s="902">
        <v>0.03</v>
      </c>
      <c r="I47" s="902">
        <f t="shared" si="8"/>
        <v>0.42</v>
      </c>
      <c r="J47" s="902">
        <f t="shared" si="9"/>
        <v>0.42</v>
      </c>
      <c r="K47" s="902"/>
      <c r="L47" s="902"/>
      <c r="M47" s="902"/>
      <c r="N47" s="1516">
        <v>14</v>
      </c>
      <c r="O47" s="1516"/>
    </row>
    <row r="48" spans="1:15">
      <c r="C48" t="s">
        <v>1086</v>
      </c>
      <c r="D48" t="s">
        <v>515</v>
      </c>
      <c r="E48" s="902" t="s">
        <v>4988</v>
      </c>
      <c r="F48" s="2317" t="s">
        <v>5023</v>
      </c>
      <c r="G48" s="902" t="s">
        <v>873</v>
      </c>
      <c r="H48" s="902">
        <v>0.03</v>
      </c>
      <c r="I48" s="902">
        <f t="shared" si="8"/>
        <v>0.42</v>
      </c>
      <c r="J48" s="902">
        <f t="shared" si="9"/>
        <v>0.42</v>
      </c>
      <c r="K48" s="902"/>
      <c r="L48" s="902"/>
      <c r="M48" s="902"/>
      <c r="N48" s="1516">
        <v>14</v>
      </c>
      <c r="O48" s="1516"/>
    </row>
    <row r="49" spans="1:15">
      <c r="C49" t="s">
        <v>580</v>
      </c>
      <c r="D49" t="s">
        <v>515</v>
      </c>
      <c r="E49" s="902"/>
      <c r="F49" s="2317" t="s">
        <v>3622</v>
      </c>
      <c r="G49" s="902" t="s">
        <v>1876</v>
      </c>
      <c r="H49" s="902">
        <v>1.5</v>
      </c>
      <c r="I49" s="902">
        <f t="shared" si="8"/>
        <v>21</v>
      </c>
      <c r="J49" s="902">
        <f t="shared" si="9"/>
        <v>21</v>
      </c>
      <c r="K49" s="902"/>
      <c r="L49" s="902"/>
      <c r="M49" s="902"/>
      <c r="N49" s="1516">
        <v>14</v>
      </c>
      <c r="O49" s="1516"/>
    </row>
    <row r="50" spans="1:15">
      <c r="C50" t="s">
        <v>1644</v>
      </c>
      <c r="D50" t="s">
        <v>515</v>
      </c>
      <c r="E50" s="902"/>
      <c r="F50" s="2317" t="s">
        <v>5024</v>
      </c>
      <c r="G50" s="902" t="s">
        <v>2503</v>
      </c>
      <c r="H50" s="902">
        <v>2</v>
      </c>
      <c r="I50" s="902">
        <f t="shared" si="8"/>
        <v>28</v>
      </c>
      <c r="J50" s="902">
        <f t="shared" si="9"/>
        <v>28</v>
      </c>
      <c r="K50" s="902"/>
      <c r="L50" s="902"/>
      <c r="M50" s="902"/>
      <c r="N50" s="1516">
        <v>14</v>
      </c>
      <c r="O50" s="1516"/>
    </row>
    <row r="51" spans="1:15">
      <c r="A51" t="s">
        <v>2103</v>
      </c>
      <c r="C51" s="1516" t="str">
        <f>A51</f>
        <v>TDDD12</v>
      </c>
      <c r="D51" t="s">
        <v>515</v>
      </c>
      <c r="E51" s="902"/>
      <c r="F51" s="2318" t="s">
        <v>2457</v>
      </c>
      <c r="G51" s="2319" t="s">
        <v>2449</v>
      </c>
      <c r="H51" s="2319"/>
      <c r="I51" s="2319">
        <f>N51</f>
        <v>10</v>
      </c>
      <c r="J51" s="2319">
        <f>VLOOKUP(C51,BangKeTruDoc!B:E,4,0)</f>
        <v>10</v>
      </c>
      <c r="K51" s="2319">
        <f>J51-I51</f>
        <v>0</v>
      </c>
      <c r="L51" s="2319">
        <f>I51-J51</f>
        <v>0</v>
      </c>
      <c r="M51" s="902"/>
      <c r="N51" s="1516">
        <v>10</v>
      </c>
      <c r="O51" s="1516"/>
    </row>
    <row r="52" spans="1:15">
      <c r="C52" t="s">
        <v>103</v>
      </c>
      <c r="D52" t="s">
        <v>515</v>
      </c>
      <c r="E52" s="902"/>
      <c r="F52" s="2317" t="s">
        <v>5025</v>
      </c>
      <c r="G52" s="902" t="s">
        <v>2310</v>
      </c>
      <c r="H52" s="902">
        <v>2.2400000000000002</v>
      </c>
      <c r="I52" s="902">
        <f t="shared" ref="I52:I54" si="10">H52*N52</f>
        <v>22.400000000000002</v>
      </c>
      <c r="J52" s="902">
        <f t="shared" ref="J52:J54" si="11">N52*H52</f>
        <v>22.400000000000002</v>
      </c>
      <c r="K52" s="902"/>
      <c r="L52" s="902"/>
      <c r="M52" s="902"/>
      <c r="N52" s="1516">
        <v>10</v>
      </c>
      <c r="O52" s="1516"/>
    </row>
    <row r="53" spans="1:15">
      <c r="C53" t="s">
        <v>4517</v>
      </c>
      <c r="D53" t="s">
        <v>515</v>
      </c>
      <c r="E53" s="902"/>
      <c r="F53" s="2317" t="s">
        <v>4516</v>
      </c>
      <c r="G53" s="902" t="s">
        <v>2621</v>
      </c>
      <c r="H53" s="902">
        <v>4</v>
      </c>
      <c r="I53" s="902">
        <f t="shared" si="10"/>
        <v>40</v>
      </c>
      <c r="J53" s="902">
        <f t="shared" si="11"/>
        <v>40</v>
      </c>
      <c r="K53" s="902"/>
      <c r="L53" s="902"/>
      <c r="M53" s="902"/>
      <c r="N53" s="1516">
        <v>10</v>
      </c>
      <c r="O53" s="1516"/>
    </row>
    <row r="54" spans="1:15">
      <c r="C54" t="s">
        <v>4955</v>
      </c>
      <c r="D54" t="s">
        <v>515</v>
      </c>
      <c r="E54" s="902"/>
      <c r="F54" s="2317" t="s">
        <v>5019</v>
      </c>
      <c r="G54" s="902" t="s">
        <v>2621</v>
      </c>
      <c r="H54" s="902">
        <v>4</v>
      </c>
      <c r="I54" s="902">
        <f t="shared" si="10"/>
        <v>40</v>
      </c>
      <c r="J54" s="902">
        <f t="shared" si="11"/>
        <v>40</v>
      </c>
      <c r="K54" s="902"/>
      <c r="L54" s="902"/>
      <c r="M54" s="902"/>
      <c r="N54" s="1516">
        <v>10</v>
      </c>
      <c r="O54" s="1516"/>
    </row>
    <row r="55" spans="1:15">
      <c r="C55" s="1516">
        <f t="shared" ref="C55" si="12">A55</f>
        <v>0</v>
      </c>
      <c r="D55" t="s">
        <v>515</v>
      </c>
      <c r="E55" s="902" t="s">
        <v>961</v>
      </c>
      <c r="F55" s="2318" t="s">
        <v>2352</v>
      </c>
      <c r="G55" s="2319"/>
      <c r="H55" s="2319"/>
      <c r="I55" s="2319"/>
      <c r="J55" s="2319"/>
      <c r="K55" s="2319"/>
      <c r="L55" s="2319"/>
      <c r="M55" s="902"/>
      <c r="N55" s="1516">
        <v>10</v>
      </c>
      <c r="O55" s="1516"/>
    </row>
    <row r="56" spans="1:15">
      <c r="A56" t="s">
        <v>707</v>
      </c>
      <c r="C56" s="1516" t="s">
        <v>5123</v>
      </c>
      <c r="D56" t="s">
        <v>515</v>
      </c>
      <c r="E56" s="902"/>
      <c r="F56" s="2318" t="s">
        <v>3810</v>
      </c>
      <c r="G56" s="2319" t="s">
        <v>2340</v>
      </c>
      <c r="H56" s="2319"/>
      <c r="I56" s="2319">
        <f>N56</f>
        <v>96</v>
      </c>
      <c r="J56" s="2319">
        <f>VLOOKUP(C56,BangKeTruDoc!B:E,4,0)</f>
        <v>96</v>
      </c>
      <c r="K56" s="2319">
        <f>J56-I56</f>
        <v>0</v>
      </c>
      <c r="L56" s="2319">
        <f>I56-J56</f>
        <v>0</v>
      </c>
      <c r="M56" s="902"/>
      <c r="N56" s="1516">
        <v>96</v>
      </c>
      <c r="O56" s="1516"/>
    </row>
    <row r="57" spans="1:15">
      <c r="C57" t="s">
        <v>4956</v>
      </c>
      <c r="D57" t="s">
        <v>515</v>
      </c>
      <c r="E57" s="902"/>
      <c r="F57" s="2317" t="s">
        <v>5026</v>
      </c>
      <c r="G57" s="902" t="s">
        <v>2897</v>
      </c>
      <c r="H57" s="902">
        <v>1</v>
      </c>
      <c r="I57" s="902">
        <f t="shared" ref="I57:I58" si="13">H57*N57</f>
        <v>96</v>
      </c>
      <c r="J57" s="902">
        <f t="shared" ref="J57:J58" si="14">N57*H57</f>
        <v>96</v>
      </c>
      <c r="K57" s="902"/>
      <c r="L57" s="902"/>
      <c r="M57" s="902"/>
      <c r="N57" s="1516">
        <v>96</v>
      </c>
      <c r="O57" s="1516"/>
    </row>
    <row r="58" spans="1:15">
      <c r="C58" t="s">
        <v>2231</v>
      </c>
      <c r="D58" t="s">
        <v>515</v>
      </c>
      <c r="E58" s="902" t="s">
        <v>4989</v>
      </c>
      <c r="F58" s="2317" t="s">
        <v>5027</v>
      </c>
      <c r="G58" s="902" t="s">
        <v>2897</v>
      </c>
      <c r="H58" s="902">
        <v>1</v>
      </c>
      <c r="I58" s="902">
        <f t="shared" si="13"/>
        <v>96</v>
      </c>
      <c r="J58" s="902">
        <f t="shared" si="14"/>
        <v>96</v>
      </c>
      <c r="K58" s="902"/>
      <c r="L58" s="902"/>
      <c r="M58" s="902"/>
      <c r="N58" s="1516">
        <v>96</v>
      </c>
      <c r="O58" s="1516"/>
    </row>
    <row r="59" spans="1:15">
      <c r="A59" t="s">
        <v>303</v>
      </c>
      <c r="C59" s="1516" t="s">
        <v>5124</v>
      </c>
      <c r="D59" t="s">
        <v>515</v>
      </c>
      <c r="E59" s="902"/>
      <c r="F59" s="2318" t="s">
        <v>2477</v>
      </c>
      <c r="G59" s="2319" t="s">
        <v>2340</v>
      </c>
      <c r="H59" s="2319"/>
      <c r="I59" s="2319">
        <f>N59</f>
        <v>15</v>
      </c>
      <c r="J59" s="2319">
        <f>VLOOKUP(C59,BangKeTruDoc!B:E,4,0)</f>
        <v>15</v>
      </c>
      <c r="K59" s="2319">
        <f>J59-I59</f>
        <v>0</v>
      </c>
      <c r="L59" s="2319">
        <f>I59-J59</f>
        <v>0</v>
      </c>
      <c r="M59" s="902"/>
      <c r="N59" s="1516">
        <v>15</v>
      </c>
      <c r="O59" s="1516"/>
    </row>
    <row r="60" spans="1:15">
      <c r="C60" t="s">
        <v>108</v>
      </c>
      <c r="D60" t="s">
        <v>515</v>
      </c>
      <c r="E60" s="902"/>
      <c r="F60" s="2317" t="s">
        <v>5028</v>
      </c>
      <c r="G60" s="902" t="s">
        <v>2897</v>
      </c>
      <c r="H60" s="902">
        <v>1</v>
      </c>
      <c r="I60" s="902">
        <f t="shared" ref="I60:I61" si="15">H60*N60</f>
        <v>15</v>
      </c>
      <c r="J60" s="902">
        <f t="shared" ref="J60:J61" si="16">N60*H60</f>
        <v>15</v>
      </c>
      <c r="K60" s="902"/>
      <c r="L60" s="902"/>
      <c r="M60" s="902"/>
      <c r="N60" s="1516">
        <v>15</v>
      </c>
      <c r="O60" s="1516"/>
    </row>
    <row r="61" spans="1:15">
      <c r="C61" t="s">
        <v>1712</v>
      </c>
      <c r="D61" t="s">
        <v>515</v>
      </c>
      <c r="E61" s="902" t="s">
        <v>4990</v>
      </c>
      <c r="F61" s="2317" t="s">
        <v>3246</v>
      </c>
      <c r="G61" s="902" t="s">
        <v>2897</v>
      </c>
      <c r="H61" s="902">
        <v>1</v>
      </c>
      <c r="I61" s="902">
        <f t="shared" si="15"/>
        <v>15</v>
      </c>
      <c r="J61" s="902">
        <f t="shared" si="16"/>
        <v>15</v>
      </c>
      <c r="K61" s="902"/>
      <c r="L61" s="902"/>
      <c r="M61" s="902"/>
      <c r="N61" s="1516">
        <v>15</v>
      </c>
      <c r="O61" s="1516"/>
    </row>
    <row r="62" spans="1:15">
      <c r="C62" s="1516">
        <f t="shared" ref="C62:C63" si="17">A62</f>
        <v>0</v>
      </c>
      <c r="D62" t="s">
        <v>515</v>
      </c>
      <c r="E62" s="902" t="s">
        <v>1667</v>
      </c>
      <c r="F62" s="2318" t="s">
        <v>2353</v>
      </c>
      <c r="G62" s="2319"/>
      <c r="H62" s="2319"/>
      <c r="I62" s="2319"/>
      <c r="J62" s="2319"/>
      <c r="K62" s="2319"/>
      <c r="L62" s="2319"/>
      <c r="M62" s="902"/>
      <c r="N62" s="1516">
        <v>15</v>
      </c>
      <c r="O62" s="1516"/>
    </row>
    <row r="63" spans="1:15">
      <c r="A63" t="s">
        <v>5315</v>
      </c>
      <c r="C63" s="1516" t="str">
        <f t="shared" si="17"/>
        <v>X-22K</v>
      </c>
      <c r="D63" t="s">
        <v>515</v>
      </c>
      <c r="E63" s="902"/>
      <c r="F63" s="2318" t="s">
        <v>5029</v>
      </c>
      <c r="G63" s="2319" t="s">
        <v>2449</v>
      </c>
      <c r="H63" s="2319"/>
      <c r="I63" s="2319">
        <f>N63</f>
        <v>5</v>
      </c>
      <c r="J63" s="2319">
        <f>VLOOKUP(C63,BangKeTruDoc!B:E,4,0)</f>
        <v>5</v>
      </c>
      <c r="K63" s="2319">
        <f>J63-I63</f>
        <v>0</v>
      </c>
      <c r="L63" s="2319">
        <f>I63-J63</f>
        <v>0</v>
      </c>
      <c r="M63" s="902"/>
      <c r="N63" s="1516">
        <v>5</v>
      </c>
      <c r="O63" s="1516"/>
    </row>
    <row r="64" spans="1:15">
      <c r="C64" t="s">
        <v>4957</v>
      </c>
      <c r="D64" t="s">
        <v>515</v>
      </c>
      <c r="E64" s="902"/>
      <c r="F64" s="2317" t="s">
        <v>5030</v>
      </c>
      <c r="G64" s="902" t="s">
        <v>4991</v>
      </c>
      <c r="H64" s="902">
        <v>2</v>
      </c>
      <c r="I64" s="902">
        <f t="shared" ref="I64:I69" si="18">H64*N64</f>
        <v>10</v>
      </c>
      <c r="J64" s="902">
        <f t="shared" ref="J64:J69" si="19">N64*H64</f>
        <v>10</v>
      </c>
      <c r="K64" s="902"/>
      <c r="L64" s="902"/>
      <c r="M64" s="902"/>
      <c r="N64" s="1516">
        <v>5</v>
      </c>
      <c r="O64" s="1516"/>
    </row>
    <row r="65" spans="1:15">
      <c r="C65" t="s">
        <v>4958</v>
      </c>
      <c r="D65" t="s">
        <v>515</v>
      </c>
      <c r="E65" s="902"/>
      <c r="F65" s="2317" t="s">
        <v>5031</v>
      </c>
      <c r="G65" s="902" t="s">
        <v>4991</v>
      </c>
      <c r="H65" s="902">
        <v>4</v>
      </c>
      <c r="I65" s="902">
        <f t="shared" si="18"/>
        <v>20</v>
      </c>
      <c r="J65" s="902">
        <f t="shared" si="19"/>
        <v>20</v>
      </c>
      <c r="K65" s="902"/>
      <c r="L65" s="902"/>
      <c r="M65" s="902"/>
      <c r="N65" s="1516">
        <v>5</v>
      </c>
      <c r="O65" s="1516"/>
    </row>
    <row r="66" spans="1:15">
      <c r="C66" t="s">
        <v>1662</v>
      </c>
      <c r="D66" t="s">
        <v>515</v>
      </c>
      <c r="E66" s="902"/>
      <c r="F66" s="2317" t="s">
        <v>2714</v>
      </c>
      <c r="G66" s="902" t="s">
        <v>2503</v>
      </c>
      <c r="H66" s="902">
        <v>2</v>
      </c>
      <c r="I66" s="902">
        <f t="shared" si="18"/>
        <v>10</v>
      </c>
      <c r="J66" s="902">
        <f t="shared" si="19"/>
        <v>10</v>
      </c>
      <c r="K66" s="902"/>
      <c r="L66" s="902"/>
      <c r="M66" s="902"/>
      <c r="N66" s="1516">
        <v>5</v>
      </c>
      <c r="O66" s="1516"/>
    </row>
    <row r="67" spans="1:15">
      <c r="C67" t="s">
        <v>418</v>
      </c>
      <c r="D67" t="s">
        <v>515</v>
      </c>
      <c r="E67" s="902"/>
      <c r="F67" s="2317" t="s">
        <v>2725</v>
      </c>
      <c r="G67" s="902" t="s">
        <v>2503</v>
      </c>
      <c r="H67" s="902">
        <v>4</v>
      </c>
      <c r="I67" s="902">
        <f t="shared" si="18"/>
        <v>20</v>
      </c>
      <c r="J67" s="902">
        <f t="shared" si="19"/>
        <v>20</v>
      </c>
      <c r="K67" s="902"/>
      <c r="L67" s="902"/>
      <c r="M67" s="902"/>
      <c r="N67" s="1516">
        <v>5</v>
      </c>
      <c r="O67" s="1516"/>
    </row>
    <row r="68" spans="1:15">
      <c r="C68" t="s">
        <v>1839</v>
      </c>
      <c r="D68" t="s">
        <v>515</v>
      </c>
      <c r="E68" s="902"/>
      <c r="F68" s="2317" t="s">
        <v>2704</v>
      </c>
      <c r="G68" s="902" t="s">
        <v>2503</v>
      </c>
      <c r="H68" s="902">
        <v>4</v>
      </c>
      <c r="I68" s="902">
        <f t="shared" si="18"/>
        <v>20</v>
      </c>
      <c r="J68" s="902">
        <f t="shared" si="19"/>
        <v>20</v>
      </c>
      <c r="K68" s="902"/>
      <c r="L68" s="902"/>
      <c r="M68" s="902"/>
      <c r="N68" s="1516">
        <v>5</v>
      </c>
      <c r="O68" s="1516"/>
    </row>
    <row r="69" spans="1:15">
      <c r="C69" t="s">
        <v>2051</v>
      </c>
      <c r="D69" t="s">
        <v>515</v>
      </c>
      <c r="E69" s="902" t="s">
        <v>4992</v>
      </c>
      <c r="F69" s="2317" t="s">
        <v>5032</v>
      </c>
      <c r="G69" s="902" t="s">
        <v>2503</v>
      </c>
      <c r="H69" s="902">
        <v>1</v>
      </c>
      <c r="I69" s="902">
        <f t="shared" si="18"/>
        <v>5</v>
      </c>
      <c r="J69" s="902">
        <f t="shared" si="19"/>
        <v>5</v>
      </c>
      <c r="K69" s="902"/>
      <c r="L69" s="902"/>
      <c r="M69" s="902"/>
      <c r="N69" s="1516">
        <v>5</v>
      </c>
      <c r="O69" s="1516"/>
    </row>
    <row r="70" spans="1:15">
      <c r="A70" t="s">
        <v>5316</v>
      </c>
      <c r="C70" s="1516" t="str">
        <f>A70</f>
        <v>X-22KK</v>
      </c>
      <c r="D70" t="s">
        <v>515</v>
      </c>
      <c r="E70" s="902"/>
      <c r="F70" s="2318" t="s">
        <v>5033</v>
      </c>
      <c r="G70" s="2319" t="s">
        <v>2449</v>
      </c>
      <c r="H70" s="2319"/>
      <c r="I70" s="2319">
        <f>N70</f>
        <v>10</v>
      </c>
      <c r="J70" s="2319">
        <f>VLOOKUP(C70,BangKeTruDoc!B:E,4,0)</f>
        <v>10</v>
      </c>
      <c r="K70" s="2319">
        <f>J70-I70</f>
        <v>0</v>
      </c>
      <c r="L70" s="2319">
        <f>I70-J70</f>
        <v>0</v>
      </c>
      <c r="M70" s="902"/>
      <c r="N70" s="1516">
        <v>10</v>
      </c>
      <c r="O70" s="1516"/>
    </row>
    <row r="71" spans="1:15">
      <c r="C71" t="s">
        <v>4957</v>
      </c>
      <c r="D71" t="s">
        <v>515</v>
      </c>
      <c r="E71" s="902"/>
      <c r="F71" s="2317" t="s">
        <v>5030</v>
      </c>
      <c r="G71" s="902" t="s">
        <v>4991</v>
      </c>
      <c r="H71" s="902">
        <v>2</v>
      </c>
      <c r="I71" s="902">
        <f t="shared" ref="I71:I76" si="20">H71*N71</f>
        <v>20</v>
      </c>
      <c r="J71" s="902">
        <f t="shared" ref="J71:J76" si="21">N71*H71</f>
        <v>20</v>
      </c>
      <c r="K71" s="902"/>
      <c r="L71" s="902"/>
      <c r="M71" s="902"/>
      <c r="N71" s="1516">
        <v>10</v>
      </c>
      <c r="O71" s="1516"/>
    </row>
    <row r="72" spans="1:15">
      <c r="C72" t="s">
        <v>4958</v>
      </c>
      <c r="D72" t="s">
        <v>515</v>
      </c>
      <c r="E72" s="902"/>
      <c r="F72" s="2317" t="s">
        <v>5031</v>
      </c>
      <c r="G72" s="902" t="s">
        <v>4991</v>
      </c>
      <c r="H72" s="902">
        <v>4</v>
      </c>
      <c r="I72" s="902">
        <f t="shared" si="20"/>
        <v>40</v>
      </c>
      <c r="J72" s="902">
        <f t="shared" si="21"/>
        <v>40</v>
      </c>
      <c r="K72" s="902"/>
      <c r="L72" s="902"/>
      <c r="M72" s="902"/>
      <c r="N72" s="1516">
        <v>10</v>
      </c>
      <c r="O72" s="1516"/>
    </row>
    <row r="73" spans="1:15">
      <c r="C73" t="s">
        <v>1591</v>
      </c>
      <c r="D73" t="s">
        <v>515</v>
      </c>
      <c r="E73" s="902"/>
      <c r="F73" s="2317" t="s">
        <v>2719</v>
      </c>
      <c r="G73" s="902" t="s">
        <v>2503</v>
      </c>
      <c r="H73" s="902">
        <v>2</v>
      </c>
      <c r="I73" s="902">
        <f t="shared" si="20"/>
        <v>20</v>
      </c>
      <c r="J73" s="902">
        <f t="shared" si="21"/>
        <v>20</v>
      </c>
      <c r="K73" s="902"/>
      <c r="L73" s="902"/>
      <c r="M73" s="902"/>
      <c r="N73" s="1516">
        <v>10</v>
      </c>
      <c r="O73" s="1516"/>
    </row>
    <row r="74" spans="1:15">
      <c r="C74" t="s">
        <v>535</v>
      </c>
      <c r="D74" t="s">
        <v>515</v>
      </c>
      <c r="E74" s="902"/>
      <c r="F74" s="2317" t="s">
        <v>2729</v>
      </c>
      <c r="G74" s="902" t="s">
        <v>2503</v>
      </c>
      <c r="H74" s="902">
        <v>4</v>
      </c>
      <c r="I74" s="902">
        <f t="shared" si="20"/>
        <v>40</v>
      </c>
      <c r="J74" s="902">
        <f t="shared" si="21"/>
        <v>40</v>
      </c>
      <c r="K74" s="902"/>
      <c r="L74" s="902"/>
      <c r="M74" s="902"/>
      <c r="N74" s="1516">
        <v>10</v>
      </c>
      <c r="O74" s="1516"/>
    </row>
    <row r="75" spans="1:15">
      <c r="C75" t="s">
        <v>1839</v>
      </c>
      <c r="D75" t="s">
        <v>515</v>
      </c>
      <c r="E75" s="902"/>
      <c r="F75" s="2317" t="s">
        <v>2704</v>
      </c>
      <c r="G75" s="902" t="s">
        <v>2503</v>
      </c>
      <c r="H75" s="902">
        <v>4</v>
      </c>
      <c r="I75" s="902">
        <f t="shared" si="20"/>
        <v>40</v>
      </c>
      <c r="J75" s="902">
        <f t="shared" si="21"/>
        <v>40</v>
      </c>
      <c r="K75" s="902"/>
      <c r="L75" s="902"/>
      <c r="M75" s="902"/>
      <c r="N75" s="1516">
        <v>10</v>
      </c>
      <c r="O75" s="1516"/>
    </row>
    <row r="76" spans="1:15">
      <c r="C76" t="s">
        <v>2051</v>
      </c>
      <c r="D76" t="s">
        <v>515</v>
      </c>
      <c r="E76" s="902" t="s">
        <v>4992</v>
      </c>
      <c r="F76" s="2317" t="s">
        <v>5032</v>
      </c>
      <c r="G76" s="902" t="s">
        <v>2503</v>
      </c>
      <c r="H76" s="902">
        <v>1</v>
      </c>
      <c r="I76" s="902">
        <f t="shared" si="20"/>
        <v>10</v>
      </c>
      <c r="J76" s="902">
        <f t="shared" si="21"/>
        <v>10</v>
      </c>
      <c r="K76" s="902"/>
      <c r="L76" s="902"/>
      <c r="M76" s="902"/>
      <c r="N76" s="1516">
        <v>10</v>
      </c>
      <c r="O76" s="1516"/>
    </row>
    <row r="77" spans="1:15">
      <c r="A77" t="s">
        <v>2356</v>
      </c>
      <c r="C77" s="1516" t="str">
        <f>A77</f>
        <v>X-20ĐL2/3</v>
      </c>
      <c r="D77" t="s">
        <v>515</v>
      </c>
      <c r="E77" s="902"/>
      <c r="F77" s="2318" t="s">
        <v>2496</v>
      </c>
      <c r="G77" s="2319" t="s">
        <v>2449</v>
      </c>
      <c r="H77" s="2319"/>
      <c r="I77" s="2319">
        <f>N77</f>
        <v>151</v>
      </c>
      <c r="J77" s="2319">
        <f>VLOOKUP(C77,BangKeTruDoc!B:E,4,0)</f>
        <v>151</v>
      </c>
      <c r="K77" s="2319">
        <f>J77-I77</f>
        <v>0</v>
      </c>
      <c r="L77" s="2319">
        <f>I77-J77</f>
        <v>0</v>
      </c>
      <c r="M77" s="902"/>
      <c r="N77" s="1516">
        <v>151</v>
      </c>
      <c r="O77" s="1516"/>
    </row>
    <row r="78" spans="1:15">
      <c r="C78" t="s">
        <v>4959</v>
      </c>
      <c r="D78" t="s">
        <v>515</v>
      </c>
      <c r="E78" s="902"/>
      <c r="F78" s="2317" t="s">
        <v>5034</v>
      </c>
      <c r="G78" s="902" t="s">
        <v>4991</v>
      </c>
      <c r="H78" s="902">
        <v>1</v>
      </c>
      <c r="I78" s="902">
        <f t="shared" ref="I78:I82" si="22">H78*N78</f>
        <v>151</v>
      </c>
      <c r="J78" s="902">
        <f t="shared" ref="J78:J82" si="23">N78*H78</f>
        <v>151</v>
      </c>
      <c r="K78" s="902"/>
      <c r="L78" s="902"/>
      <c r="M78" s="902"/>
      <c r="N78" s="1516">
        <v>151</v>
      </c>
      <c r="O78" s="1516"/>
    </row>
    <row r="79" spans="1:15">
      <c r="C79" t="s">
        <v>4960</v>
      </c>
      <c r="D79" t="s">
        <v>515</v>
      </c>
      <c r="E79" s="902"/>
      <c r="F79" s="2317" t="s">
        <v>5035</v>
      </c>
      <c r="G79" s="902" t="s">
        <v>4991</v>
      </c>
      <c r="H79" s="902">
        <v>1</v>
      </c>
      <c r="I79" s="902">
        <f t="shared" si="22"/>
        <v>151</v>
      </c>
      <c r="J79" s="902">
        <f t="shared" si="23"/>
        <v>151</v>
      </c>
      <c r="K79" s="902"/>
      <c r="L79" s="902"/>
      <c r="M79" s="902"/>
      <c r="N79" s="1516">
        <v>151</v>
      </c>
      <c r="O79" s="1516"/>
    </row>
    <row r="80" spans="1:15">
      <c r="C80" t="s">
        <v>1661</v>
      </c>
      <c r="D80" t="s">
        <v>515</v>
      </c>
      <c r="E80" s="902"/>
      <c r="F80" s="2317" t="s">
        <v>2710</v>
      </c>
      <c r="G80" s="902" t="s">
        <v>2503</v>
      </c>
      <c r="H80" s="902">
        <v>2</v>
      </c>
      <c r="I80" s="902">
        <f t="shared" si="22"/>
        <v>302</v>
      </c>
      <c r="J80" s="902">
        <f t="shared" si="23"/>
        <v>302</v>
      </c>
      <c r="K80" s="902"/>
      <c r="L80" s="902"/>
      <c r="M80" s="902"/>
      <c r="N80" s="1516">
        <v>151</v>
      </c>
      <c r="O80" s="1516"/>
    </row>
    <row r="81" spans="1:15">
      <c r="C81" t="s">
        <v>1839</v>
      </c>
      <c r="D81" t="s">
        <v>515</v>
      </c>
      <c r="E81" s="902"/>
      <c r="F81" s="2317" t="s">
        <v>2704</v>
      </c>
      <c r="G81" s="902" t="s">
        <v>2503</v>
      </c>
      <c r="H81" s="902">
        <v>1</v>
      </c>
      <c r="I81" s="902">
        <f t="shared" si="22"/>
        <v>151</v>
      </c>
      <c r="J81" s="902">
        <f t="shared" si="23"/>
        <v>151</v>
      </c>
      <c r="K81" s="902"/>
      <c r="L81" s="902"/>
      <c r="M81" s="902"/>
      <c r="N81" s="1516">
        <v>151</v>
      </c>
      <c r="O81" s="1516"/>
    </row>
    <row r="82" spans="1:15">
      <c r="C82" t="s">
        <v>4961</v>
      </c>
      <c r="D82" t="s">
        <v>515</v>
      </c>
      <c r="E82" s="902" t="s">
        <v>4993</v>
      </c>
      <c r="F82" s="2343" t="s">
        <v>5036</v>
      </c>
      <c r="G82" s="902" t="s">
        <v>2503</v>
      </c>
      <c r="H82" s="902">
        <v>1</v>
      </c>
      <c r="I82" s="902">
        <f t="shared" si="22"/>
        <v>151</v>
      </c>
      <c r="J82" s="902">
        <f t="shared" si="23"/>
        <v>151</v>
      </c>
      <c r="K82" s="902"/>
      <c r="L82" s="902"/>
      <c r="M82" s="902"/>
      <c r="N82" s="1516">
        <v>151</v>
      </c>
      <c r="O82" s="1516"/>
    </row>
    <row r="83" spans="1:15">
      <c r="A83" t="s">
        <v>2181</v>
      </c>
      <c r="C83" s="1516" t="str">
        <f>A83</f>
        <v>X-20KL2/3</v>
      </c>
      <c r="D83" t="s">
        <v>515</v>
      </c>
      <c r="E83" s="902"/>
      <c r="F83" s="2318" t="s">
        <v>2497</v>
      </c>
      <c r="G83" s="2319" t="s">
        <v>2449</v>
      </c>
      <c r="H83" s="2319"/>
      <c r="I83" s="2319">
        <f>N83</f>
        <v>8</v>
      </c>
      <c r="J83" s="2319">
        <f>VLOOKUP(C83,BangKeTruDoc!B:E,4,0)</f>
        <v>8</v>
      </c>
      <c r="K83" s="2319">
        <f>J83-I83</f>
        <v>0</v>
      </c>
      <c r="L83" s="2319">
        <f>I83-J83</f>
        <v>0</v>
      </c>
      <c r="M83" s="902"/>
      <c r="N83" s="1516">
        <v>8</v>
      </c>
      <c r="O83" s="1516"/>
    </row>
    <row r="84" spans="1:15">
      <c r="C84" t="s">
        <v>4959</v>
      </c>
      <c r="D84" t="s">
        <v>515</v>
      </c>
      <c r="E84" s="902"/>
      <c r="F84" s="2317" t="s">
        <v>5034</v>
      </c>
      <c r="G84" s="902" t="s">
        <v>4991</v>
      </c>
      <c r="H84" s="902">
        <v>2</v>
      </c>
      <c r="I84" s="902">
        <f t="shared" ref="I84:I89" si="24">H84*N84</f>
        <v>16</v>
      </c>
      <c r="J84" s="902">
        <f t="shared" ref="J84:J89" si="25">N84*H84</f>
        <v>16</v>
      </c>
      <c r="K84" s="902"/>
      <c r="L84" s="902"/>
      <c r="M84" s="902"/>
      <c r="N84" s="1516">
        <v>8</v>
      </c>
      <c r="O84" s="1516"/>
    </row>
    <row r="85" spans="1:15">
      <c r="C85" t="s">
        <v>4960</v>
      </c>
      <c r="D85" t="s">
        <v>515</v>
      </c>
      <c r="E85" s="902"/>
      <c r="F85" s="2317" t="s">
        <v>5035</v>
      </c>
      <c r="G85" s="902" t="s">
        <v>4991</v>
      </c>
      <c r="H85" s="902">
        <v>2</v>
      </c>
      <c r="I85" s="902">
        <f t="shared" si="24"/>
        <v>16</v>
      </c>
      <c r="J85" s="902">
        <f t="shared" si="25"/>
        <v>16</v>
      </c>
      <c r="K85" s="902"/>
      <c r="L85" s="902"/>
      <c r="M85" s="902"/>
      <c r="N85" s="1516">
        <v>8</v>
      </c>
      <c r="O85" s="1516"/>
    </row>
    <row r="86" spans="1:15">
      <c r="C86" t="s">
        <v>418</v>
      </c>
      <c r="D86" t="s">
        <v>515</v>
      </c>
      <c r="E86" s="902"/>
      <c r="F86" s="2317" t="s">
        <v>2725</v>
      </c>
      <c r="G86" s="902" t="s">
        <v>2503</v>
      </c>
      <c r="H86" s="902">
        <v>3</v>
      </c>
      <c r="I86" s="902">
        <f t="shared" si="24"/>
        <v>24</v>
      </c>
      <c r="J86" s="902">
        <f t="shared" si="25"/>
        <v>24</v>
      </c>
      <c r="K86" s="902"/>
      <c r="L86" s="902"/>
      <c r="M86" s="902"/>
      <c r="N86" s="1516">
        <v>8</v>
      </c>
      <c r="O86" s="1516"/>
    </row>
    <row r="87" spans="1:15">
      <c r="C87" t="s">
        <v>1662</v>
      </c>
      <c r="D87" t="s">
        <v>515</v>
      </c>
      <c r="E87" s="902"/>
      <c r="F87" s="2317" t="s">
        <v>2714</v>
      </c>
      <c r="G87" s="902" t="s">
        <v>2503</v>
      </c>
      <c r="H87" s="902">
        <v>2</v>
      </c>
      <c r="I87" s="902">
        <f t="shared" si="24"/>
        <v>16</v>
      </c>
      <c r="J87" s="902">
        <f t="shared" si="25"/>
        <v>16</v>
      </c>
      <c r="K87" s="902"/>
      <c r="L87" s="902"/>
      <c r="M87" s="902"/>
      <c r="N87" s="1516">
        <v>8</v>
      </c>
      <c r="O87" s="1516"/>
    </row>
    <row r="88" spans="1:15">
      <c r="C88" t="s">
        <v>1839</v>
      </c>
      <c r="D88" t="s">
        <v>515</v>
      </c>
      <c r="E88" s="902"/>
      <c r="F88" s="2317" t="s">
        <v>2704</v>
      </c>
      <c r="G88" s="902" t="s">
        <v>2503</v>
      </c>
      <c r="H88" s="902">
        <v>2</v>
      </c>
      <c r="I88" s="902">
        <f t="shared" si="24"/>
        <v>16</v>
      </c>
      <c r="J88" s="902">
        <f t="shared" si="25"/>
        <v>16</v>
      </c>
      <c r="K88" s="902"/>
      <c r="L88" s="902"/>
      <c r="M88" s="902"/>
      <c r="N88" s="1516">
        <v>8</v>
      </c>
      <c r="O88" s="1516"/>
    </row>
    <row r="89" spans="1:15">
      <c r="C89" t="s">
        <v>4962</v>
      </c>
      <c r="D89" t="s">
        <v>515</v>
      </c>
      <c r="E89" s="902" t="s">
        <v>4994</v>
      </c>
      <c r="F89" s="2343" t="s">
        <v>5037</v>
      </c>
      <c r="G89" s="902" t="s">
        <v>2503</v>
      </c>
      <c r="H89" s="902">
        <v>1</v>
      </c>
      <c r="I89" s="902">
        <f t="shared" si="24"/>
        <v>8</v>
      </c>
      <c r="J89" s="902">
        <f t="shared" si="25"/>
        <v>8</v>
      </c>
      <c r="K89" s="902"/>
      <c r="L89" s="902"/>
      <c r="M89" s="902"/>
      <c r="N89" s="1516">
        <v>8</v>
      </c>
      <c r="O89" s="1516"/>
    </row>
    <row r="90" spans="1:15">
      <c r="A90" t="s">
        <v>668</v>
      </c>
      <c r="C90" s="1516" t="str">
        <f>A90</f>
        <v>CX12-B</v>
      </c>
      <c r="D90" t="s">
        <v>515</v>
      </c>
      <c r="E90" s="902"/>
      <c r="F90" s="2318" t="s">
        <v>2531</v>
      </c>
      <c r="G90" s="2319" t="s">
        <v>2449</v>
      </c>
      <c r="H90" s="2319"/>
      <c r="I90" s="2319">
        <f>N90</f>
        <v>7</v>
      </c>
      <c r="J90" s="2319">
        <f>VLOOKUP(C90,BangKeTruDoc!B:E,4,0)</f>
        <v>7</v>
      </c>
      <c r="K90" s="2319">
        <f>J90-I90</f>
        <v>0</v>
      </c>
      <c r="L90" s="2319">
        <f>I90-J90</f>
        <v>0</v>
      </c>
      <c r="M90" s="902"/>
      <c r="N90" s="1516">
        <v>7</v>
      </c>
      <c r="O90" s="1516"/>
    </row>
    <row r="91" spans="1:15">
      <c r="C91" t="s">
        <v>420</v>
      </c>
      <c r="D91" t="s">
        <v>515</v>
      </c>
      <c r="E91" s="902"/>
      <c r="F91" s="2317" t="s">
        <v>5038</v>
      </c>
      <c r="G91" s="902" t="s">
        <v>2503</v>
      </c>
      <c r="H91" s="902">
        <v>1</v>
      </c>
      <c r="I91" s="902">
        <f t="shared" ref="I91:I97" si="26">H91*N91</f>
        <v>7</v>
      </c>
      <c r="J91" s="902">
        <f t="shared" ref="J91:J97" si="27">N91*H91</f>
        <v>7</v>
      </c>
      <c r="K91" s="902"/>
      <c r="L91" s="902"/>
      <c r="M91" s="902"/>
      <c r="N91" s="1516">
        <v>7</v>
      </c>
      <c r="O91" s="1516"/>
    </row>
    <row r="92" spans="1:15">
      <c r="C92" t="s">
        <v>112</v>
      </c>
      <c r="D92" t="s">
        <v>515</v>
      </c>
      <c r="E92" s="902"/>
      <c r="F92" s="2317" t="s">
        <v>5039</v>
      </c>
      <c r="G92" s="902" t="s">
        <v>2621</v>
      </c>
      <c r="H92" s="902">
        <v>1</v>
      </c>
      <c r="I92" s="902">
        <f t="shared" si="26"/>
        <v>7</v>
      </c>
      <c r="J92" s="902">
        <f t="shared" si="27"/>
        <v>7</v>
      </c>
      <c r="K92" s="902"/>
      <c r="L92" s="902"/>
      <c r="M92" s="902"/>
      <c r="N92" s="1516">
        <v>7</v>
      </c>
      <c r="O92" s="1516"/>
    </row>
    <row r="93" spans="1:15">
      <c r="C93" t="s">
        <v>1630</v>
      </c>
      <c r="D93" t="s">
        <v>515</v>
      </c>
      <c r="E93" s="902"/>
      <c r="F93" s="2317" t="s">
        <v>5040</v>
      </c>
      <c r="G93" s="902" t="s">
        <v>2621</v>
      </c>
      <c r="H93" s="902">
        <v>8</v>
      </c>
      <c r="I93" s="902">
        <f t="shared" si="26"/>
        <v>56</v>
      </c>
      <c r="J93" s="902">
        <f t="shared" si="27"/>
        <v>56</v>
      </c>
      <c r="K93" s="902"/>
      <c r="L93" s="902"/>
      <c r="M93" s="902"/>
      <c r="N93" s="1516">
        <v>7</v>
      </c>
      <c r="O93" s="1516"/>
    </row>
    <row r="94" spans="1:15">
      <c r="C94" t="s">
        <v>1392</v>
      </c>
      <c r="D94" t="s">
        <v>515</v>
      </c>
      <c r="E94" s="902"/>
      <c r="F94" s="2317" t="s">
        <v>2886</v>
      </c>
      <c r="G94" s="902" t="s">
        <v>2596</v>
      </c>
      <c r="H94" s="902">
        <v>16</v>
      </c>
      <c r="I94" s="902">
        <f t="shared" si="26"/>
        <v>112</v>
      </c>
      <c r="J94" s="902">
        <f t="shared" si="27"/>
        <v>112</v>
      </c>
      <c r="K94" s="902"/>
      <c r="L94" s="902"/>
      <c r="M94" s="902"/>
      <c r="N94" s="1516">
        <v>7</v>
      </c>
      <c r="O94" s="1516"/>
    </row>
    <row r="95" spans="1:15">
      <c r="C95" t="s">
        <v>2053</v>
      </c>
      <c r="D95" t="s">
        <v>515</v>
      </c>
      <c r="E95" s="902"/>
      <c r="F95" s="2317" t="s">
        <v>3121</v>
      </c>
      <c r="G95" s="902" t="s">
        <v>2621</v>
      </c>
      <c r="H95" s="902">
        <v>2</v>
      </c>
      <c r="I95" s="902">
        <f t="shared" si="26"/>
        <v>14</v>
      </c>
      <c r="J95" s="902">
        <f t="shared" si="27"/>
        <v>14</v>
      </c>
      <c r="K95" s="902"/>
      <c r="L95" s="902"/>
      <c r="M95" s="902"/>
      <c r="N95" s="1516">
        <v>7</v>
      </c>
      <c r="O95" s="1516"/>
    </row>
    <row r="96" spans="1:15">
      <c r="C96" t="s">
        <v>4963</v>
      </c>
      <c r="D96" t="s">
        <v>515</v>
      </c>
      <c r="E96" s="902"/>
      <c r="F96" s="2317" t="s">
        <v>5041</v>
      </c>
      <c r="G96" s="902" t="s">
        <v>2621</v>
      </c>
      <c r="H96" s="902">
        <v>1</v>
      </c>
      <c r="I96" s="902">
        <f t="shared" si="26"/>
        <v>7</v>
      </c>
      <c r="J96" s="902">
        <f t="shared" si="27"/>
        <v>7</v>
      </c>
      <c r="K96" s="902"/>
      <c r="L96" s="902"/>
      <c r="M96" s="902"/>
      <c r="N96" s="1516">
        <v>7</v>
      </c>
      <c r="O96" s="1516"/>
    </row>
    <row r="97" spans="1:15">
      <c r="C97" t="s">
        <v>1971</v>
      </c>
      <c r="D97" t="s">
        <v>515</v>
      </c>
      <c r="E97" s="902" t="s">
        <v>4995</v>
      </c>
      <c r="F97" s="2317" t="s">
        <v>3269</v>
      </c>
      <c r="G97" s="902" t="s">
        <v>2503</v>
      </c>
      <c r="H97" s="902">
        <v>1</v>
      </c>
      <c r="I97" s="902">
        <f t="shared" si="26"/>
        <v>7</v>
      </c>
      <c r="J97" s="902">
        <f t="shared" si="27"/>
        <v>7</v>
      </c>
      <c r="K97" s="902"/>
      <c r="L97" s="902"/>
      <c r="M97" s="902"/>
      <c r="N97" s="1516">
        <v>7</v>
      </c>
      <c r="O97" s="1516"/>
    </row>
    <row r="98" spans="1:15">
      <c r="A98" t="s">
        <v>669</v>
      </c>
      <c r="C98" s="1516" t="str">
        <f>A98</f>
        <v>CL12-B</v>
      </c>
      <c r="D98" t="s">
        <v>515</v>
      </c>
      <c r="E98" s="902"/>
      <c r="F98" s="2318" t="s">
        <v>2534</v>
      </c>
      <c r="G98" s="2319" t="s">
        <v>2449</v>
      </c>
      <c r="H98" s="2319"/>
      <c r="I98" s="2319">
        <f>N98</f>
        <v>3</v>
      </c>
      <c r="J98" s="2319">
        <f>VLOOKUP(C98,BangKeTruDoc!B:E,4,0)</f>
        <v>3</v>
      </c>
      <c r="K98" s="2319">
        <f>J98-I98</f>
        <v>0</v>
      </c>
      <c r="L98" s="2319">
        <f>I98-J98</f>
        <v>0</v>
      </c>
      <c r="M98" s="902"/>
      <c r="N98" s="1516">
        <v>3</v>
      </c>
      <c r="O98" s="1516"/>
    </row>
    <row r="99" spans="1:15">
      <c r="C99" t="s">
        <v>420</v>
      </c>
      <c r="D99" t="s">
        <v>515</v>
      </c>
      <c r="E99" s="902"/>
      <c r="F99" s="2317" t="s">
        <v>5038</v>
      </c>
      <c r="G99" s="902" t="s">
        <v>2503</v>
      </c>
      <c r="H99" s="902">
        <v>1</v>
      </c>
      <c r="I99" s="902">
        <f t="shared" ref="I99:I107" si="28">H99*N99</f>
        <v>3</v>
      </c>
      <c r="J99" s="902">
        <f t="shared" ref="J99:J107" si="29">N99*H99</f>
        <v>3</v>
      </c>
      <c r="K99" s="902"/>
      <c r="L99" s="902"/>
      <c r="M99" s="902"/>
      <c r="N99" s="1516">
        <v>3</v>
      </c>
      <c r="O99" s="1516"/>
    </row>
    <row r="100" spans="1:15">
      <c r="C100" t="s">
        <v>112</v>
      </c>
      <c r="D100" t="s">
        <v>515</v>
      </c>
      <c r="E100" s="902"/>
      <c r="F100" s="2317" t="s">
        <v>5039</v>
      </c>
      <c r="G100" s="902" t="s">
        <v>2621</v>
      </c>
      <c r="H100" s="902">
        <v>1</v>
      </c>
      <c r="I100" s="902">
        <f t="shared" si="28"/>
        <v>3</v>
      </c>
      <c r="J100" s="902">
        <f t="shared" si="29"/>
        <v>3</v>
      </c>
      <c r="K100" s="902"/>
      <c r="L100" s="902"/>
      <c r="M100" s="902"/>
      <c r="N100" s="1516">
        <v>3</v>
      </c>
      <c r="O100" s="1516"/>
    </row>
    <row r="101" spans="1:15">
      <c r="C101" t="s">
        <v>1630</v>
      </c>
      <c r="D101" t="s">
        <v>515</v>
      </c>
      <c r="E101" s="902"/>
      <c r="F101" s="2317" t="s">
        <v>5040</v>
      </c>
      <c r="G101" s="902" t="s">
        <v>2621</v>
      </c>
      <c r="H101" s="902">
        <v>8</v>
      </c>
      <c r="I101" s="902">
        <f t="shared" si="28"/>
        <v>24</v>
      </c>
      <c r="J101" s="902">
        <f t="shared" si="29"/>
        <v>24</v>
      </c>
      <c r="K101" s="902"/>
      <c r="L101" s="902"/>
      <c r="M101" s="902"/>
      <c r="N101" s="1516">
        <v>3</v>
      </c>
      <c r="O101" s="1516"/>
    </row>
    <row r="102" spans="1:15">
      <c r="C102" t="s">
        <v>1392</v>
      </c>
      <c r="D102" t="s">
        <v>515</v>
      </c>
      <c r="E102" s="902"/>
      <c r="F102" s="2317" t="s">
        <v>2886</v>
      </c>
      <c r="G102" s="902" t="s">
        <v>2596</v>
      </c>
      <c r="H102" s="902">
        <v>14</v>
      </c>
      <c r="I102" s="902">
        <f t="shared" si="28"/>
        <v>42</v>
      </c>
      <c r="J102" s="902">
        <f t="shared" si="29"/>
        <v>42</v>
      </c>
      <c r="K102" s="902"/>
      <c r="L102" s="902"/>
      <c r="M102" s="902"/>
      <c r="N102" s="1516">
        <v>3</v>
      </c>
      <c r="O102" s="1516"/>
    </row>
    <row r="103" spans="1:15">
      <c r="C103" t="s">
        <v>612</v>
      </c>
      <c r="D103" t="s">
        <v>515</v>
      </c>
      <c r="E103" s="902"/>
      <c r="F103" s="2317" t="s">
        <v>5042</v>
      </c>
      <c r="G103" s="902" t="s">
        <v>2503</v>
      </c>
      <c r="H103" s="902">
        <v>1</v>
      </c>
      <c r="I103" s="902">
        <f t="shared" si="28"/>
        <v>3</v>
      </c>
      <c r="J103" s="902">
        <f t="shared" si="29"/>
        <v>3</v>
      </c>
      <c r="K103" s="902"/>
      <c r="L103" s="902"/>
      <c r="M103" s="902"/>
      <c r="N103" s="1516">
        <v>3</v>
      </c>
      <c r="O103" s="1516"/>
    </row>
    <row r="104" spans="1:15">
      <c r="C104" t="s">
        <v>2053</v>
      </c>
      <c r="D104" t="s">
        <v>515</v>
      </c>
      <c r="E104" s="902"/>
      <c r="F104" s="2317" t="s">
        <v>3121</v>
      </c>
      <c r="G104" s="902" t="s">
        <v>2621</v>
      </c>
      <c r="H104" s="902">
        <v>2</v>
      </c>
      <c r="I104" s="902">
        <f t="shared" si="28"/>
        <v>6</v>
      </c>
      <c r="J104" s="902">
        <f t="shared" si="29"/>
        <v>6</v>
      </c>
      <c r="K104" s="902"/>
      <c r="L104" s="902"/>
      <c r="M104" s="902"/>
      <c r="N104" s="1516">
        <v>3</v>
      </c>
      <c r="O104" s="1516"/>
    </row>
    <row r="105" spans="1:15">
      <c r="C105" t="s">
        <v>2054</v>
      </c>
      <c r="D105" t="s">
        <v>515</v>
      </c>
      <c r="E105" s="902"/>
      <c r="F105" s="2317" t="s">
        <v>5043</v>
      </c>
      <c r="G105" s="902" t="s">
        <v>2621</v>
      </c>
      <c r="H105" s="902">
        <v>1</v>
      </c>
      <c r="I105" s="902">
        <f t="shared" si="28"/>
        <v>3</v>
      </c>
      <c r="J105" s="902">
        <f t="shared" si="29"/>
        <v>3</v>
      </c>
      <c r="K105" s="902"/>
      <c r="L105" s="902"/>
      <c r="M105" s="902"/>
      <c r="N105" s="1516">
        <v>3</v>
      </c>
      <c r="O105" s="1516"/>
    </row>
    <row r="106" spans="1:15">
      <c r="C106" t="s">
        <v>1971</v>
      </c>
      <c r="D106" t="s">
        <v>515</v>
      </c>
      <c r="E106" s="902" t="s">
        <v>4995</v>
      </c>
      <c r="F106" s="2317" t="s">
        <v>3269</v>
      </c>
      <c r="G106" s="902" t="s">
        <v>2503</v>
      </c>
      <c r="H106" s="902">
        <v>1</v>
      </c>
      <c r="I106" s="902">
        <f t="shared" si="28"/>
        <v>3</v>
      </c>
      <c r="J106" s="902">
        <f t="shared" si="29"/>
        <v>3</v>
      </c>
      <c r="K106" s="902"/>
      <c r="L106" s="902"/>
      <c r="M106" s="902"/>
      <c r="N106" s="1516">
        <v>3</v>
      </c>
      <c r="O106" s="1516"/>
    </row>
    <row r="107" spans="1:15">
      <c r="C107" t="s">
        <v>1959</v>
      </c>
      <c r="D107" t="s">
        <v>515</v>
      </c>
      <c r="E107" s="902" t="s">
        <v>4996</v>
      </c>
      <c r="F107" s="2317" t="s">
        <v>3268</v>
      </c>
      <c r="G107" s="902" t="s">
        <v>2503</v>
      </c>
      <c r="H107" s="902">
        <v>1</v>
      </c>
      <c r="I107" s="902">
        <f t="shared" si="28"/>
        <v>3</v>
      </c>
      <c r="J107" s="902">
        <f t="shared" si="29"/>
        <v>3</v>
      </c>
      <c r="K107" s="902"/>
      <c r="L107" s="902"/>
      <c r="M107" s="902"/>
      <c r="N107" s="1516">
        <v>3</v>
      </c>
      <c r="O107" s="1516"/>
    </row>
    <row r="108" spans="1:15">
      <c r="A108" t="s">
        <v>671</v>
      </c>
      <c r="C108" s="1516" t="str">
        <f>A108</f>
        <v>CX14-B</v>
      </c>
      <c r="D108" t="s">
        <v>515</v>
      </c>
      <c r="E108" s="902"/>
      <c r="F108" s="2318" t="s">
        <v>2536</v>
      </c>
      <c r="G108" s="2319" t="s">
        <v>2449</v>
      </c>
      <c r="H108" s="2319"/>
      <c r="I108" s="2319">
        <f>N108</f>
        <v>2</v>
      </c>
      <c r="J108" s="2319">
        <f>VLOOKUP(C108,BangKeTruDoc!B:E,4,0)</f>
        <v>2</v>
      </c>
      <c r="K108" s="2319">
        <f>J108-I108</f>
        <v>0</v>
      </c>
      <c r="L108" s="2319">
        <f>I108-J108</f>
        <v>0</v>
      </c>
      <c r="M108" s="902"/>
      <c r="N108" s="1516">
        <v>2</v>
      </c>
      <c r="O108" s="1516"/>
    </row>
    <row r="109" spans="1:15">
      <c r="C109" t="s">
        <v>420</v>
      </c>
      <c r="D109" t="s">
        <v>515</v>
      </c>
      <c r="E109" s="902"/>
      <c r="F109" s="2317" t="s">
        <v>5038</v>
      </c>
      <c r="G109" s="902" t="s">
        <v>2503</v>
      </c>
      <c r="H109" s="902">
        <v>1</v>
      </c>
      <c r="I109" s="902">
        <f t="shared" ref="I109:I115" si="30">H109*N109</f>
        <v>2</v>
      </c>
      <c r="J109" s="902">
        <f t="shared" ref="J109:J115" si="31">N109*H109</f>
        <v>2</v>
      </c>
      <c r="K109" s="902"/>
      <c r="L109" s="902"/>
      <c r="M109" s="902"/>
      <c r="N109" s="1516">
        <v>2</v>
      </c>
      <c r="O109" s="1516"/>
    </row>
    <row r="110" spans="1:15">
      <c r="C110" t="s">
        <v>112</v>
      </c>
      <c r="D110" t="s">
        <v>515</v>
      </c>
      <c r="E110" s="902"/>
      <c r="F110" s="2317" t="s">
        <v>5039</v>
      </c>
      <c r="G110" s="902" t="s">
        <v>2621</v>
      </c>
      <c r="H110" s="902">
        <v>1</v>
      </c>
      <c r="I110" s="902">
        <f t="shared" si="30"/>
        <v>2</v>
      </c>
      <c r="J110" s="902">
        <f t="shared" si="31"/>
        <v>2</v>
      </c>
      <c r="K110" s="902"/>
      <c r="L110" s="902"/>
      <c r="M110" s="902"/>
      <c r="N110" s="1516">
        <v>2</v>
      </c>
      <c r="O110" s="1516"/>
    </row>
    <row r="111" spans="1:15">
      <c r="C111" t="s">
        <v>1630</v>
      </c>
      <c r="D111" t="s">
        <v>515</v>
      </c>
      <c r="E111" s="902"/>
      <c r="F111" s="2317" t="s">
        <v>5040</v>
      </c>
      <c r="G111" s="902" t="s">
        <v>2621</v>
      </c>
      <c r="H111" s="902">
        <v>8</v>
      </c>
      <c r="I111" s="902">
        <f t="shared" si="30"/>
        <v>16</v>
      </c>
      <c r="J111" s="902">
        <f t="shared" si="31"/>
        <v>16</v>
      </c>
      <c r="K111" s="902"/>
      <c r="L111" s="902"/>
      <c r="M111" s="902"/>
      <c r="N111" s="1516">
        <v>2</v>
      </c>
      <c r="O111" s="1516"/>
    </row>
    <row r="112" spans="1:15">
      <c r="C112" t="s">
        <v>1392</v>
      </c>
      <c r="D112" t="s">
        <v>515</v>
      </c>
      <c r="E112" s="902"/>
      <c r="F112" s="2317" t="s">
        <v>2886</v>
      </c>
      <c r="G112" s="902" t="s">
        <v>2596</v>
      </c>
      <c r="H112" s="902">
        <v>17</v>
      </c>
      <c r="I112" s="902">
        <f t="shared" si="30"/>
        <v>34</v>
      </c>
      <c r="J112" s="902">
        <f t="shared" si="31"/>
        <v>34</v>
      </c>
      <c r="K112" s="902"/>
      <c r="L112" s="902"/>
      <c r="M112" s="902"/>
      <c r="N112" s="1516">
        <v>2</v>
      </c>
      <c r="O112" s="1516"/>
    </row>
    <row r="113" spans="1:15">
      <c r="C113" t="s">
        <v>2053</v>
      </c>
      <c r="D113" t="s">
        <v>515</v>
      </c>
      <c r="E113" s="902"/>
      <c r="F113" s="2317" t="s">
        <v>3121</v>
      </c>
      <c r="G113" s="902" t="s">
        <v>2621</v>
      </c>
      <c r="H113" s="902">
        <v>2</v>
      </c>
      <c r="I113" s="902">
        <f t="shared" si="30"/>
        <v>4</v>
      </c>
      <c r="J113" s="902">
        <f t="shared" si="31"/>
        <v>4</v>
      </c>
      <c r="K113" s="902"/>
      <c r="L113" s="902"/>
      <c r="M113" s="902"/>
      <c r="N113" s="1516">
        <v>2</v>
      </c>
      <c r="O113" s="1516"/>
    </row>
    <row r="114" spans="1:15">
      <c r="C114" t="s">
        <v>2054</v>
      </c>
      <c r="D114" t="s">
        <v>515</v>
      </c>
      <c r="E114" s="902"/>
      <c r="F114" s="2317" t="s">
        <v>5043</v>
      </c>
      <c r="G114" s="902" t="s">
        <v>2621</v>
      </c>
      <c r="H114" s="902">
        <v>1</v>
      </c>
      <c r="I114" s="902">
        <f t="shared" si="30"/>
        <v>2</v>
      </c>
      <c r="J114" s="902">
        <f t="shared" si="31"/>
        <v>2</v>
      </c>
      <c r="K114" s="902"/>
      <c r="L114" s="902"/>
      <c r="M114" s="902"/>
      <c r="N114" s="1516">
        <v>2</v>
      </c>
      <c r="O114" s="1516"/>
    </row>
    <row r="115" spans="1:15">
      <c r="C115" t="s">
        <v>1971</v>
      </c>
      <c r="D115" t="s">
        <v>515</v>
      </c>
      <c r="E115" s="902" t="s">
        <v>4995</v>
      </c>
      <c r="F115" s="2317" t="s">
        <v>3269</v>
      </c>
      <c r="G115" s="902" t="s">
        <v>2503</v>
      </c>
      <c r="H115" s="902">
        <v>1</v>
      </c>
      <c r="I115" s="902">
        <f t="shared" si="30"/>
        <v>2</v>
      </c>
      <c r="J115" s="902">
        <f t="shared" si="31"/>
        <v>2</v>
      </c>
      <c r="K115" s="902"/>
      <c r="L115" s="902"/>
      <c r="M115" s="902"/>
      <c r="N115" s="1516">
        <v>2</v>
      </c>
      <c r="O115" s="1516"/>
    </row>
    <row r="116" spans="1:15">
      <c r="A116" t="s">
        <v>930</v>
      </c>
      <c r="C116" s="1516" t="str">
        <f>A116</f>
        <v>CXX14-B</v>
      </c>
      <c r="D116" t="s">
        <v>515</v>
      </c>
      <c r="E116" s="902"/>
      <c r="F116" s="2318" t="s">
        <v>2538</v>
      </c>
      <c r="G116" s="2319" t="s">
        <v>2449</v>
      </c>
      <c r="H116" s="2319"/>
      <c r="I116" s="2319">
        <f>N116</f>
        <v>2</v>
      </c>
      <c r="J116" s="2319">
        <f>VLOOKUP(C116,BangKeTruDoc!B:E,4,0)</f>
        <v>2</v>
      </c>
      <c r="K116" s="2319">
        <f>J116-I116</f>
        <v>0</v>
      </c>
      <c r="L116" s="2319">
        <f>I116-J116</f>
        <v>0</v>
      </c>
      <c r="M116" s="902"/>
      <c r="N116" s="1516">
        <v>2</v>
      </c>
      <c r="O116" s="1516"/>
    </row>
    <row r="117" spans="1:15">
      <c r="C117" t="s">
        <v>420</v>
      </c>
      <c r="D117" t="s">
        <v>515</v>
      </c>
      <c r="E117" s="902"/>
      <c r="F117" s="2317" t="s">
        <v>5038</v>
      </c>
      <c r="G117" s="902" t="s">
        <v>2503</v>
      </c>
      <c r="H117" s="902">
        <v>2</v>
      </c>
      <c r="I117" s="902">
        <f t="shared" ref="I117:I123" si="32">H117*N117</f>
        <v>4</v>
      </c>
      <c r="J117" s="902">
        <f t="shared" ref="J117:J123" si="33">N117*H117</f>
        <v>4</v>
      </c>
      <c r="K117" s="902"/>
      <c r="L117" s="902"/>
      <c r="M117" s="902"/>
      <c r="N117" s="1516">
        <v>2</v>
      </c>
      <c r="O117" s="1516"/>
    </row>
    <row r="118" spans="1:15">
      <c r="C118" t="s">
        <v>112</v>
      </c>
      <c r="D118" t="s">
        <v>515</v>
      </c>
      <c r="E118" s="902"/>
      <c r="F118" s="2317" t="s">
        <v>5039</v>
      </c>
      <c r="G118" s="902" t="s">
        <v>2621</v>
      </c>
      <c r="H118" s="902">
        <v>2</v>
      </c>
      <c r="I118" s="902">
        <f t="shared" si="32"/>
        <v>4</v>
      </c>
      <c r="J118" s="902">
        <f t="shared" si="33"/>
        <v>4</v>
      </c>
      <c r="K118" s="902"/>
      <c r="L118" s="902"/>
      <c r="M118" s="902"/>
      <c r="N118" s="1516">
        <v>2</v>
      </c>
      <c r="O118" s="1516"/>
    </row>
    <row r="119" spans="1:15">
      <c r="C119" t="s">
        <v>1630</v>
      </c>
      <c r="D119" t="s">
        <v>515</v>
      </c>
      <c r="E119" s="902"/>
      <c r="F119" s="2317" t="s">
        <v>5040</v>
      </c>
      <c r="G119" s="902" t="s">
        <v>2621</v>
      </c>
      <c r="H119" s="902">
        <v>16</v>
      </c>
      <c r="I119" s="902">
        <f t="shared" si="32"/>
        <v>32</v>
      </c>
      <c r="J119" s="902">
        <f t="shared" si="33"/>
        <v>32</v>
      </c>
      <c r="K119" s="902"/>
      <c r="L119" s="902"/>
      <c r="M119" s="902"/>
      <c r="N119" s="1516">
        <v>2</v>
      </c>
      <c r="O119" s="1516"/>
    </row>
    <row r="120" spans="1:15">
      <c r="C120" t="s">
        <v>1392</v>
      </c>
      <c r="D120" t="s">
        <v>515</v>
      </c>
      <c r="E120" s="902"/>
      <c r="F120" s="2317" t="s">
        <v>2886</v>
      </c>
      <c r="G120" s="902" t="s">
        <v>2596</v>
      </c>
      <c r="H120" s="902">
        <v>30</v>
      </c>
      <c r="I120" s="902">
        <f t="shared" si="32"/>
        <v>60</v>
      </c>
      <c r="J120" s="902">
        <f t="shared" si="33"/>
        <v>60</v>
      </c>
      <c r="K120" s="902"/>
      <c r="L120" s="902"/>
      <c r="M120" s="902"/>
      <c r="N120" s="1516">
        <v>2</v>
      </c>
      <c r="O120" s="1516"/>
    </row>
    <row r="121" spans="1:15">
      <c r="C121" t="s">
        <v>2053</v>
      </c>
      <c r="D121" t="s">
        <v>515</v>
      </c>
      <c r="E121" s="902"/>
      <c r="F121" s="2317" t="s">
        <v>3121</v>
      </c>
      <c r="G121" s="902" t="s">
        <v>2621</v>
      </c>
      <c r="H121" s="902">
        <v>4</v>
      </c>
      <c r="I121" s="902">
        <f t="shared" si="32"/>
        <v>8</v>
      </c>
      <c r="J121" s="902">
        <f t="shared" si="33"/>
        <v>8</v>
      </c>
      <c r="K121" s="902"/>
      <c r="L121" s="902"/>
      <c r="M121" s="902"/>
      <c r="N121" s="1516">
        <v>2</v>
      </c>
      <c r="O121" s="1516"/>
    </row>
    <row r="122" spans="1:15">
      <c r="C122" t="s">
        <v>2054</v>
      </c>
      <c r="D122" t="s">
        <v>515</v>
      </c>
      <c r="E122" s="902"/>
      <c r="F122" s="2317" t="s">
        <v>5043</v>
      </c>
      <c r="G122" s="902" t="s">
        <v>2621</v>
      </c>
      <c r="H122" s="902">
        <v>1</v>
      </c>
      <c r="I122" s="902">
        <f t="shared" si="32"/>
        <v>2</v>
      </c>
      <c r="J122" s="902">
        <f t="shared" si="33"/>
        <v>2</v>
      </c>
      <c r="K122" s="902"/>
      <c r="L122" s="902"/>
      <c r="M122" s="902"/>
      <c r="N122" s="1516">
        <v>2</v>
      </c>
      <c r="O122" s="1516"/>
    </row>
    <row r="123" spans="1:15">
      <c r="C123" t="s">
        <v>1971</v>
      </c>
      <c r="D123" t="s">
        <v>515</v>
      </c>
      <c r="E123" s="902" t="s">
        <v>4995</v>
      </c>
      <c r="F123" s="2317" t="s">
        <v>3269</v>
      </c>
      <c r="G123" s="902" t="s">
        <v>2503</v>
      </c>
      <c r="H123" s="902">
        <v>2</v>
      </c>
      <c r="I123" s="902">
        <f t="shared" si="32"/>
        <v>4</v>
      </c>
      <c r="J123" s="902">
        <f t="shared" si="33"/>
        <v>4</v>
      </c>
      <c r="K123" s="902"/>
      <c r="L123" s="902"/>
      <c r="M123" s="902"/>
      <c r="N123" s="1516">
        <v>2</v>
      </c>
      <c r="O123" s="1516"/>
    </row>
    <row r="124" spans="1:15">
      <c r="A124" t="s">
        <v>757</v>
      </c>
      <c r="C124" s="1516" t="str">
        <f>A124</f>
        <v>CK-B</v>
      </c>
      <c r="D124" t="s">
        <v>515</v>
      </c>
      <c r="E124" s="902"/>
      <c r="F124" s="2318" t="s">
        <v>2539</v>
      </c>
      <c r="G124" s="2319" t="s">
        <v>2449</v>
      </c>
      <c r="H124" s="2319"/>
      <c r="I124" s="2319">
        <f>N124</f>
        <v>1</v>
      </c>
      <c r="J124" s="2319">
        <f>VLOOKUP(C124,BangKeTruDoc!B:E,4,0)</f>
        <v>1</v>
      </c>
      <c r="K124" s="2319">
        <f>J124-I124</f>
        <v>0</v>
      </c>
      <c r="L124" s="2319">
        <f>I124-J124</f>
        <v>0</v>
      </c>
      <c r="M124" s="902"/>
      <c r="N124" s="1516">
        <v>1</v>
      </c>
      <c r="O124" s="1516"/>
    </row>
    <row r="125" spans="1:15">
      <c r="C125" t="s">
        <v>420</v>
      </c>
      <c r="D125" t="s">
        <v>515</v>
      </c>
      <c r="E125" s="902"/>
      <c r="F125" s="2317" t="s">
        <v>5038</v>
      </c>
      <c r="G125" s="902" t="s">
        <v>2503</v>
      </c>
      <c r="H125" s="902">
        <v>3</v>
      </c>
      <c r="I125" s="902">
        <f t="shared" ref="I125:I132" si="34">H125*N125</f>
        <v>3</v>
      </c>
      <c r="J125" s="902">
        <f t="shared" ref="J125:J132" si="35">N125*H125</f>
        <v>3</v>
      </c>
      <c r="K125" s="902"/>
      <c r="L125" s="902"/>
      <c r="M125" s="902"/>
      <c r="N125" s="1516">
        <v>1</v>
      </c>
      <c r="O125" s="1516"/>
    </row>
    <row r="126" spans="1:15">
      <c r="C126" t="s">
        <v>112</v>
      </c>
      <c r="D126" t="s">
        <v>515</v>
      </c>
      <c r="E126" s="902"/>
      <c r="F126" s="2317" t="s">
        <v>5039</v>
      </c>
      <c r="G126" s="902" t="s">
        <v>2621</v>
      </c>
      <c r="H126" s="902">
        <v>2</v>
      </c>
      <c r="I126" s="902">
        <f t="shared" si="34"/>
        <v>2</v>
      </c>
      <c r="J126" s="902">
        <f t="shared" si="35"/>
        <v>2</v>
      </c>
      <c r="K126" s="902"/>
      <c r="L126" s="902"/>
      <c r="M126" s="902"/>
      <c r="N126" s="1516">
        <v>1</v>
      </c>
      <c r="O126" s="1516"/>
    </row>
    <row r="127" spans="1:15">
      <c r="C127" t="s">
        <v>1630</v>
      </c>
      <c r="D127" t="s">
        <v>515</v>
      </c>
      <c r="E127" s="902"/>
      <c r="F127" s="2317" t="s">
        <v>5040</v>
      </c>
      <c r="G127" s="902" t="s">
        <v>2621</v>
      </c>
      <c r="H127" s="902">
        <v>16</v>
      </c>
      <c r="I127" s="902">
        <f t="shared" si="34"/>
        <v>16</v>
      </c>
      <c r="J127" s="902">
        <f t="shared" si="35"/>
        <v>16</v>
      </c>
      <c r="K127" s="902"/>
      <c r="L127" s="902"/>
      <c r="M127" s="902"/>
      <c r="N127" s="1516">
        <v>1</v>
      </c>
      <c r="O127" s="1516"/>
    </row>
    <row r="128" spans="1:15">
      <c r="C128" t="s">
        <v>276</v>
      </c>
      <c r="D128" t="s">
        <v>515</v>
      </c>
      <c r="E128" s="902"/>
      <c r="F128" s="2317" t="s">
        <v>2885</v>
      </c>
      <c r="G128" s="902" t="s">
        <v>2596</v>
      </c>
      <c r="H128" s="902">
        <v>30</v>
      </c>
      <c r="I128" s="902">
        <f t="shared" si="34"/>
        <v>30</v>
      </c>
      <c r="J128" s="902">
        <f t="shared" si="35"/>
        <v>30</v>
      </c>
      <c r="K128" s="902"/>
      <c r="L128" s="902"/>
      <c r="M128" s="902"/>
      <c r="N128" s="1516">
        <v>1</v>
      </c>
      <c r="O128" s="1516"/>
    </row>
    <row r="129" spans="1:15">
      <c r="C129" t="s">
        <v>2053</v>
      </c>
      <c r="D129" t="s">
        <v>515</v>
      </c>
      <c r="E129" s="902"/>
      <c r="F129" s="2317" t="s">
        <v>3121</v>
      </c>
      <c r="G129" s="902" t="s">
        <v>2621</v>
      </c>
      <c r="H129" s="902">
        <v>4</v>
      </c>
      <c r="I129" s="902">
        <f t="shared" si="34"/>
        <v>4</v>
      </c>
      <c r="J129" s="902">
        <f t="shared" si="35"/>
        <v>4</v>
      </c>
      <c r="K129" s="902"/>
      <c r="L129" s="902"/>
      <c r="M129" s="902"/>
      <c r="N129" s="1516">
        <v>1</v>
      </c>
      <c r="O129" s="1516"/>
    </row>
    <row r="130" spans="1:15">
      <c r="C130" t="s">
        <v>2054</v>
      </c>
      <c r="D130" t="s">
        <v>515</v>
      </c>
      <c r="E130" s="902"/>
      <c r="F130" s="2317" t="s">
        <v>5043</v>
      </c>
      <c r="G130" s="902" t="s">
        <v>2621</v>
      </c>
      <c r="H130" s="902">
        <v>1</v>
      </c>
      <c r="I130" s="902">
        <f t="shared" si="34"/>
        <v>1</v>
      </c>
      <c r="J130" s="902">
        <f t="shared" si="35"/>
        <v>1</v>
      </c>
      <c r="K130" s="902"/>
      <c r="L130" s="902"/>
      <c r="M130" s="902"/>
      <c r="N130" s="1516">
        <v>1</v>
      </c>
      <c r="O130" s="1516"/>
    </row>
    <row r="131" spans="1:15">
      <c r="C131" t="s">
        <v>1971</v>
      </c>
      <c r="D131" t="s">
        <v>515</v>
      </c>
      <c r="E131" s="902" t="s">
        <v>4995</v>
      </c>
      <c r="F131" s="2317" t="s">
        <v>3269</v>
      </c>
      <c r="G131" s="902" t="s">
        <v>2503</v>
      </c>
      <c r="H131" s="902">
        <v>2</v>
      </c>
      <c r="I131" s="902">
        <f t="shared" si="34"/>
        <v>2</v>
      </c>
      <c r="J131" s="902">
        <f t="shared" si="35"/>
        <v>2</v>
      </c>
      <c r="K131" s="902"/>
      <c r="L131" s="902"/>
      <c r="M131" s="902"/>
      <c r="N131" s="1516">
        <v>1</v>
      </c>
      <c r="O131" s="1516"/>
    </row>
    <row r="132" spans="1:15">
      <c r="C132" t="s">
        <v>357</v>
      </c>
      <c r="D132" t="s">
        <v>515</v>
      </c>
      <c r="E132" s="2320">
        <v>21421</v>
      </c>
      <c r="F132" s="2317" t="s">
        <v>2653</v>
      </c>
      <c r="G132" s="902" t="s">
        <v>2506</v>
      </c>
      <c r="H132" s="902"/>
      <c r="I132" s="902">
        <f t="shared" si="34"/>
        <v>0</v>
      </c>
      <c r="J132" s="902">
        <f t="shared" si="35"/>
        <v>0</v>
      </c>
      <c r="K132" s="902"/>
      <c r="L132" s="902"/>
      <c r="M132" s="902"/>
      <c r="N132" s="1516">
        <v>1</v>
      </c>
      <c r="O132" s="1516"/>
    </row>
    <row r="133" spans="1:15">
      <c r="A133" t="s">
        <v>1544</v>
      </c>
      <c r="C133" s="1516" t="str">
        <f>A133</f>
        <v>NXX</v>
      </c>
      <c r="D133" t="s">
        <v>515</v>
      </c>
      <c r="E133" s="902"/>
      <c r="F133" s="2318" t="s">
        <v>2553</v>
      </c>
      <c r="G133" s="2319" t="s">
        <v>2449</v>
      </c>
      <c r="H133" s="2319"/>
      <c r="I133" s="2319">
        <f>N133</f>
        <v>2</v>
      </c>
      <c r="J133" s="2319">
        <f>VLOOKUP(C133,BangKeTruDoc!B:E,4,0)</f>
        <v>2</v>
      </c>
      <c r="K133" s="2319">
        <f>J133-I133</f>
        <v>0</v>
      </c>
      <c r="L133" s="2319">
        <f>I133-J133</f>
        <v>0</v>
      </c>
      <c r="M133" s="902"/>
      <c r="N133" s="1516">
        <v>2</v>
      </c>
      <c r="O133" s="1516"/>
    </row>
    <row r="134" spans="1:15">
      <c r="C134" t="s">
        <v>2225</v>
      </c>
      <c r="D134" t="s">
        <v>515</v>
      </c>
      <c r="E134" s="902"/>
      <c r="F134" s="2317" t="s">
        <v>5361</v>
      </c>
      <c r="G134" s="902" t="s">
        <v>2621</v>
      </c>
      <c r="H134" s="902">
        <v>1</v>
      </c>
      <c r="I134" s="902">
        <f t="shared" ref="I134:I189" si="36">H134*N134</f>
        <v>2</v>
      </c>
      <c r="J134" s="902">
        <f t="shared" ref="J134:J189" si="37">N134*H134</f>
        <v>2</v>
      </c>
      <c r="K134" s="902"/>
      <c r="L134" s="902"/>
      <c r="M134" s="902"/>
      <c r="N134" s="1516">
        <v>2</v>
      </c>
      <c r="O134" s="1516"/>
    </row>
    <row r="135" spans="1:15">
      <c r="C135" t="s">
        <v>1322</v>
      </c>
      <c r="D135" t="s">
        <v>515</v>
      </c>
      <c r="E135" s="902"/>
      <c r="F135" s="2317" t="s">
        <v>3039</v>
      </c>
      <c r="G135" s="902" t="s">
        <v>2621</v>
      </c>
      <c r="H135" s="902">
        <v>1</v>
      </c>
      <c r="I135" s="902">
        <f t="shared" si="36"/>
        <v>2</v>
      </c>
      <c r="J135" s="902">
        <f t="shared" si="37"/>
        <v>2</v>
      </c>
      <c r="K135" s="902"/>
      <c r="L135" s="902"/>
      <c r="M135" s="902"/>
      <c r="N135" s="1516">
        <v>2</v>
      </c>
      <c r="O135" s="1516"/>
    </row>
    <row r="136" spans="1:15">
      <c r="C136" t="s">
        <v>644</v>
      </c>
      <c r="D136" t="s">
        <v>515</v>
      </c>
      <c r="E136" s="902" t="s">
        <v>4978</v>
      </c>
      <c r="F136" s="2317" t="s">
        <v>5008</v>
      </c>
      <c r="G136" s="902" t="s">
        <v>873</v>
      </c>
      <c r="H136" s="902">
        <v>0.4</v>
      </c>
      <c r="I136" s="902">
        <f t="shared" si="36"/>
        <v>0.8</v>
      </c>
      <c r="J136" s="902">
        <f t="shared" si="37"/>
        <v>0.8</v>
      </c>
      <c r="K136" s="902"/>
      <c r="L136" s="902"/>
      <c r="M136" s="902"/>
      <c r="N136" s="1516">
        <v>2</v>
      </c>
      <c r="O136" s="1516"/>
    </row>
    <row r="137" spans="1:15">
      <c r="C137" t="s">
        <v>21</v>
      </c>
      <c r="D137" t="s">
        <v>515</v>
      </c>
      <c r="E137" s="902" t="s">
        <v>4979</v>
      </c>
      <c r="F137" s="2317" t="s">
        <v>5009</v>
      </c>
      <c r="G137" s="902" t="s">
        <v>873</v>
      </c>
      <c r="H137" s="902">
        <v>0.4</v>
      </c>
      <c r="I137" s="902">
        <f t="shared" si="36"/>
        <v>0.8</v>
      </c>
      <c r="J137" s="902">
        <f t="shared" si="37"/>
        <v>0.8</v>
      </c>
      <c r="K137" s="902"/>
      <c r="L137" s="902"/>
      <c r="M137" s="902"/>
      <c r="N137" s="1516">
        <v>2</v>
      </c>
      <c r="O137" s="1516"/>
    </row>
    <row r="138" spans="1:15">
      <c r="C138" s="1516">
        <f t="shared" ref="C138:C139" si="38">A138</f>
        <v>0</v>
      </c>
      <c r="D138" t="s">
        <v>515</v>
      </c>
      <c r="E138" s="902" t="s">
        <v>1961</v>
      </c>
      <c r="F138" s="2318" t="s">
        <v>2363</v>
      </c>
      <c r="G138" s="2319"/>
      <c r="H138" s="2319"/>
      <c r="I138" s="2319">
        <f t="shared" si="36"/>
        <v>0</v>
      </c>
      <c r="J138" s="2319">
        <f t="shared" si="37"/>
        <v>0</v>
      </c>
      <c r="K138" s="2319"/>
      <c r="L138" s="2319"/>
      <c r="M138" s="902"/>
      <c r="N138" s="1516">
        <v>2</v>
      </c>
      <c r="O138" s="1516"/>
    </row>
    <row r="139" spans="1:15">
      <c r="A139" t="s">
        <v>1972</v>
      </c>
      <c r="C139" s="1516" t="str">
        <f t="shared" si="38"/>
        <v>DDTT3P1m-m</v>
      </c>
      <c r="D139" t="s">
        <v>515</v>
      </c>
      <c r="E139" s="902" t="s">
        <v>359</v>
      </c>
      <c r="F139" s="2318" t="s">
        <v>5044</v>
      </c>
      <c r="G139" s="2319" t="s">
        <v>2364</v>
      </c>
      <c r="H139" s="2319">
        <v>1</v>
      </c>
      <c r="I139" s="2319">
        <f t="shared" si="36"/>
        <v>2</v>
      </c>
      <c r="J139" s="2319">
        <f t="shared" si="37"/>
        <v>2</v>
      </c>
      <c r="K139" s="2319"/>
      <c r="L139" s="2319"/>
      <c r="M139" s="902"/>
      <c r="N139" s="1516">
        <v>2</v>
      </c>
      <c r="O139" s="1516"/>
    </row>
    <row r="140" spans="1:15">
      <c r="B140">
        <f>E140*0.471*1.02</f>
        <v>3044.9019600000011</v>
      </c>
      <c r="C140" t="s">
        <v>543</v>
      </c>
      <c r="D140" t="s">
        <v>515</v>
      </c>
      <c r="E140" s="2325">
        <f>VLOOKUP(C140,BangKeTruDoc!B:E,4,0)</f>
        <v>6338.0000000000018</v>
      </c>
      <c r="F140" s="2321" t="s">
        <v>5045</v>
      </c>
      <c r="G140" s="1718" t="s">
        <v>2310</v>
      </c>
      <c r="H140" s="1718">
        <v>0.47099999999999997</v>
      </c>
      <c r="I140" s="2326">
        <f t="shared" si="36"/>
        <v>2985.1980000000008</v>
      </c>
      <c r="J140" s="2326">
        <f t="shared" si="37"/>
        <v>2985.1980000000008</v>
      </c>
      <c r="K140" s="902"/>
      <c r="L140" s="902"/>
      <c r="M140" s="902"/>
      <c r="N140" s="1516">
        <f>E140</f>
        <v>6338.0000000000018</v>
      </c>
      <c r="O140" s="1516"/>
    </row>
    <row r="141" spans="1:15">
      <c r="B141">
        <f>E140*3</f>
        <v>19014.000000000007</v>
      </c>
      <c r="C141" t="s">
        <v>1061</v>
      </c>
      <c r="D141" t="s">
        <v>515</v>
      </c>
      <c r="E141" s="2325">
        <f>VLOOKUP(C141,BangKeTruDoc!B:E,4,0)</f>
        <v>19014.000000000007</v>
      </c>
      <c r="F141" s="2321" t="s">
        <v>5046</v>
      </c>
      <c r="G141" s="1718" t="s">
        <v>2596</v>
      </c>
      <c r="H141" s="1718">
        <v>1</v>
      </c>
      <c r="I141" s="902">
        <f t="shared" si="36"/>
        <v>19014.000000000007</v>
      </c>
      <c r="J141" s="902">
        <f t="shared" si="37"/>
        <v>19014.000000000007</v>
      </c>
      <c r="K141" s="902"/>
      <c r="L141" s="902"/>
      <c r="M141" s="902"/>
      <c r="N141" s="1516">
        <f t="shared" ref="N141:N144" si="39">E141</f>
        <v>19014.000000000007</v>
      </c>
      <c r="O141" s="1516"/>
    </row>
    <row r="142" spans="1:15">
      <c r="C142" t="s">
        <v>4964</v>
      </c>
      <c r="D142" t="s">
        <v>515</v>
      </c>
      <c r="E142" s="2325">
        <f>VLOOKUP(C142,BangKeTruDoc!B:E,4,0)</f>
        <v>159</v>
      </c>
      <c r="F142" s="2321" t="s">
        <v>5047</v>
      </c>
      <c r="G142" s="1718" t="s">
        <v>2596</v>
      </c>
      <c r="H142" s="1718">
        <v>1</v>
      </c>
      <c r="I142" s="902">
        <f t="shared" si="36"/>
        <v>159</v>
      </c>
      <c r="J142" s="902">
        <f t="shared" si="37"/>
        <v>159</v>
      </c>
      <c r="K142" s="902"/>
      <c r="L142" s="902"/>
      <c r="M142" s="902"/>
      <c r="N142" s="1516">
        <f t="shared" si="39"/>
        <v>159</v>
      </c>
      <c r="O142" s="1516"/>
    </row>
    <row r="143" spans="1:15">
      <c r="C143" t="s">
        <v>1520</v>
      </c>
      <c r="D143" t="s">
        <v>515</v>
      </c>
      <c r="E143" s="2325">
        <f>VLOOKUP(C143,BangKeTruDoc!B:E,4,0)</f>
        <v>24</v>
      </c>
      <c r="F143" s="2321" t="s">
        <v>2778</v>
      </c>
      <c r="G143" s="1718" t="s">
        <v>2596</v>
      </c>
      <c r="H143" s="1718">
        <v>1</v>
      </c>
      <c r="I143" s="902">
        <f t="shared" si="36"/>
        <v>24</v>
      </c>
      <c r="J143" s="902">
        <f t="shared" si="37"/>
        <v>24</v>
      </c>
      <c r="K143" s="902"/>
      <c r="L143" s="902"/>
      <c r="M143" s="902"/>
      <c r="N143" s="1516">
        <f t="shared" si="39"/>
        <v>24</v>
      </c>
      <c r="O143" s="1516"/>
    </row>
    <row r="144" spans="1:15">
      <c r="C144" t="s">
        <v>704</v>
      </c>
      <c r="D144" t="s">
        <v>515</v>
      </c>
      <c r="E144" s="2325">
        <f>VLOOKUP(C144,BangKeTruDoc!B:E,4,0)</f>
        <v>59</v>
      </c>
      <c r="F144" s="2321" t="s">
        <v>5048</v>
      </c>
      <c r="G144" s="1718" t="s">
        <v>2596</v>
      </c>
      <c r="H144" s="1718">
        <v>1</v>
      </c>
      <c r="I144" s="902">
        <f t="shared" si="36"/>
        <v>59</v>
      </c>
      <c r="J144" s="902">
        <f t="shared" si="37"/>
        <v>59</v>
      </c>
      <c r="K144" s="902"/>
      <c r="L144" s="902"/>
      <c r="M144" s="902"/>
      <c r="N144" s="1516">
        <f t="shared" si="39"/>
        <v>59</v>
      </c>
      <c r="O144" s="1516"/>
    </row>
    <row r="145" spans="3:15">
      <c r="C145" t="s">
        <v>2563</v>
      </c>
      <c r="D145" t="s">
        <v>515</v>
      </c>
      <c r="E145" s="902"/>
      <c r="F145" s="2318" t="s">
        <v>2564</v>
      </c>
      <c r="G145" s="902" t="s">
        <v>2503</v>
      </c>
      <c r="H145" s="902">
        <v>1</v>
      </c>
      <c r="I145" s="902">
        <f t="shared" si="36"/>
        <v>163</v>
      </c>
      <c r="J145" s="902">
        <f t="shared" si="37"/>
        <v>163</v>
      </c>
      <c r="K145" s="902"/>
      <c r="L145" s="902"/>
      <c r="M145" s="902"/>
      <c r="N145" s="1516">
        <v>163</v>
      </c>
      <c r="O145" s="1516"/>
    </row>
    <row r="146" spans="3:15">
      <c r="C146" t="s">
        <v>1962</v>
      </c>
      <c r="D146" t="s">
        <v>515</v>
      </c>
      <c r="E146" s="902"/>
      <c r="F146" s="2317" t="s">
        <v>4997</v>
      </c>
      <c r="G146" s="902" t="s">
        <v>2503</v>
      </c>
      <c r="H146" s="902">
        <v>1</v>
      </c>
      <c r="I146" s="902">
        <f t="shared" si="36"/>
        <v>163</v>
      </c>
      <c r="J146" s="902">
        <f t="shared" si="37"/>
        <v>163</v>
      </c>
      <c r="K146" s="902"/>
      <c r="L146" s="902"/>
      <c r="M146" s="902"/>
      <c r="N146" s="1516">
        <v>163</v>
      </c>
      <c r="O146" s="1516"/>
    </row>
    <row r="147" spans="3:15">
      <c r="C147" t="s">
        <v>1481</v>
      </c>
      <c r="D147" t="s">
        <v>515</v>
      </c>
      <c r="E147" s="902"/>
      <c r="F147" s="2317" t="s">
        <v>3016</v>
      </c>
      <c r="G147" s="902" t="s">
        <v>2621</v>
      </c>
      <c r="H147" s="902">
        <v>1</v>
      </c>
      <c r="I147" s="902">
        <f t="shared" si="36"/>
        <v>163</v>
      </c>
      <c r="J147" s="902">
        <f t="shared" si="37"/>
        <v>163</v>
      </c>
      <c r="K147" s="902"/>
      <c r="L147" s="902"/>
      <c r="M147" s="902"/>
      <c r="N147" s="1516">
        <v>163</v>
      </c>
      <c r="O147" s="1516"/>
    </row>
    <row r="148" spans="3:15">
      <c r="C148" t="s">
        <v>1662</v>
      </c>
      <c r="D148" t="s">
        <v>515</v>
      </c>
      <c r="E148" s="902"/>
      <c r="F148" s="2317" t="s">
        <v>2714</v>
      </c>
      <c r="G148" s="902" t="s">
        <v>2503</v>
      </c>
      <c r="H148" s="902">
        <v>1</v>
      </c>
      <c r="I148" s="902">
        <f t="shared" si="36"/>
        <v>163</v>
      </c>
      <c r="J148" s="902">
        <f t="shared" si="37"/>
        <v>163</v>
      </c>
      <c r="K148" s="902"/>
      <c r="L148" s="902"/>
      <c r="M148" s="902"/>
      <c r="N148" s="1516">
        <v>163</v>
      </c>
      <c r="O148" s="1516"/>
    </row>
    <row r="149" spans="3:15">
      <c r="C149" t="s">
        <v>1674</v>
      </c>
      <c r="D149" t="s">
        <v>515</v>
      </c>
      <c r="E149" s="902"/>
      <c r="F149" s="2318" t="s">
        <v>2566</v>
      </c>
      <c r="G149" s="902" t="s">
        <v>2503</v>
      </c>
      <c r="H149" s="902">
        <v>1</v>
      </c>
      <c r="I149" s="902">
        <f t="shared" si="36"/>
        <v>29</v>
      </c>
      <c r="J149" s="902">
        <f t="shared" si="37"/>
        <v>29</v>
      </c>
      <c r="K149" s="902"/>
      <c r="L149" s="902"/>
      <c r="M149" s="902"/>
      <c r="N149" s="1516">
        <v>29</v>
      </c>
      <c r="O149" s="1516"/>
    </row>
    <row r="150" spans="3:15">
      <c r="C150" t="s">
        <v>434</v>
      </c>
      <c r="D150" t="s">
        <v>515</v>
      </c>
      <c r="E150" s="902"/>
      <c r="F150" s="2317" t="s">
        <v>5049</v>
      </c>
      <c r="G150" s="902" t="s">
        <v>2621</v>
      </c>
      <c r="H150" s="902">
        <v>1</v>
      </c>
      <c r="I150" s="902">
        <f t="shared" si="36"/>
        <v>29</v>
      </c>
      <c r="J150" s="902">
        <f t="shared" si="37"/>
        <v>29</v>
      </c>
      <c r="K150" s="902"/>
      <c r="L150" s="902"/>
      <c r="M150" s="902"/>
      <c r="N150" s="1516">
        <v>29</v>
      </c>
      <c r="O150" s="1516"/>
    </row>
    <row r="151" spans="3:15">
      <c r="C151" t="s">
        <v>420</v>
      </c>
      <c r="D151" t="s">
        <v>515</v>
      </c>
      <c r="E151" s="902"/>
      <c r="F151" s="2317" t="s">
        <v>5038</v>
      </c>
      <c r="G151" s="902" t="s">
        <v>2503</v>
      </c>
      <c r="H151" s="902">
        <v>1</v>
      </c>
      <c r="I151" s="902">
        <f t="shared" si="36"/>
        <v>29</v>
      </c>
      <c r="J151" s="902">
        <f t="shared" si="37"/>
        <v>29</v>
      </c>
      <c r="K151" s="902"/>
      <c r="L151" s="902"/>
      <c r="M151" s="902"/>
      <c r="N151" s="1516">
        <v>29</v>
      </c>
      <c r="O151" s="1516"/>
    </row>
    <row r="152" spans="3:15">
      <c r="C152" t="s">
        <v>2568</v>
      </c>
      <c r="D152" t="s">
        <v>515</v>
      </c>
      <c r="E152" s="902"/>
      <c r="F152" s="2318" t="s">
        <v>2569</v>
      </c>
      <c r="G152" s="902" t="s">
        <v>2503</v>
      </c>
      <c r="H152" s="902">
        <v>1</v>
      </c>
      <c r="I152" s="902">
        <f t="shared" si="36"/>
        <v>591</v>
      </c>
      <c r="J152" s="902">
        <f t="shared" si="37"/>
        <v>591</v>
      </c>
      <c r="K152" s="902"/>
      <c r="L152" s="902"/>
      <c r="M152" s="902"/>
      <c r="N152" s="1516">
        <v>591</v>
      </c>
      <c r="O152" s="1516"/>
    </row>
    <row r="153" spans="3:15">
      <c r="C153" t="s">
        <v>703</v>
      </c>
      <c r="D153" t="s">
        <v>515</v>
      </c>
      <c r="E153" s="902"/>
      <c r="F153" s="2317" t="s">
        <v>5050</v>
      </c>
      <c r="G153" s="902" t="s">
        <v>2621</v>
      </c>
      <c r="H153" s="902">
        <v>1</v>
      </c>
      <c r="I153" s="902">
        <f t="shared" si="36"/>
        <v>591</v>
      </c>
      <c r="J153" s="902">
        <f t="shared" si="37"/>
        <v>591</v>
      </c>
      <c r="K153" s="902"/>
      <c r="L153" s="902"/>
      <c r="M153" s="902"/>
      <c r="N153" s="1516">
        <v>591</v>
      </c>
      <c r="O153" s="1516"/>
    </row>
    <row r="154" spans="3:15">
      <c r="C154" t="s">
        <v>1298</v>
      </c>
      <c r="D154" t="s">
        <v>515</v>
      </c>
      <c r="E154" s="902"/>
      <c r="F154" s="2317" t="s">
        <v>5051</v>
      </c>
      <c r="G154" s="902" t="s">
        <v>2621</v>
      </c>
      <c r="H154" s="902">
        <v>1</v>
      </c>
      <c r="I154" s="902">
        <f t="shared" si="36"/>
        <v>591</v>
      </c>
      <c r="J154" s="902">
        <f t="shared" si="37"/>
        <v>591</v>
      </c>
      <c r="K154" s="902"/>
      <c r="L154" s="902"/>
      <c r="M154" s="902"/>
      <c r="N154" s="1516">
        <v>591</v>
      </c>
      <c r="O154" s="1516"/>
    </row>
    <row r="155" spans="3:15">
      <c r="C155" t="s">
        <v>2606</v>
      </c>
      <c r="D155" t="s">
        <v>515</v>
      </c>
      <c r="E155" s="902"/>
      <c r="F155" s="2318" t="s">
        <v>2580</v>
      </c>
      <c r="G155" s="902" t="s">
        <v>2576</v>
      </c>
      <c r="H155" s="902">
        <v>1</v>
      </c>
      <c r="I155" s="902">
        <f t="shared" si="36"/>
        <v>93</v>
      </c>
      <c r="J155" s="902">
        <f t="shared" si="37"/>
        <v>93</v>
      </c>
      <c r="K155" s="902"/>
      <c r="L155" s="902"/>
      <c r="M155" s="902"/>
      <c r="N155" s="1516">
        <v>93</v>
      </c>
      <c r="O155" s="1516"/>
    </row>
    <row r="156" spans="3:15">
      <c r="C156" t="s">
        <v>1558</v>
      </c>
      <c r="D156" t="s">
        <v>515</v>
      </c>
      <c r="E156" s="902"/>
      <c r="F156" s="2317" t="s">
        <v>5052</v>
      </c>
      <c r="G156" s="902" t="s">
        <v>2621</v>
      </c>
      <c r="H156" s="902">
        <v>1</v>
      </c>
      <c r="I156" s="902">
        <f t="shared" si="36"/>
        <v>93</v>
      </c>
      <c r="J156" s="902">
        <f t="shared" si="37"/>
        <v>93</v>
      </c>
      <c r="K156" s="902"/>
      <c r="L156" s="902"/>
      <c r="M156" s="902"/>
      <c r="N156" s="1516">
        <v>93</v>
      </c>
      <c r="O156" s="1516"/>
    </row>
    <row r="157" spans="3:15">
      <c r="C157" t="s">
        <v>1538</v>
      </c>
      <c r="D157" t="s">
        <v>515</v>
      </c>
      <c r="E157" s="902"/>
      <c r="F157" s="2317" t="s">
        <v>2989</v>
      </c>
      <c r="G157" s="902" t="s">
        <v>2621</v>
      </c>
      <c r="H157" s="902">
        <v>1</v>
      </c>
      <c r="I157" s="902">
        <f t="shared" si="36"/>
        <v>186</v>
      </c>
      <c r="J157" s="902">
        <f t="shared" si="37"/>
        <v>186</v>
      </c>
      <c r="K157" s="902"/>
      <c r="L157" s="902"/>
      <c r="M157" s="902"/>
      <c r="N157" s="1516">
        <v>186</v>
      </c>
      <c r="O157" s="1516"/>
    </row>
    <row r="158" spans="3:15">
      <c r="C158" t="s">
        <v>4965</v>
      </c>
      <c r="D158" t="s">
        <v>515</v>
      </c>
      <c r="E158" s="902"/>
      <c r="F158" s="2317" t="s">
        <v>5053</v>
      </c>
      <c r="G158" s="902" t="s">
        <v>2621</v>
      </c>
      <c r="H158" s="902">
        <v>1</v>
      </c>
      <c r="I158" s="902">
        <f t="shared" si="36"/>
        <v>96</v>
      </c>
      <c r="J158" s="902">
        <f t="shared" si="37"/>
        <v>96</v>
      </c>
      <c r="K158" s="902"/>
      <c r="L158" s="902"/>
      <c r="M158" s="902"/>
      <c r="N158" s="1516">
        <v>96</v>
      </c>
      <c r="O158" s="1516"/>
    </row>
    <row r="159" spans="3:15">
      <c r="C159" t="s">
        <v>4966</v>
      </c>
      <c r="D159" t="s">
        <v>515</v>
      </c>
      <c r="E159" s="902"/>
      <c r="F159" s="2317" t="s">
        <v>5054</v>
      </c>
      <c r="G159" s="902" t="s">
        <v>2621</v>
      </c>
      <c r="H159" s="902">
        <v>1</v>
      </c>
      <c r="I159" s="902">
        <f t="shared" si="36"/>
        <v>19</v>
      </c>
      <c r="J159" s="902">
        <f t="shared" si="37"/>
        <v>19</v>
      </c>
      <c r="K159" s="902"/>
      <c r="L159" s="902"/>
      <c r="M159" s="902"/>
      <c r="N159" s="1516">
        <v>19</v>
      </c>
      <c r="O159" s="1516"/>
    </row>
    <row r="160" spans="3:15">
      <c r="C160" t="s">
        <v>4967</v>
      </c>
      <c r="D160" t="s">
        <v>515</v>
      </c>
      <c r="E160" s="902"/>
      <c r="F160" s="2317" t="s">
        <v>5055</v>
      </c>
      <c r="G160" s="902" t="s">
        <v>2621</v>
      </c>
      <c r="H160" s="902">
        <v>1</v>
      </c>
      <c r="I160" s="902">
        <f t="shared" si="36"/>
        <v>10</v>
      </c>
      <c r="J160" s="902">
        <f t="shared" si="37"/>
        <v>10</v>
      </c>
      <c r="K160" s="902"/>
      <c r="L160" s="902"/>
      <c r="M160" s="902"/>
      <c r="N160" s="1516">
        <v>10</v>
      </c>
      <c r="O160" s="1516"/>
    </row>
    <row r="161" spans="3:15">
      <c r="C161" t="s">
        <v>4968</v>
      </c>
      <c r="D161" t="s">
        <v>515</v>
      </c>
      <c r="E161" s="902"/>
      <c r="F161" s="2317" t="s">
        <v>4516</v>
      </c>
      <c r="G161" s="902" t="s">
        <v>2621</v>
      </c>
      <c r="H161" s="902">
        <v>1</v>
      </c>
      <c r="I161" s="902">
        <f t="shared" si="36"/>
        <v>4</v>
      </c>
      <c r="J161" s="902">
        <f t="shared" si="37"/>
        <v>4</v>
      </c>
      <c r="K161" s="902"/>
      <c r="L161" s="902"/>
      <c r="M161" s="902"/>
      <c r="N161" s="1516">
        <v>4</v>
      </c>
      <c r="O161" s="1516"/>
    </row>
    <row r="162" spans="3:15">
      <c r="C162" t="s">
        <v>4969</v>
      </c>
      <c r="D162" t="s">
        <v>515</v>
      </c>
      <c r="E162" s="902"/>
      <c r="F162" s="2317" t="s">
        <v>5056</v>
      </c>
      <c r="G162" s="902" t="s">
        <v>2621</v>
      </c>
      <c r="H162" s="902">
        <v>1</v>
      </c>
      <c r="I162" s="902">
        <f t="shared" si="36"/>
        <v>70</v>
      </c>
      <c r="J162" s="902">
        <f t="shared" si="37"/>
        <v>70</v>
      </c>
      <c r="K162" s="902"/>
      <c r="L162" s="902"/>
      <c r="M162" s="902"/>
      <c r="N162" s="1516">
        <v>70</v>
      </c>
      <c r="O162" s="1516"/>
    </row>
    <row r="163" spans="3:15">
      <c r="C163" t="s">
        <v>4970</v>
      </c>
      <c r="D163" t="s">
        <v>515</v>
      </c>
      <c r="E163" s="902"/>
      <c r="F163" s="2317" t="s">
        <v>5057</v>
      </c>
      <c r="G163" s="902" t="s">
        <v>2621</v>
      </c>
      <c r="H163" s="902">
        <v>1</v>
      </c>
      <c r="I163" s="902">
        <f t="shared" si="36"/>
        <v>100</v>
      </c>
      <c r="J163" s="902">
        <f t="shared" si="37"/>
        <v>100</v>
      </c>
      <c r="K163" s="902"/>
      <c r="L163" s="902"/>
      <c r="M163" s="902"/>
      <c r="N163" s="1516">
        <v>100</v>
      </c>
      <c r="O163" s="1516"/>
    </row>
    <row r="164" spans="3:15">
      <c r="C164" t="s">
        <v>1662</v>
      </c>
      <c r="D164" t="s">
        <v>515</v>
      </c>
      <c r="E164" s="902"/>
      <c r="F164" s="2317" t="s">
        <v>2714</v>
      </c>
      <c r="G164" s="902" t="s">
        <v>2503</v>
      </c>
      <c r="H164" s="902">
        <v>1</v>
      </c>
      <c r="I164" s="902">
        <f t="shared" si="36"/>
        <v>42</v>
      </c>
      <c r="J164" s="902">
        <f t="shared" si="37"/>
        <v>42</v>
      </c>
      <c r="K164" s="902"/>
      <c r="L164" s="902"/>
      <c r="M164" s="902"/>
      <c r="N164" s="1516">
        <v>42</v>
      </c>
      <c r="O164" s="1516"/>
    </row>
    <row r="165" spans="3:15">
      <c r="C165" t="s">
        <v>878</v>
      </c>
      <c r="D165" t="s">
        <v>515</v>
      </c>
      <c r="E165" s="902"/>
      <c r="F165" s="2317" t="s">
        <v>5058</v>
      </c>
      <c r="G165" s="902" t="s">
        <v>2621</v>
      </c>
      <c r="H165" s="902">
        <v>1</v>
      </c>
      <c r="I165" s="902">
        <f t="shared" si="36"/>
        <v>353</v>
      </c>
      <c r="J165" s="902">
        <f t="shared" si="37"/>
        <v>353</v>
      </c>
      <c r="K165" s="902"/>
      <c r="L165" s="902"/>
      <c r="M165" s="902"/>
      <c r="N165" s="1516">
        <v>353</v>
      </c>
      <c r="O165" s="1516"/>
    </row>
    <row r="166" spans="3:15">
      <c r="C166" t="s">
        <v>3</v>
      </c>
      <c r="D166" t="s">
        <v>515</v>
      </c>
      <c r="E166" s="902"/>
      <c r="F166" s="2317" t="s">
        <v>5059</v>
      </c>
      <c r="G166" s="902" t="s">
        <v>1876</v>
      </c>
      <c r="H166" s="902">
        <v>1</v>
      </c>
      <c r="I166" s="902">
        <f t="shared" si="36"/>
        <v>174</v>
      </c>
      <c r="J166" s="902">
        <f t="shared" si="37"/>
        <v>174</v>
      </c>
      <c r="K166" s="902"/>
      <c r="L166" s="902"/>
      <c r="M166" s="902"/>
      <c r="N166" s="1516">
        <v>174</v>
      </c>
      <c r="O166" s="1516"/>
    </row>
    <row r="167" spans="3:15">
      <c r="C167" t="s">
        <v>837</v>
      </c>
      <c r="D167" t="s">
        <v>515</v>
      </c>
      <c r="E167" s="902">
        <v>0</v>
      </c>
      <c r="F167" s="2317" t="s">
        <v>5060</v>
      </c>
      <c r="G167" s="902" t="s">
        <v>2503</v>
      </c>
      <c r="H167" s="902">
        <v>1</v>
      </c>
      <c r="I167" s="902">
        <f t="shared" si="36"/>
        <v>42</v>
      </c>
      <c r="J167" s="902">
        <f t="shared" si="37"/>
        <v>42</v>
      </c>
      <c r="K167" s="902"/>
      <c r="L167" s="902"/>
      <c r="M167" s="902"/>
      <c r="N167" s="1516">
        <v>42</v>
      </c>
      <c r="O167" s="1516"/>
    </row>
    <row r="168" spans="3:15">
      <c r="C168" t="s">
        <v>4971</v>
      </c>
      <c r="D168" t="s">
        <v>515</v>
      </c>
      <c r="E168" s="902">
        <v>0</v>
      </c>
      <c r="F168" s="2317" t="s">
        <v>5061</v>
      </c>
      <c r="G168" s="902" t="s">
        <v>1876</v>
      </c>
      <c r="H168" s="902">
        <v>1</v>
      </c>
      <c r="I168" s="902">
        <f t="shared" si="36"/>
        <v>15</v>
      </c>
      <c r="J168" s="902">
        <f t="shared" si="37"/>
        <v>15</v>
      </c>
      <c r="K168" s="902"/>
      <c r="L168" s="902"/>
      <c r="M168" s="902"/>
      <c r="N168" s="1516">
        <v>15</v>
      </c>
      <c r="O168" s="1516"/>
    </row>
    <row r="169" spans="3:15">
      <c r="C169" t="s">
        <v>2217</v>
      </c>
      <c r="D169" t="s">
        <v>515</v>
      </c>
      <c r="E169" s="902" t="s">
        <v>4998</v>
      </c>
      <c r="F169" s="2317" t="s">
        <v>5062</v>
      </c>
      <c r="G169" s="902" t="s">
        <v>2621</v>
      </c>
      <c r="H169" s="902">
        <v>1</v>
      </c>
      <c r="I169" s="902">
        <f t="shared" si="36"/>
        <v>15</v>
      </c>
      <c r="J169" s="902">
        <f t="shared" si="37"/>
        <v>15</v>
      </c>
      <c r="K169" s="902"/>
      <c r="L169" s="902"/>
      <c r="M169" s="902"/>
      <c r="N169" s="1516">
        <v>15</v>
      </c>
      <c r="O169" s="1516"/>
    </row>
    <row r="170" spans="3:15">
      <c r="C170" t="s">
        <v>237</v>
      </c>
      <c r="D170" t="s">
        <v>515</v>
      </c>
      <c r="E170" s="902">
        <v>0</v>
      </c>
      <c r="F170" s="2317" t="s">
        <v>5063</v>
      </c>
      <c r="G170" s="902" t="s">
        <v>2621</v>
      </c>
      <c r="H170" s="902">
        <v>1</v>
      </c>
      <c r="I170" s="902">
        <f t="shared" si="36"/>
        <v>56</v>
      </c>
      <c r="J170" s="902">
        <f t="shared" si="37"/>
        <v>56</v>
      </c>
      <c r="K170" s="902"/>
      <c r="L170" s="902"/>
      <c r="M170" s="902"/>
      <c r="N170" s="1516">
        <v>56</v>
      </c>
      <c r="O170" s="1516"/>
    </row>
    <row r="171" spans="3:15">
      <c r="C171" t="s">
        <v>1079</v>
      </c>
      <c r="D171" t="s">
        <v>515</v>
      </c>
      <c r="E171" s="902" t="s">
        <v>4999</v>
      </c>
      <c r="F171" s="2317" t="s">
        <v>2958</v>
      </c>
      <c r="G171" s="902" t="s">
        <v>2621</v>
      </c>
      <c r="H171" s="902">
        <v>1</v>
      </c>
      <c r="I171" s="902">
        <f t="shared" si="36"/>
        <v>47</v>
      </c>
      <c r="J171" s="902">
        <f t="shared" si="37"/>
        <v>47</v>
      </c>
      <c r="K171" s="902"/>
      <c r="L171" s="902"/>
      <c r="M171" s="902"/>
      <c r="N171" s="1516">
        <v>47</v>
      </c>
      <c r="O171" s="1516"/>
    </row>
    <row r="172" spans="3:15">
      <c r="C172" t="s">
        <v>1539</v>
      </c>
      <c r="D172" t="s">
        <v>515</v>
      </c>
      <c r="E172" s="902"/>
      <c r="F172" s="2317" t="s">
        <v>3000</v>
      </c>
      <c r="G172" s="902" t="s">
        <v>2621</v>
      </c>
      <c r="H172" s="902">
        <v>1</v>
      </c>
      <c r="I172" s="902">
        <f t="shared" si="36"/>
        <v>12</v>
      </c>
      <c r="J172" s="902">
        <f t="shared" si="37"/>
        <v>12</v>
      </c>
      <c r="K172" s="902"/>
      <c r="L172" s="902"/>
      <c r="M172" s="902"/>
      <c r="N172" s="1516">
        <v>12</v>
      </c>
      <c r="O172" s="1516"/>
    </row>
    <row r="173" spans="3:15">
      <c r="C173" t="s">
        <v>577</v>
      </c>
      <c r="D173" t="s">
        <v>515</v>
      </c>
      <c r="E173" s="902"/>
      <c r="F173" s="2317" t="s">
        <v>3003</v>
      </c>
      <c r="G173" s="902" t="s">
        <v>2621</v>
      </c>
      <c r="H173" s="902">
        <v>1</v>
      </c>
      <c r="I173" s="902">
        <f t="shared" si="36"/>
        <v>5</v>
      </c>
      <c r="J173" s="902">
        <f t="shared" si="37"/>
        <v>5</v>
      </c>
      <c r="K173" s="902"/>
      <c r="L173" s="902"/>
      <c r="M173" s="902"/>
      <c r="N173" s="1516">
        <v>5</v>
      </c>
      <c r="O173" s="1516"/>
    </row>
    <row r="174" spans="3:15">
      <c r="C174" t="s">
        <v>576</v>
      </c>
      <c r="D174" t="s">
        <v>515</v>
      </c>
      <c r="E174" s="902"/>
      <c r="F174" s="2317" t="s">
        <v>3005</v>
      </c>
      <c r="G174" s="902" t="s">
        <v>2621</v>
      </c>
      <c r="H174" s="902">
        <v>1</v>
      </c>
      <c r="I174" s="902">
        <f t="shared" si="36"/>
        <v>16</v>
      </c>
      <c r="J174" s="902">
        <f t="shared" si="37"/>
        <v>16</v>
      </c>
      <c r="K174" s="902"/>
      <c r="L174" s="902"/>
      <c r="M174" s="902"/>
      <c r="N174" s="1516">
        <v>16</v>
      </c>
      <c r="O174" s="1516"/>
    </row>
    <row r="175" spans="3:15">
      <c r="C175" t="s">
        <v>4972</v>
      </c>
      <c r="D175" t="s">
        <v>515</v>
      </c>
      <c r="E175" s="902"/>
      <c r="F175" s="2317" t="s">
        <v>5064</v>
      </c>
      <c r="G175" s="902" t="s">
        <v>2503</v>
      </c>
      <c r="H175" s="902">
        <v>1</v>
      </c>
      <c r="I175" s="902">
        <f t="shared" si="36"/>
        <v>56</v>
      </c>
      <c r="J175" s="902">
        <f t="shared" si="37"/>
        <v>56</v>
      </c>
      <c r="K175" s="902"/>
      <c r="L175" s="902"/>
      <c r="M175" s="902"/>
      <c r="N175" s="1516">
        <v>56</v>
      </c>
      <c r="O175" s="1516"/>
    </row>
    <row r="176" spans="3:15">
      <c r="C176" t="s">
        <v>4973</v>
      </c>
      <c r="D176" t="s">
        <v>515</v>
      </c>
      <c r="E176" s="902"/>
      <c r="F176" s="2317" t="s">
        <v>5065</v>
      </c>
      <c r="G176" s="902" t="s">
        <v>2449</v>
      </c>
      <c r="H176" s="902">
        <v>1</v>
      </c>
      <c r="I176" s="902">
        <f t="shared" si="36"/>
        <v>74</v>
      </c>
      <c r="J176" s="902">
        <f t="shared" si="37"/>
        <v>74</v>
      </c>
      <c r="K176" s="902"/>
      <c r="L176" s="902"/>
      <c r="M176" s="902"/>
      <c r="N176" s="1516">
        <v>74</v>
      </c>
      <c r="O176" s="1516"/>
    </row>
    <row r="177" spans="1:15">
      <c r="C177" t="s">
        <v>4974</v>
      </c>
      <c r="D177" t="s">
        <v>515</v>
      </c>
      <c r="E177" s="902"/>
      <c r="F177" s="2317" t="s">
        <v>5066</v>
      </c>
      <c r="G177" s="902" t="s">
        <v>2621</v>
      </c>
      <c r="H177" s="902">
        <v>1</v>
      </c>
      <c r="I177" s="902">
        <f t="shared" si="36"/>
        <v>543</v>
      </c>
      <c r="J177" s="902">
        <f t="shared" si="37"/>
        <v>543</v>
      </c>
      <c r="K177" s="902"/>
      <c r="L177" s="902"/>
      <c r="M177" s="902"/>
      <c r="N177" s="1516">
        <v>543</v>
      </c>
      <c r="O177" s="1516"/>
    </row>
    <row r="178" spans="1:15">
      <c r="C178" t="s">
        <v>4975</v>
      </c>
      <c r="D178" t="s">
        <v>515</v>
      </c>
      <c r="E178" s="902"/>
      <c r="F178" s="2317" t="s">
        <v>5067</v>
      </c>
      <c r="G178" s="902" t="s">
        <v>2621</v>
      </c>
      <c r="H178" s="902">
        <v>1</v>
      </c>
      <c r="I178" s="902">
        <f t="shared" si="36"/>
        <v>48</v>
      </c>
      <c r="J178" s="902">
        <f t="shared" si="37"/>
        <v>48</v>
      </c>
      <c r="K178" s="902"/>
      <c r="L178" s="902"/>
      <c r="M178" s="902"/>
      <c r="N178" s="1516">
        <v>48</v>
      </c>
      <c r="O178" s="1516"/>
    </row>
    <row r="179" spans="1:15">
      <c r="C179" t="s">
        <v>230</v>
      </c>
      <c r="D179" t="s">
        <v>515</v>
      </c>
      <c r="E179" s="902"/>
      <c r="F179" s="2317" t="s">
        <v>5068</v>
      </c>
      <c r="G179" s="902" t="s">
        <v>2310</v>
      </c>
      <c r="H179" s="902">
        <v>1</v>
      </c>
      <c r="I179" s="902">
        <f t="shared" si="36"/>
        <v>4.5999999999999996</v>
      </c>
      <c r="J179" s="902">
        <f t="shared" si="37"/>
        <v>4.5999999999999996</v>
      </c>
      <c r="K179" s="902"/>
      <c r="L179" s="902"/>
      <c r="M179" s="902"/>
      <c r="N179" s="1516">
        <v>4.5999999999999996</v>
      </c>
      <c r="O179" s="1516"/>
    </row>
    <row r="180" spans="1:15">
      <c r="C180" t="s">
        <v>1622</v>
      </c>
      <c r="D180" t="s">
        <v>515</v>
      </c>
      <c r="E180" s="902"/>
      <c r="F180" s="2317" t="s">
        <v>5069</v>
      </c>
      <c r="G180" s="902" t="s">
        <v>2310</v>
      </c>
      <c r="H180" s="902">
        <v>1</v>
      </c>
      <c r="I180" s="902">
        <f t="shared" si="36"/>
        <v>24</v>
      </c>
      <c r="J180" s="902">
        <f t="shared" si="37"/>
        <v>24</v>
      </c>
      <c r="K180" s="902"/>
      <c r="L180" s="902"/>
      <c r="M180" s="902"/>
      <c r="N180" s="1516">
        <v>24</v>
      </c>
      <c r="O180" s="1516"/>
    </row>
    <row r="181" spans="1:15">
      <c r="C181" t="s">
        <v>140</v>
      </c>
      <c r="D181" t="s">
        <v>515</v>
      </c>
      <c r="E181" s="902" t="s">
        <v>5000</v>
      </c>
      <c r="F181" s="2317" t="s">
        <v>3304</v>
      </c>
      <c r="G181" s="902" t="s">
        <v>2091</v>
      </c>
      <c r="H181" s="902">
        <v>1</v>
      </c>
      <c r="I181" s="902">
        <f t="shared" si="36"/>
        <v>6.3380000000000001</v>
      </c>
      <c r="J181" s="902">
        <f t="shared" si="37"/>
        <v>6.3380000000000001</v>
      </c>
      <c r="K181" s="902"/>
      <c r="L181" s="902"/>
      <c r="M181" s="902"/>
      <c r="N181" s="1516">
        <v>6.3380000000000001</v>
      </c>
      <c r="O181" s="1516"/>
    </row>
    <row r="182" spans="1:15">
      <c r="C182" t="s">
        <v>454</v>
      </c>
      <c r="D182" t="s">
        <v>515</v>
      </c>
      <c r="E182" s="902" t="s">
        <v>5001</v>
      </c>
      <c r="F182" s="2317" t="s">
        <v>3289</v>
      </c>
      <c r="G182" s="902" t="s">
        <v>2091</v>
      </c>
      <c r="H182" s="902">
        <v>1</v>
      </c>
      <c r="I182" s="902">
        <f t="shared" si="36"/>
        <v>0.159</v>
      </c>
      <c r="J182" s="902">
        <f t="shared" si="37"/>
        <v>0.159</v>
      </c>
      <c r="K182" s="902"/>
      <c r="L182" s="902"/>
      <c r="M182" s="902"/>
      <c r="N182" s="1516">
        <v>0.159</v>
      </c>
      <c r="O182" s="1516"/>
    </row>
    <row r="183" spans="1:15">
      <c r="C183" t="s">
        <v>942</v>
      </c>
      <c r="D183" t="s">
        <v>515</v>
      </c>
      <c r="E183" s="2320">
        <v>66109</v>
      </c>
      <c r="F183" s="2317" t="s">
        <v>3294</v>
      </c>
      <c r="G183" s="902" t="s">
        <v>2091</v>
      </c>
      <c r="H183" s="902">
        <v>1</v>
      </c>
      <c r="I183" s="902">
        <f t="shared" si="36"/>
        <v>19.013999999999999</v>
      </c>
      <c r="J183" s="902">
        <f t="shared" si="37"/>
        <v>19.013999999999999</v>
      </c>
      <c r="K183" s="902"/>
      <c r="L183" s="902"/>
      <c r="M183" s="902"/>
      <c r="N183" s="1516">
        <v>19.013999999999999</v>
      </c>
      <c r="O183" s="1516"/>
    </row>
    <row r="184" spans="1:15">
      <c r="C184" t="s">
        <v>4976</v>
      </c>
      <c r="D184" t="s">
        <v>515</v>
      </c>
      <c r="E184" s="902" t="s">
        <v>5002</v>
      </c>
      <c r="F184" s="2317" t="s">
        <v>5070</v>
      </c>
      <c r="G184" s="902" t="s">
        <v>2503</v>
      </c>
      <c r="H184" s="902">
        <v>1</v>
      </c>
      <c r="I184" s="902">
        <f t="shared" si="36"/>
        <v>591</v>
      </c>
      <c r="J184" s="902">
        <f t="shared" si="37"/>
        <v>591</v>
      </c>
      <c r="K184" s="902"/>
      <c r="L184" s="902"/>
      <c r="M184" s="902"/>
      <c r="N184" s="1516">
        <v>591</v>
      </c>
      <c r="O184" s="1516"/>
    </row>
    <row r="185" spans="1:15">
      <c r="C185" t="s">
        <v>1559</v>
      </c>
      <c r="D185" t="s">
        <v>515</v>
      </c>
      <c r="E185" s="902" t="s">
        <v>5003</v>
      </c>
      <c r="F185" s="2317" t="s">
        <v>3357</v>
      </c>
      <c r="G185" s="902" t="s">
        <v>2576</v>
      </c>
      <c r="H185" s="902">
        <v>1</v>
      </c>
      <c r="I185" s="902">
        <f t="shared" si="36"/>
        <v>93</v>
      </c>
      <c r="J185" s="902">
        <f t="shared" si="37"/>
        <v>93</v>
      </c>
      <c r="K185" s="902"/>
      <c r="L185" s="902"/>
      <c r="M185" s="902"/>
      <c r="N185" s="1516">
        <v>93</v>
      </c>
      <c r="O185" s="1516"/>
    </row>
    <row r="186" spans="1:15">
      <c r="C186" t="s">
        <v>352</v>
      </c>
      <c r="D186" t="s">
        <v>515</v>
      </c>
      <c r="E186" s="902" t="s">
        <v>5004</v>
      </c>
      <c r="F186" s="2317" t="s">
        <v>5071</v>
      </c>
      <c r="G186" s="902" t="s">
        <v>2503</v>
      </c>
      <c r="H186" s="902">
        <v>1</v>
      </c>
      <c r="I186" s="902">
        <f t="shared" si="36"/>
        <v>163</v>
      </c>
      <c r="J186" s="902">
        <f t="shared" si="37"/>
        <v>163</v>
      </c>
      <c r="K186" s="902"/>
      <c r="L186" s="902"/>
      <c r="M186" s="902"/>
      <c r="N186" s="1516">
        <v>163</v>
      </c>
      <c r="O186" s="1516"/>
    </row>
    <row r="187" spans="1:15">
      <c r="A187" t="s">
        <v>1169</v>
      </c>
      <c r="C187" s="1516" t="str">
        <f t="shared" ref="C187" si="40">A187</f>
        <v>TBDD3p1m</v>
      </c>
      <c r="D187" t="s">
        <v>515</v>
      </c>
      <c r="E187" s="902" t="s">
        <v>1716</v>
      </c>
      <c r="F187" s="2318" t="s">
        <v>5072</v>
      </c>
      <c r="G187" s="2319"/>
      <c r="H187" s="2319"/>
      <c r="I187" s="2319">
        <f t="shared" si="36"/>
        <v>0</v>
      </c>
      <c r="J187" s="2319">
        <f t="shared" si="37"/>
        <v>0</v>
      </c>
      <c r="K187" s="2319"/>
      <c r="L187" s="2319"/>
      <c r="M187" s="902"/>
      <c r="N187" s="1516">
        <v>2</v>
      </c>
      <c r="O187" s="1516"/>
    </row>
    <row r="188" spans="1:15">
      <c r="C188" t="s">
        <v>4977</v>
      </c>
      <c r="D188" t="s">
        <v>515</v>
      </c>
      <c r="E188" s="902" t="s">
        <v>5005</v>
      </c>
      <c r="F188" s="2317" t="s">
        <v>5006</v>
      </c>
      <c r="G188" s="902" t="s">
        <v>2621</v>
      </c>
      <c r="H188" s="902">
        <v>3</v>
      </c>
      <c r="I188" s="902">
        <f t="shared" si="36"/>
        <v>6</v>
      </c>
      <c r="J188" s="902">
        <f t="shared" si="37"/>
        <v>6</v>
      </c>
      <c r="K188" s="902"/>
      <c r="L188" s="902"/>
      <c r="M188" s="902"/>
      <c r="N188" s="1516">
        <v>2</v>
      </c>
      <c r="O188" s="1516"/>
    </row>
    <row r="189" spans="1:15">
      <c r="D189" t="s">
        <v>515</v>
      </c>
      <c r="E189" s="902"/>
      <c r="F189" s="2317"/>
      <c r="G189" s="902"/>
      <c r="H189" s="902"/>
      <c r="I189" s="902">
        <f t="shared" si="36"/>
        <v>0</v>
      </c>
      <c r="J189" s="902">
        <f t="shared" si="37"/>
        <v>0</v>
      </c>
      <c r="K189" s="902"/>
      <c r="L189" s="902"/>
      <c r="M189" s="902"/>
      <c r="N189" s="1516">
        <v>2</v>
      </c>
      <c r="O189" s="1516"/>
    </row>
  </sheetData>
  <autoFilter ref="A4:U189"/>
  <mergeCells count="1">
    <mergeCell ref="F4:F5"/>
  </mergeCells>
  <conditionalFormatting sqref="C17">
    <cfRule type="duplicateValues" dxfId="71" priority="2"/>
  </conditionalFormatting>
  <conditionalFormatting sqref="C17">
    <cfRule type="duplicateValues" dxfId="70" priority="1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GB102"/>
  <sheetViews>
    <sheetView zoomScale="85" zoomScaleNormal="85" workbookViewId="0">
      <pane ySplit="3" topLeftCell="A4" activePane="bottomLeft" state="frozen"/>
      <selection pane="bottomLeft" activeCell="H109" sqref="H109"/>
    </sheetView>
  </sheetViews>
  <sheetFormatPr defaultColWidth="8.90625" defaultRowHeight="13.2"/>
  <cols>
    <col min="1" max="1" width="14" style="2313" customWidth="1"/>
    <col min="2" max="2" width="24.6328125" style="2313" customWidth="1"/>
    <col min="3" max="3" width="26.81640625" style="2313" customWidth="1"/>
    <col min="4" max="4" width="17.90625" style="2313" customWidth="1"/>
    <col min="5" max="5" width="8.90625" style="2313"/>
    <col min="6" max="6" width="9.81640625" style="2313" customWidth="1"/>
    <col min="7" max="24" width="8.90625" style="2313"/>
    <col min="25" max="25" width="9.90625" style="2313" customWidth="1"/>
    <col min="26" max="16384" width="8.90625" style="2313"/>
  </cols>
  <sheetData>
    <row r="2" spans="1:184" s="2345" customFormat="1" ht="16.8">
      <c r="A2" s="2344"/>
      <c r="B2" s="2344"/>
      <c r="C2" s="2179" t="s">
        <v>3865</v>
      </c>
      <c r="D2" s="1520"/>
      <c r="E2" s="1520" t="s">
        <v>5310</v>
      </c>
      <c r="F2" s="1520">
        <v>89</v>
      </c>
      <c r="G2" s="1520" t="s">
        <v>5206</v>
      </c>
      <c r="H2" s="1520">
        <v>90</v>
      </c>
      <c r="I2" s="1520" t="s">
        <v>5207</v>
      </c>
      <c r="J2" s="1520">
        <v>91</v>
      </c>
      <c r="K2" s="1520" t="s">
        <v>5208</v>
      </c>
      <c r="L2" s="1520">
        <v>92</v>
      </c>
      <c r="M2" s="1520" t="s">
        <v>5209</v>
      </c>
      <c r="N2" s="1520">
        <v>93</v>
      </c>
      <c r="O2" s="1520" t="s">
        <v>5210</v>
      </c>
      <c r="P2" s="1520">
        <v>94</v>
      </c>
      <c r="Q2" s="1520" t="s">
        <v>5211</v>
      </c>
      <c r="R2" s="1520">
        <v>95</v>
      </c>
      <c r="S2" s="1520" t="s">
        <v>5212</v>
      </c>
      <c r="T2" s="1520">
        <v>96</v>
      </c>
      <c r="U2" s="1520" t="s">
        <v>5213</v>
      </c>
      <c r="V2" s="1520">
        <v>97</v>
      </c>
      <c r="W2" s="1520" t="s">
        <v>5214</v>
      </c>
      <c r="X2" s="1520">
        <v>98</v>
      </c>
      <c r="Y2" s="1520" t="s">
        <v>5215</v>
      </c>
      <c r="Z2" s="1520">
        <v>99</v>
      </c>
      <c r="AA2" s="1520" t="s">
        <v>5216</v>
      </c>
      <c r="AB2" s="1520">
        <v>100</v>
      </c>
      <c r="AC2" s="1520" t="s">
        <v>5217</v>
      </c>
      <c r="AD2" s="1520">
        <v>101</v>
      </c>
      <c r="AE2" s="1520" t="s">
        <v>5219</v>
      </c>
      <c r="AF2" s="1520">
        <v>102</v>
      </c>
      <c r="AG2" s="1520" t="s">
        <v>5221</v>
      </c>
      <c r="AH2" s="1520">
        <v>103</v>
      </c>
      <c r="AI2" s="1520" t="s">
        <v>5222</v>
      </c>
      <c r="AJ2" s="1520">
        <v>104</v>
      </c>
      <c r="AK2" s="1520" t="s">
        <v>5223</v>
      </c>
      <c r="AL2" s="1520">
        <v>105</v>
      </c>
      <c r="AM2" s="1520" t="s">
        <v>5225</v>
      </c>
      <c r="AN2" s="1520">
        <v>106</v>
      </c>
      <c r="AO2" s="1520" t="s">
        <v>5226</v>
      </c>
      <c r="AP2" s="1520">
        <v>107</v>
      </c>
      <c r="AQ2" s="1520" t="s">
        <v>5227</v>
      </c>
      <c r="AR2" s="1520">
        <v>108</v>
      </c>
      <c r="AS2" s="1520" t="s">
        <v>5228</v>
      </c>
      <c r="AT2" s="1520">
        <v>109</v>
      </c>
      <c r="AU2" s="1520" t="s">
        <v>5229</v>
      </c>
      <c r="AV2" s="1520">
        <v>110</v>
      </c>
      <c r="AW2" s="1520" t="s">
        <v>5230</v>
      </c>
      <c r="AX2" s="1520">
        <v>111</v>
      </c>
      <c r="AY2" s="1520" t="s">
        <v>5232</v>
      </c>
      <c r="AZ2" s="1520" t="s">
        <v>5233</v>
      </c>
      <c r="BA2" s="1520">
        <v>112</v>
      </c>
      <c r="BB2" s="1520" t="s">
        <v>5234</v>
      </c>
      <c r="BC2" s="1520">
        <v>113</v>
      </c>
      <c r="BD2" s="1520" t="s">
        <v>5235</v>
      </c>
      <c r="BE2" s="1520">
        <v>114</v>
      </c>
      <c r="BF2" s="1520" t="s">
        <v>5236</v>
      </c>
      <c r="BG2" s="1520">
        <v>115</v>
      </c>
      <c r="BH2" s="1520" t="s">
        <v>5237</v>
      </c>
      <c r="BI2" s="1520">
        <v>116</v>
      </c>
      <c r="BJ2" s="1520" t="s">
        <v>5238</v>
      </c>
      <c r="BK2" s="1520">
        <v>117</v>
      </c>
      <c r="BL2" s="1520" t="s">
        <v>5239</v>
      </c>
      <c r="BM2" s="1520">
        <v>118</v>
      </c>
      <c r="BN2" s="1520" t="s">
        <v>5240</v>
      </c>
      <c r="BO2" s="1520">
        <v>119</v>
      </c>
      <c r="BP2" s="1520" t="s">
        <v>5241</v>
      </c>
      <c r="BQ2" s="1520">
        <v>120</v>
      </c>
      <c r="BR2" s="1520" t="s">
        <v>5242</v>
      </c>
      <c r="BS2" s="1520">
        <v>121</v>
      </c>
      <c r="BT2" s="1520" t="s">
        <v>5243</v>
      </c>
      <c r="BU2" s="1520">
        <v>122</v>
      </c>
      <c r="BV2" s="1520" t="s">
        <v>5244</v>
      </c>
      <c r="BW2" s="1520">
        <v>123</v>
      </c>
      <c r="BX2" s="1520" t="s">
        <v>5245</v>
      </c>
      <c r="BY2" s="1520">
        <v>124</v>
      </c>
      <c r="BZ2" s="1520" t="s">
        <v>5246</v>
      </c>
      <c r="CA2" s="1520">
        <v>125</v>
      </c>
      <c r="CB2" s="1520" t="s">
        <v>5247</v>
      </c>
      <c r="CC2" s="1520">
        <v>126</v>
      </c>
      <c r="CD2" s="1520" t="s">
        <v>5248</v>
      </c>
      <c r="CE2" s="1520">
        <v>127</v>
      </c>
      <c r="CF2" s="1520" t="s">
        <v>5251</v>
      </c>
      <c r="CG2" s="1520">
        <v>128</v>
      </c>
      <c r="CH2" s="1520" t="s">
        <v>5252</v>
      </c>
      <c r="CI2" s="1520">
        <v>129</v>
      </c>
      <c r="CJ2" s="1520" t="s">
        <v>5253</v>
      </c>
      <c r="CK2" s="1520">
        <v>130</v>
      </c>
      <c r="CL2" s="1520" t="s">
        <v>5254</v>
      </c>
      <c r="CM2" s="1520">
        <v>131</v>
      </c>
      <c r="CN2" s="1520" t="s">
        <v>5255</v>
      </c>
      <c r="CO2" s="1520">
        <v>132</v>
      </c>
      <c r="CP2" s="1520" t="s">
        <v>5256</v>
      </c>
      <c r="CQ2" s="1520" t="s">
        <v>5257</v>
      </c>
      <c r="CR2" s="1520">
        <v>133</v>
      </c>
      <c r="CS2" s="1520" t="s">
        <v>5258</v>
      </c>
      <c r="CT2" s="1520">
        <v>134</v>
      </c>
      <c r="CU2" s="1520" t="s">
        <v>5259</v>
      </c>
      <c r="CV2" s="1520">
        <v>135</v>
      </c>
      <c r="CW2" s="1520" t="s">
        <v>5260</v>
      </c>
      <c r="CX2" s="1520">
        <v>136</v>
      </c>
      <c r="CY2" s="1520" t="s">
        <v>5261</v>
      </c>
      <c r="CZ2" s="1520">
        <v>137</v>
      </c>
      <c r="DA2" s="1520" t="s">
        <v>5262</v>
      </c>
      <c r="DB2" s="1520">
        <v>138</v>
      </c>
      <c r="DC2" s="1520" t="s">
        <v>5263</v>
      </c>
      <c r="DD2" s="1520">
        <v>139</v>
      </c>
      <c r="DE2" s="1520" t="s">
        <v>5264</v>
      </c>
      <c r="DF2" s="1520" t="s">
        <v>5265</v>
      </c>
      <c r="DG2" s="1520">
        <v>140</v>
      </c>
      <c r="DH2" s="1520" t="s">
        <v>5267</v>
      </c>
      <c r="DI2" s="1520">
        <v>141</v>
      </c>
      <c r="DJ2" s="1520" t="s">
        <v>5268</v>
      </c>
      <c r="DK2" s="1520">
        <v>142</v>
      </c>
      <c r="DL2" s="1520" t="s">
        <v>5269</v>
      </c>
      <c r="DM2" s="1520">
        <v>143</v>
      </c>
      <c r="DN2" s="1520" t="s">
        <v>5270</v>
      </c>
      <c r="DO2" s="1520">
        <v>144</v>
      </c>
      <c r="DP2" s="1520" t="s">
        <v>5271</v>
      </c>
      <c r="DQ2" s="1520">
        <v>145</v>
      </c>
      <c r="DR2" s="1520" t="s">
        <v>5272</v>
      </c>
      <c r="DS2" s="1520" t="s">
        <v>5273</v>
      </c>
      <c r="DT2" s="1520">
        <v>146</v>
      </c>
      <c r="DU2" s="1520" t="s">
        <v>5274</v>
      </c>
      <c r="DV2" s="1520">
        <v>147</v>
      </c>
      <c r="DW2" s="1520" t="s">
        <v>5275</v>
      </c>
      <c r="DX2" s="1520">
        <v>148</v>
      </c>
      <c r="DY2" s="1520" t="s">
        <v>5276</v>
      </c>
      <c r="DZ2" s="1520">
        <v>149</v>
      </c>
      <c r="EA2" s="1520" t="s">
        <v>5277</v>
      </c>
      <c r="EB2" s="1520">
        <v>150</v>
      </c>
      <c r="EC2" s="1520" t="s">
        <v>5278</v>
      </c>
      <c r="ED2" s="1520">
        <v>151</v>
      </c>
      <c r="EE2" s="1520" t="s">
        <v>5279</v>
      </c>
      <c r="EF2" s="1520">
        <v>152</v>
      </c>
      <c r="EG2" s="1520" t="s">
        <v>5280</v>
      </c>
      <c r="EH2" s="1520">
        <v>153</v>
      </c>
      <c r="EI2" s="1520" t="s">
        <v>5281</v>
      </c>
      <c r="EJ2" s="1520">
        <v>154</v>
      </c>
      <c r="EK2" s="1520" t="s">
        <v>5282</v>
      </c>
      <c r="EL2" s="1520">
        <v>155</v>
      </c>
      <c r="EM2" s="1520" t="s">
        <v>5283</v>
      </c>
      <c r="EN2" s="1520">
        <v>156</v>
      </c>
      <c r="EO2" s="1520" t="s">
        <v>5284</v>
      </c>
      <c r="EP2" s="1520">
        <v>157</v>
      </c>
      <c r="EQ2" s="1520" t="s">
        <v>5285</v>
      </c>
      <c r="ER2" s="1520">
        <v>158</v>
      </c>
      <c r="ES2" s="1520" t="s">
        <v>5286</v>
      </c>
      <c r="ET2" s="1520">
        <v>159</v>
      </c>
      <c r="EU2" s="1520" t="s">
        <v>5287</v>
      </c>
      <c r="EV2" s="1520">
        <v>160</v>
      </c>
      <c r="EW2" s="1520" t="s">
        <v>5288</v>
      </c>
      <c r="EX2" s="1520">
        <v>161</v>
      </c>
      <c r="EY2" s="1520" t="s">
        <v>5289</v>
      </c>
      <c r="EZ2" s="1520">
        <v>162</v>
      </c>
      <c r="FA2" s="1520" t="s">
        <v>5290</v>
      </c>
      <c r="FB2" s="1520">
        <v>163</v>
      </c>
      <c r="FC2" s="1520" t="s">
        <v>5291</v>
      </c>
      <c r="FD2" s="1520">
        <v>164</v>
      </c>
      <c r="FE2" s="1520" t="s">
        <v>5292</v>
      </c>
      <c r="FF2" s="1520">
        <v>165</v>
      </c>
      <c r="FG2" s="1520" t="s">
        <v>5293</v>
      </c>
      <c r="FH2" s="1520">
        <v>166</v>
      </c>
      <c r="FI2" s="1520" t="s">
        <v>5294</v>
      </c>
      <c r="FJ2" s="1520">
        <v>167</v>
      </c>
      <c r="FK2" s="1520" t="s">
        <v>5295</v>
      </c>
      <c r="FL2" s="1520">
        <v>168</v>
      </c>
      <c r="FM2" s="1520" t="s">
        <v>5296</v>
      </c>
      <c r="FN2" s="1520">
        <v>169</v>
      </c>
      <c r="FO2" s="1520" t="s">
        <v>5297</v>
      </c>
      <c r="FP2" s="1520">
        <v>170</v>
      </c>
      <c r="FQ2" s="1520" t="s">
        <v>5299</v>
      </c>
      <c r="FR2" s="1520">
        <v>171</v>
      </c>
      <c r="FS2" s="1520" t="s">
        <v>5300</v>
      </c>
      <c r="FT2" s="1520">
        <v>172</v>
      </c>
      <c r="FU2" s="1520" t="s">
        <v>5301</v>
      </c>
      <c r="FV2" s="1520">
        <v>173</v>
      </c>
      <c r="FW2" s="1520" t="s">
        <v>5302</v>
      </c>
      <c r="FX2" s="1520">
        <v>174</v>
      </c>
      <c r="FY2" s="1520" t="s">
        <v>5303</v>
      </c>
      <c r="FZ2" s="1520"/>
      <c r="GA2" s="1520" t="s">
        <v>5313</v>
      </c>
      <c r="GB2" s="1520"/>
    </row>
    <row r="3" spans="1:184" ht="16.8" hidden="1">
      <c r="B3" s="2313" t="s">
        <v>543</v>
      </c>
      <c r="C3" s="2179" t="s">
        <v>5304</v>
      </c>
      <c r="D3" s="2179"/>
      <c r="E3" s="2179">
        <f>SUM(F3:FZ3)</f>
        <v>6338.0000000000018</v>
      </c>
      <c r="F3" s="2179"/>
      <c r="G3" s="2179">
        <v>28</v>
      </c>
      <c r="H3" s="2179">
        <v>28.9</v>
      </c>
      <c r="I3" s="2179">
        <v>35</v>
      </c>
      <c r="J3" s="2179">
        <v>33.9</v>
      </c>
      <c r="K3" s="2179">
        <v>41</v>
      </c>
      <c r="L3" s="2179">
        <v>40.1</v>
      </c>
      <c r="M3" s="2179">
        <v>40</v>
      </c>
      <c r="N3" s="2179">
        <v>39.6</v>
      </c>
      <c r="O3" s="2179">
        <v>39</v>
      </c>
      <c r="P3" s="2179">
        <v>39.799999999999997</v>
      </c>
      <c r="Q3" s="2179">
        <v>42</v>
      </c>
      <c r="R3" s="2179">
        <v>42.8</v>
      </c>
      <c r="S3" s="2179">
        <v>36</v>
      </c>
      <c r="T3" s="2179">
        <v>36.6</v>
      </c>
      <c r="U3" s="2179">
        <v>35</v>
      </c>
      <c r="V3" s="2179">
        <v>34.299999999999997</v>
      </c>
      <c r="W3" s="2179">
        <v>37</v>
      </c>
      <c r="X3" s="2179">
        <v>37.1</v>
      </c>
      <c r="Y3" s="2179">
        <v>37</v>
      </c>
      <c r="Z3" s="2179">
        <v>36.9</v>
      </c>
      <c r="AA3" s="2179">
        <v>37</v>
      </c>
      <c r="AB3" s="2179">
        <v>38.200000000000003</v>
      </c>
      <c r="AC3" s="2179">
        <v>38</v>
      </c>
      <c r="AD3" s="2179">
        <v>38.1</v>
      </c>
      <c r="AE3" s="2179">
        <v>48</v>
      </c>
      <c r="AF3" s="2179">
        <v>49.8</v>
      </c>
      <c r="AG3" s="2179">
        <v>38</v>
      </c>
      <c r="AH3" s="2179">
        <v>38.799999999999997</v>
      </c>
      <c r="AI3" s="2179">
        <v>36</v>
      </c>
      <c r="AJ3" s="2179">
        <v>35.299999999999997</v>
      </c>
      <c r="AK3" s="2179">
        <v>37</v>
      </c>
      <c r="AL3" s="2179">
        <v>36.700000000000003</v>
      </c>
      <c r="AM3" s="2179">
        <v>38.5</v>
      </c>
      <c r="AN3" s="2179">
        <v>38</v>
      </c>
      <c r="AO3" s="2179">
        <v>37</v>
      </c>
      <c r="AP3" s="2179">
        <v>37.6</v>
      </c>
      <c r="AQ3" s="2179">
        <v>34</v>
      </c>
      <c r="AR3" s="2179">
        <v>33.700000000000003</v>
      </c>
      <c r="AS3" s="2179">
        <v>34</v>
      </c>
      <c r="AT3" s="2179">
        <v>35</v>
      </c>
      <c r="AU3" s="2179">
        <v>27</v>
      </c>
      <c r="AV3" s="2179">
        <v>28.1</v>
      </c>
      <c r="AW3" s="2179">
        <v>35</v>
      </c>
      <c r="AX3" s="2179">
        <v>35.1</v>
      </c>
      <c r="AY3" s="2179">
        <v>10</v>
      </c>
      <c r="AZ3" s="2179">
        <v>51.8</v>
      </c>
      <c r="BA3" s="2179">
        <v>10</v>
      </c>
      <c r="BB3" s="2179">
        <v>37.700000000000003</v>
      </c>
      <c r="BC3" s="2179">
        <v>37</v>
      </c>
      <c r="BD3" s="2179">
        <v>33</v>
      </c>
      <c r="BE3" s="2179">
        <v>32</v>
      </c>
      <c r="BF3" s="2179">
        <v>42</v>
      </c>
      <c r="BG3" s="2179">
        <v>39.4</v>
      </c>
      <c r="BH3" s="2179">
        <v>37</v>
      </c>
      <c r="BI3" s="2179">
        <v>37.1</v>
      </c>
      <c r="BJ3" s="2179">
        <v>34</v>
      </c>
      <c r="BK3" s="2179">
        <v>33.700000000000003</v>
      </c>
      <c r="BL3" s="2179">
        <v>40</v>
      </c>
      <c r="BM3" s="2179">
        <v>44.5</v>
      </c>
      <c r="BN3" s="2179">
        <v>33.299999999999997</v>
      </c>
      <c r="BO3" s="2179">
        <v>33</v>
      </c>
      <c r="BP3" s="2179">
        <v>36</v>
      </c>
      <c r="BQ3" s="2179">
        <v>35.5</v>
      </c>
      <c r="BR3" s="2179">
        <v>39</v>
      </c>
      <c r="BS3" s="2179">
        <v>39.299999999999997</v>
      </c>
      <c r="BT3" s="2179">
        <v>35</v>
      </c>
      <c r="BU3" s="2179">
        <v>33.700000000000003</v>
      </c>
      <c r="BV3" s="2179">
        <v>35</v>
      </c>
      <c r="BW3" s="2179">
        <v>34.299999999999997</v>
      </c>
      <c r="BX3" s="2179">
        <v>38</v>
      </c>
      <c r="BY3" s="2179">
        <v>41.6</v>
      </c>
      <c r="BZ3" s="2179">
        <v>33.6</v>
      </c>
      <c r="CA3" s="2179">
        <v>34</v>
      </c>
      <c r="CB3" s="2179">
        <v>36</v>
      </c>
      <c r="CC3" s="2179">
        <v>36.299999999999997</v>
      </c>
      <c r="CD3" s="2179">
        <v>34</v>
      </c>
      <c r="CE3" s="2179">
        <v>34</v>
      </c>
      <c r="CF3" s="2179">
        <v>34.9</v>
      </c>
      <c r="CG3" s="2179">
        <v>41.5</v>
      </c>
      <c r="CH3" s="2179">
        <v>34</v>
      </c>
      <c r="CI3" s="2179">
        <v>33.299999999999997</v>
      </c>
      <c r="CJ3" s="2179">
        <v>37</v>
      </c>
      <c r="CK3" s="2179">
        <v>37.4</v>
      </c>
      <c r="CL3" s="2179">
        <v>33</v>
      </c>
      <c r="CM3" s="2179">
        <v>33.5</v>
      </c>
      <c r="CN3" s="2179">
        <v>34</v>
      </c>
      <c r="CO3" s="2179">
        <v>34.200000000000003</v>
      </c>
      <c r="CP3" s="2179">
        <v>38.200000000000003</v>
      </c>
      <c r="CQ3" s="2179">
        <v>12</v>
      </c>
      <c r="CR3" s="2179">
        <v>27.9</v>
      </c>
      <c r="CS3" s="2179">
        <v>40</v>
      </c>
      <c r="CT3" s="2179">
        <v>39.4</v>
      </c>
      <c r="CU3" s="2179">
        <v>40</v>
      </c>
      <c r="CV3" s="2179">
        <v>40.1</v>
      </c>
      <c r="CW3" s="2179">
        <v>37</v>
      </c>
      <c r="CX3" s="2179">
        <v>36.6</v>
      </c>
      <c r="CY3" s="2179">
        <v>42</v>
      </c>
      <c r="CZ3" s="2179">
        <v>41.8</v>
      </c>
      <c r="DA3" s="2179">
        <v>36</v>
      </c>
      <c r="DB3" s="2179">
        <v>36.4</v>
      </c>
      <c r="DC3" s="2179">
        <v>43</v>
      </c>
      <c r="DD3" s="2179">
        <v>43.7</v>
      </c>
      <c r="DE3" s="2179">
        <v>32</v>
      </c>
      <c r="DF3" s="2179">
        <v>31.5</v>
      </c>
      <c r="DG3" s="2179">
        <v>7</v>
      </c>
      <c r="DH3" s="2179">
        <v>39</v>
      </c>
      <c r="DI3" s="2179">
        <v>38.9</v>
      </c>
      <c r="DJ3" s="2179">
        <v>40</v>
      </c>
      <c r="DK3" s="2179">
        <v>39.200000000000003</v>
      </c>
      <c r="DL3" s="2179">
        <v>41</v>
      </c>
      <c r="DM3" s="2179">
        <v>41.3</v>
      </c>
      <c r="DN3" s="2179">
        <v>44</v>
      </c>
      <c r="DO3" s="2179">
        <v>43.8</v>
      </c>
      <c r="DP3" s="2179">
        <v>38</v>
      </c>
      <c r="DQ3" s="2179">
        <v>37.799999999999997</v>
      </c>
      <c r="DR3" s="2179">
        <v>27</v>
      </c>
      <c r="DS3" s="2179">
        <v>26.5</v>
      </c>
      <c r="DT3" s="2179">
        <v>15.6</v>
      </c>
      <c r="DU3" s="2179">
        <v>33</v>
      </c>
      <c r="DV3" s="2179">
        <v>31.9</v>
      </c>
      <c r="DW3" s="2179">
        <v>34</v>
      </c>
      <c r="DX3" s="2179">
        <v>34.6</v>
      </c>
      <c r="DY3" s="2179">
        <v>32</v>
      </c>
      <c r="DZ3" s="2179">
        <v>30.5</v>
      </c>
      <c r="EA3" s="2179">
        <v>27</v>
      </c>
      <c r="EB3" s="2179">
        <v>28.3</v>
      </c>
      <c r="EC3" s="2179">
        <v>37</v>
      </c>
      <c r="ED3" s="2179">
        <v>37.1</v>
      </c>
      <c r="EE3" s="2179">
        <v>33</v>
      </c>
      <c r="EF3" s="2179">
        <v>33.1</v>
      </c>
      <c r="EG3" s="2179">
        <v>34</v>
      </c>
      <c r="EH3" s="2179">
        <v>33.200000000000003</v>
      </c>
      <c r="EI3" s="2179">
        <v>33</v>
      </c>
      <c r="EJ3" s="2179">
        <v>32.200000000000003</v>
      </c>
      <c r="EK3" s="2179">
        <v>31</v>
      </c>
      <c r="EL3" s="2179">
        <v>31.5</v>
      </c>
      <c r="EM3" s="2179">
        <v>40</v>
      </c>
      <c r="EN3" s="2179">
        <v>39.700000000000003</v>
      </c>
      <c r="EO3" s="2179">
        <v>37.200000000000003</v>
      </c>
      <c r="EP3" s="2179">
        <v>38</v>
      </c>
      <c r="EQ3" s="2179">
        <v>41</v>
      </c>
      <c r="ER3" s="2179">
        <v>40.200000000000003</v>
      </c>
      <c r="ES3" s="2179">
        <v>39</v>
      </c>
      <c r="ET3" s="2179">
        <v>39.1</v>
      </c>
      <c r="EU3" s="2179">
        <v>42</v>
      </c>
      <c r="EV3" s="2179">
        <v>42.3</v>
      </c>
      <c r="EW3" s="2179">
        <v>38</v>
      </c>
      <c r="EX3" s="2179">
        <v>37.9</v>
      </c>
      <c r="EY3" s="2179">
        <v>30.4</v>
      </c>
      <c r="EZ3" s="2179">
        <v>42.3</v>
      </c>
      <c r="FA3" s="2179">
        <v>39.1</v>
      </c>
      <c r="FB3" s="2179">
        <v>39</v>
      </c>
      <c r="FC3" s="2179">
        <v>40</v>
      </c>
      <c r="FD3" s="2179">
        <v>40.1</v>
      </c>
      <c r="FE3" s="2179">
        <v>40</v>
      </c>
      <c r="FF3" s="2179">
        <v>36.5</v>
      </c>
      <c r="FG3" s="2179">
        <v>36</v>
      </c>
      <c r="FH3" s="2179">
        <v>36.299999999999997</v>
      </c>
      <c r="FI3" s="2179">
        <v>38.700000000000003</v>
      </c>
      <c r="FJ3" s="2179">
        <v>34.799999999999997</v>
      </c>
      <c r="FK3" s="2179">
        <v>38</v>
      </c>
      <c r="FL3" s="2179">
        <v>37.9</v>
      </c>
      <c r="FM3" s="2179">
        <v>35</v>
      </c>
      <c r="FN3" s="2179">
        <v>34.1</v>
      </c>
      <c r="FO3" s="2179">
        <v>36</v>
      </c>
      <c r="FP3" s="2179">
        <v>36</v>
      </c>
      <c r="FQ3" s="2179">
        <v>37</v>
      </c>
      <c r="FR3" s="2179">
        <v>38</v>
      </c>
      <c r="FS3" s="2179">
        <v>46</v>
      </c>
      <c r="FT3" s="2179">
        <v>47</v>
      </c>
      <c r="FU3" s="2179">
        <v>45</v>
      </c>
      <c r="FV3" s="2179">
        <v>45.1</v>
      </c>
      <c r="FW3" s="2179">
        <v>48</v>
      </c>
      <c r="FX3" s="2179">
        <v>46.7</v>
      </c>
      <c r="FY3" s="2179">
        <v>20</v>
      </c>
      <c r="FZ3" s="2179"/>
      <c r="GA3" s="2179">
        <v>6338</v>
      </c>
      <c r="GB3" s="2179"/>
    </row>
    <row r="4" spans="1:184" ht="16.8" hidden="1">
      <c r="B4" s="2313" t="s">
        <v>1061</v>
      </c>
      <c r="C4" s="2179" t="s">
        <v>5305</v>
      </c>
      <c r="D4" s="2179"/>
      <c r="E4" s="2179">
        <f>E3*3</f>
        <v>19014.000000000007</v>
      </c>
      <c r="F4" s="2179"/>
      <c r="G4" s="2179">
        <v>28</v>
      </c>
      <c r="H4" s="2179">
        <v>56.9</v>
      </c>
      <c r="I4" s="2179">
        <v>91.9</v>
      </c>
      <c r="J4" s="2179">
        <v>125.8</v>
      </c>
      <c r="K4" s="2179">
        <v>166.8</v>
      </c>
      <c r="L4" s="2179">
        <v>206.9</v>
      </c>
      <c r="M4" s="2179">
        <v>246.9</v>
      </c>
      <c r="N4" s="2179">
        <v>286.5</v>
      </c>
      <c r="O4" s="2179">
        <v>325.5</v>
      </c>
      <c r="P4" s="2179">
        <v>365.3</v>
      </c>
      <c r="Q4" s="2179">
        <v>407.3</v>
      </c>
      <c r="R4" s="2179">
        <v>450.1</v>
      </c>
      <c r="S4" s="2179">
        <v>486.1</v>
      </c>
      <c r="T4" s="2179">
        <v>522.70000000000005</v>
      </c>
      <c r="U4" s="2179">
        <v>557.70000000000005</v>
      </c>
      <c r="V4" s="2179">
        <v>592</v>
      </c>
      <c r="W4" s="2179">
        <v>629</v>
      </c>
      <c r="X4" s="2179">
        <v>666.1</v>
      </c>
      <c r="Y4" s="2179">
        <v>703.1</v>
      </c>
      <c r="Z4" s="2179">
        <v>740</v>
      </c>
      <c r="AA4" s="2179">
        <v>777</v>
      </c>
      <c r="AB4" s="2179">
        <v>815.2</v>
      </c>
      <c r="AC4" s="2179">
        <v>853.2</v>
      </c>
      <c r="AD4" s="2179">
        <v>891.3</v>
      </c>
      <c r="AE4" s="2179">
        <v>939.3</v>
      </c>
      <c r="AF4" s="2179">
        <v>989.1</v>
      </c>
      <c r="AG4" s="2179">
        <v>1027.0999999999999</v>
      </c>
      <c r="AH4" s="2179">
        <v>1065.9000000000001</v>
      </c>
      <c r="AI4" s="2179">
        <v>1101.9000000000001</v>
      </c>
      <c r="AJ4" s="2179">
        <v>1137.2</v>
      </c>
      <c r="AK4" s="2179">
        <v>1174.2</v>
      </c>
      <c r="AL4" s="2179">
        <v>1210.9000000000001</v>
      </c>
      <c r="AM4" s="2179">
        <v>1249.4000000000001</v>
      </c>
      <c r="AN4" s="2179">
        <v>1287.4000000000001</v>
      </c>
      <c r="AO4" s="2179">
        <v>1324.4</v>
      </c>
      <c r="AP4" s="2179">
        <v>1362</v>
      </c>
      <c r="AQ4" s="2179">
        <v>1396</v>
      </c>
      <c r="AR4" s="2179">
        <v>1429.7</v>
      </c>
      <c r="AS4" s="2179">
        <v>1463.7</v>
      </c>
      <c r="AT4" s="2179">
        <v>1498.7</v>
      </c>
      <c r="AU4" s="2179">
        <v>1525.7</v>
      </c>
      <c r="AV4" s="2179">
        <v>1553.8</v>
      </c>
      <c r="AW4" s="2179">
        <v>1588.8</v>
      </c>
      <c r="AX4" s="2179">
        <v>1623.9</v>
      </c>
      <c r="AY4" s="2179">
        <v>1633.9</v>
      </c>
      <c r="AZ4" s="2179">
        <v>1685.7</v>
      </c>
      <c r="BA4" s="2179">
        <v>1695.7</v>
      </c>
      <c r="BB4" s="2179">
        <v>1733.4</v>
      </c>
      <c r="BC4" s="2179">
        <v>1770.4</v>
      </c>
      <c r="BD4" s="2179">
        <v>1803.4</v>
      </c>
      <c r="BE4" s="2179">
        <v>1835.4</v>
      </c>
      <c r="BF4" s="2179">
        <v>1877.4</v>
      </c>
      <c r="BG4" s="2179">
        <v>1916.8</v>
      </c>
      <c r="BH4" s="2179">
        <v>1953.8</v>
      </c>
      <c r="BI4" s="2179">
        <v>1990.9</v>
      </c>
      <c r="BJ4" s="2179">
        <v>2024.9</v>
      </c>
      <c r="BK4" s="2179">
        <v>2058.6</v>
      </c>
      <c r="BL4" s="2179">
        <v>2098.6</v>
      </c>
      <c r="BM4" s="2179">
        <v>2143.1</v>
      </c>
      <c r="BN4" s="2179">
        <v>2176.4</v>
      </c>
      <c r="BO4" s="2179">
        <v>2209.4</v>
      </c>
      <c r="BP4" s="2179">
        <v>2245.4</v>
      </c>
      <c r="BQ4" s="2179">
        <v>2280.9</v>
      </c>
      <c r="BR4" s="2179">
        <v>2319.9</v>
      </c>
      <c r="BS4" s="2179">
        <v>2359.1999999999998</v>
      </c>
      <c r="BT4" s="2179">
        <v>2394.1999999999998</v>
      </c>
      <c r="BU4" s="2179">
        <v>2427.9</v>
      </c>
      <c r="BV4" s="2179">
        <v>2462.9</v>
      </c>
      <c r="BW4" s="2179">
        <v>2497.1999999999998</v>
      </c>
      <c r="BX4" s="2179">
        <v>2535.1999999999998</v>
      </c>
      <c r="BY4" s="2179">
        <v>2576.8000000000002</v>
      </c>
      <c r="BZ4" s="2179">
        <v>2610.4</v>
      </c>
      <c r="CA4" s="2179">
        <v>2644.4</v>
      </c>
      <c r="CB4" s="2179">
        <v>2680.4</v>
      </c>
      <c r="CC4" s="2179">
        <v>2716.7</v>
      </c>
      <c r="CD4" s="2179">
        <v>2750.7</v>
      </c>
      <c r="CE4" s="2179">
        <v>2784.7</v>
      </c>
      <c r="CF4" s="2179">
        <v>2819.6</v>
      </c>
      <c r="CG4" s="2179">
        <v>2861.1</v>
      </c>
      <c r="CH4" s="2179">
        <v>2895.1</v>
      </c>
      <c r="CI4" s="2179">
        <v>2928.4</v>
      </c>
      <c r="CJ4" s="2179">
        <v>2965.4</v>
      </c>
      <c r="CK4" s="2179">
        <v>3002.8</v>
      </c>
      <c r="CL4" s="2179">
        <v>3035.8</v>
      </c>
      <c r="CM4" s="2179">
        <v>3069.3</v>
      </c>
      <c r="CN4" s="2179">
        <v>3103.3</v>
      </c>
      <c r="CO4" s="2179">
        <v>3137.5</v>
      </c>
      <c r="CP4" s="2179">
        <v>3175.7</v>
      </c>
      <c r="CQ4" s="2179">
        <v>3187.7</v>
      </c>
      <c r="CR4" s="2179">
        <v>3215.6</v>
      </c>
      <c r="CS4" s="2179">
        <v>3255.6</v>
      </c>
      <c r="CT4" s="2179">
        <v>3295</v>
      </c>
      <c r="CU4" s="2179">
        <v>3335</v>
      </c>
      <c r="CV4" s="2179">
        <v>3375.1</v>
      </c>
      <c r="CW4" s="2179">
        <v>3412.1</v>
      </c>
      <c r="CX4" s="2179">
        <v>3448.7</v>
      </c>
      <c r="CY4" s="2179">
        <v>3490.7</v>
      </c>
      <c r="CZ4" s="2179">
        <v>3532.5</v>
      </c>
      <c r="DA4" s="2179">
        <v>3568.5</v>
      </c>
      <c r="DB4" s="2179">
        <v>3604.9</v>
      </c>
      <c r="DC4" s="2179">
        <v>3647.9</v>
      </c>
      <c r="DD4" s="2179">
        <v>3691.6</v>
      </c>
      <c r="DE4" s="2179">
        <v>3723.6</v>
      </c>
      <c r="DF4" s="2179">
        <v>3755.1</v>
      </c>
      <c r="DG4" s="2179">
        <v>3762.1</v>
      </c>
      <c r="DH4" s="2179">
        <v>3801.1</v>
      </c>
      <c r="DI4" s="2179">
        <v>3840</v>
      </c>
      <c r="DJ4" s="2179">
        <v>3880</v>
      </c>
      <c r="DK4" s="2179">
        <v>3919.2</v>
      </c>
      <c r="DL4" s="2179">
        <v>3960.2</v>
      </c>
      <c r="DM4" s="2179">
        <v>4001.5</v>
      </c>
      <c r="DN4" s="2179">
        <v>4045.5</v>
      </c>
      <c r="DO4" s="2179">
        <v>4089.3</v>
      </c>
      <c r="DP4" s="2179">
        <v>4127.3</v>
      </c>
      <c r="DQ4" s="2179">
        <v>4165.1000000000004</v>
      </c>
      <c r="DR4" s="2179">
        <v>4192.1000000000004</v>
      </c>
      <c r="DS4" s="2179">
        <v>4218.6000000000004</v>
      </c>
      <c r="DT4" s="2179">
        <v>4234.2</v>
      </c>
      <c r="DU4" s="2179">
        <v>4267.2</v>
      </c>
      <c r="DV4" s="2179">
        <v>4299.1000000000004</v>
      </c>
      <c r="DW4" s="2179">
        <v>4333.1000000000004</v>
      </c>
      <c r="DX4" s="2179">
        <v>4367.7</v>
      </c>
      <c r="DY4" s="2179">
        <v>4399.7</v>
      </c>
      <c r="DZ4" s="2179">
        <v>4430.2</v>
      </c>
      <c r="EA4" s="2179">
        <v>4457.2</v>
      </c>
      <c r="EB4" s="2179">
        <v>4485.5</v>
      </c>
      <c r="EC4" s="2179">
        <v>4522.5</v>
      </c>
      <c r="ED4" s="2179">
        <v>4559.6000000000004</v>
      </c>
      <c r="EE4" s="2179">
        <v>4592.6000000000004</v>
      </c>
      <c r="EF4" s="2179">
        <v>4625.7</v>
      </c>
      <c r="EG4" s="2179">
        <v>4659.7</v>
      </c>
      <c r="EH4" s="2179">
        <v>4692.8999999999996</v>
      </c>
      <c r="EI4" s="2179">
        <v>4725.8999999999996</v>
      </c>
      <c r="EJ4" s="2179">
        <v>4758.1000000000004</v>
      </c>
      <c r="EK4" s="2179">
        <v>4789.1000000000004</v>
      </c>
      <c r="EL4" s="2179">
        <v>4820.6000000000004</v>
      </c>
      <c r="EM4" s="2179">
        <v>4860.6000000000004</v>
      </c>
      <c r="EN4" s="2179">
        <v>4900.3</v>
      </c>
      <c r="EO4" s="2179">
        <v>4937.5</v>
      </c>
      <c r="EP4" s="2179">
        <v>4975.5</v>
      </c>
      <c r="EQ4" s="2179">
        <v>5016.5</v>
      </c>
      <c r="ER4" s="2179">
        <v>5056.7</v>
      </c>
      <c r="ES4" s="2179">
        <v>5095.7</v>
      </c>
      <c r="ET4" s="2179">
        <v>5134.8</v>
      </c>
      <c r="EU4" s="2179">
        <v>5176.8</v>
      </c>
      <c r="EV4" s="2179">
        <v>5219.1000000000004</v>
      </c>
      <c r="EW4" s="2179">
        <v>5257.1</v>
      </c>
      <c r="EX4" s="2179">
        <v>5295</v>
      </c>
      <c r="EY4" s="2179">
        <v>5325.4</v>
      </c>
      <c r="EZ4" s="2179">
        <v>5367.7</v>
      </c>
      <c r="FA4" s="2179">
        <v>5406.8</v>
      </c>
      <c r="FB4" s="2179">
        <v>5445.8</v>
      </c>
      <c r="FC4" s="2179">
        <v>5485.8</v>
      </c>
      <c r="FD4" s="2179">
        <v>5525.9</v>
      </c>
      <c r="FE4" s="2179">
        <v>5565.9</v>
      </c>
      <c r="FF4" s="2179">
        <v>5602.4</v>
      </c>
      <c r="FG4" s="2179">
        <v>5638.4</v>
      </c>
      <c r="FH4" s="2179">
        <v>5674.7</v>
      </c>
      <c r="FI4" s="2179">
        <v>5713.4</v>
      </c>
      <c r="FJ4" s="2179">
        <v>5748.2</v>
      </c>
      <c r="FK4" s="2179">
        <v>5786.2</v>
      </c>
      <c r="FL4" s="2179">
        <v>5824.1</v>
      </c>
      <c r="FM4" s="2179">
        <v>5859.1</v>
      </c>
      <c r="FN4" s="2179">
        <v>5893.2</v>
      </c>
      <c r="FO4" s="2179">
        <v>5929.2</v>
      </c>
      <c r="FP4" s="2179">
        <v>5965.2</v>
      </c>
      <c r="FQ4" s="2179">
        <v>6002.2</v>
      </c>
      <c r="FR4" s="2179">
        <v>6040.2</v>
      </c>
      <c r="FS4" s="2179">
        <v>6086.2</v>
      </c>
      <c r="FT4" s="2179">
        <v>6133.2</v>
      </c>
      <c r="FU4" s="2179">
        <v>6178.2</v>
      </c>
      <c r="FV4" s="2179">
        <v>6223.3</v>
      </c>
      <c r="FW4" s="2179">
        <v>6271.3</v>
      </c>
      <c r="FX4" s="2179">
        <v>6318</v>
      </c>
      <c r="FY4" s="2179">
        <v>6338</v>
      </c>
      <c r="FZ4" s="2179"/>
      <c r="GA4" s="2179">
        <v>6338</v>
      </c>
      <c r="GB4" s="2179"/>
    </row>
    <row r="5" spans="1:184" ht="16.8" hidden="1">
      <c r="B5" s="2313" t="s">
        <v>4964</v>
      </c>
      <c r="C5" s="2179" t="s">
        <v>5119</v>
      </c>
      <c r="D5" s="2179"/>
      <c r="E5" s="2179">
        <f t="shared" ref="E5:E67" si="0">SUM(F5:FZ5)</f>
        <v>159</v>
      </c>
      <c r="F5" s="2179"/>
      <c r="G5" s="2179"/>
      <c r="H5" s="2179"/>
      <c r="I5" s="2179"/>
      <c r="J5" s="2179"/>
      <c r="K5" s="2179"/>
      <c r="L5" s="2179"/>
      <c r="M5" s="2179"/>
      <c r="N5" s="2179"/>
      <c r="O5" s="2179"/>
      <c r="P5" s="2179"/>
      <c r="Q5" s="2179"/>
      <c r="R5" s="2179"/>
      <c r="S5" s="2179"/>
      <c r="T5" s="2179"/>
      <c r="U5" s="2179"/>
      <c r="V5" s="2179"/>
      <c r="W5" s="2179"/>
      <c r="X5" s="2179"/>
      <c r="Y5" s="2179"/>
      <c r="Z5" s="2179"/>
      <c r="AA5" s="2179"/>
      <c r="AB5" s="2179"/>
      <c r="AC5" s="2179"/>
      <c r="AD5" s="2179"/>
      <c r="AE5" s="2179"/>
      <c r="AF5" s="2179"/>
      <c r="AG5" s="2179"/>
      <c r="AH5" s="2179"/>
      <c r="AI5" s="2179"/>
      <c r="AJ5" s="2179"/>
      <c r="AK5" s="2179"/>
      <c r="AL5" s="2179">
        <v>28</v>
      </c>
      <c r="AM5" s="2179"/>
      <c r="AN5" s="2179"/>
      <c r="AO5" s="2179"/>
      <c r="AP5" s="2179"/>
      <c r="AQ5" s="2179"/>
      <c r="AR5" s="2179"/>
      <c r="AS5" s="2179"/>
      <c r="AT5" s="2179"/>
      <c r="AU5" s="2179"/>
      <c r="AV5" s="2179"/>
      <c r="AW5" s="2179"/>
      <c r="AX5" s="2179"/>
      <c r="AY5" s="2179"/>
      <c r="AZ5" s="2179"/>
      <c r="BA5" s="2179"/>
      <c r="BB5" s="2179"/>
      <c r="BC5" s="2179"/>
      <c r="BD5" s="2179"/>
      <c r="BE5" s="2179"/>
      <c r="BF5" s="2179"/>
      <c r="BG5" s="2179"/>
      <c r="BH5" s="2179"/>
      <c r="BI5" s="2179"/>
      <c r="BJ5" s="2179"/>
      <c r="BK5" s="2179"/>
      <c r="BL5" s="2179"/>
      <c r="BM5" s="2179"/>
      <c r="BN5" s="2179"/>
      <c r="BO5" s="2179"/>
      <c r="BP5" s="2179"/>
      <c r="BQ5" s="2179"/>
      <c r="BR5" s="2179"/>
      <c r="BS5" s="2179"/>
      <c r="BT5" s="2179"/>
      <c r="BU5" s="2179"/>
      <c r="BV5" s="2179"/>
      <c r="BW5" s="2179"/>
      <c r="BX5" s="2179"/>
      <c r="BY5" s="2179"/>
      <c r="BZ5" s="2179"/>
      <c r="CA5" s="2179"/>
      <c r="CB5" s="2179"/>
      <c r="CC5" s="2179"/>
      <c r="CD5" s="2179"/>
      <c r="CE5" s="2179">
        <v>28</v>
      </c>
      <c r="CF5" s="2179"/>
      <c r="CG5" s="2179"/>
      <c r="CH5" s="2179"/>
      <c r="CI5" s="2179"/>
      <c r="CJ5" s="2179"/>
      <c r="CK5" s="2179"/>
      <c r="CL5" s="2179"/>
      <c r="CM5" s="2179"/>
      <c r="CN5" s="2179"/>
      <c r="CO5" s="2179"/>
      <c r="CP5" s="2179">
        <v>3</v>
      </c>
      <c r="CQ5" s="2179">
        <v>9</v>
      </c>
      <c r="CR5" s="2179"/>
      <c r="CS5" s="2179"/>
      <c r="CT5" s="2179"/>
      <c r="CU5" s="2179"/>
      <c r="CV5" s="2179"/>
      <c r="CW5" s="2179"/>
      <c r="CX5" s="2179"/>
      <c r="CY5" s="2179"/>
      <c r="CZ5" s="2179"/>
      <c r="DA5" s="2179"/>
      <c r="DB5" s="2179"/>
      <c r="DC5" s="2179"/>
      <c r="DD5" s="2179"/>
      <c r="DE5" s="2179"/>
      <c r="DF5" s="2179">
        <v>9</v>
      </c>
      <c r="DG5" s="2179"/>
      <c r="DH5" s="2179"/>
      <c r="DI5" s="2179"/>
      <c r="DJ5" s="2179"/>
      <c r="DK5" s="2179"/>
      <c r="DL5" s="2179"/>
      <c r="DM5" s="2179"/>
      <c r="DN5" s="2179"/>
      <c r="DO5" s="2179"/>
      <c r="DP5" s="2179"/>
      <c r="DQ5" s="2179"/>
      <c r="DR5" s="2179"/>
      <c r="DS5" s="2179"/>
      <c r="DT5" s="2179">
        <v>32</v>
      </c>
      <c r="DU5" s="2179"/>
      <c r="DV5" s="2179"/>
      <c r="DW5" s="2179"/>
      <c r="DX5" s="2179"/>
      <c r="DY5" s="2179"/>
      <c r="DZ5" s="2179"/>
      <c r="EA5" s="2179"/>
      <c r="EB5" s="2179"/>
      <c r="EC5" s="2179"/>
      <c r="ED5" s="2179">
        <v>12</v>
      </c>
      <c r="EE5" s="2179"/>
      <c r="EF5" s="2179"/>
      <c r="EG5" s="2179"/>
      <c r="EH5" s="2179"/>
      <c r="EI5" s="2179"/>
      <c r="EJ5" s="2179"/>
      <c r="EK5" s="2179"/>
      <c r="EL5" s="2179"/>
      <c r="EM5" s="2179"/>
      <c r="EN5" s="2179"/>
      <c r="EO5" s="2179"/>
      <c r="EP5" s="2179"/>
      <c r="EQ5" s="2179"/>
      <c r="ER5" s="2179"/>
      <c r="ES5" s="2179"/>
      <c r="ET5" s="2179"/>
      <c r="EU5" s="2179"/>
      <c r="EV5" s="2179"/>
      <c r="EW5" s="2179"/>
      <c r="EX5" s="2179"/>
      <c r="EY5" s="2179">
        <v>5</v>
      </c>
      <c r="EZ5" s="2179"/>
      <c r="FA5" s="2179"/>
      <c r="FB5" s="2179"/>
      <c r="FC5" s="2179"/>
      <c r="FD5" s="2179"/>
      <c r="FE5" s="2179"/>
      <c r="FF5" s="2179"/>
      <c r="FG5" s="2179"/>
      <c r="FH5" s="2179"/>
      <c r="FI5" s="2179">
        <v>5</v>
      </c>
      <c r="FJ5" s="2179"/>
      <c r="FK5" s="2179"/>
      <c r="FL5" s="2179">
        <v>28</v>
      </c>
      <c r="FM5" s="2179"/>
      <c r="FN5" s="2179"/>
      <c r="FO5" s="2179"/>
      <c r="FP5" s="2179"/>
      <c r="FQ5" s="2179"/>
      <c r="FR5" s="2179"/>
      <c r="FS5" s="2179"/>
      <c r="FT5" s="2179"/>
      <c r="FU5" s="2179"/>
      <c r="FV5" s="2179"/>
      <c r="FW5" s="2179"/>
      <c r="FX5" s="2179"/>
      <c r="FY5" s="2179"/>
      <c r="FZ5" s="2179"/>
      <c r="GA5" s="2179">
        <v>159</v>
      </c>
      <c r="GB5" s="2179">
        <f t="shared" ref="GB5:GB36" si="1">SUM(F5:FY5)</f>
        <v>159</v>
      </c>
    </row>
    <row r="6" spans="1:184" ht="16.8" hidden="1">
      <c r="B6" s="2313" t="s">
        <v>1539</v>
      </c>
      <c r="C6" s="2179" t="s">
        <v>5306</v>
      </c>
      <c r="D6" s="2179"/>
      <c r="E6" s="2179">
        <f t="shared" si="0"/>
        <v>12</v>
      </c>
      <c r="F6" s="2179"/>
      <c r="G6" s="2179"/>
      <c r="H6" s="2179"/>
      <c r="I6" s="2179"/>
      <c r="J6" s="2179"/>
      <c r="K6" s="2179"/>
      <c r="L6" s="2179"/>
      <c r="M6" s="2179"/>
      <c r="N6" s="2179"/>
      <c r="O6" s="2179"/>
      <c r="P6" s="2179"/>
      <c r="Q6" s="2179"/>
      <c r="R6" s="2179"/>
      <c r="S6" s="2179"/>
      <c r="T6" s="2179"/>
      <c r="U6" s="2179"/>
      <c r="V6" s="2179"/>
      <c r="W6" s="2179"/>
      <c r="X6" s="2179"/>
      <c r="Y6" s="2179"/>
      <c r="Z6" s="2179"/>
      <c r="AA6" s="2179"/>
      <c r="AB6" s="2179"/>
      <c r="AC6" s="2179"/>
      <c r="AD6" s="2179"/>
      <c r="AE6" s="2179"/>
      <c r="AF6" s="2179"/>
      <c r="AG6" s="2179"/>
      <c r="AH6" s="2179"/>
      <c r="AI6" s="2179"/>
      <c r="AJ6" s="2179"/>
      <c r="AK6" s="2179"/>
      <c r="AL6" s="2179"/>
      <c r="AM6" s="2179"/>
      <c r="AN6" s="2179"/>
      <c r="AO6" s="2179"/>
      <c r="AP6" s="2179"/>
      <c r="AQ6" s="2179"/>
      <c r="AR6" s="2179"/>
      <c r="AS6" s="2179"/>
      <c r="AT6" s="2179"/>
      <c r="AU6" s="2179"/>
      <c r="AV6" s="2179"/>
      <c r="AW6" s="2179"/>
      <c r="AX6" s="2179"/>
      <c r="AY6" s="2179"/>
      <c r="AZ6" s="2179"/>
      <c r="BA6" s="2179"/>
      <c r="BB6" s="2179"/>
      <c r="BC6" s="2179"/>
      <c r="BD6" s="2179"/>
      <c r="BE6" s="2179"/>
      <c r="BF6" s="2179"/>
      <c r="BG6" s="2179"/>
      <c r="BH6" s="2179"/>
      <c r="BI6" s="2179"/>
      <c r="BJ6" s="2179"/>
      <c r="BK6" s="2179"/>
      <c r="BL6" s="2179"/>
      <c r="BM6" s="2179"/>
      <c r="BN6" s="2179"/>
      <c r="BO6" s="2179"/>
      <c r="BP6" s="2179"/>
      <c r="BQ6" s="2179"/>
      <c r="BR6" s="2179"/>
      <c r="BS6" s="2179"/>
      <c r="BT6" s="2179"/>
      <c r="BU6" s="2179"/>
      <c r="BV6" s="2179"/>
      <c r="BW6" s="2179"/>
      <c r="BX6" s="2179"/>
      <c r="BY6" s="2179"/>
      <c r="BZ6" s="2179"/>
      <c r="CA6" s="2179"/>
      <c r="CB6" s="2179"/>
      <c r="CC6" s="2179"/>
      <c r="CD6" s="2179"/>
      <c r="CE6" s="2179"/>
      <c r="CF6" s="2179"/>
      <c r="CG6" s="2179"/>
      <c r="CH6" s="2179"/>
      <c r="CI6" s="2179"/>
      <c r="CJ6" s="2179"/>
      <c r="CK6" s="2179"/>
      <c r="CL6" s="2179"/>
      <c r="CM6" s="2179"/>
      <c r="CN6" s="2179"/>
      <c r="CO6" s="2179"/>
      <c r="CP6" s="2179">
        <v>1</v>
      </c>
      <c r="CQ6" s="2179">
        <v>3</v>
      </c>
      <c r="CR6" s="2179"/>
      <c r="CS6" s="2179"/>
      <c r="CT6" s="2179"/>
      <c r="CU6" s="2179"/>
      <c r="CV6" s="2179"/>
      <c r="CW6" s="2179"/>
      <c r="CX6" s="2179"/>
      <c r="CY6" s="2179"/>
      <c r="CZ6" s="2179"/>
      <c r="DA6" s="2179"/>
      <c r="DB6" s="2179"/>
      <c r="DC6" s="2179"/>
      <c r="DD6" s="2179"/>
      <c r="DE6" s="2179"/>
      <c r="DF6" s="2179">
        <v>3</v>
      </c>
      <c r="DG6" s="2179"/>
      <c r="DH6" s="2179"/>
      <c r="DI6" s="2179"/>
      <c r="DJ6" s="2179"/>
      <c r="DK6" s="2179"/>
      <c r="DL6" s="2179"/>
      <c r="DM6" s="2179"/>
      <c r="DN6" s="2179"/>
      <c r="DO6" s="2179"/>
      <c r="DP6" s="2179"/>
      <c r="DQ6" s="2179"/>
      <c r="DR6" s="2179"/>
      <c r="DS6" s="2179"/>
      <c r="DT6" s="2179"/>
      <c r="DU6" s="2179"/>
      <c r="DV6" s="2179"/>
      <c r="DW6" s="2179"/>
      <c r="DX6" s="2179"/>
      <c r="DY6" s="2179"/>
      <c r="DZ6" s="2179"/>
      <c r="EA6" s="2179"/>
      <c r="EB6" s="2179"/>
      <c r="EC6" s="2179"/>
      <c r="ED6" s="2179">
        <v>3</v>
      </c>
      <c r="EE6" s="2179"/>
      <c r="EF6" s="2179"/>
      <c r="EG6" s="2179"/>
      <c r="EH6" s="2179"/>
      <c r="EI6" s="2179"/>
      <c r="EJ6" s="2179"/>
      <c r="EK6" s="2179"/>
      <c r="EL6" s="2179"/>
      <c r="EM6" s="2179"/>
      <c r="EN6" s="2179"/>
      <c r="EO6" s="2179"/>
      <c r="EP6" s="2179"/>
      <c r="EQ6" s="2179"/>
      <c r="ER6" s="2179"/>
      <c r="ES6" s="2179"/>
      <c r="ET6" s="2179"/>
      <c r="EU6" s="2179"/>
      <c r="EV6" s="2179"/>
      <c r="EW6" s="2179"/>
      <c r="EX6" s="2179"/>
      <c r="EY6" s="2179">
        <v>1</v>
      </c>
      <c r="EZ6" s="2179"/>
      <c r="FA6" s="2179"/>
      <c r="FB6" s="2179"/>
      <c r="FC6" s="2179"/>
      <c r="FD6" s="2179"/>
      <c r="FE6" s="2179"/>
      <c r="FF6" s="2179"/>
      <c r="FG6" s="2179"/>
      <c r="FH6" s="2179"/>
      <c r="FI6" s="2179">
        <v>1</v>
      </c>
      <c r="FJ6" s="2179"/>
      <c r="FK6" s="2179"/>
      <c r="FL6" s="2179"/>
      <c r="FM6" s="2179"/>
      <c r="FN6" s="2179"/>
      <c r="FO6" s="2179"/>
      <c r="FP6" s="2179"/>
      <c r="FQ6" s="2179"/>
      <c r="FR6" s="2179"/>
      <c r="FS6" s="2179"/>
      <c r="FT6" s="2179"/>
      <c r="FU6" s="2179"/>
      <c r="FV6" s="2179"/>
      <c r="FW6" s="2179"/>
      <c r="FX6" s="2179"/>
      <c r="FY6" s="2179"/>
      <c r="FZ6" s="2179"/>
      <c r="GA6" s="2179">
        <v>12</v>
      </c>
      <c r="GB6" s="2179">
        <f t="shared" si="1"/>
        <v>12</v>
      </c>
    </row>
    <row r="7" spans="1:184" ht="16.8" hidden="1">
      <c r="B7" s="2313" t="s">
        <v>1520</v>
      </c>
      <c r="C7" s="2179" t="s">
        <v>5120</v>
      </c>
      <c r="D7" s="2179"/>
      <c r="E7" s="2179">
        <f t="shared" si="0"/>
        <v>24</v>
      </c>
      <c r="F7" s="2179"/>
      <c r="G7" s="2179">
        <v>12</v>
      </c>
      <c r="H7" s="2179"/>
      <c r="I7" s="2179"/>
      <c r="J7" s="2179"/>
      <c r="K7" s="2179"/>
      <c r="L7" s="2179"/>
      <c r="M7" s="2179"/>
      <c r="N7" s="2179"/>
      <c r="O7" s="2179"/>
      <c r="P7" s="2179"/>
      <c r="Q7" s="2179"/>
      <c r="R7" s="2179"/>
      <c r="S7" s="2179"/>
      <c r="T7" s="2179"/>
      <c r="U7" s="2179"/>
      <c r="V7" s="2179"/>
      <c r="W7" s="2179"/>
      <c r="X7" s="2179"/>
      <c r="Y7" s="2179"/>
      <c r="Z7" s="2179"/>
      <c r="AA7" s="2179"/>
      <c r="AB7" s="2179"/>
      <c r="AC7" s="2179"/>
      <c r="AD7" s="2179"/>
      <c r="AE7" s="2179"/>
      <c r="AF7" s="2179"/>
      <c r="AG7" s="2179"/>
      <c r="AH7" s="2179"/>
      <c r="AI7" s="2179"/>
      <c r="AJ7" s="2179"/>
      <c r="AK7" s="2179"/>
      <c r="AL7" s="2179"/>
      <c r="AM7" s="2179"/>
      <c r="AN7" s="2179"/>
      <c r="AO7" s="2179"/>
      <c r="AP7" s="2179"/>
      <c r="AQ7" s="2179"/>
      <c r="AR7" s="2179"/>
      <c r="AS7" s="2179"/>
      <c r="AT7" s="2179"/>
      <c r="AU7" s="2179"/>
      <c r="AV7" s="2179"/>
      <c r="AW7" s="2179"/>
      <c r="AX7" s="2179"/>
      <c r="AY7" s="2179"/>
      <c r="AZ7" s="2179"/>
      <c r="BA7" s="2179"/>
      <c r="BB7" s="2179"/>
      <c r="BC7" s="2179"/>
      <c r="BD7" s="2179"/>
      <c r="BE7" s="2179"/>
      <c r="BF7" s="2179"/>
      <c r="BG7" s="2179"/>
      <c r="BH7" s="2179"/>
      <c r="BI7" s="2179"/>
      <c r="BJ7" s="2179"/>
      <c r="BK7" s="2179"/>
      <c r="BL7" s="2179"/>
      <c r="BM7" s="2179"/>
      <c r="BN7" s="2179"/>
      <c r="BO7" s="2179"/>
      <c r="BP7" s="2179"/>
      <c r="BQ7" s="2179"/>
      <c r="BR7" s="2179"/>
      <c r="BS7" s="2179"/>
      <c r="BT7" s="2179"/>
      <c r="BU7" s="2179"/>
      <c r="BV7" s="2179"/>
      <c r="BW7" s="2179"/>
      <c r="BX7" s="2179"/>
      <c r="BY7" s="2179"/>
      <c r="BZ7" s="2179"/>
      <c r="CA7" s="2179"/>
      <c r="CB7" s="2179"/>
      <c r="CC7" s="2179"/>
      <c r="CD7" s="2179"/>
      <c r="CE7" s="2179"/>
      <c r="CF7" s="2179"/>
      <c r="CG7" s="2179"/>
      <c r="CH7" s="2179"/>
      <c r="CI7" s="2179"/>
      <c r="CJ7" s="2179"/>
      <c r="CK7" s="2179"/>
      <c r="CL7" s="2179"/>
      <c r="CM7" s="2179"/>
      <c r="CN7" s="2179"/>
      <c r="CO7" s="2179"/>
      <c r="CP7" s="2179"/>
      <c r="CQ7" s="2179"/>
      <c r="CR7" s="2179"/>
      <c r="CS7" s="2179"/>
      <c r="CT7" s="2179"/>
      <c r="CU7" s="2179"/>
      <c r="CV7" s="2179"/>
      <c r="CW7" s="2179"/>
      <c r="CX7" s="2179"/>
      <c r="CY7" s="2179">
        <v>12</v>
      </c>
      <c r="CZ7" s="2179"/>
      <c r="DA7" s="2179"/>
      <c r="DB7" s="2179"/>
      <c r="DC7" s="2179"/>
      <c r="DD7" s="2179"/>
      <c r="DE7" s="2179"/>
      <c r="DF7" s="2179"/>
      <c r="DG7" s="2179"/>
      <c r="DH7" s="2179"/>
      <c r="DI7" s="2179"/>
      <c r="DJ7" s="2179"/>
      <c r="DK7" s="2179"/>
      <c r="DL7" s="2179"/>
      <c r="DM7" s="2179"/>
      <c r="DN7" s="2179"/>
      <c r="DO7" s="2179"/>
      <c r="DP7" s="2179"/>
      <c r="DQ7" s="2179"/>
      <c r="DR7" s="2179"/>
      <c r="DS7" s="2179"/>
      <c r="DT7" s="2179"/>
      <c r="DU7" s="2179"/>
      <c r="DV7" s="2179"/>
      <c r="DW7" s="2179"/>
      <c r="DX7" s="2179"/>
      <c r="DY7" s="2179"/>
      <c r="DZ7" s="2179"/>
      <c r="EA7" s="2179"/>
      <c r="EB7" s="2179"/>
      <c r="EC7" s="2179"/>
      <c r="ED7" s="2179"/>
      <c r="EE7" s="2179"/>
      <c r="EF7" s="2179"/>
      <c r="EG7" s="2179"/>
      <c r="EH7" s="2179"/>
      <c r="EI7" s="2179"/>
      <c r="EJ7" s="2179"/>
      <c r="EK7" s="2179"/>
      <c r="EL7" s="2179"/>
      <c r="EM7" s="2179"/>
      <c r="EN7" s="2179"/>
      <c r="EO7" s="2179"/>
      <c r="EP7" s="2179"/>
      <c r="EQ7" s="2179"/>
      <c r="ER7" s="2179"/>
      <c r="ES7" s="2179"/>
      <c r="ET7" s="2179"/>
      <c r="EU7" s="2179"/>
      <c r="EV7" s="2179"/>
      <c r="EW7" s="2179"/>
      <c r="EX7" s="2179"/>
      <c r="EY7" s="2179"/>
      <c r="EZ7" s="2179"/>
      <c r="FA7" s="2179"/>
      <c r="FB7" s="2179"/>
      <c r="FC7" s="2179"/>
      <c r="FD7" s="2179"/>
      <c r="FE7" s="2179"/>
      <c r="FF7" s="2179"/>
      <c r="FG7" s="2179"/>
      <c r="FH7" s="2179"/>
      <c r="FI7" s="2179"/>
      <c r="FJ7" s="2179"/>
      <c r="FK7" s="2179"/>
      <c r="FL7" s="2179"/>
      <c r="FM7" s="2179"/>
      <c r="FN7" s="2179"/>
      <c r="FO7" s="2179"/>
      <c r="FP7" s="2179"/>
      <c r="FQ7" s="2179"/>
      <c r="FR7" s="2179"/>
      <c r="FS7" s="2179"/>
      <c r="FT7" s="2179"/>
      <c r="FU7" s="2179"/>
      <c r="FV7" s="2179"/>
      <c r="FW7" s="2179"/>
      <c r="FX7" s="2179"/>
      <c r="FY7" s="2179"/>
      <c r="FZ7" s="2179"/>
      <c r="GA7" s="2179">
        <v>24</v>
      </c>
      <c r="GB7" s="2179">
        <f t="shared" si="1"/>
        <v>24</v>
      </c>
    </row>
    <row r="8" spans="1:184" ht="16.8" hidden="1">
      <c r="B8" s="2313" t="str">
        <f t="shared" ref="B8:B68" si="2">IF(LEN(D8)&gt;0,D8,C8)</f>
        <v>Đầu Cosse 150 (2 bulon)</v>
      </c>
      <c r="C8" s="2179" t="s">
        <v>5121</v>
      </c>
      <c r="D8" s="2179"/>
      <c r="E8" s="2179">
        <f t="shared" si="0"/>
        <v>15</v>
      </c>
      <c r="F8" s="2179"/>
      <c r="G8" s="2179">
        <v>6</v>
      </c>
      <c r="H8" s="2179"/>
      <c r="I8" s="2179"/>
      <c r="J8" s="2179"/>
      <c r="K8" s="2179"/>
      <c r="L8" s="2179"/>
      <c r="M8" s="2179"/>
      <c r="N8" s="2179"/>
      <c r="O8" s="2179"/>
      <c r="P8" s="2179"/>
      <c r="Q8" s="2179"/>
      <c r="R8" s="2179"/>
      <c r="S8" s="2179"/>
      <c r="T8" s="2179"/>
      <c r="U8" s="2179"/>
      <c r="V8" s="2179"/>
      <c r="W8" s="2179"/>
      <c r="X8" s="2179"/>
      <c r="Y8" s="2179"/>
      <c r="Z8" s="2179"/>
      <c r="AA8" s="2179"/>
      <c r="AB8" s="2179"/>
      <c r="AC8" s="2179"/>
      <c r="AD8" s="2179"/>
      <c r="AE8" s="2179"/>
      <c r="AF8" s="2179"/>
      <c r="AG8" s="2179"/>
      <c r="AH8" s="2179"/>
      <c r="AI8" s="2179"/>
      <c r="AJ8" s="2179"/>
      <c r="AK8" s="2179"/>
      <c r="AL8" s="2179"/>
      <c r="AM8" s="2179"/>
      <c r="AN8" s="2179"/>
      <c r="AO8" s="2179"/>
      <c r="AP8" s="2179"/>
      <c r="AQ8" s="2179"/>
      <c r="AR8" s="2179"/>
      <c r="AS8" s="2179"/>
      <c r="AT8" s="2179"/>
      <c r="AU8" s="2179"/>
      <c r="AV8" s="2179"/>
      <c r="AW8" s="2179"/>
      <c r="AX8" s="2179"/>
      <c r="AY8" s="2179"/>
      <c r="AZ8" s="2179"/>
      <c r="BA8" s="2179"/>
      <c r="BB8" s="2179"/>
      <c r="BC8" s="2179"/>
      <c r="BD8" s="2179"/>
      <c r="BE8" s="2179"/>
      <c r="BF8" s="2179"/>
      <c r="BG8" s="2179"/>
      <c r="BH8" s="2179"/>
      <c r="BI8" s="2179"/>
      <c r="BJ8" s="2179"/>
      <c r="BK8" s="2179"/>
      <c r="BL8" s="2179"/>
      <c r="BM8" s="2179"/>
      <c r="BN8" s="2179"/>
      <c r="BO8" s="2179"/>
      <c r="BP8" s="2179"/>
      <c r="BQ8" s="2179"/>
      <c r="BR8" s="2179"/>
      <c r="BS8" s="2179"/>
      <c r="BT8" s="2179"/>
      <c r="BU8" s="2179"/>
      <c r="BV8" s="2179"/>
      <c r="BW8" s="2179"/>
      <c r="BX8" s="2179"/>
      <c r="BY8" s="2179"/>
      <c r="BZ8" s="2179"/>
      <c r="CA8" s="2179"/>
      <c r="CB8" s="2179"/>
      <c r="CC8" s="2179"/>
      <c r="CD8" s="2179"/>
      <c r="CE8" s="2179"/>
      <c r="CF8" s="2179"/>
      <c r="CG8" s="2179"/>
      <c r="CH8" s="2179"/>
      <c r="CI8" s="2179"/>
      <c r="CJ8" s="2179"/>
      <c r="CK8" s="2179"/>
      <c r="CL8" s="2179"/>
      <c r="CM8" s="2179"/>
      <c r="CN8" s="2179"/>
      <c r="CO8" s="2179"/>
      <c r="CP8" s="2179"/>
      <c r="CQ8" s="2179"/>
      <c r="CR8" s="2179"/>
      <c r="CS8" s="2179"/>
      <c r="CT8" s="2179"/>
      <c r="CU8" s="2179"/>
      <c r="CV8" s="2179"/>
      <c r="CW8" s="2179"/>
      <c r="CX8" s="2179"/>
      <c r="CY8" s="2179">
        <v>6</v>
      </c>
      <c r="CZ8" s="2179"/>
      <c r="DA8" s="2179"/>
      <c r="DB8" s="2179"/>
      <c r="DC8" s="2179"/>
      <c r="DD8" s="2179"/>
      <c r="DE8" s="2179"/>
      <c r="DF8" s="2179"/>
      <c r="DG8" s="2179"/>
      <c r="DH8" s="2179"/>
      <c r="DI8" s="2179"/>
      <c r="DJ8" s="2179"/>
      <c r="DK8" s="2179"/>
      <c r="DL8" s="2179"/>
      <c r="DM8" s="2179"/>
      <c r="DN8" s="2179"/>
      <c r="DO8" s="2179"/>
      <c r="DP8" s="2179"/>
      <c r="DQ8" s="2179"/>
      <c r="DR8" s="2179"/>
      <c r="DS8" s="2179"/>
      <c r="DT8" s="2179"/>
      <c r="DU8" s="2179"/>
      <c r="DV8" s="2179"/>
      <c r="DW8" s="2179"/>
      <c r="DX8" s="2179"/>
      <c r="DY8" s="2179"/>
      <c r="DZ8" s="2179"/>
      <c r="EA8" s="2179"/>
      <c r="EB8" s="2179"/>
      <c r="EC8" s="2179"/>
      <c r="ED8" s="2179"/>
      <c r="EE8" s="2179"/>
      <c r="EF8" s="2179"/>
      <c r="EG8" s="2179"/>
      <c r="EH8" s="2179"/>
      <c r="EI8" s="2179"/>
      <c r="EJ8" s="2179"/>
      <c r="EK8" s="2179"/>
      <c r="EL8" s="2179"/>
      <c r="EM8" s="2179"/>
      <c r="EN8" s="2179"/>
      <c r="EO8" s="2179"/>
      <c r="EP8" s="2179"/>
      <c r="EQ8" s="2179"/>
      <c r="ER8" s="2179"/>
      <c r="ES8" s="2179"/>
      <c r="ET8" s="2179"/>
      <c r="EU8" s="2179"/>
      <c r="EV8" s="2179"/>
      <c r="EW8" s="2179"/>
      <c r="EX8" s="2179"/>
      <c r="EY8" s="2179"/>
      <c r="EZ8" s="2179"/>
      <c r="FA8" s="2179"/>
      <c r="FB8" s="2179"/>
      <c r="FC8" s="2179"/>
      <c r="FD8" s="2179"/>
      <c r="FE8" s="2179"/>
      <c r="FF8" s="2179"/>
      <c r="FG8" s="2179"/>
      <c r="FH8" s="2179"/>
      <c r="FI8" s="2179"/>
      <c r="FJ8" s="2179"/>
      <c r="FK8" s="2179"/>
      <c r="FL8" s="2179"/>
      <c r="FM8" s="2179"/>
      <c r="FN8" s="2179"/>
      <c r="FO8" s="2179"/>
      <c r="FP8" s="2179"/>
      <c r="FQ8" s="2179"/>
      <c r="FR8" s="2179"/>
      <c r="FS8" s="2179"/>
      <c r="FT8" s="2179"/>
      <c r="FU8" s="2179"/>
      <c r="FV8" s="2179"/>
      <c r="FW8" s="2179"/>
      <c r="FX8" s="2179">
        <v>3</v>
      </c>
      <c r="FY8" s="2179"/>
      <c r="FZ8" s="2179"/>
      <c r="GA8" s="2179">
        <v>15</v>
      </c>
      <c r="GB8" s="2179">
        <f t="shared" si="1"/>
        <v>15</v>
      </c>
    </row>
    <row r="9" spans="1:184" ht="16.8" hidden="1">
      <c r="A9" s="2313" t="s">
        <v>5123</v>
      </c>
      <c r="B9" s="2313" t="s">
        <v>704</v>
      </c>
      <c r="C9" s="2179" t="s">
        <v>5122</v>
      </c>
      <c r="D9" s="2179"/>
      <c r="E9" s="2179">
        <f t="shared" si="0"/>
        <v>59</v>
      </c>
      <c r="F9" s="2179"/>
      <c r="G9" s="2179"/>
      <c r="H9" s="2179"/>
      <c r="I9" s="2179"/>
      <c r="J9" s="2179"/>
      <c r="K9" s="2179"/>
      <c r="L9" s="2179"/>
      <c r="M9" s="2179"/>
      <c r="N9" s="2179"/>
      <c r="O9" s="2179"/>
      <c r="P9" s="2179"/>
      <c r="Q9" s="2179"/>
      <c r="R9" s="2179"/>
      <c r="S9" s="2179"/>
      <c r="T9" s="2179"/>
      <c r="U9" s="2179"/>
      <c r="V9" s="2179"/>
      <c r="W9" s="2179"/>
      <c r="X9" s="2179"/>
      <c r="Y9" s="2179"/>
      <c r="Z9" s="2179"/>
      <c r="AA9" s="2179"/>
      <c r="AB9" s="2179"/>
      <c r="AC9" s="2179"/>
      <c r="AD9" s="2179">
        <v>5</v>
      </c>
      <c r="AE9" s="2179"/>
      <c r="AF9" s="2179"/>
      <c r="AG9" s="2179"/>
      <c r="AH9" s="2179"/>
      <c r="AI9" s="2179"/>
      <c r="AJ9" s="2179"/>
      <c r="AK9" s="2179"/>
      <c r="AL9" s="2179">
        <v>1</v>
      </c>
      <c r="AM9" s="2179"/>
      <c r="AN9" s="2179">
        <v>5</v>
      </c>
      <c r="AO9" s="2179"/>
      <c r="AP9" s="2179"/>
      <c r="AQ9" s="2179"/>
      <c r="AR9" s="2179"/>
      <c r="AS9" s="2179"/>
      <c r="AT9" s="2179"/>
      <c r="AU9" s="2179"/>
      <c r="AV9" s="2179"/>
      <c r="AW9" s="2179"/>
      <c r="AX9" s="2179"/>
      <c r="AY9" s="2179"/>
      <c r="AZ9" s="2179"/>
      <c r="BA9" s="2179"/>
      <c r="BB9" s="2179"/>
      <c r="BC9" s="2179"/>
      <c r="BD9" s="2179"/>
      <c r="BE9" s="2179"/>
      <c r="BF9" s="2179"/>
      <c r="BG9" s="2179"/>
      <c r="BH9" s="2179"/>
      <c r="BI9" s="2179">
        <v>5</v>
      </c>
      <c r="BJ9" s="2179"/>
      <c r="BK9" s="2179"/>
      <c r="BL9" s="2179"/>
      <c r="BM9" s="2179"/>
      <c r="BN9" s="2179"/>
      <c r="BO9" s="2179"/>
      <c r="BP9" s="2179"/>
      <c r="BQ9" s="2179"/>
      <c r="BR9" s="2179"/>
      <c r="BS9" s="2179"/>
      <c r="BT9" s="2179"/>
      <c r="BU9" s="2179"/>
      <c r="BV9" s="2179"/>
      <c r="BW9" s="2179">
        <v>5</v>
      </c>
      <c r="BX9" s="2179"/>
      <c r="BY9" s="2179"/>
      <c r="BZ9" s="2179"/>
      <c r="CA9" s="2179"/>
      <c r="CB9" s="2179"/>
      <c r="CC9" s="2179"/>
      <c r="CD9" s="2179"/>
      <c r="CE9" s="2179">
        <v>6</v>
      </c>
      <c r="CF9" s="2179"/>
      <c r="CG9" s="2179"/>
      <c r="CH9" s="2179"/>
      <c r="CI9" s="2179"/>
      <c r="CJ9" s="2179"/>
      <c r="CK9" s="2179"/>
      <c r="CL9" s="2179"/>
      <c r="CM9" s="2179"/>
      <c r="CN9" s="2179"/>
      <c r="CO9" s="2179"/>
      <c r="CP9" s="2179"/>
      <c r="CQ9" s="2179"/>
      <c r="CR9" s="2179"/>
      <c r="CS9" s="2179"/>
      <c r="CT9" s="2179"/>
      <c r="CU9" s="2179"/>
      <c r="CV9" s="2179"/>
      <c r="CW9" s="2179"/>
      <c r="CX9" s="2179"/>
      <c r="CY9" s="2179"/>
      <c r="CZ9" s="2179">
        <v>5</v>
      </c>
      <c r="DA9" s="2179"/>
      <c r="DB9" s="2179"/>
      <c r="DC9" s="2179"/>
      <c r="DD9" s="2179"/>
      <c r="DE9" s="2179"/>
      <c r="DF9" s="2179"/>
      <c r="DG9" s="2179"/>
      <c r="DH9" s="2179"/>
      <c r="DI9" s="2179"/>
      <c r="DJ9" s="2179"/>
      <c r="DK9" s="2179"/>
      <c r="DL9" s="2179"/>
      <c r="DM9" s="2179"/>
      <c r="DN9" s="2179"/>
      <c r="DO9" s="2179"/>
      <c r="DP9" s="2179"/>
      <c r="DQ9" s="2179"/>
      <c r="DR9" s="2179"/>
      <c r="DS9" s="2179"/>
      <c r="DT9" s="2179">
        <v>1</v>
      </c>
      <c r="DU9" s="2179"/>
      <c r="DV9" s="2179">
        <v>5</v>
      </c>
      <c r="DW9" s="2179"/>
      <c r="DX9" s="2179"/>
      <c r="DY9" s="2179"/>
      <c r="DZ9" s="2179"/>
      <c r="EA9" s="2179"/>
      <c r="EB9" s="2179"/>
      <c r="EC9" s="2179"/>
      <c r="ED9" s="2179">
        <v>3</v>
      </c>
      <c r="EE9" s="2179"/>
      <c r="EF9" s="2179"/>
      <c r="EG9" s="2179"/>
      <c r="EH9" s="2179"/>
      <c r="EI9" s="2179"/>
      <c r="EJ9" s="2179"/>
      <c r="EK9" s="2179"/>
      <c r="EL9" s="2179"/>
      <c r="EM9" s="2179"/>
      <c r="EN9" s="2179"/>
      <c r="EO9" s="2179"/>
      <c r="EP9" s="2179"/>
      <c r="EQ9" s="2179"/>
      <c r="ER9" s="2179"/>
      <c r="ES9" s="2179"/>
      <c r="ET9" s="2179"/>
      <c r="EU9" s="2179"/>
      <c r="EV9" s="2179"/>
      <c r="EW9" s="2179"/>
      <c r="EX9" s="2179">
        <v>5</v>
      </c>
      <c r="EY9" s="2179">
        <v>1</v>
      </c>
      <c r="EZ9" s="2179"/>
      <c r="FA9" s="2179"/>
      <c r="FB9" s="2179"/>
      <c r="FC9" s="2179"/>
      <c r="FD9" s="2179">
        <v>5</v>
      </c>
      <c r="FE9" s="2179"/>
      <c r="FF9" s="2179"/>
      <c r="FG9" s="2179"/>
      <c r="FH9" s="2179"/>
      <c r="FI9" s="2179">
        <v>1</v>
      </c>
      <c r="FJ9" s="2179"/>
      <c r="FK9" s="2179"/>
      <c r="FL9" s="2179">
        <v>1</v>
      </c>
      <c r="FM9" s="2179"/>
      <c r="FN9" s="2179">
        <v>5</v>
      </c>
      <c r="FO9" s="2179"/>
      <c r="FP9" s="2179"/>
      <c r="FQ9" s="2179"/>
      <c r="FR9" s="2179"/>
      <c r="FS9" s="2179"/>
      <c r="FT9" s="2179"/>
      <c r="FU9" s="2179"/>
      <c r="FV9" s="2179"/>
      <c r="FW9" s="2179"/>
      <c r="FX9" s="2179"/>
      <c r="FY9" s="2179"/>
      <c r="FZ9" s="2179"/>
      <c r="GA9" s="2179">
        <v>59</v>
      </c>
      <c r="GB9" s="2179">
        <f t="shared" si="1"/>
        <v>59</v>
      </c>
    </row>
    <row r="10" spans="1:184" ht="16.8">
      <c r="A10" s="2313" t="s">
        <v>5124</v>
      </c>
      <c r="B10" s="2313" t="str">
        <f t="shared" si="2"/>
        <v>Hình thức trụ HH</v>
      </c>
      <c r="C10" s="2179" t="s">
        <v>5307</v>
      </c>
      <c r="D10" s="2179"/>
      <c r="E10" s="2179">
        <f t="shared" si="0"/>
        <v>0</v>
      </c>
      <c r="F10" s="2179" t="s">
        <v>550</v>
      </c>
      <c r="G10" s="2179"/>
      <c r="H10" s="2179" t="s">
        <v>4512</v>
      </c>
      <c r="I10" s="2179"/>
      <c r="J10" s="2179" t="s">
        <v>504</v>
      </c>
      <c r="K10" s="2179"/>
      <c r="L10" s="2179" t="s">
        <v>504</v>
      </c>
      <c r="M10" s="2179"/>
      <c r="N10" s="2179" t="s">
        <v>504</v>
      </c>
      <c r="O10" s="2179"/>
      <c r="P10" s="2179" t="s">
        <v>504</v>
      </c>
      <c r="Q10" s="2179"/>
      <c r="R10" s="2179" t="s">
        <v>504</v>
      </c>
      <c r="S10" s="2179"/>
      <c r="T10" s="2179" t="s">
        <v>504</v>
      </c>
      <c r="U10" s="2179"/>
      <c r="V10" s="2179" t="s">
        <v>504</v>
      </c>
      <c r="W10" s="2179"/>
      <c r="X10" s="2179" t="s">
        <v>504</v>
      </c>
      <c r="Y10" s="2179"/>
      <c r="Z10" s="2179" t="s">
        <v>504</v>
      </c>
      <c r="AA10" s="2179"/>
      <c r="AB10" s="2179" t="s">
        <v>504</v>
      </c>
      <c r="AC10" s="2179"/>
      <c r="AD10" s="2179" t="s">
        <v>504</v>
      </c>
      <c r="AE10" s="2179"/>
      <c r="AF10" s="2179" t="s">
        <v>4512</v>
      </c>
      <c r="AG10" s="2179"/>
      <c r="AH10" s="2179" t="s">
        <v>504</v>
      </c>
      <c r="AI10" s="2179"/>
      <c r="AJ10" s="2179" t="s">
        <v>504</v>
      </c>
      <c r="AK10" s="2179"/>
      <c r="AL10" s="2179" t="s">
        <v>663</v>
      </c>
      <c r="AM10" s="2179"/>
      <c r="AN10" s="2179" t="s">
        <v>504</v>
      </c>
      <c r="AO10" s="2179"/>
      <c r="AP10" s="2179" t="s">
        <v>550</v>
      </c>
      <c r="AQ10" s="2179"/>
      <c r="AR10" s="2179" t="s">
        <v>504</v>
      </c>
      <c r="AS10" s="2179"/>
      <c r="AT10" s="2179" t="s">
        <v>504</v>
      </c>
      <c r="AU10" s="2179"/>
      <c r="AV10" s="2179" t="s">
        <v>4512</v>
      </c>
      <c r="AW10" s="2179"/>
      <c r="AX10" s="2179" t="s">
        <v>663</v>
      </c>
      <c r="AY10" s="2179" t="s">
        <v>504</v>
      </c>
      <c r="AZ10" s="2179" t="s">
        <v>504</v>
      </c>
      <c r="BA10" s="2179" t="s">
        <v>504</v>
      </c>
      <c r="BB10" s="2179"/>
      <c r="BC10" s="2179" t="s">
        <v>504</v>
      </c>
      <c r="BD10" s="2179"/>
      <c r="BE10" s="2179" t="s">
        <v>504</v>
      </c>
      <c r="BF10" s="2179"/>
      <c r="BG10" s="2179" t="s">
        <v>504</v>
      </c>
      <c r="BH10" s="2179"/>
      <c r="BI10" s="2179" t="s">
        <v>504</v>
      </c>
      <c r="BJ10" s="2179"/>
      <c r="BK10" s="2179" t="s">
        <v>504</v>
      </c>
      <c r="BL10" s="2179"/>
      <c r="BM10" s="2179" t="s">
        <v>504</v>
      </c>
      <c r="BN10" s="2179"/>
      <c r="BO10" s="2179" t="s">
        <v>504</v>
      </c>
      <c r="BP10" s="2179"/>
      <c r="BQ10" s="2179" t="s">
        <v>504</v>
      </c>
      <c r="BR10" s="2179"/>
      <c r="BS10" s="2179" t="s">
        <v>504</v>
      </c>
      <c r="BT10" s="2179"/>
      <c r="BU10" s="2179" t="s">
        <v>504</v>
      </c>
      <c r="BV10" s="2179"/>
      <c r="BW10" s="2179" t="s">
        <v>504</v>
      </c>
      <c r="BX10" s="2179"/>
      <c r="BY10" s="2179" t="s">
        <v>504</v>
      </c>
      <c r="BZ10" s="2179"/>
      <c r="CA10" s="2179" t="s">
        <v>504</v>
      </c>
      <c r="CB10" s="2179"/>
      <c r="CC10" s="2179" t="s">
        <v>504</v>
      </c>
      <c r="CD10" s="2179"/>
      <c r="CE10" s="2179" t="s">
        <v>663</v>
      </c>
      <c r="CF10" s="2179"/>
      <c r="CG10" s="2179" t="s">
        <v>550</v>
      </c>
      <c r="CH10" s="2179"/>
      <c r="CI10" s="2179" t="s">
        <v>859</v>
      </c>
      <c r="CJ10" s="2179"/>
      <c r="CK10" s="2179" t="s">
        <v>504</v>
      </c>
      <c r="CL10" s="2179"/>
      <c r="CM10" s="2179" t="s">
        <v>504</v>
      </c>
      <c r="CN10" s="2179"/>
      <c r="CO10" s="2179" t="s">
        <v>504</v>
      </c>
      <c r="CP10" s="2179" t="s">
        <v>663</v>
      </c>
      <c r="CQ10" s="2179" t="s">
        <v>663</v>
      </c>
      <c r="CR10" s="2179" t="s">
        <v>504</v>
      </c>
      <c r="CS10" s="2179"/>
      <c r="CT10" s="2179" t="s">
        <v>4512</v>
      </c>
      <c r="CU10" s="2179"/>
      <c r="CV10" s="2179" t="s">
        <v>504</v>
      </c>
      <c r="CW10" s="2179"/>
      <c r="CX10" s="2179" t="s">
        <v>504</v>
      </c>
      <c r="CY10" s="2179"/>
      <c r="CZ10" s="2179" t="s">
        <v>504</v>
      </c>
      <c r="DA10" s="2179"/>
      <c r="DB10" s="2179" t="s">
        <v>504</v>
      </c>
      <c r="DC10" s="2179"/>
      <c r="DD10" s="2179" t="s">
        <v>504</v>
      </c>
      <c r="DE10" s="2179"/>
      <c r="DF10" s="2179" t="s">
        <v>663</v>
      </c>
      <c r="DG10" s="2179" t="s">
        <v>504</v>
      </c>
      <c r="DH10" s="2179"/>
      <c r="DI10" s="2179" t="s">
        <v>504</v>
      </c>
      <c r="DJ10" s="2179"/>
      <c r="DK10" s="2179" t="s">
        <v>663</v>
      </c>
      <c r="DL10" s="2179"/>
      <c r="DM10" s="2179" t="s">
        <v>504</v>
      </c>
      <c r="DN10" s="2179"/>
      <c r="DO10" s="2179" t="s">
        <v>504</v>
      </c>
      <c r="DP10" s="2179"/>
      <c r="DQ10" s="2179" t="s">
        <v>4512</v>
      </c>
      <c r="DR10" s="2179"/>
      <c r="DS10" s="2179" t="s">
        <v>663</v>
      </c>
      <c r="DT10" s="2179" t="s">
        <v>663</v>
      </c>
      <c r="DU10" s="2179"/>
      <c r="DV10" s="2179" t="s">
        <v>504</v>
      </c>
      <c r="DW10" s="2179"/>
      <c r="DX10" s="2179" t="s">
        <v>663</v>
      </c>
      <c r="DY10" s="2179"/>
      <c r="DZ10" s="2179" t="s">
        <v>504</v>
      </c>
      <c r="EA10" s="2179"/>
      <c r="EB10" s="2179" t="s">
        <v>1670</v>
      </c>
      <c r="EC10" s="2179"/>
      <c r="ED10" s="2179" t="s">
        <v>663</v>
      </c>
      <c r="EE10" s="2179"/>
      <c r="EF10" s="2179" t="s">
        <v>504</v>
      </c>
      <c r="EG10" s="2179"/>
      <c r="EH10" s="2179" t="s">
        <v>4512</v>
      </c>
      <c r="EI10" s="2179"/>
      <c r="EJ10" s="2179" t="s">
        <v>504</v>
      </c>
      <c r="EK10" s="2179"/>
      <c r="EL10" s="2179" t="s">
        <v>504</v>
      </c>
      <c r="EM10" s="2179"/>
      <c r="EN10" s="2179" t="s">
        <v>504</v>
      </c>
      <c r="EO10" s="2179"/>
      <c r="EP10" s="2179" t="s">
        <v>504</v>
      </c>
      <c r="EQ10" s="2179"/>
      <c r="ER10" s="2179" t="s">
        <v>504</v>
      </c>
      <c r="ES10" s="2179"/>
      <c r="ET10" s="2179" t="s">
        <v>504</v>
      </c>
      <c r="EU10" s="2179"/>
      <c r="EV10" s="2179" t="s">
        <v>663</v>
      </c>
      <c r="EW10" s="2179"/>
      <c r="EX10" s="2179" t="s">
        <v>504</v>
      </c>
      <c r="EY10" s="2179" t="s">
        <v>663</v>
      </c>
      <c r="EZ10" s="2179" t="s">
        <v>504</v>
      </c>
      <c r="FA10" s="2179"/>
      <c r="FB10" s="2179" t="s">
        <v>504</v>
      </c>
      <c r="FC10" s="2179"/>
      <c r="FD10" s="2179" t="s">
        <v>504</v>
      </c>
      <c r="FE10" s="2179"/>
      <c r="FF10" s="2179" t="s">
        <v>504</v>
      </c>
      <c r="FG10" s="2179"/>
      <c r="FH10" s="2179" t="s">
        <v>504</v>
      </c>
      <c r="FI10" s="2179" t="s">
        <v>663</v>
      </c>
      <c r="FJ10" s="2179" t="s">
        <v>4512</v>
      </c>
      <c r="FK10" s="2179"/>
      <c r="FL10" s="2179" t="s">
        <v>663</v>
      </c>
      <c r="FM10" s="2179"/>
      <c r="FN10" s="2179" t="s">
        <v>504</v>
      </c>
      <c r="FO10" s="2179"/>
      <c r="FP10" s="2179" t="s">
        <v>504</v>
      </c>
      <c r="FQ10" s="2179"/>
      <c r="FR10" s="2179" t="s">
        <v>550</v>
      </c>
      <c r="FS10" s="2179"/>
      <c r="FT10" s="2179" t="s">
        <v>4512</v>
      </c>
      <c r="FU10" s="2179"/>
      <c r="FV10" s="2179" t="s">
        <v>663</v>
      </c>
      <c r="FW10" s="2179"/>
      <c r="FX10" s="2179" t="s">
        <v>550</v>
      </c>
      <c r="FY10" s="2179" t="s">
        <v>550</v>
      </c>
      <c r="FZ10" s="2179"/>
      <c r="GA10" s="2179"/>
      <c r="GB10" s="2179">
        <f t="shared" si="1"/>
        <v>0</v>
      </c>
    </row>
    <row r="11" spans="1:184" ht="16.8">
      <c r="B11" s="2313" t="str">
        <f t="shared" si="2"/>
        <v>Hình thức trụ TK</v>
      </c>
      <c r="C11" s="2179" t="s">
        <v>5308</v>
      </c>
      <c r="D11" s="2179"/>
      <c r="E11" s="2179">
        <f t="shared" si="0"/>
        <v>0</v>
      </c>
      <c r="F11" s="2179" t="s">
        <v>550</v>
      </c>
      <c r="G11" s="2179" t="s">
        <v>550</v>
      </c>
      <c r="H11" s="2179" t="s">
        <v>4512</v>
      </c>
      <c r="I11" s="2179" t="s">
        <v>504</v>
      </c>
      <c r="J11" s="2179" t="s">
        <v>504</v>
      </c>
      <c r="K11" s="2179" t="s">
        <v>504</v>
      </c>
      <c r="L11" s="2179" t="s">
        <v>504</v>
      </c>
      <c r="M11" s="2179" t="s">
        <v>504</v>
      </c>
      <c r="N11" s="2179" t="s">
        <v>504</v>
      </c>
      <c r="O11" s="2179" t="s">
        <v>504</v>
      </c>
      <c r="P11" s="2179" t="s">
        <v>504</v>
      </c>
      <c r="Q11" s="2179" t="s">
        <v>504</v>
      </c>
      <c r="R11" s="2179" t="s">
        <v>504</v>
      </c>
      <c r="S11" s="2179" t="s">
        <v>550</v>
      </c>
      <c r="T11" s="2179" t="s">
        <v>504</v>
      </c>
      <c r="U11" s="2179" t="s">
        <v>504</v>
      </c>
      <c r="V11" s="2179" t="s">
        <v>504</v>
      </c>
      <c r="W11" s="2179" t="s">
        <v>504</v>
      </c>
      <c r="X11" s="2179" t="s">
        <v>504</v>
      </c>
      <c r="Y11" s="2179" t="s">
        <v>504</v>
      </c>
      <c r="Z11" s="2179" t="s">
        <v>504</v>
      </c>
      <c r="AA11" s="2179" t="s">
        <v>504</v>
      </c>
      <c r="AB11" s="2179" t="s">
        <v>504</v>
      </c>
      <c r="AC11" s="2179" t="s">
        <v>504</v>
      </c>
      <c r="AD11" s="2179" t="s">
        <v>504</v>
      </c>
      <c r="AE11" s="2179" t="s">
        <v>550</v>
      </c>
      <c r="AF11" s="2179" t="s">
        <v>4512</v>
      </c>
      <c r="AG11" s="2179" t="s">
        <v>504</v>
      </c>
      <c r="AH11" s="2179" t="s">
        <v>504</v>
      </c>
      <c r="AI11" s="2179" t="s">
        <v>504</v>
      </c>
      <c r="AJ11" s="2179" t="s">
        <v>504</v>
      </c>
      <c r="AK11" s="2179" t="s">
        <v>504</v>
      </c>
      <c r="AL11" s="2179" t="s">
        <v>663</v>
      </c>
      <c r="AM11" s="2179" t="s">
        <v>504</v>
      </c>
      <c r="AN11" s="2179" t="s">
        <v>504</v>
      </c>
      <c r="AO11" s="2179" t="s">
        <v>504</v>
      </c>
      <c r="AP11" s="2179" t="s">
        <v>550</v>
      </c>
      <c r="AQ11" s="2179" t="s">
        <v>504</v>
      </c>
      <c r="AR11" s="2179" t="s">
        <v>504</v>
      </c>
      <c r="AS11" s="2179" t="s">
        <v>504</v>
      </c>
      <c r="AT11" s="2179" t="s">
        <v>504</v>
      </c>
      <c r="AU11" s="2179" t="s">
        <v>504</v>
      </c>
      <c r="AV11" s="2179" t="s">
        <v>4512</v>
      </c>
      <c r="AW11" s="2179" t="s">
        <v>504</v>
      </c>
      <c r="AX11" s="2179" t="s">
        <v>663</v>
      </c>
      <c r="AY11" s="2179" t="s">
        <v>504</v>
      </c>
      <c r="AZ11" s="2179" t="s">
        <v>504</v>
      </c>
      <c r="BA11" s="2179" t="s">
        <v>504</v>
      </c>
      <c r="BB11" s="2179" t="s">
        <v>504</v>
      </c>
      <c r="BC11" s="2179" t="s">
        <v>504</v>
      </c>
      <c r="BD11" s="2179" t="s">
        <v>550</v>
      </c>
      <c r="BE11" s="2179" t="s">
        <v>504</v>
      </c>
      <c r="BF11" s="2179" t="s">
        <v>504</v>
      </c>
      <c r="BG11" s="2179" t="s">
        <v>504</v>
      </c>
      <c r="BH11" s="2179" t="s">
        <v>504</v>
      </c>
      <c r="BI11" s="2179" t="s">
        <v>504</v>
      </c>
      <c r="BJ11" s="2179" t="s">
        <v>504</v>
      </c>
      <c r="BK11" s="2179" t="s">
        <v>504</v>
      </c>
      <c r="BL11" s="2179" t="s">
        <v>504</v>
      </c>
      <c r="BM11" s="2179" t="s">
        <v>504</v>
      </c>
      <c r="BN11" s="2179" t="s">
        <v>504</v>
      </c>
      <c r="BO11" s="2179" t="s">
        <v>504</v>
      </c>
      <c r="BP11" s="2179" t="s">
        <v>504</v>
      </c>
      <c r="BQ11" s="2179" t="s">
        <v>504</v>
      </c>
      <c r="BR11" s="2179" t="s">
        <v>550</v>
      </c>
      <c r="BS11" s="2179" t="s">
        <v>504</v>
      </c>
      <c r="BT11" s="2179" t="s">
        <v>504</v>
      </c>
      <c r="BU11" s="2179" t="s">
        <v>504</v>
      </c>
      <c r="BV11" s="2179" t="s">
        <v>504</v>
      </c>
      <c r="BW11" s="2179" t="s">
        <v>504</v>
      </c>
      <c r="BX11" s="2179" t="s">
        <v>504</v>
      </c>
      <c r="BY11" s="2179" t="s">
        <v>504</v>
      </c>
      <c r="BZ11" s="2179" t="s">
        <v>504</v>
      </c>
      <c r="CA11" s="2179" t="s">
        <v>504</v>
      </c>
      <c r="CB11" s="2179" t="s">
        <v>504</v>
      </c>
      <c r="CC11" s="2179" t="s">
        <v>504</v>
      </c>
      <c r="CD11" s="2179" t="s">
        <v>504</v>
      </c>
      <c r="CE11" s="2179" t="s">
        <v>5249</v>
      </c>
      <c r="CF11" s="2179" t="s">
        <v>504</v>
      </c>
      <c r="CG11" s="2179" t="s">
        <v>550</v>
      </c>
      <c r="CH11" s="2179" t="s">
        <v>504</v>
      </c>
      <c r="CI11" s="2179" t="s">
        <v>550</v>
      </c>
      <c r="CJ11" s="2179" t="s">
        <v>504</v>
      </c>
      <c r="CK11" s="2179" t="s">
        <v>504</v>
      </c>
      <c r="CL11" s="2179" t="s">
        <v>504</v>
      </c>
      <c r="CM11" s="2179" t="s">
        <v>504</v>
      </c>
      <c r="CN11" s="2179" t="s">
        <v>504</v>
      </c>
      <c r="CO11" s="2179" t="s">
        <v>504</v>
      </c>
      <c r="CP11" s="2179" t="s">
        <v>663</v>
      </c>
      <c r="CQ11" s="2179" t="s">
        <v>663</v>
      </c>
      <c r="CR11" s="2179" t="s">
        <v>504</v>
      </c>
      <c r="CS11" s="2179" t="s">
        <v>504</v>
      </c>
      <c r="CT11" s="2179" t="s">
        <v>4512</v>
      </c>
      <c r="CU11" s="2179" t="s">
        <v>504</v>
      </c>
      <c r="CV11" s="2179" t="s">
        <v>504</v>
      </c>
      <c r="CW11" s="2179" t="s">
        <v>504</v>
      </c>
      <c r="CX11" s="2179" t="s">
        <v>504</v>
      </c>
      <c r="CY11" s="2179" t="s">
        <v>550</v>
      </c>
      <c r="CZ11" s="2179" t="s">
        <v>504</v>
      </c>
      <c r="DA11" s="2179" t="s">
        <v>504</v>
      </c>
      <c r="DB11" s="2179" t="s">
        <v>504</v>
      </c>
      <c r="DC11" s="2179" t="s">
        <v>504</v>
      </c>
      <c r="DD11" s="2179" t="s">
        <v>504</v>
      </c>
      <c r="DE11" s="2179" t="s">
        <v>504</v>
      </c>
      <c r="DF11" s="2179" t="s">
        <v>663</v>
      </c>
      <c r="DG11" s="2179" t="s">
        <v>504</v>
      </c>
      <c r="DH11" s="2179" t="s">
        <v>504</v>
      </c>
      <c r="DI11" s="2179" t="s">
        <v>504</v>
      </c>
      <c r="DJ11" s="2179" t="s">
        <v>504</v>
      </c>
      <c r="DK11" s="2179" t="s">
        <v>663</v>
      </c>
      <c r="DL11" s="2179" t="s">
        <v>550</v>
      </c>
      <c r="DM11" s="2179" t="s">
        <v>504</v>
      </c>
      <c r="DN11" s="2179" t="s">
        <v>504</v>
      </c>
      <c r="DO11" s="2179" t="s">
        <v>504</v>
      </c>
      <c r="DP11" s="2179" t="s">
        <v>504</v>
      </c>
      <c r="DQ11" s="2179" t="s">
        <v>4512</v>
      </c>
      <c r="DR11" s="2179" t="s">
        <v>504</v>
      </c>
      <c r="DS11" s="2179" t="s">
        <v>663</v>
      </c>
      <c r="DT11" s="2179" t="s">
        <v>663</v>
      </c>
      <c r="DU11" s="2179" t="s">
        <v>504</v>
      </c>
      <c r="DV11" s="2179" t="s">
        <v>504</v>
      </c>
      <c r="DW11" s="2179" t="s">
        <v>504</v>
      </c>
      <c r="DX11" s="2179" t="s">
        <v>663</v>
      </c>
      <c r="DY11" s="2179" t="s">
        <v>504</v>
      </c>
      <c r="DZ11" s="2179" t="s">
        <v>504</v>
      </c>
      <c r="EA11" s="2179" t="s">
        <v>504</v>
      </c>
      <c r="EB11" s="2179" t="s">
        <v>1670</v>
      </c>
      <c r="EC11" s="2179" t="s">
        <v>504</v>
      </c>
      <c r="ED11" s="2179" t="s">
        <v>663</v>
      </c>
      <c r="EE11" s="2179" t="s">
        <v>504</v>
      </c>
      <c r="EF11" s="2179" t="s">
        <v>504</v>
      </c>
      <c r="EG11" s="2179" t="s">
        <v>504</v>
      </c>
      <c r="EH11" s="2179" t="s">
        <v>4512</v>
      </c>
      <c r="EI11" s="2179" t="s">
        <v>504</v>
      </c>
      <c r="EJ11" s="2179" t="s">
        <v>504</v>
      </c>
      <c r="EK11" s="2179" t="s">
        <v>504</v>
      </c>
      <c r="EL11" s="2179" t="s">
        <v>504</v>
      </c>
      <c r="EM11" s="2179" t="s">
        <v>504</v>
      </c>
      <c r="EN11" s="2179" t="s">
        <v>504</v>
      </c>
      <c r="EO11" s="2179" t="s">
        <v>504</v>
      </c>
      <c r="EP11" s="2179" t="s">
        <v>504</v>
      </c>
      <c r="EQ11" s="2179" t="s">
        <v>550</v>
      </c>
      <c r="ER11" s="2179" t="s">
        <v>504</v>
      </c>
      <c r="ES11" s="2179" t="s">
        <v>504</v>
      </c>
      <c r="ET11" s="2179" t="s">
        <v>504</v>
      </c>
      <c r="EU11" s="2179" t="s">
        <v>504</v>
      </c>
      <c r="EV11" s="2179" t="s">
        <v>663</v>
      </c>
      <c r="EW11" s="2179" t="s">
        <v>504</v>
      </c>
      <c r="EX11" s="2179" t="s">
        <v>504</v>
      </c>
      <c r="EY11" s="2179" t="s">
        <v>663</v>
      </c>
      <c r="EZ11" s="2179" t="s">
        <v>504</v>
      </c>
      <c r="FA11" s="2179" t="s">
        <v>504</v>
      </c>
      <c r="FB11" s="2179" t="s">
        <v>504</v>
      </c>
      <c r="FC11" s="2179" t="s">
        <v>504</v>
      </c>
      <c r="FD11" s="2179" t="s">
        <v>504</v>
      </c>
      <c r="FE11" s="2179" t="s">
        <v>550</v>
      </c>
      <c r="FF11" s="2179" t="s">
        <v>504</v>
      </c>
      <c r="FG11" s="2179" t="s">
        <v>504</v>
      </c>
      <c r="FH11" s="2179" t="s">
        <v>504</v>
      </c>
      <c r="FI11" s="2179" t="s">
        <v>663</v>
      </c>
      <c r="FJ11" s="2179" t="s">
        <v>4512</v>
      </c>
      <c r="FK11" s="2179" t="s">
        <v>504</v>
      </c>
      <c r="FL11" s="2179" t="s">
        <v>663</v>
      </c>
      <c r="FM11" s="2179" t="s">
        <v>504</v>
      </c>
      <c r="FN11" s="2179" t="s">
        <v>504</v>
      </c>
      <c r="FO11" s="2179" t="s">
        <v>504</v>
      </c>
      <c r="FP11" s="2179" t="s">
        <v>504</v>
      </c>
      <c r="FQ11" s="2179" t="s">
        <v>504</v>
      </c>
      <c r="FR11" s="2179" t="s">
        <v>550</v>
      </c>
      <c r="FS11" s="2179" t="s">
        <v>504</v>
      </c>
      <c r="FT11" s="2179" t="s">
        <v>4512</v>
      </c>
      <c r="FU11" s="2179" t="s">
        <v>504</v>
      </c>
      <c r="FV11" s="2179" t="s">
        <v>663</v>
      </c>
      <c r="FW11" s="2179" t="s">
        <v>504</v>
      </c>
      <c r="FX11" s="2179" t="s">
        <v>550</v>
      </c>
      <c r="FY11" s="2179" t="s">
        <v>550</v>
      </c>
      <c r="FZ11" s="2179"/>
      <c r="GA11" s="2179"/>
      <c r="GB11" s="2179">
        <f t="shared" si="1"/>
        <v>0</v>
      </c>
    </row>
    <row r="12" spans="1:184" ht="16.8">
      <c r="B12" s="2313" t="str">
        <f t="shared" si="2"/>
        <v>BTLT 12HH</v>
      </c>
      <c r="C12" s="2179"/>
      <c r="D12" s="2179" t="s">
        <v>4815</v>
      </c>
      <c r="E12" s="2179">
        <f t="shared" si="0"/>
        <v>94</v>
      </c>
      <c r="F12" s="2179">
        <v>2</v>
      </c>
      <c r="G12" s="2179"/>
      <c r="H12" s="2179">
        <v>1</v>
      </c>
      <c r="I12" s="2179"/>
      <c r="J12" s="2179">
        <v>1</v>
      </c>
      <c r="K12" s="2179"/>
      <c r="L12" s="2179">
        <v>1</v>
      </c>
      <c r="M12" s="2179"/>
      <c r="N12" s="2179">
        <v>1</v>
      </c>
      <c r="O12" s="2179"/>
      <c r="P12" s="2179">
        <v>1</v>
      </c>
      <c r="Q12" s="2179"/>
      <c r="R12" s="2179">
        <v>1</v>
      </c>
      <c r="S12" s="2179"/>
      <c r="T12" s="2179">
        <v>1</v>
      </c>
      <c r="U12" s="2179"/>
      <c r="V12" s="2179">
        <v>1</v>
      </c>
      <c r="W12" s="2179"/>
      <c r="X12" s="2179">
        <v>1</v>
      </c>
      <c r="Y12" s="2179"/>
      <c r="Z12" s="2179">
        <v>1</v>
      </c>
      <c r="AA12" s="2179"/>
      <c r="AB12" s="2179">
        <v>1</v>
      </c>
      <c r="AC12" s="2179"/>
      <c r="AD12" s="2179">
        <v>1</v>
      </c>
      <c r="AE12" s="2179"/>
      <c r="AF12" s="2179">
        <v>1</v>
      </c>
      <c r="AG12" s="2179"/>
      <c r="AH12" s="2179">
        <v>1</v>
      </c>
      <c r="AI12" s="2179"/>
      <c r="AJ12" s="2179">
        <v>1</v>
      </c>
      <c r="AK12" s="2179"/>
      <c r="AL12" s="2179">
        <v>1</v>
      </c>
      <c r="AM12" s="2179"/>
      <c r="AN12" s="2179">
        <v>1</v>
      </c>
      <c r="AO12" s="2179"/>
      <c r="AP12" s="2179">
        <v>1</v>
      </c>
      <c r="AQ12" s="2179"/>
      <c r="AR12" s="2179">
        <v>1</v>
      </c>
      <c r="AS12" s="2179"/>
      <c r="AT12" s="2179">
        <v>1</v>
      </c>
      <c r="AU12" s="2179"/>
      <c r="AV12" s="2179">
        <v>1</v>
      </c>
      <c r="AW12" s="2179"/>
      <c r="AX12" s="2179">
        <v>1</v>
      </c>
      <c r="AY12" s="2179"/>
      <c r="AZ12" s="2179"/>
      <c r="BA12" s="2179">
        <v>1</v>
      </c>
      <c r="BB12" s="2179"/>
      <c r="BC12" s="2179">
        <v>1</v>
      </c>
      <c r="BD12" s="2179"/>
      <c r="BE12" s="2179">
        <v>1</v>
      </c>
      <c r="BF12" s="2179"/>
      <c r="BG12" s="2179">
        <v>1</v>
      </c>
      <c r="BH12" s="2179"/>
      <c r="BI12" s="2179">
        <v>1</v>
      </c>
      <c r="BJ12" s="2179"/>
      <c r="BK12" s="2179">
        <v>1</v>
      </c>
      <c r="BL12" s="2179"/>
      <c r="BM12" s="2179">
        <v>1</v>
      </c>
      <c r="BN12" s="2179"/>
      <c r="BO12" s="2179">
        <v>1</v>
      </c>
      <c r="BP12" s="2179"/>
      <c r="BQ12" s="2179">
        <v>1</v>
      </c>
      <c r="BR12" s="2179"/>
      <c r="BS12" s="2179">
        <v>1</v>
      </c>
      <c r="BT12" s="2179"/>
      <c r="BU12" s="2179">
        <v>1</v>
      </c>
      <c r="BV12" s="2179"/>
      <c r="BW12" s="2179">
        <v>1</v>
      </c>
      <c r="BX12" s="2179"/>
      <c r="BY12" s="2179">
        <v>1</v>
      </c>
      <c r="BZ12" s="2179"/>
      <c r="CA12" s="2179">
        <v>1</v>
      </c>
      <c r="CB12" s="2179"/>
      <c r="CC12" s="2179">
        <v>1</v>
      </c>
      <c r="CD12" s="2179"/>
      <c r="CE12" s="2179">
        <v>1</v>
      </c>
      <c r="CF12" s="2179"/>
      <c r="CG12" s="2179">
        <v>1</v>
      </c>
      <c r="CH12" s="2179"/>
      <c r="CI12" s="2179">
        <v>1</v>
      </c>
      <c r="CJ12" s="2179"/>
      <c r="CK12" s="2179">
        <v>1</v>
      </c>
      <c r="CL12" s="2179"/>
      <c r="CM12" s="2179">
        <v>1</v>
      </c>
      <c r="CN12" s="2179"/>
      <c r="CO12" s="2179">
        <v>1</v>
      </c>
      <c r="CP12" s="2179">
        <v>1</v>
      </c>
      <c r="CQ12" s="2179">
        <v>1</v>
      </c>
      <c r="CR12" s="2179">
        <v>1</v>
      </c>
      <c r="CS12" s="2179"/>
      <c r="CT12" s="2179">
        <v>1</v>
      </c>
      <c r="CU12" s="2179"/>
      <c r="CV12" s="2179">
        <v>1</v>
      </c>
      <c r="CW12" s="2179"/>
      <c r="CX12" s="2179">
        <v>1</v>
      </c>
      <c r="CY12" s="2179"/>
      <c r="CZ12" s="2179">
        <v>1</v>
      </c>
      <c r="DA12" s="2179"/>
      <c r="DB12" s="2179">
        <v>1</v>
      </c>
      <c r="DC12" s="2179"/>
      <c r="DD12" s="2179">
        <v>1</v>
      </c>
      <c r="DE12" s="2179"/>
      <c r="DF12" s="2179">
        <v>1</v>
      </c>
      <c r="DG12" s="2179">
        <v>1</v>
      </c>
      <c r="DH12" s="2179"/>
      <c r="DI12" s="2179">
        <v>1</v>
      </c>
      <c r="DJ12" s="2179"/>
      <c r="DK12" s="2179">
        <v>1</v>
      </c>
      <c r="DL12" s="2179"/>
      <c r="DM12" s="2179">
        <v>1</v>
      </c>
      <c r="DN12" s="2179"/>
      <c r="DO12" s="2179">
        <v>1</v>
      </c>
      <c r="DP12" s="2179"/>
      <c r="DQ12" s="2179">
        <v>1</v>
      </c>
      <c r="DR12" s="2179"/>
      <c r="DS12" s="2179">
        <v>1</v>
      </c>
      <c r="DT12" s="2179">
        <v>1</v>
      </c>
      <c r="DU12" s="2179"/>
      <c r="DV12" s="2179">
        <v>1</v>
      </c>
      <c r="DW12" s="2179"/>
      <c r="DX12" s="2179">
        <v>1</v>
      </c>
      <c r="DY12" s="2179"/>
      <c r="DZ12" s="2179">
        <v>1</v>
      </c>
      <c r="EA12" s="2179"/>
      <c r="EB12" s="2179">
        <v>1</v>
      </c>
      <c r="EC12" s="2179"/>
      <c r="ED12" s="2179">
        <v>1</v>
      </c>
      <c r="EE12" s="2179"/>
      <c r="EF12" s="2179">
        <v>1</v>
      </c>
      <c r="EG12" s="2179"/>
      <c r="EH12" s="2179">
        <v>1</v>
      </c>
      <c r="EI12" s="2179"/>
      <c r="EJ12" s="2179">
        <v>1</v>
      </c>
      <c r="EK12" s="2179"/>
      <c r="EL12" s="2179">
        <v>1</v>
      </c>
      <c r="EM12" s="2179"/>
      <c r="EN12" s="2179">
        <v>1</v>
      </c>
      <c r="EO12" s="2179"/>
      <c r="EP12" s="2179">
        <v>1</v>
      </c>
      <c r="EQ12" s="2179"/>
      <c r="ER12" s="2179">
        <v>1</v>
      </c>
      <c r="ES12" s="2179"/>
      <c r="ET12" s="2179">
        <v>1</v>
      </c>
      <c r="EU12" s="2179"/>
      <c r="EV12" s="2179">
        <v>2</v>
      </c>
      <c r="EW12" s="2179"/>
      <c r="EX12" s="2179">
        <v>1</v>
      </c>
      <c r="EY12" s="2179">
        <v>1</v>
      </c>
      <c r="EZ12" s="2179">
        <v>1</v>
      </c>
      <c r="FA12" s="2179"/>
      <c r="FB12" s="2179">
        <v>1</v>
      </c>
      <c r="FC12" s="2179"/>
      <c r="FD12" s="2179">
        <v>1</v>
      </c>
      <c r="FE12" s="2179"/>
      <c r="FF12" s="2179">
        <v>1</v>
      </c>
      <c r="FG12" s="2179"/>
      <c r="FH12" s="2179">
        <v>1</v>
      </c>
      <c r="FI12" s="2179">
        <v>1</v>
      </c>
      <c r="FJ12" s="2179">
        <v>1</v>
      </c>
      <c r="FK12" s="2179"/>
      <c r="FL12" s="2179">
        <v>1</v>
      </c>
      <c r="FM12" s="2179"/>
      <c r="FN12" s="2179">
        <v>1</v>
      </c>
      <c r="FO12" s="2179"/>
      <c r="FP12" s="2179">
        <v>1</v>
      </c>
      <c r="FQ12" s="2179"/>
      <c r="FR12" s="2179"/>
      <c r="FS12" s="2179"/>
      <c r="FT12" s="2179">
        <v>1</v>
      </c>
      <c r="FU12" s="2179"/>
      <c r="FV12" s="2179">
        <v>1</v>
      </c>
      <c r="FW12" s="2179"/>
      <c r="FX12" s="2179">
        <v>1</v>
      </c>
      <c r="FY12" s="2179">
        <v>1</v>
      </c>
      <c r="FZ12" s="2179"/>
      <c r="GA12" s="2179">
        <v>94</v>
      </c>
      <c r="GB12" s="2179">
        <f t="shared" si="1"/>
        <v>94</v>
      </c>
    </row>
    <row r="13" spans="1:184" ht="16.8" hidden="1">
      <c r="B13" s="2313" t="str">
        <f t="shared" si="2"/>
        <v>BTLT 12 F540</v>
      </c>
      <c r="C13" s="2179"/>
      <c r="D13" s="2179" t="s">
        <v>5123</v>
      </c>
      <c r="E13" s="2179">
        <f t="shared" si="0"/>
        <v>96</v>
      </c>
      <c r="F13" s="2179"/>
      <c r="G13" s="2179">
        <v>2</v>
      </c>
      <c r="H13" s="2179"/>
      <c r="I13" s="2179">
        <v>1</v>
      </c>
      <c r="J13" s="2179"/>
      <c r="K13" s="2179">
        <v>1</v>
      </c>
      <c r="L13" s="2179"/>
      <c r="M13" s="2179">
        <v>1</v>
      </c>
      <c r="N13" s="2179"/>
      <c r="O13" s="2179">
        <v>1</v>
      </c>
      <c r="P13" s="2179"/>
      <c r="Q13" s="2179">
        <v>1</v>
      </c>
      <c r="R13" s="2179"/>
      <c r="S13" s="2179">
        <v>2</v>
      </c>
      <c r="T13" s="2179"/>
      <c r="U13" s="2179">
        <v>1</v>
      </c>
      <c r="V13" s="2179"/>
      <c r="W13" s="2179" t="s">
        <v>504</v>
      </c>
      <c r="X13" s="2179"/>
      <c r="Y13" s="2179">
        <v>1</v>
      </c>
      <c r="Z13" s="2179"/>
      <c r="AA13" s="2179">
        <v>1</v>
      </c>
      <c r="AB13" s="2179"/>
      <c r="AC13" s="2179">
        <v>1</v>
      </c>
      <c r="AD13" s="2179"/>
      <c r="AE13" s="2179">
        <v>2</v>
      </c>
      <c r="AF13" s="2179">
        <v>1</v>
      </c>
      <c r="AG13" s="2179">
        <v>1</v>
      </c>
      <c r="AH13" s="2179"/>
      <c r="AI13" s="2179">
        <v>1</v>
      </c>
      <c r="AJ13" s="2179"/>
      <c r="AK13" s="2179">
        <v>1</v>
      </c>
      <c r="AL13" s="2179"/>
      <c r="AM13" s="2179">
        <v>1</v>
      </c>
      <c r="AN13" s="2179"/>
      <c r="AO13" s="2179">
        <v>1</v>
      </c>
      <c r="AP13" s="2179">
        <v>1</v>
      </c>
      <c r="AQ13" s="2179">
        <v>1</v>
      </c>
      <c r="AR13" s="2179"/>
      <c r="AS13" s="2179">
        <v>1</v>
      </c>
      <c r="AT13" s="2179"/>
      <c r="AU13" s="2179">
        <v>1</v>
      </c>
      <c r="AV13" s="2179"/>
      <c r="AW13" s="2179">
        <v>1</v>
      </c>
      <c r="AX13" s="2179"/>
      <c r="AY13" s="2179">
        <v>1</v>
      </c>
      <c r="AZ13" s="2179">
        <v>1</v>
      </c>
      <c r="BA13" s="2179"/>
      <c r="BB13" s="2179">
        <v>1</v>
      </c>
      <c r="BC13" s="2179"/>
      <c r="BD13" s="2179">
        <v>2</v>
      </c>
      <c r="BE13" s="2179"/>
      <c r="BF13" s="2179">
        <v>1</v>
      </c>
      <c r="BG13" s="2179">
        <v>1</v>
      </c>
      <c r="BH13" s="2179">
        <v>1</v>
      </c>
      <c r="BI13" s="2179"/>
      <c r="BJ13" s="2179">
        <v>1</v>
      </c>
      <c r="BK13" s="2179"/>
      <c r="BL13" s="2179">
        <v>1</v>
      </c>
      <c r="BM13" s="2179"/>
      <c r="BN13" s="2179">
        <v>1</v>
      </c>
      <c r="BO13" s="2179"/>
      <c r="BP13" s="2179">
        <v>1</v>
      </c>
      <c r="BQ13" s="2179"/>
      <c r="BR13" s="2179">
        <v>2</v>
      </c>
      <c r="BS13" s="2179"/>
      <c r="BT13" s="2179">
        <v>1</v>
      </c>
      <c r="BU13" s="2179"/>
      <c r="BV13" s="2179">
        <v>1</v>
      </c>
      <c r="BW13" s="2179"/>
      <c r="BX13" s="2179">
        <v>1</v>
      </c>
      <c r="BY13" s="2179"/>
      <c r="BZ13" s="2179">
        <v>1</v>
      </c>
      <c r="CA13" s="2179"/>
      <c r="CB13" s="2179">
        <v>1</v>
      </c>
      <c r="CC13" s="2179"/>
      <c r="CD13" s="2179">
        <v>1</v>
      </c>
      <c r="CE13" s="2179"/>
      <c r="CF13" s="2179">
        <v>1</v>
      </c>
      <c r="CG13" s="2179">
        <v>1</v>
      </c>
      <c r="CH13" s="2179">
        <v>1</v>
      </c>
      <c r="CI13" s="2179">
        <v>2</v>
      </c>
      <c r="CJ13" s="2179">
        <v>1</v>
      </c>
      <c r="CK13" s="2179"/>
      <c r="CL13" s="2179">
        <v>1</v>
      </c>
      <c r="CM13" s="2179"/>
      <c r="CN13" s="2179">
        <v>1</v>
      </c>
      <c r="CO13" s="2179"/>
      <c r="CP13" s="2179"/>
      <c r="CQ13" s="2179"/>
      <c r="CR13" s="2179"/>
      <c r="CS13" s="2179">
        <v>1</v>
      </c>
      <c r="CT13" s="2179"/>
      <c r="CU13" s="2179">
        <v>1</v>
      </c>
      <c r="CV13" s="2179"/>
      <c r="CW13" s="2179">
        <v>1</v>
      </c>
      <c r="CX13" s="2179"/>
      <c r="CY13" s="2179">
        <v>2</v>
      </c>
      <c r="CZ13" s="2179"/>
      <c r="DA13" s="2179">
        <v>1</v>
      </c>
      <c r="DB13" s="2179"/>
      <c r="DC13" s="2179">
        <v>1</v>
      </c>
      <c r="DD13" s="2179"/>
      <c r="DE13" s="2179">
        <v>1</v>
      </c>
      <c r="DF13" s="2179"/>
      <c r="DG13" s="2179"/>
      <c r="DH13" s="2179">
        <v>1</v>
      </c>
      <c r="DI13" s="2179"/>
      <c r="DJ13" s="2179">
        <v>1</v>
      </c>
      <c r="DK13" s="2179"/>
      <c r="DL13" s="2179">
        <v>2</v>
      </c>
      <c r="DM13" s="2179"/>
      <c r="DN13" s="2179">
        <v>1</v>
      </c>
      <c r="DO13" s="2179"/>
      <c r="DP13" s="2179">
        <v>1</v>
      </c>
      <c r="DQ13" s="2179"/>
      <c r="DR13" s="2179">
        <v>1</v>
      </c>
      <c r="DS13" s="2179"/>
      <c r="DT13" s="2179"/>
      <c r="DU13" s="2179">
        <v>1</v>
      </c>
      <c r="DV13" s="2179"/>
      <c r="DW13" s="2179">
        <v>1</v>
      </c>
      <c r="DX13" s="2179"/>
      <c r="DY13" s="2179">
        <v>1</v>
      </c>
      <c r="DZ13" s="2179"/>
      <c r="EA13" s="2179">
        <v>1</v>
      </c>
      <c r="EB13" s="2179"/>
      <c r="EC13" s="2179">
        <v>1</v>
      </c>
      <c r="ED13" s="2179"/>
      <c r="EE13" s="2179">
        <v>1</v>
      </c>
      <c r="EF13" s="2179"/>
      <c r="EG13" s="2179">
        <v>1</v>
      </c>
      <c r="EH13" s="2179"/>
      <c r="EI13" s="2179">
        <v>1</v>
      </c>
      <c r="EJ13" s="2179"/>
      <c r="EK13" s="2179">
        <v>1</v>
      </c>
      <c r="EL13" s="2179"/>
      <c r="EM13" s="2179">
        <v>1</v>
      </c>
      <c r="EN13" s="2179"/>
      <c r="EO13" s="2179">
        <v>1</v>
      </c>
      <c r="EP13" s="2179"/>
      <c r="EQ13" s="2179">
        <v>2</v>
      </c>
      <c r="ER13" s="2179"/>
      <c r="ES13" s="2179">
        <v>1</v>
      </c>
      <c r="ET13" s="2179"/>
      <c r="EU13" s="2179">
        <v>1</v>
      </c>
      <c r="EV13" s="2179"/>
      <c r="EW13" s="2179">
        <v>1</v>
      </c>
      <c r="EX13" s="2179"/>
      <c r="EY13" s="2179"/>
      <c r="EZ13" s="2179"/>
      <c r="FA13" s="2179">
        <v>1</v>
      </c>
      <c r="FB13" s="2179"/>
      <c r="FC13" s="2179">
        <v>1</v>
      </c>
      <c r="FD13" s="2179"/>
      <c r="FE13" s="2179">
        <v>2</v>
      </c>
      <c r="FF13" s="2179"/>
      <c r="FG13" s="2179">
        <v>1</v>
      </c>
      <c r="FH13" s="2179"/>
      <c r="FI13" s="2179"/>
      <c r="FJ13" s="2179"/>
      <c r="FK13" s="2179">
        <v>1</v>
      </c>
      <c r="FL13" s="2179"/>
      <c r="FM13" s="2179">
        <v>1</v>
      </c>
      <c r="FN13" s="2179"/>
      <c r="FO13" s="2179">
        <v>1</v>
      </c>
      <c r="FP13" s="2179"/>
      <c r="FQ13" s="2179">
        <v>1</v>
      </c>
      <c r="FR13" s="2179"/>
      <c r="FS13" s="2179"/>
      <c r="FT13" s="2179"/>
      <c r="FU13" s="2179">
        <v>1</v>
      </c>
      <c r="FV13" s="2179"/>
      <c r="FW13" s="2179">
        <v>1</v>
      </c>
      <c r="FX13" s="2179"/>
      <c r="FY13" s="2179"/>
      <c r="FZ13" s="2179"/>
      <c r="GA13" s="2179">
        <v>96</v>
      </c>
      <c r="GB13" s="2179">
        <f t="shared" si="1"/>
        <v>96</v>
      </c>
    </row>
    <row r="14" spans="1:184" ht="16.8" hidden="1">
      <c r="B14" s="2313" t="str">
        <f t="shared" si="2"/>
        <v>BTLT 14 F650</v>
      </c>
      <c r="C14" s="2179"/>
      <c r="D14" s="2179" t="s">
        <v>5124</v>
      </c>
      <c r="E14" s="2179">
        <f t="shared" si="0"/>
        <v>15</v>
      </c>
      <c r="F14" s="2179"/>
      <c r="G14" s="2179"/>
      <c r="H14" s="2179"/>
      <c r="I14" s="2179"/>
      <c r="J14" s="2179"/>
      <c r="K14" s="2179"/>
      <c r="L14" s="2179"/>
      <c r="M14" s="2179"/>
      <c r="N14" s="2179"/>
      <c r="O14" s="2179"/>
      <c r="P14" s="2179"/>
      <c r="Q14" s="2179"/>
      <c r="R14" s="2179"/>
      <c r="S14" s="2179"/>
      <c r="T14" s="2179"/>
      <c r="U14" s="2179"/>
      <c r="V14" s="2179"/>
      <c r="W14" s="2179"/>
      <c r="X14" s="2179"/>
      <c r="Y14" s="2179"/>
      <c r="Z14" s="2179"/>
      <c r="AA14" s="2179"/>
      <c r="AB14" s="2179"/>
      <c r="AC14" s="2179"/>
      <c r="AD14" s="2179">
        <v>1</v>
      </c>
      <c r="AE14" s="2179"/>
      <c r="AF14" s="2179"/>
      <c r="AG14" s="2179"/>
      <c r="AH14" s="2179"/>
      <c r="AI14" s="2179"/>
      <c r="AJ14" s="2179"/>
      <c r="AK14" s="2179"/>
      <c r="AL14" s="2179"/>
      <c r="AM14" s="2179"/>
      <c r="AN14" s="2179">
        <v>1</v>
      </c>
      <c r="AO14" s="2179"/>
      <c r="AP14" s="2179"/>
      <c r="AQ14" s="2179"/>
      <c r="AR14" s="2179"/>
      <c r="AS14" s="2179"/>
      <c r="AT14" s="2179"/>
      <c r="AU14" s="2179"/>
      <c r="AV14" s="2179"/>
      <c r="AW14" s="2179"/>
      <c r="AX14" s="2179"/>
      <c r="AY14" s="2179"/>
      <c r="AZ14" s="2179"/>
      <c r="BA14" s="2179"/>
      <c r="BB14" s="2179"/>
      <c r="BC14" s="2179"/>
      <c r="BD14" s="2179"/>
      <c r="BE14" s="2179"/>
      <c r="BF14" s="2179"/>
      <c r="BG14" s="2179"/>
      <c r="BH14" s="2179"/>
      <c r="BI14" s="2179">
        <v>1</v>
      </c>
      <c r="BJ14" s="2179"/>
      <c r="BK14" s="2179"/>
      <c r="BL14" s="2179"/>
      <c r="BM14" s="2179"/>
      <c r="BN14" s="2179"/>
      <c r="BO14" s="2179"/>
      <c r="BP14" s="2179"/>
      <c r="BQ14" s="2179"/>
      <c r="BR14" s="2179"/>
      <c r="BS14" s="2179"/>
      <c r="BT14" s="2179"/>
      <c r="BU14" s="2179"/>
      <c r="BV14" s="2179"/>
      <c r="BW14" s="2179">
        <v>1</v>
      </c>
      <c r="BX14" s="2179"/>
      <c r="BY14" s="2179"/>
      <c r="BZ14" s="2179"/>
      <c r="CA14" s="2179"/>
      <c r="CB14" s="2179"/>
      <c r="CC14" s="2179"/>
      <c r="CD14" s="2179"/>
      <c r="CE14" s="2179">
        <v>1</v>
      </c>
      <c r="CF14" s="2179"/>
      <c r="CG14" s="2179"/>
      <c r="CH14" s="2179"/>
      <c r="CI14" s="2179"/>
      <c r="CJ14" s="2179"/>
      <c r="CK14" s="2179"/>
      <c r="CL14" s="2179"/>
      <c r="CM14" s="2179"/>
      <c r="CN14" s="2179"/>
      <c r="CO14" s="2179"/>
      <c r="CP14" s="2179"/>
      <c r="CQ14" s="2179"/>
      <c r="CR14" s="2179"/>
      <c r="CS14" s="2179"/>
      <c r="CT14" s="2179"/>
      <c r="CU14" s="2179"/>
      <c r="CV14" s="2179"/>
      <c r="CW14" s="2179"/>
      <c r="CX14" s="2179"/>
      <c r="CY14" s="2179"/>
      <c r="CZ14" s="2179">
        <v>1</v>
      </c>
      <c r="DA14" s="2179"/>
      <c r="DB14" s="2179"/>
      <c r="DC14" s="2179"/>
      <c r="DD14" s="2179"/>
      <c r="DE14" s="2179"/>
      <c r="DF14" s="2179"/>
      <c r="DG14" s="2179"/>
      <c r="DH14" s="2179"/>
      <c r="DI14" s="2179"/>
      <c r="DJ14" s="2179"/>
      <c r="DK14" s="2179"/>
      <c r="DL14" s="2179"/>
      <c r="DM14" s="2179"/>
      <c r="DN14" s="2179"/>
      <c r="DO14" s="2179"/>
      <c r="DP14" s="2179"/>
      <c r="DQ14" s="2179"/>
      <c r="DR14" s="2179"/>
      <c r="DS14" s="2179"/>
      <c r="DT14" s="2179"/>
      <c r="DU14" s="2179"/>
      <c r="DV14" s="2179">
        <v>1</v>
      </c>
      <c r="DW14" s="2179"/>
      <c r="DX14" s="2179">
        <v>1</v>
      </c>
      <c r="DY14" s="2179"/>
      <c r="DZ14" s="2179"/>
      <c r="EA14" s="2179"/>
      <c r="EB14" s="2179">
        <v>1</v>
      </c>
      <c r="EC14" s="2179"/>
      <c r="ED14" s="2179"/>
      <c r="EE14" s="2179"/>
      <c r="EF14" s="2179"/>
      <c r="EG14" s="2179"/>
      <c r="EH14" s="2179"/>
      <c r="EI14" s="2179"/>
      <c r="EJ14" s="2179"/>
      <c r="EK14" s="2179"/>
      <c r="EL14" s="2179"/>
      <c r="EM14" s="2179"/>
      <c r="EN14" s="2179"/>
      <c r="EO14" s="2179"/>
      <c r="EP14" s="2179"/>
      <c r="EQ14" s="2179"/>
      <c r="ER14" s="2179"/>
      <c r="ES14" s="2179"/>
      <c r="ET14" s="2179"/>
      <c r="EU14" s="2179"/>
      <c r="EV14" s="2179"/>
      <c r="EW14" s="2179"/>
      <c r="EX14" s="2179">
        <v>1</v>
      </c>
      <c r="EY14" s="2179"/>
      <c r="EZ14" s="2179"/>
      <c r="FA14" s="2179"/>
      <c r="FB14" s="2179"/>
      <c r="FC14" s="2179"/>
      <c r="FD14" s="2179">
        <v>1</v>
      </c>
      <c r="FE14" s="2179"/>
      <c r="FF14" s="2179"/>
      <c r="FG14" s="2179"/>
      <c r="FH14" s="2179"/>
      <c r="FI14" s="2179"/>
      <c r="FJ14" s="2179"/>
      <c r="FK14" s="2179"/>
      <c r="FL14" s="2179"/>
      <c r="FM14" s="2179"/>
      <c r="FN14" s="2179">
        <v>1</v>
      </c>
      <c r="FO14" s="2179"/>
      <c r="FP14" s="2179"/>
      <c r="FQ14" s="2179"/>
      <c r="FR14" s="2179">
        <v>1</v>
      </c>
      <c r="FS14" s="2179">
        <v>1</v>
      </c>
      <c r="FT14" s="2179">
        <v>1</v>
      </c>
      <c r="FU14" s="2179"/>
      <c r="FV14" s="2179"/>
      <c r="FW14" s="2179"/>
      <c r="FX14" s="2179"/>
      <c r="FY14" s="2179"/>
      <c r="FZ14" s="2179"/>
      <c r="GA14" s="2179">
        <v>15</v>
      </c>
      <c r="GB14" s="2179">
        <f t="shared" si="1"/>
        <v>15</v>
      </c>
    </row>
    <row r="15" spans="1:184" ht="16.8" hidden="1">
      <c r="B15" s="2313" t="str">
        <f t="shared" si="2"/>
        <v>M12</v>
      </c>
      <c r="C15" s="2179"/>
      <c r="D15" s="2179" t="s">
        <v>220</v>
      </c>
      <c r="E15" s="2179">
        <f t="shared" si="0"/>
        <v>36</v>
      </c>
      <c r="F15" s="2179"/>
      <c r="G15" s="2179"/>
      <c r="H15" s="2179"/>
      <c r="I15" s="2179">
        <v>1</v>
      </c>
      <c r="J15" s="2179"/>
      <c r="K15" s="2179">
        <v>1</v>
      </c>
      <c r="L15" s="2179"/>
      <c r="M15" s="2179"/>
      <c r="N15" s="2179"/>
      <c r="O15" s="2179"/>
      <c r="P15" s="2179"/>
      <c r="Q15" s="2179"/>
      <c r="R15" s="2179"/>
      <c r="S15" s="2179"/>
      <c r="T15" s="2179"/>
      <c r="U15" s="2179"/>
      <c r="V15" s="2179"/>
      <c r="W15" s="2179" t="s">
        <v>504</v>
      </c>
      <c r="X15" s="2179"/>
      <c r="Y15" s="2179">
        <v>1</v>
      </c>
      <c r="Z15" s="2179"/>
      <c r="AA15" s="2179">
        <v>1</v>
      </c>
      <c r="AB15" s="2179"/>
      <c r="AC15" s="2179"/>
      <c r="AD15" s="2179"/>
      <c r="AE15" s="2179"/>
      <c r="AF15" s="2179"/>
      <c r="AG15" s="2179">
        <v>1</v>
      </c>
      <c r="AH15" s="2179"/>
      <c r="AI15" s="2179"/>
      <c r="AJ15" s="2179"/>
      <c r="AK15" s="2179"/>
      <c r="AL15" s="2179"/>
      <c r="AM15" s="2179">
        <v>1</v>
      </c>
      <c r="AN15" s="2179"/>
      <c r="AO15" s="2179">
        <v>1</v>
      </c>
      <c r="AP15" s="2179"/>
      <c r="AQ15" s="2179">
        <v>1</v>
      </c>
      <c r="AR15" s="2179"/>
      <c r="AS15" s="2179">
        <v>1</v>
      </c>
      <c r="AT15" s="2179"/>
      <c r="AU15" s="2179"/>
      <c r="AV15" s="2179"/>
      <c r="AW15" s="2179"/>
      <c r="AX15" s="2179"/>
      <c r="AY15" s="2179">
        <v>1</v>
      </c>
      <c r="AZ15" s="2179">
        <v>1</v>
      </c>
      <c r="BA15" s="2179"/>
      <c r="BB15" s="2179"/>
      <c r="BC15" s="2179"/>
      <c r="BD15" s="2179"/>
      <c r="BE15" s="2179"/>
      <c r="BF15" s="2179">
        <v>1</v>
      </c>
      <c r="BG15" s="2179">
        <v>1</v>
      </c>
      <c r="BH15" s="2179"/>
      <c r="BI15" s="2179"/>
      <c r="BJ15" s="2179">
        <v>1</v>
      </c>
      <c r="BK15" s="2179"/>
      <c r="BL15" s="2179">
        <v>1</v>
      </c>
      <c r="BM15" s="2179"/>
      <c r="BN15" s="2179"/>
      <c r="BO15" s="2179"/>
      <c r="BP15" s="2179"/>
      <c r="BQ15" s="2179"/>
      <c r="BR15" s="2179"/>
      <c r="BS15" s="2179"/>
      <c r="BT15" s="2179">
        <v>1</v>
      </c>
      <c r="BU15" s="2179"/>
      <c r="BV15" s="2179"/>
      <c r="BW15" s="2179"/>
      <c r="BX15" s="2179">
        <v>1</v>
      </c>
      <c r="BY15" s="2179"/>
      <c r="BZ15" s="2179">
        <v>1</v>
      </c>
      <c r="CA15" s="2179"/>
      <c r="CB15" s="2179"/>
      <c r="CC15" s="2179"/>
      <c r="CD15" s="2179"/>
      <c r="CE15" s="2179"/>
      <c r="CF15" s="2179">
        <v>1</v>
      </c>
      <c r="CG15" s="2179"/>
      <c r="CH15" s="2179">
        <v>1</v>
      </c>
      <c r="CI15" s="2179"/>
      <c r="CJ15" s="2179"/>
      <c r="CK15" s="2179"/>
      <c r="CL15" s="2179"/>
      <c r="CM15" s="2179"/>
      <c r="CN15" s="2179">
        <v>1</v>
      </c>
      <c r="CO15" s="2179"/>
      <c r="CP15" s="2179"/>
      <c r="CQ15" s="2179"/>
      <c r="CR15" s="2179"/>
      <c r="CS15" s="2179">
        <v>1</v>
      </c>
      <c r="CT15" s="2179"/>
      <c r="CU15" s="2179"/>
      <c r="CV15" s="2179"/>
      <c r="CW15" s="2179"/>
      <c r="CX15" s="2179"/>
      <c r="CY15" s="2179"/>
      <c r="CZ15" s="2179"/>
      <c r="DA15" s="2179"/>
      <c r="DB15" s="2179"/>
      <c r="DC15" s="2179"/>
      <c r="DD15" s="2179"/>
      <c r="DE15" s="2179"/>
      <c r="DF15" s="2179"/>
      <c r="DG15" s="2179"/>
      <c r="DH15" s="2179">
        <v>1</v>
      </c>
      <c r="DI15" s="2179"/>
      <c r="DJ15" s="2179">
        <v>1</v>
      </c>
      <c r="DK15" s="2179"/>
      <c r="DL15" s="2179"/>
      <c r="DM15" s="2179"/>
      <c r="DN15" s="2179">
        <v>1</v>
      </c>
      <c r="DO15" s="2179"/>
      <c r="DP15" s="2179">
        <v>1</v>
      </c>
      <c r="DQ15" s="2179"/>
      <c r="DR15" s="2179">
        <v>1</v>
      </c>
      <c r="DS15" s="2179"/>
      <c r="DT15" s="2179"/>
      <c r="DU15" s="2179">
        <v>1</v>
      </c>
      <c r="DV15" s="2179"/>
      <c r="DW15" s="2179"/>
      <c r="DX15" s="2179"/>
      <c r="DY15" s="2179"/>
      <c r="DZ15" s="2179"/>
      <c r="EA15" s="2179"/>
      <c r="EB15" s="2179"/>
      <c r="EC15" s="2179">
        <v>1</v>
      </c>
      <c r="ED15" s="2179"/>
      <c r="EE15" s="2179">
        <v>1</v>
      </c>
      <c r="EF15" s="2179"/>
      <c r="EG15" s="2179">
        <v>1</v>
      </c>
      <c r="EH15" s="2179"/>
      <c r="EI15" s="2179"/>
      <c r="EJ15" s="2179"/>
      <c r="EK15" s="2179">
        <v>1</v>
      </c>
      <c r="EL15" s="2179"/>
      <c r="EM15" s="2179"/>
      <c r="EN15" s="2179"/>
      <c r="EO15" s="2179"/>
      <c r="EP15" s="2179"/>
      <c r="EQ15" s="2179"/>
      <c r="ER15" s="2179"/>
      <c r="ES15" s="2179"/>
      <c r="ET15" s="2179"/>
      <c r="EU15" s="2179">
        <v>1</v>
      </c>
      <c r="EV15" s="2179"/>
      <c r="EW15" s="2179"/>
      <c r="EX15" s="2179"/>
      <c r="EY15" s="2179"/>
      <c r="EZ15" s="2179"/>
      <c r="FA15" s="2179">
        <v>1</v>
      </c>
      <c r="FB15" s="2179"/>
      <c r="FC15" s="2179">
        <v>1</v>
      </c>
      <c r="FD15" s="2179"/>
      <c r="FE15" s="2179"/>
      <c r="FF15" s="2179"/>
      <c r="FG15" s="2179"/>
      <c r="FH15" s="2179"/>
      <c r="FI15" s="2179"/>
      <c r="FJ15" s="2179"/>
      <c r="FK15" s="2179"/>
      <c r="FL15" s="2179"/>
      <c r="FM15" s="2179">
        <v>1</v>
      </c>
      <c r="FN15" s="2179"/>
      <c r="FO15" s="2179"/>
      <c r="FP15" s="2179"/>
      <c r="FQ15" s="2179"/>
      <c r="FR15" s="2179"/>
      <c r="FS15" s="2179"/>
      <c r="FT15" s="2179"/>
      <c r="FU15" s="2179"/>
      <c r="FV15" s="2179"/>
      <c r="FW15" s="2179"/>
      <c r="FX15" s="2179"/>
      <c r="FY15" s="2179"/>
      <c r="FZ15" s="2179"/>
      <c r="GA15" s="2179">
        <v>36</v>
      </c>
      <c r="GB15" s="2179">
        <f t="shared" si="1"/>
        <v>36</v>
      </c>
    </row>
    <row r="16" spans="1:184" ht="16.8" hidden="1">
      <c r="B16" s="2313" t="str">
        <f t="shared" si="2"/>
        <v>M12a</v>
      </c>
      <c r="C16" s="2179"/>
      <c r="D16" s="2179" t="s">
        <v>304</v>
      </c>
      <c r="E16" s="2179">
        <f t="shared" si="0"/>
        <v>40</v>
      </c>
      <c r="F16" s="2179"/>
      <c r="G16" s="2179"/>
      <c r="H16" s="2179"/>
      <c r="I16" s="2179"/>
      <c r="J16" s="2179"/>
      <c r="K16" s="2179"/>
      <c r="L16" s="2179"/>
      <c r="M16" s="2179">
        <v>1</v>
      </c>
      <c r="N16" s="2179"/>
      <c r="O16" s="2179">
        <v>1</v>
      </c>
      <c r="P16" s="2179"/>
      <c r="Q16" s="2179">
        <v>1</v>
      </c>
      <c r="R16" s="2179"/>
      <c r="S16" s="2179"/>
      <c r="T16" s="2179"/>
      <c r="U16" s="2179">
        <v>1</v>
      </c>
      <c r="V16" s="2179"/>
      <c r="W16" s="2179"/>
      <c r="X16" s="2179"/>
      <c r="Y16" s="2179"/>
      <c r="Z16" s="2179"/>
      <c r="AA16" s="2179"/>
      <c r="AB16" s="2179"/>
      <c r="AC16" s="2179">
        <v>1</v>
      </c>
      <c r="AD16" s="2179"/>
      <c r="AE16" s="2179"/>
      <c r="AF16" s="2179">
        <v>1</v>
      </c>
      <c r="AG16" s="2179"/>
      <c r="AH16" s="2179"/>
      <c r="AI16" s="2179">
        <v>1</v>
      </c>
      <c r="AJ16" s="2179"/>
      <c r="AK16" s="2179">
        <v>1</v>
      </c>
      <c r="AL16" s="2179"/>
      <c r="AM16" s="2179"/>
      <c r="AN16" s="2179"/>
      <c r="AO16" s="2179"/>
      <c r="AP16" s="2179">
        <v>1</v>
      </c>
      <c r="AQ16" s="2179"/>
      <c r="AR16" s="2179"/>
      <c r="AS16" s="2179"/>
      <c r="AT16" s="2179"/>
      <c r="AU16" s="2179">
        <v>1</v>
      </c>
      <c r="AV16" s="2179"/>
      <c r="AW16" s="2179">
        <v>1</v>
      </c>
      <c r="AX16" s="2179"/>
      <c r="AY16" s="2179"/>
      <c r="AZ16" s="2179"/>
      <c r="BA16" s="2179"/>
      <c r="BB16" s="2179">
        <v>1</v>
      </c>
      <c r="BC16" s="2179"/>
      <c r="BD16" s="2179"/>
      <c r="BE16" s="2179"/>
      <c r="BF16" s="2179"/>
      <c r="BG16" s="2179"/>
      <c r="BH16" s="2179">
        <v>1</v>
      </c>
      <c r="BI16" s="2179"/>
      <c r="BJ16" s="2179"/>
      <c r="BK16" s="2179"/>
      <c r="BL16" s="2179"/>
      <c r="BM16" s="2179"/>
      <c r="BN16" s="2179">
        <v>1</v>
      </c>
      <c r="BO16" s="2179"/>
      <c r="BP16" s="2179">
        <v>1</v>
      </c>
      <c r="BQ16" s="2179"/>
      <c r="BR16" s="2179"/>
      <c r="BS16" s="2179"/>
      <c r="BT16" s="2179"/>
      <c r="BU16" s="2179"/>
      <c r="BV16" s="2179">
        <v>1</v>
      </c>
      <c r="BW16" s="2179"/>
      <c r="BX16" s="2179"/>
      <c r="BY16" s="2179"/>
      <c r="BZ16" s="2179"/>
      <c r="CA16" s="2179"/>
      <c r="CB16" s="2179">
        <v>1</v>
      </c>
      <c r="CC16" s="2179"/>
      <c r="CD16" s="2179">
        <v>1</v>
      </c>
      <c r="CE16" s="2179"/>
      <c r="CF16" s="2179"/>
      <c r="CG16" s="2179">
        <v>1</v>
      </c>
      <c r="CH16" s="2179"/>
      <c r="CI16" s="2179"/>
      <c r="CJ16" s="2179">
        <v>1</v>
      </c>
      <c r="CK16" s="2179"/>
      <c r="CL16" s="2179">
        <v>1</v>
      </c>
      <c r="CM16" s="2179"/>
      <c r="CN16" s="2179"/>
      <c r="CO16" s="2179"/>
      <c r="CP16" s="2179"/>
      <c r="CQ16" s="2179"/>
      <c r="CR16" s="2179"/>
      <c r="CS16" s="2179"/>
      <c r="CT16" s="2179"/>
      <c r="CU16" s="2179">
        <v>1</v>
      </c>
      <c r="CV16" s="2179"/>
      <c r="CW16" s="2179">
        <v>1</v>
      </c>
      <c r="CX16" s="2179"/>
      <c r="CY16" s="2179"/>
      <c r="CZ16" s="2179"/>
      <c r="DA16" s="2179">
        <v>1</v>
      </c>
      <c r="DB16" s="2179"/>
      <c r="DC16" s="2179">
        <v>1</v>
      </c>
      <c r="DD16" s="2179"/>
      <c r="DE16" s="2179">
        <v>1</v>
      </c>
      <c r="DF16" s="2179"/>
      <c r="DG16" s="2179"/>
      <c r="DH16" s="2179"/>
      <c r="DI16" s="2179"/>
      <c r="DJ16" s="2179"/>
      <c r="DK16" s="2179"/>
      <c r="DL16" s="2179"/>
      <c r="DM16" s="2179"/>
      <c r="DN16" s="2179"/>
      <c r="DO16" s="2179"/>
      <c r="DP16" s="2179"/>
      <c r="DQ16" s="2179"/>
      <c r="DR16" s="2179"/>
      <c r="DS16" s="2179"/>
      <c r="DT16" s="2179"/>
      <c r="DU16" s="2179"/>
      <c r="DV16" s="2179"/>
      <c r="DW16" s="2179">
        <v>1</v>
      </c>
      <c r="DX16" s="2179"/>
      <c r="DY16" s="2179">
        <v>1</v>
      </c>
      <c r="DZ16" s="2179"/>
      <c r="EA16" s="2179">
        <v>1</v>
      </c>
      <c r="EB16" s="2179"/>
      <c r="EC16" s="2179"/>
      <c r="ED16" s="2179"/>
      <c r="EE16" s="2179"/>
      <c r="EF16" s="2179"/>
      <c r="EG16" s="2179"/>
      <c r="EH16" s="2179"/>
      <c r="EI16" s="2179">
        <v>1</v>
      </c>
      <c r="EJ16" s="2179"/>
      <c r="EK16" s="2179"/>
      <c r="EL16" s="2179"/>
      <c r="EM16" s="2179">
        <v>1</v>
      </c>
      <c r="EN16" s="2179"/>
      <c r="EO16" s="2179">
        <v>1</v>
      </c>
      <c r="EP16" s="2179"/>
      <c r="EQ16" s="2179"/>
      <c r="ER16" s="2179"/>
      <c r="ES16" s="2179">
        <v>1</v>
      </c>
      <c r="ET16" s="2179"/>
      <c r="EU16" s="2179"/>
      <c r="EV16" s="2179"/>
      <c r="EW16" s="2179">
        <v>1</v>
      </c>
      <c r="EX16" s="2179"/>
      <c r="EY16" s="2179"/>
      <c r="EZ16" s="2179"/>
      <c r="FA16" s="2179"/>
      <c r="FB16" s="2179"/>
      <c r="FC16" s="2179"/>
      <c r="FD16" s="2179"/>
      <c r="FE16" s="2179"/>
      <c r="FF16" s="2179"/>
      <c r="FG16" s="2179">
        <v>1</v>
      </c>
      <c r="FH16" s="2179"/>
      <c r="FI16" s="2179"/>
      <c r="FJ16" s="2179"/>
      <c r="FK16" s="2179">
        <v>1</v>
      </c>
      <c r="FL16" s="2179"/>
      <c r="FM16" s="2179"/>
      <c r="FN16" s="2179"/>
      <c r="FO16" s="2179">
        <v>1</v>
      </c>
      <c r="FP16" s="2179"/>
      <c r="FQ16" s="2179">
        <v>1</v>
      </c>
      <c r="FR16" s="2179"/>
      <c r="FS16" s="2179"/>
      <c r="FT16" s="2179"/>
      <c r="FU16" s="2179">
        <v>1</v>
      </c>
      <c r="FV16" s="2179"/>
      <c r="FW16" s="2179">
        <v>1</v>
      </c>
      <c r="FX16" s="2179"/>
      <c r="FY16" s="2179"/>
      <c r="FZ16" s="2179"/>
      <c r="GA16" s="2179">
        <v>40</v>
      </c>
      <c r="GB16" s="2179">
        <f t="shared" si="1"/>
        <v>40</v>
      </c>
    </row>
    <row r="17" spans="2:184" ht="16.8" hidden="1">
      <c r="B17" s="2313" t="str">
        <f t="shared" si="2"/>
        <v>M12BT ĐÔI</v>
      </c>
      <c r="C17" s="2179"/>
      <c r="D17" s="2179" t="s">
        <v>2369</v>
      </c>
      <c r="E17" s="2179">
        <f t="shared" si="0"/>
        <v>10</v>
      </c>
      <c r="F17" s="2179"/>
      <c r="G17" s="2179">
        <v>1</v>
      </c>
      <c r="H17" s="2179"/>
      <c r="I17" s="2179"/>
      <c r="J17" s="2179"/>
      <c r="K17" s="2179"/>
      <c r="L17" s="2179"/>
      <c r="M17" s="2179"/>
      <c r="N17" s="2179"/>
      <c r="O17" s="2179"/>
      <c r="P17" s="2179"/>
      <c r="Q17" s="2179"/>
      <c r="R17" s="2179"/>
      <c r="S17" s="2179">
        <v>1</v>
      </c>
      <c r="T17" s="2179"/>
      <c r="U17" s="2179"/>
      <c r="V17" s="2179"/>
      <c r="W17" s="2179"/>
      <c r="X17" s="2179"/>
      <c r="Y17" s="2179"/>
      <c r="Z17" s="2179"/>
      <c r="AA17" s="2179"/>
      <c r="AB17" s="2179"/>
      <c r="AC17" s="2179"/>
      <c r="AD17" s="2179"/>
      <c r="AE17" s="2179">
        <v>1</v>
      </c>
      <c r="AF17" s="2179"/>
      <c r="AG17" s="2179"/>
      <c r="AH17" s="2179"/>
      <c r="AI17" s="2179"/>
      <c r="AJ17" s="2179"/>
      <c r="AK17" s="2179"/>
      <c r="AL17" s="2179"/>
      <c r="AM17" s="2179"/>
      <c r="AN17" s="2179"/>
      <c r="AO17" s="2179"/>
      <c r="AP17" s="2179"/>
      <c r="AQ17" s="2179"/>
      <c r="AR17" s="2179"/>
      <c r="AS17" s="2179"/>
      <c r="AT17" s="2179"/>
      <c r="AU17" s="2179"/>
      <c r="AV17" s="2179"/>
      <c r="AW17" s="2179"/>
      <c r="AX17" s="2179"/>
      <c r="AY17" s="2179"/>
      <c r="AZ17" s="2179"/>
      <c r="BA17" s="2179"/>
      <c r="BB17" s="2179"/>
      <c r="BC17" s="2179"/>
      <c r="BD17" s="2179">
        <v>1</v>
      </c>
      <c r="BE17" s="2179"/>
      <c r="BF17" s="2179"/>
      <c r="BG17" s="2179"/>
      <c r="BH17" s="2179"/>
      <c r="BI17" s="2179"/>
      <c r="BJ17" s="2179"/>
      <c r="BK17" s="2179"/>
      <c r="BL17" s="2179"/>
      <c r="BM17" s="2179"/>
      <c r="BN17" s="2179"/>
      <c r="BO17" s="2179"/>
      <c r="BP17" s="2179"/>
      <c r="BQ17" s="2179"/>
      <c r="BR17" s="2179">
        <v>1</v>
      </c>
      <c r="BS17" s="2179"/>
      <c r="BT17" s="2179"/>
      <c r="BU17" s="2179"/>
      <c r="BV17" s="2179"/>
      <c r="BW17" s="2179"/>
      <c r="BX17" s="2179"/>
      <c r="BY17" s="2179"/>
      <c r="BZ17" s="2179"/>
      <c r="CA17" s="2179"/>
      <c r="CB17" s="2179"/>
      <c r="CC17" s="2179"/>
      <c r="CD17" s="2179"/>
      <c r="CE17" s="2179"/>
      <c r="CF17" s="2179"/>
      <c r="CG17" s="2179"/>
      <c r="CH17" s="2179"/>
      <c r="CI17" s="2179">
        <v>1</v>
      </c>
      <c r="CJ17" s="2179"/>
      <c r="CK17" s="2179"/>
      <c r="CL17" s="2179"/>
      <c r="CM17" s="2179"/>
      <c r="CN17" s="2179"/>
      <c r="CO17" s="2179"/>
      <c r="CP17" s="2179"/>
      <c r="CQ17" s="2179"/>
      <c r="CR17" s="2179"/>
      <c r="CS17" s="2179"/>
      <c r="CT17" s="2179"/>
      <c r="CU17" s="2179"/>
      <c r="CV17" s="2179"/>
      <c r="CW17" s="2179"/>
      <c r="CX17" s="2179"/>
      <c r="CY17" s="2179">
        <v>1</v>
      </c>
      <c r="CZ17" s="2179"/>
      <c r="DA17" s="2179"/>
      <c r="DB17" s="2179"/>
      <c r="DC17" s="2179"/>
      <c r="DD17" s="2179"/>
      <c r="DE17" s="2179"/>
      <c r="DF17" s="2179"/>
      <c r="DG17" s="2179"/>
      <c r="DH17" s="2179"/>
      <c r="DI17" s="2179"/>
      <c r="DJ17" s="2179"/>
      <c r="DK17" s="2179"/>
      <c r="DL17" s="2179">
        <v>1</v>
      </c>
      <c r="DM17" s="2179"/>
      <c r="DN17" s="2179"/>
      <c r="DO17" s="2179"/>
      <c r="DP17" s="2179"/>
      <c r="DQ17" s="2179"/>
      <c r="DR17" s="2179"/>
      <c r="DS17" s="2179"/>
      <c r="DT17" s="2179"/>
      <c r="DU17" s="2179"/>
      <c r="DV17" s="2179"/>
      <c r="DW17" s="2179"/>
      <c r="DX17" s="2179"/>
      <c r="DY17" s="2179"/>
      <c r="DZ17" s="2179"/>
      <c r="EA17" s="2179"/>
      <c r="EB17" s="2179"/>
      <c r="EC17" s="2179"/>
      <c r="ED17" s="2179"/>
      <c r="EE17" s="2179"/>
      <c r="EF17" s="2179"/>
      <c r="EG17" s="2179"/>
      <c r="EH17" s="2179"/>
      <c r="EI17" s="2179"/>
      <c r="EJ17" s="2179"/>
      <c r="EK17" s="2179"/>
      <c r="EL17" s="2179"/>
      <c r="EM17" s="2179"/>
      <c r="EN17" s="2179"/>
      <c r="EO17" s="2179"/>
      <c r="EP17" s="2179"/>
      <c r="EQ17" s="2179">
        <v>1</v>
      </c>
      <c r="ER17" s="2179"/>
      <c r="ES17" s="2179"/>
      <c r="ET17" s="2179"/>
      <c r="EU17" s="2179"/>
      <c r="EV17" s="2179"/>
      <c r="EW17" s="2179"/>
      <c r="EX17" s="2179"/>
      <c r="EY17" s="2179"/>
      <c r="EZ17" s="2179"/>
      <c r="FA17" s="2179"/>
      <c r="FB17" s="2179"/>
      <c r="FC17" s="2179"/>
      <c r="FD17" s="2179"/>
      <c r="FE17" s="2179">
        <v>1</v>
      </c>
      <c r="FF17" s="2179"/>
      <c r="FG17" s="2179"/>
      <c r="FH17" s="2179"/>
      <c r="FI17" s="2179"/>
      <c r="FJ17" s="2179"/>
      <c r="FK17" s="2179"/>
      <c r="FL17" s="2179"/>
      <c r="FM17" s="2179"/>
      <c r="FN17" s="2179"/>
      <c r="FO17" s="2179"/>
      <c r="FP17" s="2179"/>
      <c r="FQ17" s="2179"/>
      <c r="FR17" s="2179"/>
      <c r="FS17" s="2179"/>
      <c r="FT17" s="2179"/>
      <c r="FU17" s="2179"/>
      <c r="FV17" s="2179"/>
      <c r="FW17" s="2179"/>
      <c r="FX17" s="2179"/>
      <c r="FY17" s="2179"/>
      <c r="FZ17" s="2179"/>
      <c r="GA17" s="2179">
        <v>10</v>
      </c>
      <c r="GB17" s="2179">
        <f t="shared" si="1"/>
        <v>10</v>
      </c>
    </row>
    <row r="18" spans="2:184" ht="16.8" hidden="1">
      <c r="B18" s="2313" t="str">
        <f t="shared" si="2"/>
        <v>M14a</v>
      </c>
      <c r="C18" s="2179"/>
      <c r="D18" s="2179" t="s">
        <v>653</v>
      </c>
      <c r="E18" s="2179">
        <f t="shared" si="0"/>
        <v>15</v>
      </c>
      <c r="F18" s="2179"/>
      <c r="G18" s="2179"/>
      <c r="H18" s="2179"/>
      <c r="I18" s="2179"/>
      <c r="J18" s="2179"/>
      <c r="K18" s="2179"/>
      <c r="L18" s="2179"/>
      <c r="M18" s="2179"/>
      <c r="N18" s="2179"/>
      <c r="O18" s="2179"/>
      <c r="P18" s="2179"/>
      <c r="Q18" s="2179"/>
      <c r="R18" s="2179"/>
      <c r="S18" s="2179"/>
      <c r="T18" s="2179"/>
      <c r="U18" s="2179"/>
      <c r="V18" s="2179"/>
      <c r="W18" s="2179"/>
      <c r="X18" s="2179"/>
      <c r="Y18" s="2179"/>
      <c r="Z18" s="2179"/>
      <c r="AA18" s="2179"/>
      <c r="AB18" s="2179"/>
      <c r="AC18" s="2179"/>
      <c r="AD18" s="2179">
        <v>1</v>
      </c>
      <c r="AE18" s="2179"/>
      <c r="AF18" s="2179"/>
      <c r="AG18" s="2179"/>
      <c r="AH18" s="2179"/>
      <c r="AI18" s="2179"/>
      <c r="AJ18" s="2179"/>
      <c r="AK18" s="2179"/>
      <c r="AL18" s="2179"/>
      <c r="AM18" s="2179"/>
      <c r="AN18" s="2179">
        <v>1</v>
      </c>
      <c r="AO18" s="2179"/>
      <c r="AP18" s="2179"/>
      <c r="AQ18" s="2179"/>
      <c r="AR18" s="2179"/>
      <c r="AS18" s="2179"/>
      <c r="AT18" s="2179"/>
      <c r="AU18" s="2179"/>
      <c r="AV18" s="2179"/>
      <c r="AW18" s="2179"/>
      <c r="AX18" s="2179"/>
      <c r="AY18" s="2179"/>
      <c r="AZ18" s="2179"/>
      <c r="BA18" s="2179"/>
      <c r="BB18" s="2179"/>
      <c r="BC18" s="2179"/>
      <c r="BD18" s="2179"/>
      <c r="BE18" s="2179"/>
      <c r="BF18" s="2179"/>
      <c r="BG18" s="2179"/>
      <c r="BH18" s="2179"/>
      <c r="BI18" s="2179">
        <v>1</v>
      </c>
      <c r="BJ18" s="2179"/>
      <c r="BK18" s="2179"/>
      <c r="BL18" s="2179"/>
      <c r="BM18" s="2179"/>
      <c r="BN18" s="2179"/>
      <c r="BO18" s="2179"/>
      <c r="BP18" s="2179"/>
      <c r="BQ18" s="2179"/>
      <c r="BR18" s="2179"/>
      <c r="BS18" s="2179"/>
      <c r="BT18" s="2179"/>
      <c r="BU18" s="2179"/>
      <c r="BV18" s="2179"/>
      <c r="BW18" s="2179">
        <v>1</v>
      </c>
      <c r="BX18" s="2179"/>
      <c r="BY18" s="2179"/>
      <c r="BZ18" s="2179"/>
      <c r="CA18" s="2179"/>
      <c r="CB18" s="2179"/>
      <c r="CC18" s="2179"/>
      <c r="CD18" s="2179"/>
      <c r="CE18" s="2179">
        <v>1</v>
      </c>
      <c r="CF18" s="2179"/>
      <c r="CG18" s="2179"/>
      <c r="CH18" s="2179"/>
      <c r="CI18" s="2179"/>
      <c r="CJ18" s="2179"/>
      <c r="CK18" s="2179"/>
      <c r="CL18" s="2179"/>
      <c r="CM18" s="2179"/>
      <c r="CN18" s="2179"/>
      <c r="CO18" s="2179"/>
      <c r="CP18" s="2179"/>
      <c r="CQ18" s="2179"/>
      <c r="CR18" s="2179"/>
      <c r="CS18" s="2179"/>
      <c r="CT18" s="2179"/>
      <c r="CU18" s="2179"/>
      <c r="CV18" s="2179"/>
      <c r="CW18" s="2179"/>
      <c r="CX18" s="2179"/>
      <c r="CY18" s="2179"/>
      <c r="CZ18" s="2179">
        <v>1</v>
      </c>
      <c r="DA18" s="2179"/>
      <c r="DB18" s="2179"/>
      <c r="DC18" s="2179"/>
      <c r="DD18" s="2179"/>
      <c r="DE18" s="2179"/>
      <c r="DF18" s="2179"/>
      <c r="DG18" s="2179"/>
      <c r="DH18" s="2179"/>
      <c r="DI18" s="2179"/>
      <c r="DJ18" s="2179"/>
      <c r="DK18" s="2179"/>
      <c r="DL18" s="2179"/>
      <c r="DM18" s="2179"/>
      <c r="DN18" s="2179"/>
      <c r="DO18" s="2179"/>
      <c r="DP18" s="2179"/>
      <c r="DQ18" s="2179"/>
      <c r="DR18" s="2179"/>
      <c r="DS18" s="2179"/>
      <c r="DT18" s="2179"/>
      <c r="DU18" s="2179"/>
      <c r="DV18" s="2179">
        <v>1</v>
      </c>
      <c r="DW18" s="2179"/>
      <c r="DX18" s="2179">
        <v>1</v>
      </c>
      <c r="DY18" s="2179"/>
      <c r="DZ18" s="2179"/>
      <c r="EA18" s="2179"/>
      <c r="EB18" s="2179">
        <v>1</v>
      </c>
      <c r="EC18" s="2179"/>
      <c r="ED18" s="2179"/>
      <c r="EE18" s="2179"/>
      <c r="EF18" s="2179"/>
      <c r="EG18" s="2179"/>
      <c r="EH18" s="2179"/>
      <c r="EI18" s="2179"/>
      <c r="EJ18" s="2179"/>
      <c r="EK18" s="2179"/>
      <c r="EL18" s="2179"/>
      <c r="EM18" s="2179"/>
      <c r="EN18" s="2179"/>
      <c r="EO18" s="2179"/>
      <c r="EP18" s="2179"/>
      <c r="EQ18" s="2179"/>
      <c r="ER18" s="2179"/>
      <c r="ES18" s="2179"/>
      <c r="ET18" s="2179"/>
      <c r="EU18" s="2179"/>
      <c r="EV18" s="2179"/>
      <c r="EW18" s="2179"/>
      <c r="EX18" s="2179">
        <v>1</v>
      </c>
      <c r="EY18" s="2179"/>
      <c r="EZ18" s="2179"/>
      <c r="FA18" s="2179"/>
      <c r="FB18" s="2179"/>
      <c r="FC18" s="2179"/>
      <c r="FD18" s="2179">
        <v>1</v>
      </c>
      <c r="FE18" s="2179"/>
      <c r="FF18" s="2179"/>
      <c r="FG18" s="2179"/>
      <c r="FH18" s="2179"/>
      <c r="FI18" s="2179"/>
      <c r="FJ18" s="2179"/>
      <c r="FK18" s="2179"/>
      <c r="FL18" s="2179"/>
      <c r="FM18" s="2179"/>
      <c r="FN18" s="2179">
        <v>1</v>
      </c>
      <c r="FO18" s="2179"/>
      <c r="FP18" s="2179"/>
      <c r="FQ18" s="2179"/>
      <c r="FR18" s="2179">
        <v>1</v>
      </c>
      <c r="FS18" s="2179">
        <v>1</v>
      </c>
      <c r="FT18" s="2179">
        <v>1</v>
      </c>
      <c r="FU18" s="2179"/>
      <c r="FV18" s="2179"/>
      <c r="FW18" s="2179"/>
      <c r="FX18" s="2179"/>
      <c r="FY18" s="2179"/>
      <c r="FZ18" s="2179"/>
      <c r="GA18" s="2179">
        <v>15</v>
      </c>
      <c r="GB18" s="2179">
        <f t="shared" si="1"/>
        <v>15</v>
      </c>
    </row>
    <row r="19" spans="2:184" ht="16.8" hidden="1">
      <c r="B19" s="2313" t="str">
        <f t="shared" si="2"/>
        <v>CX12-B</v>
      </c>
      <c r="C19" s="2179"/>
      <c r="D19" s="2179" t="s">
        <v>668</v>
      </c>
      <c r="E19" s="2179">
        <f t="shared" si="0"/>
        <v>7</v>
      </c>
      <c r="F19" s="2179"/>
      <c r="G19" s="2179"/>
      <c r="H19" s="2179"/>
      <c r="I19" s="2179"/>
      <c r="J19" s="2179"/>
      <c r="K19" s="2179"/>
      <c r="L19" s="2179"/>
      <c r="M19" s="2179"/>
      <c r="N19" s="2179"/>
      <c r="O19" s="2179"/>
      <c r="P19" s="2179"/>
      <c r="Q19" s="2179"/>
      <c r="R19" s="2179"/>
      <c r="S19" s="2179"/>
      <c r="T19" s="2179"/>
      <c r="U19" s="2179"/>
      <c r="V19" s="2179"/>
      <c r="W19" s="2179"/>
      <c r="X19" s="2179"/>
      <c r="Y19" s="2179"/>
      <c r="Z19" s="2179"/>
      <c r="AA19" s="2179"/>
      <c r="AB19" s="2179"/>
      <c r="AC19" s="2179"/>
      <c r="AD19" s="2179"/>
      <c r="AE19" s="2179"/>
      <c r="AF19" s="2179"/>
      <c r="AG19" s="2179"/>
      <c r="AH19" s="2179"/>
      <c r="AI19" s="2179"/>
      <c r="AJ19" s="2179"/>
      <c r="AK19" s="2179"/>
      <c r="AL19" s="2179"/>
      <c r="AM19" s="2179"/>
      <c r="AN19" s="2179"/>
      <c r="AO19" s="2179"/>
      <c r="AP19" s="2179">
        <v>2</v>
      </c>
      <c r="AQ19" s="2179"/>
      <c r="AR19" s="2179"/>
      <c r="AS19" s="2179"/>
      <c r="AT19" s="2179"/>
      <c r="AU19" s="2179"/>
      <c r="AV19" s="2179"/>
      <c r="AW19" s="2179"/>
      <c r="AX19" s="2179"/>
      <c r="AY19" s="2179"/>
      <c r="AZ19" s="2179"/>
      <c r="BA19" s="2179"/>
      <c r="BB19" s="2179"/>
      <c r="BC19" s="2179"/>
      <c r="BD19" s="2179"/>
      <c r="BE19" s="2179"/>
      <c r="BF19" s="2179"/>
      <c r="BG19" s="2179"/>
      <c r="BH19" s="2179"/>
      <c r="BI19" s="2179"/>
      <c r="BJ19" s="2179"/>
      <c r="BK19" s="2179"/>
      <c r="BL19" s="2179"/>
      <c r="BM19" s="2179"/>
      <c r="BN19" s="2179"/>
      <c r="BO19" s="2179"/>
      <c r="BP19" s="2179"/>
      <c r="BQ19" s="2179"/>
      <c r="BR19" s="2179"/>
      <c r="BS19" s="2179"/>
      <c r="BT19" s="2179"/>
      <c r="BU19" s="2179"/>
      <c r="BV19" s="2179"/>
      <c r="BW19" s="2179"/>
      <c r="BX19" s="2179"/>
      <c r="BY19" s="2179"/>
      <c r="BZ19" s="2179"/>
      <c r="CA19" s="2179"/>
      <c r="CB19" s="2179"/>
      <c r="CC19" s="2179"/>
      <c r="CD19" s="2179"/>
      <c r="CE19" s="2179"/>
      <c r="CF19" s="2179"/>
      <c r="CG19" s="2179">
        <v>2</v>
      </c>
      <c r="CH19" s="2179"/>
      <c r="CI19" s="2179"/>
      <c r="CJ19" s="2179"/>
      <c r="CK19" s="2179"/>
      <c r="CL19" s="2179"/>
      <c r="CM19" s="2179"/>
      <c r="CN19" s="2179"/>
      <c r="CO19" s="2179"/>
      <c r="CP19" s="2179"/>
      <c r="CQ19" s="2179"/>
      <c r="CR19" s="2179"/>
      <c r="CS19" s="2179"/>
      <c r="CT19" s="2179">
        <v>1</v>
      </c>
      <c r="CU19" s="2179"/>
      <c r="CV19" s="2179"/>
      <c r="CW19" s="2179"/>
      <c r="CX19" s="2179"/>
      <c r="CY19" s="2179"/>
      <c r="CZ19" s="2179"/>
      <c r="DA19" s="2179"/>
      <c r="DB19" s="2179"/>
      <c r="DC19" s="2179"/>
      <c r="DD19" s="2179"/>
      <c r="DE19" s="2179"/>
      <c r="DF19" s="2179"/>
      <c r="DG19" s="2179"/>
      <c r="DH19" s="2179"/>
      <c r="DI19" s="2179"/>
      <c r="DJ19" s="2179"/>
      <c r="DK19" s="2179"/>
      <c r="DL19" s="2179"/>
      <c r="DM19" s="2179"/>
      <c r="DN19" s="2179"/>
      <c r="DO19" s="2179"/>
      <c r="DP19" s="2179"/>
      <c r="DQ19" s="2179">
        <v>1</v>
      </c>
      <c r="DR19" s="2179"/>
      <c r="DS19" s="2179"/>
      <c r="DT19" s="2179"/>
      <c r="DU19" s="2179"/>
      <c r="DV19" s="2179"/>
      <c r="DW19" s="2179"/>
      <c r="DX19" s="2179"/>
      <c r="DY19" s="2179"/>
      <c r="DZ19" s="2179"/>
      <c r="EA19" s="2179"/>
      <c r="EB19" s="2179"/>
      <c r="EC19" s="2179"/>
      <c r="ED19" s="2179"/>
      <c r="EE19" s="2179"/>
      <c r="EF19" s="2179"/>
      <c r="EG19" s="2179"/>
      <c r="EH19" s="2179">
        <v>1</v>
      </c>
      <c r="EI19" s="2179"/>
      <c r="EJ19" s="2179"/>
      <c r="EK19" s="2179"/>
      <c r="EL19" s="2179"/>
      <c r="EM19" s="2179"/>
      <c r="EN19" s="2179"/>
      <c r="EO19" s="2179"/>
      <c r="EP19" s="2179"/>
      <c r="EQ19" s="2179"/>
      <c r="ER19" s="2179"/>
      <c r="ES19" s="2179"/>
      <c r="ET19" s="2179"/>
      <c r="EU19" s="2179"/>
      <c r="EV19" s="2179"/>
      <c r="EW19" s="2179"/>
      <c r="EX19" s="2179"/>
      <c r="EY19" s="2179"/>
      <c r="EZ19" s="2179"/>
      <c r="FA19" s="2179"/>
      <c r="FB19" s="2179"/>
      <c r="FC19" s="2179"/>
      <c r="FD19" s="2179"/>
      <c r="FE19" s="2179"/>
      <c r="FF19" s="2179"/>
      <c r="FG19" s="2179"/>
      <c r="FH19" s="2179"/>
      <c r="FI19" s="2179"/>
      <c r="FJ19" s="2179"/>
      <c r="FK19" s="2179"/>
      <c r="FL19" s="2179"/>
      <c r="FM19" s="2179"/>
      <c r="FN19" s="2179"/>
      <c r="FO19" s="2179"/>
      <c r="FP19" s="2179"/>
      <c r="FQ19" s="2179"/>
      <c r="FR19" s="2179"/>
      <c r="FS19" s="2179"/>
      <c r="FT19" s="2179"/>
      <c r="FU19" s="2179"/>
      <c r="FV19" s="2179"/>
      <c r="FW19" s="2179"/>
      <c r="FX19" s="2179"/>
      <c r="FY19" s="2179"/>
      <c r="FZ19" s="2179"/>
      <c r="GA19" s="2179">
        <v>7</v>
      </c>
      <c r="GB19" s="2179">
        <f t="shared" si="1"/>
        <v>7</v>
      </c>
    </row>
    <row r="20" spans="2:184" ht="16.8" hidden="1">
      <c r="B20" s="2313" t="str">
        <f t="shared" si="2"/>
        <v>CL12-B</v>
      </c>
      <c r="C20" s="2179"/>
      <c r="D20" s="2179" t="s">
        <v>669</v>
      </c>
      <c r="E20" s="2179">
        <f t="shared" si="0"/>
        <v>3</v>
      </c>
      <c r="F20" s="2179"/>
      <c r="G20" s="2179"/>
      <c r="H20" s="2179">
        <v>1</v>
      </c>
      <c r="I20" s="2179"/>
      <c r="J20" s="2179"/>
      <c r="K20" s="2179"/>
      <c r="L20" s="2179"/>
      <c r="M20" s="2179"/>
      <c r="N20" s="2179"/>
      <c r="O20" s="2179"/>
      <c r="P20" s="2179"/>
      <c r="Q20" s="2179"/>
      <c r="R20" s="2179"/>
      <c r="S20" s="2179"/>
      <c r="T20" s="2179"/>
      <c r="U20" s="2179"/>
      <c r="V20" s="2179"/>
      <c r="W20" s="2179"/>
      <c r="X20" s="2179"/>
      <c r="Y20" s="2179"/>
      <c r="Z20" s="2179"/>
      <c r="AA20" s="2179"/>
      <c r="AB20" s="2179"/>
      <c r="AC20" s="2179"/>
      <c r="AD20" s="2179"/>
      <c r="AE20" s="2179"/>
      <c r="AF20" s="2179"/>
      <c r="AG20" s="2179"/>
      <c r="AH20" s="2179"/>
      <c r="AI20" s="2179"/>
      <c r="AJ20" s="2179"/>
      <c r="AK20" s="2179"/>
      <c r="AL20" s="2179"/>
      <c r="AM20" s="2179"/>
      <c r="AN20" s="2179"/>
      <c r="AO20" s="2179"/>
      <c r="AP20" s="2179"/>
      <c r="AQ20" s="2179"/>
      <c r="AR20" s="2179"/>
      <c r="AS20" s="2179"/>
      <c r="AT20" s="2179"/>
      <c r="AU20" s="2179"/>
      <c r="AV20" s="2179">
        <v>1</v>
      </c>
      <c r="AW20" s="2179"/>
      <c r="AX20" s="2179"/>
      <c r="AY20" s="2179"/>
      <c r="AZ20" s="2179"/>
      <c r="BA20" s="2179"/>
      <c r="BB20" s="2179"/>
      <c r="BC20" s="2179"/>
      <c r="BD20" s="2179"/>
      <c r="BE20" s="2179"/>
      <c r="BF20" s="2179"/>
      <c r="BG20" s="2179"/>
      <c r="BH20" s="2179"/>
      <c r="BI20" s="2179"/>
      <c r="BJ20" s="2179"/>
      <c r="BK20" s="2179"/>
      <c r="BL20" s="2179"/>
      <c r="BM20" s="2179"/>
      <c r="BN20" s="2179"/>
      <c r="BO20" s="2179"/>
      <c r="BP20" s="2179"/>
      <c r="BQ20" s="2179"/>
      <c r="BR20" s="2179"/>
      <c r="BS20" s="2179"/>
      <c r="BT20" s="2179"/>
      <c r="BU20" s="2179"/>
      <c r="BV20" s="2179"/>
      <c r="BW20" s="2179"/>
      <c r="BX20" s="2179"/>
      <c r="BY20" s="2179"/>
      <c r="BZ20" s="2179"/>
      <c r="CA20" s="2179"/>
      <c r="CB20" s="2179"/>
      <c r="CC20" s="2179"/>
      <c r="CD20" s="2179"/>
      <c r="CE20" s="2179"/>
      <c r="CF20" s="2179"/>
      <c r="CG20" s="2179"/>
      <c r="CH20" s="2179"/>
      <c r="CI20" s="2179"/>
      <c r="CJ20" s="2179"/>
      <c r="CK20" s="2179"/>
      <c r="CL20" s="2179"/>
      <c r="CM20" s="2179"/>
      <c r="CN20" s="2179"/>
      <c r="CO20" s="2179"/>
      <c r="CP20" s="2179"/>
      <c r="CQ20" s="2179"/>
      <c r="CR20" s="2179"/>
      <c r="CS20" s="2179"/>
      <c r="CT20" s="2179"/>
      <c r="CU20" s="2179"/>
      <c r="CV20" s="2179"/>
      <c r="CW20" s="2179"/>
      <c r="CX20" s="2179"/>
      <c r="CY20" s="2179"/>
      <c r="CZ20" s="2179"/>
      <c r="DA20" s="2179"/>
      <c r="DB20" s="2179"/>
      <c r="DC20" s="2179"/>
      <c r="DD20" s="2179"/>
      <c r="DE20" s="2179"/>
      <c r="DF20" s="2179"/>
      <c r="DG20" s="2179"/>
      <c r="DH20" s="2179"/>
      <c r="DI20" s="2179"/>
      <c r="DJ20" s="2179"/>
      <c r="DK20" s="2179"/>
      <c r="DL20" s="2179"/>
      <c r="DM20" s="2179"/>
      <c r="DN20" s="2179"/>
      <c r="DO20" s="2179"/>
      <c r="DP20" s="2179"/>
      <c r="DQ20" s="2179"/>
      <c r="DR20" s="2179"/>
      <c r="DS20" s="2179"/>
      <c r="DT20" s="2179"/>
      <c r="DU20" s="2179"/>
      <c r="DV20" s="2179"/>
      <c r="DW20" s="2179"/>
      <c r="DX20" s="2179"/>
      <c r="DY20" s="2179"/>
      <c r="DZ20" s="2179"/>
      <c r="EA20" s="2179"/>
      <c r="EB20" s="2179"/>
      <c r="EC20" s="2179"/>
      <c r="ED20" s="2179"/>
      <c r="EE20" s="2179"/>
      <c r="EF20" s="2179"/>
      <c r="EG20" s="2179"/>
      <c r="EH20" s="2179"/>
      <c r="EI20" s="2179"/>
      <c r="EJ20" s="2179"/>
      <c r="EK20" s="2179"/>
      <c r="EL20" s="2179"/>
      <c r="EM20" s="2179"/>
      <c r="EN20" s="2179"/>
      <c r="EO20" s="2179"/>
      <c r="EP20" s="2179"/>
      <c r="EQ20" s="2179"/>
      <c r="ER20" s="2179"/>
      <c r="ES20" s="2179"/>
      <c r="ET20" s="2179"/>
      <c r="EU20" s="2179"/>
      <c r="EV20" s="2179"/>
      <c r="EW20" s="2179"/>
      <c r="EX20" s="2179"/>
      <c r="EY20" s="2179"/>
      <c r="EZ20" s="2179"/>
      <c r="FA20" s="2179"/>
      <c r="FB20" s="2179"/>
      <c r="FC20" s="2179"/>
      <c r="FD20" s="2179"/>
      <c r="FE20" s="2179"/>
      <c r="FF20" s="2179"/>
      <c r="FG20" s="2179"/>
      <c r="FH20" s="2179"/>
      <c r="FI20" s="2179"/>
      <c r="FJ20" s="2179">
        <v>1</v>
      </c>
      <c r="FK20" s="2179"/>
      <c r="FL20" s="2179"/>
      <c r="FM20" s="2179"/>
      <c r="FN20" s="2179"/>
      <c r="FO20" s="2179"/>
      <c r="FP20" s="2179"/>
      <c r="FQ20" s="2179"/>
      <c r="FR20" s="2179"/>
      <c r="FS20" s="2179"/>
      <c r="FT20" s="2179"/>
      <c r="FU20" s="2179"/>
      <c r="FV20" s="2179"/>
      <c r="FW20" s="2179"/>
      <c r="FX20" s="2179"/>
      <c r="FY20" s="2179"/>
      <c r="FZ20" s="2179"/>
      <c r="GA20" s="2179">
        <v>3</v>
      </c>
      <c r="GB20" s="2179">
        <f t="shared" si="1"/>
        <v>3</v>
      </c>
    </row>
    <row r="21" spans="2:184" ht="16.8" hidden="1">
      <c r="B21" s="2313" t="str">
        <f t="shared" si="2"/>
        <v>CX14-B</v>
      </c>
      <c r="C21" s="2179"/>
      <c r="D21" s="2179" t="s">
        <v>671</v>
      </c>
      <c r="E21" s="2179">
        <f t="shared" si="0"/>
        <v>2</v>
      </c>
      <c r="F21" s="2179"/>
      <c r="G21" s="2179"/>
      <c r="H21" s="2179"/>
      <c r="I21" s="2179"/>
      <c r="J21" s="2179"/>
      <c r="K21" s="2179"/>
      <c r="L21" s="2179"/>
      <c r="M21" s="2179"/>
      <c r="N21" s="2179"/>
      <c r="O21" s="2179"/>
      <c r="P21" s="2179"/>
      <c r="Q21" s="2179"/>
      <c r="R21" s="2179"/>
      <c r="S21" s="2179"/>
      <c r="T21" s="2179"/>
      <c r="U21" s="2179"/>
      <c r="V21" s="2179"/>
      <c r="W21" s="2179"/>
      <c r="X21" s="2179"/>
      <c r="Y21" s="2179"/>
      <c r="Z21" s="2179"/>
      <c r="AA21" s="2179"/>
      <c r="AB21" s="2179"/>
      <c r="AC21" s="2179"/>
      <c r="AD21" s="2179"/>
      <c r="AE21" s="2179"/>
      <c r="AF21" s="2179"/>
      <c r="AG21" s="2179"/>
      <c r="AH21" s="2179"/>
      <c r="AI21" s="2179"/>
      <c r="AJ21" s="2179"/>
      <c r="AK21" s="2179"/>
      <c r="AL21" s="2179"/>
      <c r="AM21" s="2179"/>
      <c r="AN21" s="2179"/>
      <c r="AO21" s="2179"/>
      <c r="AP21" s="2179"/>
      <c r="AQ21" s="2179"/>
      <c r="AR21" s="2179"/>
      <c r="AS21" s="2179"/>
      <c r="AT21" s="2179"/>
      <c r="AU21" s="2179"/>
      <c r="AV21" s="2179"/>
      <c r="AW21" s="2179"/>
      <c r="AX21" s="2179"/>
      <c r="AY21" s="2179"/>
      <c r="AZ21" s="2179"/>
      <c r="BA21" s="2179"/>
      <c r="BB21" s="2179"/>
      <c r="BC21" s="2179"/>
      <c r="BD21" s="2179"/>
      <c r="BE21" s="2179"/>
      <c r="BF21" s="2179"/>
      <c r="BG21" s="2179"/>
      <c r="BH21" s="2179"/>
      <c r="BI21" s="2179"/>
      <c r="BJ21" s="2179"/>
      <c r="BK21" s="2179"/>
      <c r="BL21" s="2179"/>
      <c r="BM21" s="2179"/>
      <c r="BN21" s="2179"/>
      <c r="BO21" s="2179"/>
      <c r="BP21" s="2179"/>
      <c r="BQ21" s="2179"/>
      <c r="BR21" s="2179"/>
      <c r="BS21" s="2179"/>
      <c r="BT21" s="2179"/>
      <c r="BU21" s="2179"/>
      <c r="BV21" s="2179"/>
      <c r="BW21" s="2179"/>
      <c r="BX21" s="2179"/>
      <c r="BY21" s="2179"/>
      <c r="BZ21" s="2179"/>
      <c r="CA21" s="2179"/>
      <c r="CB21" s="2179"/>
      <c r="CC21" s="2179"/>
      <c r="CD21" s="2179"/>
      <c r="CE21" s="2179"/>
      <c r="CF21" s="2179"/>
      <c r="CG21" s="2179"/>
      <c r="CH21" s="2179"/>
      <c r="CI21" s="2179"/>
      <c r="CJ21" s="2179"/>
      <c r="CK21" s="2179"/>
      <c r="CL21" s="2179"/>
      <c r="CM21" s="2179"/>
      <c r="CN21" s="2179"/>
      <c r="CO21" s="2179"/>
      <c r="CP21" s="2179"/>
      <c r="CQ21" s="2179"/>
      <c r="CR21" s="2179"/>
      <c r="CS21" s="2179"/>
      <c r="CT21" s="2179"/>
      <c r="CU21" s="2179"/>
      <c r="CV21" s="2179"/>
      <c r="CW21" s="2179"/>
      <c r="CX21" s="2179"/>
      <c r="CY21" s="2179"/>
      <c r="CZ21" s="2179"/>
      <c r="DA21" s="2179"/>
      <c r="DB21" s="2179"/>
      <c r="DC21" s="2179"/>
      <c r="DD21" s="2179"/>
      <c r="DE21" s="2179"/>
      <c r="DF21" s="2179"/>
      <c r="DG21" s="2179"/>
      <c r="DH21" s="2179"/>
      <c r="DI21" s="2179"/>
      <c r="DJ21" s="2179"/>
      <c r="DK21" s="2179"/>
      <c r="DL21" s="2179"/>
      <c r="DM21" s="2179"/>
      <c r="DN21" s="2179"/>
      <c r="DO21" s="2179"/>
      <c r="DP21" s="2179"/>
      <c r="DQ21" s="2179"/>
      <c r="DR21" s="2179"/>
      <c r="DS21" s="2179"/>
      <c r="DT21" s="2179"/>
      <c r="DU21" s="2179"/>
      <c r="DV21" s="2179"/>
      <c r="DW21" s="2179"/>
      <c r="DX21" s="2179"/>
      <c r="DY21" s="2179"/>
      <c r="DZ21" s="2179"/>
      <c r="EA21" s="2179"/>
      <c r="EB21" s="2179">
        <v>2</v>
      </c>
      <c r="EC21" s="2179"/>
      <c r="ED21" s="2179"/>
      <c r="EE21" s="2179"/>
      <c r="EF21" s="2179"/>
      <c r="EG21" s="2179"/>
      <c r="EH21" s="2179"/>
      <c r="EI21" s="2179"/>
      <c r="EJ21" s="2179"/>
      <c r="EK21" s="2179"/>
      <c r="EL21" s="2179"/>
      <c r="EM21" s="2179"/>
      <c r="EN21" s="2179"/>
      <c r="EO21" s="2179"/>
      <c r="EP21" s="2179"/>
      <c r="EQ21" s="2179"/>
      <c r="ER21" s="2179"/>
      <c r="ES21" s="2179"/>
      <c r="ET21" s="2179"/>
      <c r="EU21" s="2179"/>
      <c r="EV21" s="2179"/>
      <c r="EW21" s="2179"/>
      <c r="EX21" s="2179"/>
      <c r="EY21" s="2179"/>
      <c r="EZ21" s="2179"/>
      <c r="FA21" s="2179"/>
      <c r="FB21" s="2179"/>
      <c r="FC21" s="2179"/>
      <c r="FD21" s="2179"/>
      <c r="FE21" s="2179"/>
      <c r="FF21" s="2179"/>
      <c r="FG21" s="2179"/>
      <c r="FH21" s="2179"/>
      <c r="FI21" s="2179"/>
      <c r="FJ21" s="2179"/>
      <c r="FK21" s="2179"/>
      <c r="FL21" s="2179"/>
      <c r="FM21" s="2179"/>
      <c r="FN21" s="2179"/>
      <c r="FO21" s="2179"/>
      <c r="FP21" s="2179"/>
      <c r="FQ21" s="2179"/>
      <c r="FR21" s="2179"/>
      <c r="FS21" s="2179"/>
      <c r="FT21" s="2179"/>
      <c r="FU21" s="2179"/>
      <c r="FV21" s="2179"/>
      <c r="FW21" s="2179"/>
      <c r="FX21" s="2179"/>
      <c r="FY21" s="2179"/>
      <c r="FZ21" s="2179"/>
      <c r="GA21" s="2179">
        <v>2</v>
      </c>
      <c r="GB21" s="2179">
        <f t="shared" si="1"/>
        <v>2</v>
      </c>
    </row>
    <row r="22" spans="2:184" ht="16.8" hidden="1">
      <c r="B22" s="2313" t="str">
        <f t="shared" si="2"/>
        <v>CXX14-B</v>
      </c>
      <c r="C22" s="2179"/>
      <c r="D22" s="2179" t="s">
        <v>930</v>
      </c>
      <c r="E22" s="2179">
        <f t="shared" si="0"/>
        <v>2</v>
      </c>
      <c r="F22" s="2179"/>
      <c r="G22" s="2179"/>
      <c r="H22" s="2179"/>
      <c r="I22" s="2179"/>
      <c r="J22" s="2179"/>
      <c r="K22" s="2179"/>
      <c r="L22" s="2179"/>
      <c r="M22" s="2179"/>
      <c r="N22" s="2179"/>
      <c r="O22" s="2179"/>
      <c r="P22" s="2179"/>
      <c r="Q22" s="2179"/>
      <c r="R22" s="2179"/>
      <c r="S22" s="2179"/>
      <c r="T22" s="2179"/>
      <c r="U22" s="2179"/>
      <c r="V22" s="2179"/>
      <c r="W22" s="2179"/>
      <c r="X22" s="2179"/>
      <c r="Y22" s="2179"/>
      <c r="Z22" s="2179"/>
      <c r="AA22" s="2179"/>
      <c r="AB22" s="2179"/>
      <c r="AC22" s="2179"/>
      <c r="AD22" s="2179"/>
      <c r="AE22" s="2179"/>
      <c r="AF22" s="2179"/>
      <c r="AG22" s="2179"/>
      <c r="AH22" s="2179"/>
      <c r="AI22" s="2179"/>
      <c r="AJ22" s="2179"/>
      <c r="AK22" s="2179"/>
      <c r="AL22" s="2179"/>
      <c r="AM22" s="2179"/>
      <c r="AN22" s="2179"/>
      <c r="AO22" s="2179"/>
      <c r="AP22" s="2179"/>
      <c r="AQ22" s="2179"/>
      <c r="AR22" s="2179"/>
      <c r="AS22" s="2179"/>
      <c r="AT22" s="2179"/>
      <c r="AU22" s="2179"/>
      <c r="AV22" s="2179"/>
      <c r="AW22" s="2179"/>
      <c r="AX22" s="2179"/>
      <c r="AY22" s="2179"/>
      <c r="AZ22" s="2179"/>
      <c r="BA22" s="2179"/>
      <c r="BB22" s="2179"/>
      <c r="BC22" s="2179"/>
      <c r="BD22" s="2179"/>
      <c r="BE22" s="2179"/>
      <c r="BF22" s="2179"/>
      <c r="BG22" s="2179"/>
      <c r="BH22" s="2179"/>
      <c r="BI22" s="2179"/>
      <c r="BJ22" s="2179"/>
      <c r="BK22" s="2179"/>
      <c r="BL22" s="2179"/>
      <c r="BM22" s="2179"/>
      <c r="BN22" s="2179"/>
      <c r="BO22" s="2179"/>
      <c r="BP22" s="2179"/>
      <c r="BQ22" s="2179"/>
      <c r="BR22" s="2179"/>
      <c r="BS22" s="2179"/>
      <c r="BT22" s="2179"/>
      <c r="BU22" s="2179"/>
      <c r="BV22" s="2179"/>
      <c r="BW22" s="2179"/>
      <c r="BX22" s="2179"/>
      <c r="BY22" s="2179"/>
      <c r="BZ22" s="2179"/>
      <c r="CA22" s="2179"/>
      <c r="CB22" s="2179"/>
      <c r="CC22" s="2179"/>
      <c r="CD22" s="2179"/>
      <c r="CE22" s="2179"/>
      <c r="CF22" s="2179"/>
      <c r="CG22" s="2179"/>
      <c r="CH22" s="2179"/>
      <c r="CI22" s="2179"/>
      <c r="CJ22" s="2179"/>
      <c r="CK22" s="2179"/>
      <c r="CL22" s="2179"/>
      <c r="CM22" s="2179"/>
      <c r="CN22" s="2179"/>
      <c r="CO22" s="2179"/>
      <c r="CP22" s="2179"/>
      <c r="CQ22" s="2179"/>
      <c r="CR22" s="2179"/>
      <c r="CS22" s="2179"/>
      <c r="CT22" s="2179"/>
      <c r="CU22" s="2179"/>
      <c r="CV22" s="2179"/>
      <c r="CW22" s="2179"/>
      <c r="CX22" s="2179"/>
      <c r="CY22" s="2179"/>
      <c r="CZ22" s="2179"/>
      <c r="DA22" s="2179"/>
      <c r="DB22" s="2179"/>
      <c r="DC22" s="2179"/>
      <c r="DD22" s="2179"/>
      <c r="DE22" s="2179"/>
      <c r="DF22" s="2179"/>
      <c r="DG22" s="2179"/>
      <c r="DH22" s="2179"/>
      <c r="DI22" s="2179"/>
      <c r="DJ22" s="2179"/>
      <c r="DK22" s="2179"/>
      <c r="DL22" s="2179"/>
      <c r="DM22" s="2179"/>
      <c r="DN22" s="2179"/>
      <c r="DO22" s="2179"/>
      <c r="DP22" s="2179"/>
      <c r="DQ22" s="2179"/>
      <c r="DR22" s="2179"/>
      <c r="DS22" s="2179"/>
      <c r="DT22" s="2179"/>
      <c r="DU22" s="2179"/>
      <c r="DV22" s="2179"/>
      <c r="DW22" s="2179"/>
      <c r="DX22" s="2179"/>
      <c r="DY22" s="2179"/>
      <c r="DZ22" s="2179"/>
      <c r="EA22" s="2179"/>
      <c r="EB22" s="2179"/>
      <c r="EC22" s="2179"/>
      <c r="ED22" s="2179"/>
      <c r="EE22" s="2179"/>
      <c r="EF22" s="2179"/>
      <c r="EG22" s="2179"/>
      <c r="EH22" s="2179"/>
      <c r="EI22" s="2179"/>
      <c r="EJ22" s="2179"/>
      <c r="EK22" s="2179"/>
      <c r="EL22" s="2179"/>
      <c r="EM22" s="2179"/>
      <c r="EN22" s="2179"/>
      <c r="EO22" s="2179"/>
      <c r="EP22" s="2179"/>
      <c r="EQ22" s="2179"/>
      <c r="ER22" s="2179"/>
      <c r="ES22" s="2179"/>
      <c r="ET22" s="2179"/>
      <c r="EU22" s="2179"/>
      <c r="EV22" s="2179"/>
      <c r="EW22" s="2179"/>
      <c r="EX22" s="2179"/>
      <c r="EY22" s="2179"/>
      <c r="EZ22" s="2179"/>
      <c r="FA22" s="2179"/>
      <c r="FB22" s="2179"/>
      <c r="FC22" s="2179"/>
      <c r="FD22" s="2179"/>
      <c r="FE22" s="2179"/>
      <c r="FF22" s="2179"/>
      <c r="FG22" s="2179"/>
      <c r="FH22" s="2179"/>
      <c r="FI22" s="2179"/>
      <c r="FJ22" s="2179"/>
      <c r="FK22" s="2179"/>
      <c r="FL22" s="2179"/>
      <c r="FM22" s="2179"/>
      <c r="FN22" s="2179"/>
      <c r="FO22" s="2179"/>
      <c r="FP22" s="2179"/>
      <c r="FQ22" s="2179"/>
      <c r="FR22" s="2179">
        <v>2</v>
      </c>
      <c r="FS22" s="2179"/>
      <c r="FT22" s="2179"/>
      <c r="FU22" s="2179"/>
      <c r="FV22" s="2179"/>
      <c r="FW22" s="2179"/>
      <c r="FX22" s="2179"/>
      <c r="FY22" s="2179"/>
      <c r="FZ22" s="2179"/>
      <c r="GA22" s="2179">
        <v>2</v>
      </c>
      <c r="GB22" s="2179">
        <f t="shared" si="1"/>
        <v>2</v>
      </c>
    </row>
    <row r="23" spans="2:184" ht="16.8" hidden="1">
      <c r="B23" s="2313" t="str">
        <f t="shared" si="2"/>
        <v>CK-B</v>
      </c>
      <c r="C23" s="2179"/>
      <c r="D23" s="2179" t="s">
        <v>757</v>
      </c>
      <c r="E23" s="2179">
        <f t="shared" si="0"/>
        <v>1</v>
      </c>
      <c r="F23" s="2179"/>
      <c r="G23" s="2179"/>
      <c r="H23" s="2179"/>
      <c r="I23" s="2179"/>
      <c r="J23" s="2179"/>
      <c r="K23" s="2179"/>
      <c r="L23" s="2179"/>
      <c r="M23" s="2179"/>
      <c r="N23" s="2179"/>
      <c r="O23" s="2179"/>
      <c r="P23" s="2179"/>
      <c r="Q23" s="2179"/>
      <c r="R23" s="2179"/>
      <c r="S23" s="2179"/>
      <c r="T23" s="2179"/>
      <c r="U23" s="2179"/>
      <c r="V23" s="2179"/>
      <c r="W23" s="2179"/>
      <c r="X23" s="2179"/>
      <c r="Y23" s="2179"/>
      <c r="Z23" s="2179"/>
      <c r="AA23" s="2179"/>
      <c r="AB23" s="2179"/>
      <c r="AC23" s="2179"/>
      <c r="AD23" s="2179"/>
      <c r="AE23" s="2179"/>
      <c r="AF23" s="2179">
        <v>1</v>
      </c>
      <c r="AG23" s="2179"/>
      <c r="AH23" s="2179"/>
      <c r="AI23" s="2179"/>
      <c r="AJ23" s="2179"/>
      <c r="AK23" s="2179"/>
      <c r="AL23" s="2179"/>
      <c r="AM23" s="2179"/>
      <c r="AN23" s="2179"/>
      <c r="AO23" s="2179"/>
      <c r="AP23" s="2179"/>
      <c r="AQ23" s="2179"/>
      <c r="AR23" s="2179"/>
      <c r="AS23" s="2179"/>
      <c r="AT23" s="2179"/>
      <c r="AU23" s="2179"/>
      <c r="AV23" s="2179"/>
      <c r="AW23" s="2179"/>
      <c r="AX23" s="2179"/>
      <c r="AY23" s="2179"/>
      <c r="AZ23" s="2179"/>
      <c r="BA23" s="2179"/>
      <c r="BB23" s="2179"/>
      <c r="BC23" s="2179"/>
      <c r="BD23" s="2179"/>
      <c r="BE23" s="2179"/>
      <c r="BF23" s="2179"/>
      <c r="BG23" s="2179"/>
      <c r="BH23" s="2179"/>
      <c r="BI23" s="2179"/>
      <c r="BJ23" s="2179"/>
      <c r="BK23" s="2179"/>
      <c r="BL23" s="2179"/>
      <c r="BM23" s="2179"/>
      <c r="BN23" s="2179"/>
      <c r="BO23" s="2179"/>
      <c r="BP23" s="2179"/>
      <c r="BQ23" s="2179"/>
      <c r="BR23" s="2179"/>
      <c r="BS23" s="2179"/>
      <c r="BT23" s="2179"/>
      <c r="BU23" s="2179"/>
      <c r="BV23" s="2179"/>
      <c r="BW23" s="2179"/>
      <c r="BX23" s="2179"/>
      <c r="BY23" s="2179"/>
      <c r="BZ23" s="2179"/>
      <c r="CA23" s="2179"/>
      <c r="CB23" s="2179"/>
      <c r="CC23" s="2179"/>
      <c r="CD23" s="2179"/>
      <c r="CE23" s="2179"/>
      <c r="CF23" s="2179"/>
      <c r="CG23" s="2179"/>
      <c r="CH23" s="2179"/>
      <c r="CI23" s="2179"/>
      <c r="CJ23" s="2179"/>
      <c r="CK23" s="2179"/>
      <c r="CL23" s="2179"/>
      <c r="CM23" s="2179"/>
      <c r="CN23" s="2179"/>
      <c r="CO23" s="2179"/>
      <c r="CP23" s="2179"/>
      <c r="CQ23" s="2179"/>
      <c r="CR23" s="2179"/>
      <c r="CS23" s="2179"/>
      <c r="CT23" s="2179"/>
      <c r="CU23" s="2179"/>
      <c r="CV23" s="2179"/>
      <c r="CW23" s="2179"/>
      <c r="CX23" s="2179"/>
      <c r="CY23" s="2179"/>
      <c r="CZ23" s="2179"/>
      <c r="DA23" s="2179"/>
      <c r="DB23" s="2179"/>
      <c r="DC23" s="2179"/>
      <c r="DD23" s="2179"/>
      <c r="DE23" s="2179"/>
      <c r="DF23" s="2179"/>
      <c r="DG23" s="2179"/>
      <c r="DH23" s="2179"/>
      <c r="DI23" s="2179"/>
      <c r="DJ23" s="2179"/>
      <c r="DK23" s="2179"/>
      <c r="DL23" s="2179"/>
      <c r="DM23" s="2179"/>
      <c r="DN23" s="2179"/>
      <c r="DO23" s="2179"/>
      <c r="DP23" s="2179"/>
      <c r="DQ23" s="2179"/>
      <c r="DR23" s="2179"/>
      <c r="DS23" s="2179"/>
      <c r="DT23" s="2179"/>
      <c r="DU23" s="2179"/>
      <c r="DV23" s="2179"/>
      <c r="DW23" s="2179"/>
      <c r="DX23" s="2179"/>
      <c r="DY23" s="2179"/>
      <c r="DZ23" s="2179"/>
      <c r="EA23" s="2179"/>
      <c r="EB23" s="2179"/>
      <c r="EC23" s="2179"/>
      <c r="ED23" s="2179"/>
      <c r="EE23" s="2179"/>
      <c r="EF23" s="2179"/>
      <c r="EG23" s="2179"/>
      <c r="EH23" s="2179"/>
      <c r="EI23" s="2179"/>
      <c r="EJ23" s="2179"/>
      <c r="EK23" s="2179"/>
      <c r="EL23" s="2179"/>
      <c r="EM23" s="2179"/>
      <c r="EN23" s="2179"/>
      <c r="EO23" s="2179"/>
      <c r="EP23" s="2179"/>
      <c r="EQ23" s="2179"/>
      <c r="ER23" s="2179"/>
      <c r="ES23" s="2179"/>
      <c r="ET23" s="2179"/>
      <c r="EU23" s="2179"/>
      <c r="EV23" s="2179"/>
      <c r="EW23" s="2179"/>
      <c r="EX23" s="2179"/>
      <c r="EY23" s="2179"/>
      <c r="EZ23" s="2179"/>
      <c r="FA23" s="2179"/>
      <c r="FB23" s="2179"/>
      <c r="FC23" s="2179"/>
      <c r="FD23" s="2179"/>
      <c r="FE23" s="2179"/>
      <c r="FF23" s="2179"/>
      <c r="FG23" s="2179"/>
      <c r="FH23" s="2179"/>
      <c r="FI23" s="2179"/>
      <c r="FJ23" s="2179"/>
      <c r="FK23" s="2179"/>
      <c r="FL23" s="2179"/>
      <c r="FM23" s="2179"/>
      <c r="FN23" s="2179"/>
      <c r="FO23" s="2179"/>
      <c r="FP23" s="2179"/>
      <c r="FQ23" s="2179"/>
      <c r="FR23" s="2179"/>
      <c r="FS23" s="2179"/>
      <c r="FT23" s="2179"/>
      <c r="FU23" s="2179"/>
      <c r="FV23" s="2179"/>
      <c r="FW23" s="2179"/>
      <c r="FX23" s="2179"/>
      <c r="FY23" s="2179"/>
      <c r="FZ23" s="2179"/>
      <c r="GA23" s="2179">
        <v>1</v>
      </c>
      <c r="GB23" s="2179">
        <f t="shared" si="1"/>
        <v>1</v>
      </c>
    </row>
    <row r="24" spans="2:184" ht="16.8" hidden="1">
      <c r="B24" s="2313" t="str">
        <f t="shared" si="2"/>
        <v>NXX</v>
      </c>
      <c r="C24" s="2179" t="s">
        <v>5125</v>
      </c>
      <c r="D24" s="2179" t="s">
        <v>1544</v>
      </c>
      <c r="E24" s="2179">
        <f t="shared" si="0"/>
        <v>2</v>
      </c>
      <c r="F24" s="2179"/>
      <c r="G24" s="2179"/>
      <c r="H24" s="2179"/>
      <c r="I24" s="2179"/>
      <c r="J24" s="2179"/>
      <c r="K24" s="2179"/>
      <c r="L24" s="2179"/>
      <c r="M24" s="2179"/>
      <c r="N24" s="2179"/>
      <c r="O24" s="2179"/>
      <c r="P24" s="2179"/>
      <c r="Q24" s="2179"/>
      <c r="R24" s="2179"/>
      <c r="S24" s="2179"/>
      <c r="T24" s="2179"/>
      <c r="U24" s="2179"/>
      <c r="V24" s="2179"/>
      <c r="W24" s="2179"/>
      <c r="X24" s="2179"/>
      <c r="Y24" s="2179"/>
      <c r="Z24" s="2179"/>
      <c r="AA24" s="2179"/>
      <c r="AB24" s="2179"/>
      <c r="AC24" s="2179"/>
      <c r="AD24" s="2179"/>
      <c r="AE24" s="2179"/>
      <c r="AF24" s="2179"/>
      <c r="AG24" s="2179"/>
      <c r="AH24" s="2179"/>
      <c r="AI24" s="2179"/>
      <c r="AJ24" s="2179"/>
      <c r="AK24" s="2179"/>
      <c r="AL24" s="2179"/>
      <c r="AM24" s="2179"/>
      <c r="AN24" s="2179"/>
      <c r="AO24" s="2179"/>
      <c r="AP24" s="2179"/>
      <c r="AQ24" s="2179"/>
      <c r="AR24" s="2179"/>
      <c r="AS24" s="2179"/>
      <c r="AT24" s="2179"/>
      <c r="AU24" s="2179"/>
      <c r="AV24" s="2179"/>
      <c r="AW24" s="2179"/>
      <c r="AX24" s="2179"/>
      <c r="AY24" s="2179"/>
      <c r="AZ24" s="2179"/>
      <c r="BA24" s="2179"/>
      <c r="BB24" s="2179"/>
      <c r="BC24" s="2179"/>
      <c r="BD24" s="2179"/>
      <c r="BE24" s="2179"/>
      <c r="BF24" s="2179"/>
      <c r="BG24" s="2179"/>
      <c r="BH24" s="2179"/>
      <c r="BI24" s="2179"/>
      <c r="BJ24" s="2179"/>
      <c r="BK24" s="2179"/>
      <c r="BL24" s="2179"/>
      <c r="BM24" s="2179"/>
      <c r="BN24" s="2179"/>
      <c r="BO24" s="2179"/>
      <c r="BP24" s="2179"/>
      <c r="BQ24" s="2179"/>
      <c r="BR24" s="2179"/>
      <c r="BS24" s="2179"/>
      <c r="BT24" s="2179"/>
      <c r="BU24" s="2179"/>
      <c r="BV24" s="2179"/>
      <c r="BW24" s="2179"/>
      <c r="BX24" s="2179"/>
      <c r="BY24" s="2179"/>
      <c r="BZ24" s="2179"/>
      <c r="CA24" s="2179"/>
      <c r="CB24" s="2179"/>
      <c r="CC24" s="2179"/>
      <c r="CD24" s="2179"/>
      <c r="CE24" s="2179"/>
      <c r="CF24" s="2179"/>
      <c r="CG24" s="2179"/>
      <c r="CH24" s="2179"/>
      <c r="CI24" s="2179"/>
      <c r="CJ24" s="2179"/>
      <c r="CK24" s="2179"/>
      <c r="CL24" s="2179"/>
      <c r="CM24" s="2179"/>
      <c r="CN24" s="2179"/>
      <c r="CO24" s="2179"/>
      <c r="CP24" s="2179"/>
      <c r="CQ24" s="2179"/>
      <c r="CR24" s="2179"/>
      <c r="CS24" s="2179"/>
      <c r="CT24" s="2179"/>
      <c r="CU24" s="2179"/>
      <c r="CV24" s="2179"/>
      <c r="CW24" s="2179"/>
      <c r="CX24" s="2179"/>
      <c r="CY24" s="2179"/>
      <c r="CZ24" s="2179"/>
      <c r="DA24" s="2179"/>
      <c r="DB24" s="2179"/>
      <c r="DC24" s="2179"/>
      <c r="DD24" s="2179"/>
      <c r="DE24" s="2179"/>
      <c r="DF24" s="2179"/>
      <c r="DG24" s="2179"/>
      <c r="DH24" s="2179"/>
      <c r="DI24" s="2179"/>
      <c r="DJ24" s="2179"/>
      <c r="DK24" s="2179"/>
      <c r="DL24" s="2179"/>
      <c r="DM24" s="2179"/>
      <c r="DN24" s="2179"/>
      <c r="DO24" s="2179"/>
      <c r="DP24" s="2179"/>
      <c r="DQ24" s="2179"/>
      <c r="DR24" s="2179"/>
      <c r="DS24" s="2179"/>
      <c r="DT24" s="2179"/>
      <c r="DU24" s="2179"/>
      <c r="DV24" s="2179"/>
      <c r="DW24" s="2179"/>
      <c r="DX24" s="2179"/>
      <c r="DY24" s="2179"/>
      <c r="DZ24" s="2179"/>
      <c r="EA24" s="2179"/>
      <c r="EB24" s="2179"/>
      <c r="EC24" s="2179"/>
      <c r="ED24" s="2179"/>
      <c r="EE24" s="2179"/>
      <c r="EF24" s="2179"/>
      <c r="EG24" s="2179"/>
      <c r="EH24" s="2179"/>
      <c r="EI24" s="2179"/>
      <c r="EJ24" s="2179"/>
      <c r="EK24" s="2179"/>
      <c r="EL24" s="2179"/>
      <c r="EM24" s="2179"/>
      <c r="EN24" s="2179"/>
      <c r="EO24" s="2179"/>
      <c r="EP24" s="2179"/>
      <c r="EQ24" s="2179"/>
      <c r="ER24" s="2179"/>
      <c r="ES24" s="2179"/>
      <c r="ET24" s="2179"/>
      <c r="EU24" s="2179"/>
      <c r="EV24" s="2179"/>
      <c r="EW24" s="2179"/>
      <c r="EX24" s="2179"/>
      <c r="EY24" s="2179"/>
      <c r="EZ24" s="2179"/>
      <c r="FA24" s="2179"/>
      <c r="FB24" s="2179"/>
      <c r="FC24" s="2179"/>
      <c r="FD24" s="2179"/>
      <c r="FE24" s="2179"/>
      <c r="FF24" s="2179"/>
      <c r="FG24" s="2179"/>
      <c r="FH24" s="2179"/>
      <c r="FI24" s="2179"/>
      <c r="FJ24" s="2179"/>
      <c r="FK24" s="2179"/>
      <c r="FL24" s="2179"/>
      <c r="FM24" s="2179"/>
      <c r="FN24" s="2179"/>
      <c r="FO24" s="2179"/>
      <c r="FP24" s="2179"/>
      <c r="FQ24" s="2179"/>
      <c r="FR24" s="2179">
        <v>2</v>
      </c>
      <c r="FS24" s="2179"/>
      <c r="FT24" s="2179"/>
      <c r="FU24" s="2179"/>
      <c r="FV24" s="2179"/>
      <c r="FW24" s="2179"/>
      <c r="FX24" s="2179"/>
      <c r="FY24" s="2179"/>
      <c r="FZ24" s="2179"/>
      <c r="GA24" s="2179">
        <v>2</v>
      </c>
      <c r="GB24" s="2179">
        <f t="shared" si="1"/>
        <v>2</v>
      </c>
    </row>
    <row r="25" spans="2:184" ht="16.8" hidden="1">
      <c r="B25" s="2313" t="str">
        <f t="shared" si="2"/>
        <v>TDTT12HH</v>
      </c>
      <c r="C25" s="2179" t="s">
        <v>5126</v>
      </c>
      <c r="D25" s="2179" t="s">
        <v>5314</v>
      </c>
      <c r="E25" s="2179">
        <f t="shared" si="0"/>
        <v>15</v>
      </c>
      <c r="F25" s="2179"/>
      <c r="G25" s="2179"/>
      <c r="H25" s="2179"/>
      <c r="I25" s="2179"/>
      <c r="J25" s="2179"/>
      <c r="K25" s="2179"/>
      <c r="L25" s="2179"/>
      <c r="M25" s="2179"/>
      <c r="N25" s="2179"/>
      <c r="O25" s="2179"/>
      <c r="P25" s="2179"/>
      <c r="Q25" s="2179"/>
      <c r="R25" s="2179"/>
      <c r="S25" s="2179">
        <v>1</v>
      </c>
      <c r="T25" s="2179"/>
      <c r="U25" s="2179"/>
      <c r="V25" s="2179"/>
      <c r="W25" s="2179"/>
      <c r="X25" s="2179"/>
      <c r="Y25" s="2179"/>
      <c r="Z25" s="2179"/>
      <c r="AA25" s="2179"/>
      <c r="AB25" s="2179"/>
      <c r="AC25" s="2179"/>
      <c r="AD25" s="2179"/>
      <c r="AE25" s="2179"/>
      <c r="AF25" s="2179"/>
      <c r="AG25" s="2179"/>
      <c r="AH25" s="2179"/>
      <c r="AI25" s="2179">
        <v>1</v>
      </c>
      <c r="AJ25" s="2179"/>
      <c r="AK25" s="2179"/>
      <c r="AL25" s="2179"/>
      <c r="AM25" s="2179"/>
      <c r="AN25" s="2179"/>
      <c r="AO25" s="2179"/>
      <c r="AP25" s="2179"/>
      <c r="AQ25" s="2179"/>
      <c r="AR25" s="2179"/>
      <c r="AS25" s="2179"/>
      <c r="AT25" s="2179"/>
      <c r="AU25" s="2179"/>
      <c r="AV25" s="2179"/>
      <c r="AW25" s="2179"/>
      <c r="AX25" s="2179"/>
      <c r="AY25" s="2179"/>
      <c r="AZ25" s="2179"/>
      <c r="BA25" s="2179"/>
      <c r="BB25" s="2179"/>
      <c r="BC25" s="2179"/>
      <c r="BD25" s="2179"/>
      <c r="BE25" s="2179"/>
      <c r="BF25" s="2179"/>
      <c r="BG25" s="2179"/>
      <c r="BH25" s="2179"/>
      <c r="BI25" s="2179"/>
      <c r="BJ25" s="2179"/>
      <c r="BK25" s="2179"/>
      <c r="BL25" s="2179"/>
      <c r="BM25" s="2179"/>
      <c r="BN25" s="2179">
        <v>1</v>
      </c>
      <c r="BO25" s="2179"/>
      <c r="BP25" s="2179"/>
      <c r="BQ25" s="2179"/>
      <c r="BR25" s="2179"/>
      <c r="BS25" s="2179"/>
      <c r="BT25" s="2179"/>
      <c r="BU25" s="2179"/>
      <c r="BV25" s="2179"/>
      <c r="BW25" s="2179"/>
      <c r="BX25" s="2179"/>
      <c r="BY25" s="2179"/>
      <c r="BZ25" s="2179"/>
      <c r="CA25" s="2179"/>
      <c r="CB25" s="2179"/>
      <c r="CC25" s="2179"/>
      <c r="CD25" s="2179"/>
      <c r="CE25" s="2179"/>
      <c r="CF25" s="2179">
        <v>1</v>
      </c>
      <c r="CG25" s="2179"/>
      <c r="CH25" s="2179"/>
      <c r="CI25" s="2179"/>
      <c r="CJ25" s="2179"/>
      <c r="CK25" s="2179"/>
      <c r="CL25" s="2179">
        <v>1</v>
      </c>
      <c r="CM25" s="2179"/>
      <c r="CN25" s="2179"/>
      <c r="CO25" s="2179"/>
      <c r="CP25" s="2179"/>
      <c r="CQ25" s="2179"/>
      <c r="CR25" s="2179"/>
      <c r="CS25" s="2179">
        <v>1</v>
      </c>
      <c r="CT25" s="2179"/>
      <c r="CU25" s="2179"/>
      <c r="CV25" s="2179"/>
      <c r="CW25" s="2179"/>
      <c r="CX25" s="2179"/>
      <c r="CY25" s="2179"/>
      <c r="CZ25" s="2179"/>
      <c r="DA25" s="2179"/>
      <c r="DB25" s="2179"/>
      <c r="DC25" s="2179"/>
      <c r="DD25" s="2179"/>
      <c r="DE25" s="2179"/>
      <c r="DF25" s="2179"/>
      <c r="DG25" s="2179"/>
      <c r="DH25" s="2179"/>
      <c r="DI25" s="2179"/>
      <c r="DJ25" s="2179"/>
      <c r="DK25" s="2179"/>
      <c r="DL25" s="2179"/>
      <c r="DM25" s="2179"/>
      <c r="DN25" s="2179"/>
      <c r="DO25" s="2179"/>
      <c r="DP25" s="2179">
        <v>1</v>
      </c>
      <c r="DQ25" s="2179"/>
      <c r="DR25" s="2179"/>
      <c r="DS25" s="2179"/>
      <c r="DT25" s="2179"/>
      <c r="DU25" s="2179"/>
      <c r="DV25" s="2179"/>
      <c r="DW25" s="2179">
        <v>1</v>
      </c>
      <c r="DX25" s="2179"/>
      <c r="DY25" s="2179"/>
      <c r="DZ25" s="2179"/>
      <c r="EA25" s="2179"/>
      <c r="EB25" s="2179"/>
      <c r="EC25" s="2179">
        <v>1</v>
      </c>
      <c r="ED25" s="2179"/>
      <c r="EE25" s="2179"/>
      <c r="EF25" s="2179"/>
      <c r="EG25" s="2179"/>
      <c r="EH25" s="2179"/>
      <c r="EI25" s="2179"/>
      <c r="EJ25" s="2179"/>
      <c r="EK25" s="2179"/>
      <c r="EL25" s="2179"/>
      <c r="EM25" s="2179">
        <v>1</v>
      </c>
      <c r="EN25" s="2179"/>
      <c r="EO25" s="2179"/>
      <c r="EP25" s="2179"/>
      <c r="EQ25" s="2179"/>
      <c r="ER25" s="2179"/>
      <c r="ES25" s="2179">
        <v>1</v>
      </c>
      <c r="ET25" s="2179"/>
      <c r="EU25" s="2179"/>
      <c r="EV25" s="2179"/>
      <c r="EW25" s="2179"/>
      <c r="EX25" s="2179"/>
      <c r="EY25" s="2179"/>
      <c r="EZ25" s="2179"/>
      <c r="FA25" s="2179">
        <v>1</v>
      </c>
      <c r="FB25" s="2179"/>
      <c r="FC25" s="2179"/>
      <c r="FD25" s="2179"/>
      <c r="FE25" s="2179"/>
      <c r="FF25" s="2179"/>
      <c r="FG25" s="2179">
        <v>1</v>
      </c>
      <c r="FH25" s="2179"/>
      <c r="FI25" s="2179"/>
      <c r="FJ25" s="2179"/>
      <c r="FK25" s="2179"/>
      <c r="FL25" s="2179"/>
      <c r="FM25" s="2179">
        <v>1</v>
      </c>
      <c r="FN25" s="2179"/>
      <c r="FO25" s="2179"/>
      <c r="FP25" s="2179"/>
      <c r="FQ25" s="2179"/>
      <c r="FR25" s="2179"/>
      <c r="FS25" s="2179">
        <v>1</v>
      </c>
      <c r="FT25" s="2179"/>
      <c r="FU25" s="2179"/>
      <c r="FV25" s="2179"/>
      <c r="FW25" s="2179"/>
      <c r="FX25" s="2179"/>
      <c r="FY25" s="2179"/>
      <c r="FZ25" s="2179"/>
      <c r="GA25" s="2179">
        <v>15</v>
      </c>
      <c r="GB25" s="2179">
        <f t="shared" si="1"/>
        <v>15</v>
      </c>
    </row>
    <row r="26" spans="2:184" ht="16.8">
      <c r="B26" s="2313" t="str">
        <f t="shared" si="2"/>
        <v>TDLL12</v>
      </c>
      <c r="C26" s="2179" t="s">
        <v>5127</v>
      </c>
      <c r="D26" s="2179" t="s">
        <v>2297</v>
      </c>
      <c r="E26" s="2179">
        <f t="shared" si="0"/>
        <v>14</v>
      </c>
      <c r="F26" s="2179">
        <v>1</v>
      </c>
      <c r="G26" s="2179"/>
      <c r="H26" s="2179"/>
      <c r="I26" s="2179"/>
      <c r="J26" s="2179">
        <v>1</v>
      </c>
      <c r="K26" s="2179"/>
      <c r="L26" s="2179"/>
      <c r="M26" s="2179"/>
      <c r="N26" s="2179"/>
      <c r="O26" s="2179"/>
      <c r="P26" s="2179"/>
      <c r="Q26" s="2179"/>
      <c r="R26" s="2179"/>
      <c r="S26" s="2179"/>
      <c r="T26" s="2179"/>
      <c r="U26" s="2179"/>
      <c r="V26" s="2179">
        <v>1</v>
      </c>
      <c r="W26" s="2179"/>
      <c r="X26" s="2179"/>
      <c r="Y26" s="2179"/>
      <c r="Z26" s="2179"/>
      <c r="AA26" s="2179"/>
      <c r="AB26" s="2179">
        <v>1</v>
      </c>
      <c r="AC26" s="2179"/>
      <c r="AD26" s="2179"/>
      <c r="AE26" s="2179"/>
      <c r="AF26" s="2179"/>
      <c r="AG26" s="2179"/>
      <c r="AH26" s="2179"/>
      <c r="AI26" s="2179"/>
      <c r="AJ26" s="2179"/>
      <c r="AK26" s="2179"/>
      <c r="AL26" s="2179"/>
      <c r="AM26" s="2179"/>
      <c r="AN26" s="2179"/>
      <c r="AO26" s="2179"/>
      <c r="AP26" s="2179"/>
      <c r="AQ26" s="2179"/>
      <c r="AR26" s="2179"/>
      <c r="AS26" s="2179"/>
      <c r="AT26" s="2179">
        <v>1</v>
      </c>
      <c r="AU26" s="2179"/>
      <c r="AV26" s="2179"/>
      <c r="AW26" s="2179"/>
      <c r="AX26" s="2179"/>
      <c r="AY26" s="2179"/>
      <c r="AZ26" s="2179"/>
      <c r="BA26" s="2179">
        <v>1</v>
      </c>
      <c r="BB26" s="2179"/>
      <c r="BC26" s="2179"/>
      <c r="BD26" s="2179"/>
      <c r="BE26" s="2179"/>
      <c r="BF26" s="2179"/>
      <c r="BG26" s="2179">
        <v>1</v>
      </c>
      <c r="BH26" s="2179"/>
      <c r="BI26" s="2179"/>
      <c r="BJ26" s="2179"/>
      <c r="BK26" s="2179"/>
      <c r="BL26" s="2179"/>
      <c r="BM26" s="2179"/>
      <c r="BN26" s="2179"/>
      <c r="BO26" s="2179"/>
      <c r="BP26" s="2179"/>
      <c r="BQ26" s="2179"/>
      <c r="BR26" s="2179"/>
      <c r="BS26" s="2179">
        <v>1</v>
      </c>
      <c r="BT26" s="2179"/>
      <c r="BU26" s="2179"/>
      <c r="BV26" s="2179"/>
      <c r="BW26" s="2179"/>
      <c r="BX26" s="2179"/>
      <c r="BY26" s="2179">
        <v>1</v>
      </c>
      <c r="BZ26" s="2179"/>
      <c r="CA26" s="2179"/>
      <c r="CB26" s="2179"/>
      <c r="CC26" s="2179"/>
      <c r="CD26" s="2179"/>
      <c r="CE26" s="2179"/>
      <c r="CF26" s="2179"/>
      <c r="CG26" s="2179"/>
      <c r="CH26" s="2179"/>
      <c r="CI26" s="2179">
        <v>1</v>
      </c>
      <c r="CJ26" s="2179"/>
      <c r="CK26" s="2179"/>
      <c r="CL26" s="2179"/>
      <c r="CM26" s="2179"/>
      <c r="CN26" s="2179"/>
      <c r="CO26" s="2179"/>
      <c r="CP26" s="2179"/>
      <c r="CQ26" s="2179"/>
      <c r="CR26" s="2179"/>
      <c r="CS26" s="2179"/>
      <c r="CT26" s="2179"/>
      <c r="CU26" s="2179"/>
      <c r="CV26" s="2179"/>
      <c r="CW26" s="2179"/>
      <c r="CX26" s="2179">
        <v>1</v>
      </c>
      <c r="CY26" s="2179"/>
      <c r="CZ26" s="2179"/>
      <c r="DA26" s="2179"/>
      <c r="DB26" s="2179"/>
      <c r="DC26" s="2179"/>
      <c r="DD26" s="2179">
        <v>1</v>
      </c>
      <c r="DE26" s="2179"/>
      <c r="DF26" s="2179"/>
      <c r="DG26" s="2179"/>
      <c r="DH26" s="2179"/>
      <c r="DI26" s="2179"/>
      <c r="DJ26" s="2179"/>
      <c r="DK26" s="2179">
        <v>1</v>
      </c>
      <c r="DL26" s="2179"/>
      <c r="DM26" s="2179"/>
      <c r="DN26" s="2179"/>
      <c r="DO26" s="2179"/>
      <c r="DP26" s="2179"/>
      <c r="DQ26" s="2179"/>
      <c r="DR26" s="2179"/>
      <c r="DS26" s="2179"/>
      <c r="DT26" s="2179"/>
      <c r="DU26" s="2179"/>
      <c r="DV26" s="2179"/>
      <c r="DW26" s="2179"/>
      <c r="DX26" s="2179"/>
      <c r="DY26" s="2179"/>
      <c r="DZ26" s="2179"/>
      <c r="EA26" s="2179"/>
      <c r="EB26" s="2179"/>
      <c r="EC26" s="2179"/>
      <c r="ED26" s="2179"/>
      <c r="EE26" s="2179"/>
      <c r="EF26" s="2179"/>
      <c r="EG26" s="2179"/>
      <c r="EH26" s="2179">
        <v>1</v>
      </c>
      <c r="EI26" s="2179"/>
      <c r="EJ26" s="2179"/>
      <c r="EK26" s="2179"/>
      <c r="EL26" s="2179"/>
      <c r="EM26" s="2179"/>
      <c r="EN26" s="2179"/>
      <c r="EO26" s="2179"/>
      <c r="EP26" s="2179"/>
      <c r="EQ26" s="2179"/>
      <c r="ER26" s="2179"/>
      <c r="ES26" s="2179"/>
      <c r="ET26" s="2179"/>
      <c r="EU26" s="2179"/>
      <c r="EV26" s="2179"/>
      <c r="EW26" s="2179"/>
      <c r="EX26" s="2179"/>
      <c r="EY26" s="2179"/>
      <c r="EZ26" s="2179"/>
      <c r="FA26" s="2179"/>
      <c r="FB26" s="2179"/>
      <c r="FC26" s="2179"/>
      <c r="FD26" s="2179"/>
      <c r="FE26" s="2179"/>
      <c r="FF26" s="2179"/>
      <c r="FG26" s="2179"/>
      <c r="FH26" s="2179"/>
      <c r="FI26" s="2179"/>
      <c r="FJ26" s="2179"/>
      <c r="FK26" s="2179"/>
      <c r="FL26" s="2179"/>
      <c r="FM26" s="2179"/>
      <c r="FN26" s="2179"/>
      <c r="FO26" s="2179"/>
      <c r="FP26" s="2179"/>
      <c r="FQ26" s="2179"/>
      <c r="FR26" s="2179"/>
      <c r="FS26" s="2179"/>
      <c r="FT26" s="2179"/>
      <c r="FU26" s="2179"/>
      <c r="FV26" s="2179"/>
      <c r="FW26" s="2179"/>
      <c r="FX26" s="2179"/>
      <c r="FY26" s="2179"/>
      <c r="FZ26" s="2179"/>
      <c r="GA26" s="2179">
        <v>14</v>
      </c>
      <c r="GB26" s="2179">
        <f t="shared" si="1"/>
        <v>14</v>
      </c>
    </row>
    <row r="27" spans="2:184" ht="16.8" hidden="1">
      <c r="B27" s="2313" t="str">
        <f t="shared" si="2"/>
        <v>TDDD12</v>
      </c>
      <c r="C27" s="2179" t="s">
        <v>5128</v>
      </c>
      <c r="D27" s="2179" t="s">
        <v>2103</v>
      </c>
      <c r="E27" s="2179">
        <f t="shared" si="0"/>
        <v>10</v>
      </c>
      <c r="F27" s="2179"/>
      <c r="G27" s="2179"/>
      <c r="H27" s="2179"/>
      <c r="I27" s="2179"/>
      <c r="J27" s="2179"/>
      <c r="K27" s="2179"/>
      <c r="L27" s="2179"/>
      <c r="M27" s="2179"/>
      <c r="N27" s="2179"/>
      <c r="O27" s="2179"/>
      <c r="P27" s="2179"/>
      <c r="Q27" s="2179"/>
      <c r="R27" s="2179"/>
      <c r="S27" s="2179"/>
      <c r="T27" s="2179"/>
      <c r="U27" s="2179"/>
      <c r="V27" s="2179"/>
      <c r="W27" s="2179"/>
      <c r="X27" s="2179"/>
      <c r="Y27" s="2179"/>
      <c r="Z27" s="2179"/>
      <c r="AA27" s="2179"/>
      <c r="AB27" s="2179"/>
      <c r="AC27" s="2179"/>
      <c r="AD27" s="2179">
        <v>1</v>
      </c>
      <c r="AE27" s="2179"/>
      <c r="AF27" s="2179"/>
      <c r="AG27" s="2179"/>
      <c r="AH27" s="2179"/>
      <c r="AI27" s="2179"/>
      <c r="AJ27" s="2179"/>
      <c r="AK27" s="2179"/>
      <c r="AL27" s="2179"/>
      <c r="AM27" s="2179"/>
      <c r="AN27" s="2179">
        <v>1</v>
      </c>
      <c r="AO27" s="2179"/>
      <c r="AP27" s="2179"/>
      <c r="AQ27" s="2179"/>
      <c r="AR27" s="2179"/>
      <c r="AS27" s="2179"/>
      <c r="AT27" s="2179"/>
      <c r="AU27" s="2179"/>
      <c r="AV27" s="2179"/>
      <c r="AW27" s="2179"/>
      <c r="AX27" s="2179"/>
      <c r="AY27" s="2179"/>
      <c r="AZ27" s="2179"/>
      <c r="BA27" s="2179"/>
      <c r="BB27" s="2179"/>
      <c r="BC27" s="2179"/>
      <c r="BD27" s="2179"/>
      <c r="BE27" s="2179"/>
      <c r="BF27" s="2179"/>
      <c r="BG27" s="2179"/>
      <c r="BH27" s="2179"/>
      <c r="BI27" s="2179">
        <v>1</v>
      </c>
      <c r="BJ27" s="2179"/>
      <c r="BK27" s="2179"/>
      <c r="BL27" s="2179"/>
      <c r="BM27" s="2179"/>
      <c r="BN27" s="2179"/>
      <c r="BO27" s="2179"/>
      <c r="BP27" s="2179"/>
      <c r="BQ27" s="2179"/>
      <c r="BR27" s="2179"/>
      <c r="BS27" s="2179"/>
      <c r="BT27" s="2179"/>
      <c r="BU27" s="2179"/>
      <c r="BV27" s="2179"/>
      <c r="BW27" s="2179">
        <v>1</v>
      </c>
      <c r="BX27" s="2179"/>
      <c r="BY27" s="2179"/>
      <c r="BZ27" s="2179"/>
      <c r="CA27" s="2179"/>
      <c r="CB27" s="2179"/>
      <c r="CC27" s="2179"/>
      <c r="CD27" s="2179"/>
      <c r="CE27" s="2179"/>
      <c r="CF27" s="2179"/>
      <c r="CG27" s="2179"/>
      <c r="CH27" s="2179"/>
      <c r="CI27" s="2179"/>
      <c r="CJ27" s="2179"/>
      <c r="CK27" s="2179"/>
      <c r="CL27" s="2179"/>
      <c r="CM27" s="2179"/>
      <c r="CN27" s="2179"/>
      <c r="CO27" s="2179"/>
      <c r="CP27" s="2179"/>
      <c r="CQ27" s="2179"/>
      <c r="CR27" s="2179"/>
      <c r="CS27" s="2179"/>
      <c r="CT27" s="2179"/>
      <c r="CU27" s="2179"/>
      <c r="CV27" s="2179"/>
      <c r="CW27" s="2179"/>
      <c r="CX27" s="2179"/>
      <c r="CY27" s="2179"/>
      <c r="CZ27" s="2179">
        <v>1</v>
      </c>
      <c r="DA27" s="2179"/>
      <c r="DB27" s="2179"/>
      <c r="DC27" s="2179"/>
      <c r="DD27" s="2179"/>
      <c r="DE27" s="2179"/>
      <c r="DF27" s="2179"/>
      <c r="DG27" s="2179"/>
      <c r="DH27" s="2179"/>
      <c r="DI27" s="2179"/>
      <c r="DJ27" s="2179"/>
      <c r="DK27" s="2179"/>
      <c r="DL27" s="2179"/>
      <c r="DM27" s="2179"/>
      <c r="DN27" s="2179"/>
      <c r="DO27" s="2179"/>
      <c r="DP27" s="2179"/>
      <c r="DQ27" s="2179"/>
      <c r="DR27" s="2179"/>
      <c r="DS27" s="2179"/>
      <c r="DT27" s="2179"/>
      <c r="DU27" s="2179"/>
      <c r="DV27" s="2179">
        <v>1</v>
      </c>
      <c r="DW27" s="2179"/>
      <c r="DX27" s="2179"/>
      <c r="DY27" s="2179"/>
      <c r="DZ27" s="2179"/>
      <c r="EA27" s="2179"/>
      <c r="EB27" s="2179"/>
      <c r="EC27" s="2179"/>
      <c r="ED27" s="2179"/>
      <c r="EE27" s="2179"/>
      <c r="EF27" s="2179"/>
      <c r="EG27" s="2179"/>
      <c r="EH27" s="2179"/>
      <c r="EI27" s="2179"/>
      <c r="EJ27" s="2179"/>
      <c r="EK27" s="2179"/>
      <c r="EL27" s="2179"/>
      <c r="EM27" s="2179"/>
      <c r="EN27" s="2179"/>
      <c r="EO27" s="2179"/>
      <c r="EP27" s="2179"/>
      <c r="EQ27" s="2179"/>
      <c r="ER27" s="2179"/>
      <c r="ES27" s="2179"/>
      <c r="ET27" s="2179"/>
      <c r="EU27" s="2179"/>
      <c r="EV27" s="2179"/>
      <c r="EW27" s="2179"/>
      <c r="EX27" s="2179">
        <v>1</v>
      </c>
      <c r="EY27" s="2179"/>
      <c r="EZ27" s="2179"/>
      <c r="FA27" s="2179"/>
      <c r="FB27" s="2179"/>
      <c r="FC27" s="2179"/>
      <c r="FD27" s="2179">
        <v>1</v>
      </c>
      <c r="FE27" s="2179"/>
      <c r="FF27" s="2179"/>
      <c r="FG27" s="2179"/>
      <c r="FH27" s="2179"/>
      <c r="FI27" s="2179"/>
      <c r="FJ27" s="2179"/>
      <c r="FK27" s="2179"/>
      <c r="FL27" s="2179"/>
      <c r="FM27" s="2179"/>
      <c r="FN27" s="2179">
        <v>1</v>
      </c>
      <c r="FO27" s="2179"/>
      <c r="FP27" s="2179">
        <v>1</v>
      </c>
      <c r="FQ27" s="2179"/>
      <c r="FR27" s="2179"/>
      <c r="FS27" s="2179"/>
      <c r="FT27" s="2179"/>
      <c r="FU27" s="2179"/>
      <c r="FV27" s="2179"/>
      <c r="FW27" s="2179"/>
      <c r="FX27" s="2179"/>
      <c r="FY27" s="2179"/>
      <c r="FZ27" s="2179"/>
      <c r="GA27" s="2179">
        <v>10</v>
      </c>
      <c r="GB27" s="2179">
        <f t="shared" si="1"/>
        <v>10</v>
      </c>
    </row>
    <row r="28" spans="2:184" ht="16.8" hidden="1">
      <c r="B28" s="2313" t="str">
        <f t="shared" si="2"/>
        <v>X-22K</v>
      </c>
      <c r="C28" s="2179" t="s">
        <v>4175</v>
      </c>
      <c r="D28" s="2179" t="s">
        <v>5315</v>
      </c>
      <c r="E28" s="2179">
        <f t="shared" si="0"/>
        <v>5</v>
      </c>
      <c r="F28" s="2179"/>
      <c r="G28" s="2179"/>
      <c r="H28" s="2179"/>
      <c r="I28" s="2179"/>
      <c r="J28" s="2179"/>
      <c r="K28" s="2179"/>
      <c r="L28" s="2179"/>
      <c r="M28" s="2179"/>
      <c r="N28" s="2179"/>
      <c r="O28" s="2179"/>
      <c r="P28" s="2179"/>
      <c r="Q28" s="2179"/>
      <c r="R28" s="2179"/>
      <c r="S28" s="2179"/>
      <c r="T28" s="2179"/>
      <c r="U28" s="2179"/>
      <c r="V28" s="2179"/>
      <c r="W28" s="2179"/>
      <c r="X28" s="2179"/>
      <c r="Y28" s="2179"/>
      <c r="Z28" s="2179"/>
      <c r="AA28" s="2179"/>
      <c r="AB28" s="2179"/>
      <c r="AC28" s="2179"/>
      <c r="AD28" s="2179"/>
      <c r="AE28" s="2179"/>
      <c r="AF28" s="2179"/>
      <c r="AG28" s="2179"/>
      <c r="AH28" s="2179"/>
      <c r="AI28" s="2179"/>
      <c r="AJ28" s="2179"/>
      <c r="AK28" s="2179"/>
      <c r="AL28" s="2179"/>
      <c r="AM28" s="2179"/>
      <c r="AN28" s="2179"/>
      <c r="AO28" s="2179"/>
      <c r="AP28" s="2179">
        <v>1</v>
      </c>
      <c r="AQ28" s="2179"/>
      <c r="AR28" s="2179"/>
      <c r="AS28" s="2179"/>
      <c r="AT28" s="2179"/>
      <c r="AU28" s="2179"/>
      <c r="AV28" s="2179"/>
      <c r="AW28" s="2179"/>
      <c r="AX28" s="2179"/>
      <c r="AY28" s="2179"/>
      <c r="AZ28" s="2179"/>
      <c r="BA28" s="2179"/>
      <c r="BB28" s="2179"/>
      <c r="BC28" s="2179"/>
      <c r="BD28" s="2179"/>
      <c r="BE28" s="2179"/>
      <c r="BF28" s="2179"/>
      <c r="BG28" s="2179"/>
      <c r="BH28" s="2179"/>
      <c r="BI28" s="2179"/>
      <c r="BJ28" s="2179"/>
      <c r="BK28" s="2179"/>
      <c r="BL28" s="2179"/>
      <c r="BM28" s="2179"/>
      <c r="BN28" s="2179"/>
      <c r="BO28" s="2179"/>
      <c r="BP28" s="2179"/>
      <c r="BQ28" s="2179"/>
      <c r="BR28" s="2179"/>
      <c r="BS28" s="2179"/>
      <c r="BT28" s="2179"/>
      <c r="BU28" s="2179"/>
      <c r="BV28" s="2179"/>
      <c r="BW28" s="2179"/>
      <c r="BX28" s="2179"/>
      <c r="BY28" s="2179"/>
      <c r="BZ28" s="2179"/>
      <c r="CA28" s="2179"/>
      <c r="CB28" s="2179"/>
      <c r="CC28" s="2179"/>
      <c r="CD28" s="2179"/>
      <c r="CE28" s="2179"/>
      <c r="CF28" s="2179"/>
      <c r="CG28" s="2179">
        <v>1</v>
      </c>
      <c r="CH28" s="2179"/>
      <c r="CI28" s="2179">
        <v>1</v>
      </c>
      <c r="CJ28" s="2179"/>
      <c r="CK28" s="2179"/>
      <c r="CL28" s="2179"/>
      <c r="CM28" s="2179"/>
      <c r="CN28" s="2179"/>
      <c r="CO28" s="2179"/>
      <c r="CP28" s="2179"/>
      <c r="CQ28" s="2179"/>
      <c r="CR28" s="2179"/>
      <c r="CS28" s="2179"/>
      <c r="CT28" s="2179"/>
      <c r="CU28" s="2179"/>
      <c r="CV28" s="2179"/>
      <c r="CW28" s="2179"/>
      <c r="CX28" s="2179"/>
      <c r="CY28" s="2179"/>
      <c r="CZ28" s="2179"/>
      <c r="DA28" s="2179"/>
      <c r="DB28" s="2179"/>
      <c r="DC28" s="2179"/>
      <c r="DD28" s="2179"/>
      <c r="DE28" s="2179"/>
      <c r="DF28" s="2179"/>
      <c r="DG28" s="2179"/>
      <c r="DH28" s="2179"/>
      <c r="DI28" s="2179"/>
      <c r="DJ28" s="2179"/>
      <c r="DK28" s="2179"/>
      <c r="DL28" s="2179"/>
      <c r="DM28" s="2179"/>
      <c r="DN28" s="2179"/>
      <c r="DO28" s="2179"/>
      <c r="DP28" s="2179"/>
      <c r="DQ28" s="2179"/>
      <c r="DR28" s="2179"/>
      <c r="DS28" s="2179"/>
      <c r="DT28" s="2179"/>
      <c r="DU28" s="2179"/>
      <c r="DV28" s="2179"/>
      <c r="DW28" s="2179"/>
      <c r="DX28" s="2179"/>
      <c r="DY28" s="2179"/>
      <c r="DZ28" s="2179"/>
      <c r="EA28" s="2179"/>
      <c r="EB28" s="2179">
        <v>1</v>
      </c>
      <c r="EC28" s="2179"/>
      <c r="ED28" s="2179"/>
      <c r="EE28" s="2179"/>
      <c r="EF28" s="2179"/>
      <c r="EG28" s="2179"/>
      <c r="EH28" s="2179"/>
      <c r="EI28" s="2179"/>
      <c r="EJ28" s="2179"/>
      <c r="EK28" s="2179"/>
      <c r="EL28" s="2179"/>
      <c r="EM28" s="2179"/>
      <c r="EN28" s="2179"/>
      <c r="EO28" s="2179"/>
      <c r="EP28" s="2179"/>
      <c r="EQ28" s="2179"/>
      <c r="ER28" s="2179"/>
      <c r="ES28" s="2179"/>
      <c r="ET28" s="2179"/>
      <c r="EU28" s="2179"/>
      <c r="EV28" s="2179"/>
      <c r="EW28" s="2179"/>
      <c r="EX28" s="2179"/>
      <c r="EY28" s="2179"/>
      <c r="EZ28" s="2179"/>
      <c r="FA28" s="2179"/>
      <c r="FB28" s="2179"/>
      <c r="FC28" s="2179"/>
      <c r="FD28" s="2179"/>
      <c r="FE28" s="2179"/>
      <c r="FF28" s="2179"/>
      <c r="FG28" s="2179"/>
      <c r="FH28" s="2179"/>
      <c r="FI28" s="2179"/>
      <c r="FJ28" s="2179"/>
      <c r="FK28" s="2179"/>
      <c r="FL28" s="2179"/>
      <c r="FM28" s="2179"/>
      <c r="FN28" s="2179"/>
      <c r="FO28" s="2179"/>
      <c r="FP28" s="2179"/>
      <c r="FQ28" s="2179"/>
      <c r="FR28" s="2179">
        <v>1</v>
      </c>
      <c r="FS28" s="2179"/>
      <c r="FT28" s="2179"/>
      <c r="FU28" s="2179"/>
      <c r="FV28" s="2179"/>
      <c r="FW28" s="2179"/>
      <c r="FX28" s="2179"/>
      <c r="FY28" s="2179"/>
      <c r="FZ28" s="2179"/>
      <c r="GA28" s="2179">
        <v>5</v>
      </c>
      <c r="GB28" s="2179">
        <f t="shared" si="1"/>
        <v>5</v>
      </c>
    </row>
    <row r="29" spans="2:184" ht="16.8" hidden="1">
      <c r="B29" s="2313" t="str">
        <f t="shared" si="2"/>
        <v>X-22KK</v>
      </c>
      <c r="C29" s="2179"/>
      <c r="D29" s="2179" t="s">
        <v>5316</v>
      </c>
      <c r="E29" s="2179">
        <f t="shared" si="0"/>
        <v>10</v>
      </c>
      <c r="F29" s="2179"/>
      <c r="G29" s="2179">
        <v>1</v>
      </c>
      <c r="H29" s="2179"/>
      <c r="I29" s="2179"/>
      <c r="J29" s="2179"/>
      <c r="K29" s="2179"/>
      <c r="L29" s="2179"/>
      <c r="M29" s="2179"/>
      <c r="N29" s="2179"/>
      <c r="O29" s="2179"/>
      <c r="P29" s="2179"/>
      <c r="Q29" s="2179"/>
      <c r="R29" s="2179"/>
      <c r="S29" s="2179">
        <v>1</v>
      </c>
      <c r="T29" s="2179"/>
      <c r="U29" s="2179"/>
      <c r="V29" s="2179"/>
      <c r="W29" s="2179"/>
      <c r="X29" s="2179"/>
      <c r="Y29" s="2179"/>
      <c r="Z29" s="2179"/>
      <c r="AA29" s="2179"/>
      <c r="AB29" s="2179"/>
      <c r="AC29" s="2179"/>
      <c r="AD29" s="2179"/>
      <c r="AE29" s="2179">
        <v>1</v>
      </c>
      <c r="AF29" s="2179"/>
      <c r="AG29" s="2179"/>
      <c r="AH29" s="2179"/>
      <c r="AI29" s="2179"/>
      <c r="AJ29" s="2179"/>
      <c r="AK29" s="2179"/>
      <c r="AL29" s="2179"/>
      <c r="AM29" s="2179"/>
      <c r="AN29" s="2179"/>
      <c r="AO29" s="2179"/>
      <c r="AP29" s="2179"/>
      <c r="AQ29" s="2179"/>
      <c r="AR29" s="2179"/>
      <c r="AS29" s="2179"/>
      <c r="AT29" s="2179"/>
      <c r="AU29" s="2179"/>
      <c r="AV29" s="2179"/>
      <c r="AW29" s="2179"/>
      <c r="AX29" s="2179"/>
      <c r="AY29" s="2179"/>
      <c r="AZ29" s="2179"/>
      <c r="BA29" s="2179"/>
      <c r="BB29" s="2179"/>
      <c r="BC29" s="2179"/>
      <c r="BD29" s="2179">
        <v>1</v>
      </c>
      <c r="BE29" s="2179"/>
      <c r="BF29" s="2179"/>
      <c r="BG29" s="2179"/>
      <c r="BH29" s="2179"/>
      <c r="BI29" s="2179"/>
      <c r="BJ29" s="2179"/>
      <c r="BK29" s="2179"/>
      <c r="BL29" s="2179"/>
      <c r="BM29" s="2179"/>
      <c r="BN29" s="2179"/>
      <c r="BO29" s="2179"/>
      <c r="BP29" s="2179"/>
      <c r="BQ29" s="2179"/>
      <c r="BR29" s="2179">
        <v>1</v>
      </c>
      <c r="BS29" s="2179"/>
      <c r="BT29" s="2179"/>
      <c r="BU29" s="2179"/>
      <c r="BV29" s="2179"/>
      <c r="BW29" s="2179"/>
      <c r="BX29" s="2179"/>
      <c r="BY29" s="2179"/>
      <c r="BZ29" s="2179"/>
      <c r="CA29" s="2179"/>
      <c r="CB29" s="2179"/>
      <c r="CC29" s="2179"/>
      <c r="CD29" s="2179"/>
      <c r="CE29" s="2179"/>
      <c r="CF29" s="2179"/>
      <c r="CG29" s="2179"/>
      <c r="CH29" s="2179"/>
      <c r="CI29" s="2179">
        <v>1</v>
      </c>
      <c r="CJ29" s="2179"/>
      <c r="CK29" s="2179"/>
      <c r="CL29" s="2179"/>
      <c r="CM29" s="2179"/>
      <c r="CN29" s="2179"/>
      <c r="CO29" s="2179"/>
      <c r="CP29" s="2179"/>
      <c r="CQ29" s="2179"/>
      <c r="CR29" s="2179"/>
      <c r="CS29" s="2179"/>
      <c r="CT29" s="2179"/>
      <c r="CU29" s="2179"/>
      <c r="CV29" s="2179"/>
      <c r="CW29" s="2179"/>
      <c r="CX29" s="2179"/>
      <c r="CY29" s="2179">
        <v>1</v>
      </c>
      <c r="CZ29" s="2179"/>
      <c r="DA29" s="2179"/>
      <c r="DB29" s="2179"/>
      <c r="DC29" s="2179"/>
      <c r="DD29" s="2179"/>
      <c r="DE29" s="2179"/>
      <c r="DF29" s="2179"/>
      <c r="DG29" s="2179"/>
      <c r="DH29" s="2179"/>
      <c r="DI29" s="2179"/>
      <c r="DJ29" s="2179"/>
      <c r="DK29" s="2179"/>
      <c r="DL29" s="2179">
        <v>1</v>
      </c>
      <c r="DM29" s="2179"/>
      <c r="DN29" s="2179"/>
      <c r="DO29" s="2179"/>
      <c r="DP29" s="2179"/>
      <c r="DQ29" s="2179"/>
      <c r="DR29" s="2179"/>
      <c r="DS29" s="2179"/>
      <c r="DT29" s="2179"/>
      <c r="DU29" s="2179"/>
      <c r="DV29" s="2179"/>
      <c r="DW29" s="2179"/>
      <c r="DX29" s="2179"/>
      <c r="DY29" s="2179"/>
      <c r="DZ29" s="2179"/>
      <c r="EA29" s="2179"/>
      <c r="EB29" s="2179"/>
      <c r="EC29" s="2179"/>
      <c r="ED29" s="2179"/>
      <c r="EE29" s="2179"/>
      <c r="EF29" s="2179"/>
      <c r="EG29" s="2179"/>
      <c r="EH29" s="2179"/>
      <c r="EI29" s="2179"/>
      <c r="EJ29" s="2179"/>
      <c r="EK29" s="2179"/>
      <c r="EL29" s="2179"/>
      <c r="EM29" s="2179"/>
      <c r="EN29" s="2179"/>
      <c r="EO29" s="2179"/>
      <c r="EP29" s="2179"/>
      <c r="EQ29" s="2179">
        <v>1</v>
      </c>
      <c r="ER29" s="2179"/>
      <c r="ES29" s="2179"/>
      <c r="ET29" s="2179"/>
      <c r="EU29" s="2179"/>
      <c r="EV29" s="2179"/>
      <c r="EW29" s="2179"/>
      <c r="EX29" s="2179"/>
      <c r="EY29" s="2179"/>
      <c r="EZ29" s="2179"/>
      <c r="FA29" s="2179"/>
      <c r="FB29" s="2179"/>
      <c r="FC29" s="2179"/>
      <c r="FD29" s="2179"/>
      <c r="FE29" s="2179">
        <v>1</v>
      </c>
      <c r="FF29" s="2179"/>
      <c r="FG29" s="2179"/>
      <c r="FH29" s="2179"/>
      <c r="FI29" s="2179"/>
      <c r="FJ29" s="2179"/>
      <c r="FK29" s="2179"/>
      <c r="FL29" s="2179"/>
      <c r="FM29" s="2179"/>
      <c r="FN29" s="2179"/>
      <c r="FO29" s="2179"/>
      <c r="FP29" s="2179"/>
      <c r="FQ29" s="2179"/>
      <c r="FR29" s="2179"/>
      <c r="FS29" s="2179"/>
      <c r="FT29" s="2179"/>
      <c r="FU29" s="2179"/>
      <c r="FV29" s="2179"/>
      <c r="FW29" s="2179"/>
      <c r="FX29" s="2179"/>
      <c r="FY29" s="2179"/>
      <c r="FZ29" s="2179"/>
      <c r="GA29" s="2179">
        <v>10</v>
      </c>
      <c r="GB29" s="2179">
        <f t="shared" si="1"/>
        <v>10</v>
      </c>
    </row>
    <row r="30" spans="2:184" ht="16.8" hidden="1">
      <c r="B30" s="2313" t="str">
        <f t="shared" si="2"/>
        <v>X-20ĐL2/3</v>
      </c>
      <c r="C30" s="2179"/>
      <c r="D30" s="2179" t="s">
        <v>2356</v>
      </c>
      <c r="E30" s="2179">
        <f t="shared" si="0"/>
        <v>151</v>
      </c>
      <c r="F30" s="2179"/>
      <c r="G30" s="2179"/>
      <c r="H30" s="2179"/>
      <c r="I30" s="2179">
        <v>1</v>
      </c>
      <c r="J30" s="2179">
        <v>1</v>
      </c>
      <c r="K30" s="2179">
        <v>1</v>
      </c>
      <c r="L30" s="2179">
        <v>1</v>
      </c>
      <c r="M30" s="2179">
        <v>1</v>
      </c>
      <c r="N30" s="2179">
        <v>1</v>
      </c>
      <c r="O30" s="2179">
        <v>1</v>
      </c>
      <c r="P30" s="2179">
        <v>1</v>
      </c>
      <c r="Q30" s="2179">
        <v>1</v>
      </c>
      <c r="R30" s="2179">
        <v>1</v>
      </c>
      <c r="S30" s="2179"/>
      <c r="T30" s="2179">
        <v>1</v>
      </c>
      <c r="U30" s="2179">
        <v>1</v>
      </c>
      <c r="V30" s="2179">
        <v>1</v>
      </c>
      <c r="W30" s="2179">
        <v>1</v>
      </c>
      <c r="X30" s="2179">
        <v>1</v>
      </c>
      <c r="Y30" s="2179">
        <v>1</v>
      </c>
      <c r="Z30" s="2179">
        <v>1</v>
      </c>
      <c r="AA30" s="2179">
        <v>1</v>
      </c>
      <c r="AB30" s="2179">
        <v>1</v>
      </c>
      <c r="AC30" s="2179">
        <v>1</v>
      </c>
      <c r="AD30" s="2179">
        <v>1</v>
      </c>
      <c r="AE30" s="2179"/>
      <c r="AF30" s="2179"/>
      <c r="AG30" s="2179">
        <v>1</v>
      </c>
      <c r="AH30" s="2179">
        <v>1</v>
      </c>
      <c r="AI30" s="2179">
        <v>1</v>
      </c>
      <c r="AJ30" s="2179">
        <v>1</v>
      </c>
      <c r="AK30" s="2179">
        <v>1</v>
      </c>
      <c r="AL30" s="2179">
        <v>1</v>
      </c>
      <c r="AM30" s="2179">
        <v>1</v>
      </c>
      <c r="AN30" s="2179">
        <v>1</v>
      </c>
      <c r="AO30" s="2179">
        <v>1</v>
      </c>
      <c r="AP30" s="2179"/>
      <c r="AQ30" s="2179">
        <v>1</v>
      </c>
      <c r="AR30" s="2179">
        <v>1</v>
      </c>
      <c r="AS30" s="2179">
        <v>1</v>
      </c>
      <c r="AT30" s="2179">
        <v>1</v>
      </c>
      <c r="AU30" s="2179">
        <v>1</v>
      </c>
      <c r="AV30" s="2179"/>
      <c r="AW30" s="2179">
        <v>1</v>
      </c>
      <c r="AX30" s="2179">
        <v>1</v>
      </c>
      <c r="AY30" s="2179">
        <v>1</v>
      </c>
      <c r="AZ30" s="2179">
        <v>1</v>
      </c>
      <c r="BA30" s="2179">
        <v>1</v>
      </c>
      <c r="BB30" s="2179">
        <v>1</v>
      </c>
      <c r="BC30" s="2179">
        <v>1</v>
      </c>
      <c r="BD30" s="2179"/>
      <c r="BE30" s="2179">
        <v>1</v>
      </c>
      <c r="BF30" s="2179">
        <v>1</v>
      </c>
      <c r="BG30" s="2179">
        <v>1</v>
      </c>
      <c r="BH30" s="2179">
        <v>1</v>
      </c>
      <c r="BI30" s="2179">
        <v>1</v>
      </c>
      <c r="BJ30" s="2179">
        <v>1</v>
      </c>
      <c r="BK30" s="2179">
        <v>1</v>
      </c>
      <c r="BL30" s="2179">
        <v>1</v>
      </c>
      <c r="BM30" s="2179">
        <v>1</v>
      </c>
      <c r="BN30" s="2179">
        <v>1</v>
      </c>
      <c r="BO30" s="2179">
        <v>1</v>
      </c>
      <c r="BP30" s="2179">
        <v>1</v>
      </c>
      <c r="BQ30" s="2179">
        <v>1</v>
      </c>
      <c r="BR30" s="2179"/>
      <c r="BS30" s="2179">
        <v>1</v>
      </c>
      <c r="BT30" s="2179">
        <v>1</v>
      </c>
      <c r="BU30" s="2179">
        <v>1</v>
      </c>
      <c r="BV30" s="2179">
        <v>1</v>
      </c>
      <c r="BW30" s="2179">
        <v>1</v>
      </c>
      <c r="BX30" s="2179">
        <v>1</v>
      </c>
      <c r="BY30" s="2179">
        <v>1</v>
      </c>
      <c r="BZ30" s="2179">
        <v>1</v>
      </c>
      <c r="CA30" s="2179">
        <v>1</v>
      </c>
      <c r="CB30" s="2179">
        <v>1</v>
      </c>
      <c r="CC30" s="2179">
        <v>1</v>
      </c>
      <c r="CD30" s="2179">
        <v>1</v>
      </c>
      <c r="CE30" s="2179">
        <v>1</v>
      </c>
      <c r="CF30" s="2179">
        <v>1</v>
      </c>
      <c r="CG30" s="2179"/>
      <c r="CH30" s="2179">
        <v>1</v>
      </c>
      <c r="CI30" s="2179"/>
      <c r="CJ30" s="2179">
        <v>1</v>
      </c>
      <c r="CK30" s="2179">
        <v>1</v>
      </c>
      <c r="CL30" s="2179">
        <v>1</v>
      </c>
      <c r="CM30" s="2179">
        <v>1</v>
      </c>
      <c r="CN30" s="2179">
        <v>1</v>
      </c>
      <c r="CO30" s="2179">
        <v>1</v>
      </c>
      <c r="CP30" s="2179">
        <v>1</v>
      </c>
      <c r="CQ30" s="2179">
        <v>1</v>
      </c>
      <c r="CR30" s="2179">
        <v>1</v>
      </c>
      <c r="CS30" s="2179">
        <v>1</v>
      </c>
      <c r="CT30" s="2179"/>
      <c r="CU30" s="2179">
        <v>1</v>
      </c>
      <c r="CV30" s="2179">
        <v>1</v>
      </c>
      <c r="CW30" s="2179">
        <v>1</v>
      </c>
      <c r="CX30" s="2179">
        <v>1</v>
      </c>
      <c r="CY30" s="2179"/>
      <c r="CZ30" s="2179">
        <v>1</v>
      </c>
      <c r="DA30" s="2179">
        <v>1</v>
      </c>
      <c r="DB30" s="2179">
        <v>1</v>
      </c>
      <c r="DC30" s="2179">
        <v>1</v>
      </c>
      <c r="DD30" s="2179">
        <v>1</v>
      </c>
      <c r="DE30" s="2179">
        <v>1</v>
      </c>
      <c r="DF30" s="2179">
        <v>1</v>
      </c>
      <c r="DG30" s="2179">
        <v>1</v>
      </c>
      <c r="DH30" s="2179">
        <v>1</v>
      </c>
      <c r="DI30" s="2179">
        <v>1</v>
      </c>
      <c r="DJ30" s="2179">
        <v>1</v>
      </c>
      <c r="DK30" s="2179">
        <v>1</v>
      </c>
      <c r="DL30" s="2179"/>
      <c r="DM30" s="2179">
        <v>1</v>
      </c>
      <c r="DN30" s="2179">
        <v>1</v>
      </c>
      <c r="DO30" s="2179">
        <v>1</v>
      </c>
      <c r="DP30" s="2179">
        <v>1</v>
      </c>
      <c r="DQ30" s="2179"/>
      <c r="DR30" s="2179">
        <v>1</v>
      </c>
      <c r="DS30" s="2179">
        <v>1</v>
      </c>
      <c r="DT30" s="2179">
        <v>1</v>
      </c>
      <c r="DU30" s="2179">
        <v>1</v>
      </c>
      <c r="DV30" s="2179">
        <v>1</v>
      </c>
      <c r="DW30" s="2179">
        <v>1</v>
      </c>
      <c r="DX30" s="2179">
        <v>1</v>
      </c>
      <c r="DY30" s="2179">
        <v>1</v>
      </c>
      <c r="DZ30" s="2179">
        <v>1</v>
      </c>
      <c r="EA30" s="2179">
        <v>1</v>
      </c>
      <c r="EB30" s="2179"/>
      <c r="EC30" s="2179">
        <v>1</v>
      </c>
      <c r="ED30" s="2179">
        <v>1</v>
      </c>
      <c r="EE30" s="2179">
        <v>1</v>
      </c>
      <c r="EF30" s="2179">
        <v>1</v>
      </c>
      <c r="EG30" s="2179">
        <v>1</v>
      </c>
      <c r="EH30" s="2179"/>
      <c r="EI30" s="2179">
        <v>1</v>
      </c>
      <c r="EJ30" s="2179">
        <v>1</v>
      </c>
      <c r="EK30" s="2179">
        <v>1</v>
      </c>
      <c r="EL30" s="2179">
        <v>1</v>
      </c>
      <c r="EM30" s="2179">
        <v>1</v>
      </c>
      <c r="EN30" s="2179">
        <v>1</v>
      </c>
      <c r="EO30" s="2179">
        <v>1</v>
      </c>
      <c r="EP30" s="2179">
        <v>1</v>
      </c>
      <c r="EQ30" s="2179"/>
      <c r="ER30" s="2179">
        <v>1</v>
      </c>
      <c r="ES30" s="2179">
        <v>1</v>
      </c>
      <c r="ET30" s="2179">
        <v>1</v>
      </c>
      <c r="EU30" s="2179">
        <v>1</v>
      </c>
      <c r="EV30" s="2179">
        <v>1</v>
      </c>
      <c r="EW30" s="2179">
        <v>1</v>
      </c>
      <c r="EX30" s="2179">
        <v>1</v>
      </c>
      <c r="EY30" s="2179">
        <v>1</v>
      </c>
      <c r="EZ30" s="2179">
        <v>1</v>
      </c>
      <c r="FA30" s="2179">
        <v>1</v>
      </c>
      <c r="FB30" s="2179">
        <v>1</v>
      </c>
      <c r="FC30" s="2179">
        <v>1</v>
      </c>
      <c r="FD30" s="2179">
        <v>1</v>
      </c>
      <c r="FE30" s="2179"/>
      <c r="FF30" s="2179">
        <v>1</v>
      </c>
      <c r="FG30" s="2179">
        <v>1</v>
      </c>
      <c r="FH30" s="2179">
        <v>1</v>
      </c>
      <c r="FI30" s="2179">
        <v>1</v>
      </c>
      <c r="FJ30" s="2179"/>
      <c r="FK30" s="2179">
        <v>1</v>
      </c>
      <c r="FL30" s="2179">
        <v>1</v>
      </c>
      <c r="FM30" s="2179">
        <v>1</v>
      </c>
      <c r="FN30" s="2179">
        <v>1</v>
      </c>
      <c r="FO30" s="2179">
        <v>1</v>
      </c>
      <c r="FP30" s="2179">
        <v>1</v>
      </c>
      <c r="FQ30" s="2179">
        <v>1</v>
      </c>
      <c r="FR30" s="2179"/>
      <c r="FS30" s="2179">
        <v>1</v>
      </c>
      <c r="FT30" s="2179"/>
      <c r="FU30" s="2179">
        <v>1</v>
      </c>
      <c r="FV30" s="2179">
        <v>1</v>
      </c>
      <c r="FW30" s="2179">
        <v>1</v>
      </c>
      <c r="FX30" s="2179"/>
      <c r="FY30" s="2179"/>
      <c r="FZ30" s="2179"/>
      <c r="GA30" s="2179">
        <v>151</v>
      </c>
      <c r="GB30" s="2179">
        <f t="shared" si="1"/>
        <v>151</v>
      </c>
    </row>
    <row r="31" spans="2:184" ht="16.8" hidden="1">
      <c r="B31" s="2313" t="str">
        <f t="shared" si="2"/>
        <v>X-20KL2/3</v>
      </c>
      <c r="C31" s="2179"/>
      <c r="D31" s="2179" t="s">
        <v>2181</v>
      </c>
      <c r="E31" s="2179">
        <f t="shared" si="0"/>
        <v>8</v>
      </c>
      <c r="F31" s="2179"/>
      <c r="G31" s="2179"/>
      <c r="H31" s="2179">
        <v>1</v>
      </c>
      <c r="I31" s="2179"/>
      <c r="J31" s="2179"/>
      <c r="K31" s="2179"/>
      <c r="L31" s="2179"/>
      <c r="M31" s="2179"/>
      <c r="N31" s="2179"/>
      <c r="O31" s="2179"/>
      <c r="P31" s="2179"/>
      <c r="Q31" s="2179"/>
      <c r="R31" s="2179"/>
      <c r="S31" s="2179"/>
      <c r="T31" s="2179"/>
      <c r="U31" s="2179"/>
      <c r="V31" s="2179"/>
      <c r="W31" s="2179"/>
      <c r="X31" s="2179"/>
      <c r="Y31" s="2179"/>
      <c r="Z31" s="2179"/>
      <c r="AA31" s="2179"/>
      <c r="AB31" s="2179"/>
      <c r="AC31" s="2179"/>
      <c r="AD31" s="2179"/>
      <c r="AE31" s="2179"/>
      <c r="AF31" s="2179">
        <v>1</v>
      </c>
      <c r="AG31" s="2179"/>
      <c r="AH31" s="2179"/>
      <c r="AI31" s="2179"/>
      <c r="AJ31" s="2179"/>
      <c r="AK31" s="2179"/>
      <c r="AL31" s="2179"/>
      <c r="AM31" s="2179"/>
      <c r="AN31" s="2179"/>
      <c r="AO31" s="2179"/>
      <c r="AP31" s="2179"/>
      <c r="AQ31" s="2179"/>
      <c r="AR31" s="2179"/>
      <c r="AS31" s="2179"/>
      <c r="AT31" s="2179"/>
      <c r="AU31" s="2179"/>
      <c r="AV31" s="2179">
        <v>1</v>
      </c>
      <c r="AW31" s="2179"/>
      <c r="AX31" s="2179"/>
      <c r="AY31" s="2179"/>
      <c r="AZ31" s="2179"/>
      <c r="BA31" s="2179"/>
      <c r="BB31" s="2179"/>
      <c r="BC31" s="2179"/>
      <c r="BD31" s="2179"/>
      <c r="BE31" s="2179"/>
      <c r="BF31" s="2179"/>
      <c r="BG31" s="2179"/>
      <c r="BH31" s="2179"/>
      <c r="BI31" s="2179"/>
      <c r="BJ31" s="2179"/>
      <c r="BK31" s="2179"/>
      <c r="BL31" s="2179"/>
      <c r="BM31" s="2179"/>
      <c r="BN31" s="2179"/>
      <c r="BO31" s="2179"/>
      <c r="BP31" s="2179"/>
      <c r="BQ31" s="2179"/>
      <c r="BR31" s="2179"/>
      <c r="BS31" s="2179"/>
      <c r="BT31" s="2179"/>
      <c r="BU31" s="2179"/>
      <c r="BV31" s="2179"/>
      <c r="BW31" s="2179"/>
      <c r="BX31" s="2179"/>
      <c r="BY31" s="2179"/>
      <c r="BZ31" s="2179"/>
      <c r="CA31" s="2179"/>
      <c r="CB31" s="2179"/>
      <c r="CC31" s="2179"/>
      <c r="CD31" s="2179"/>
      <c r="CE31" s="2179"/>
      <c r="CF31" s="2179"/>
      <c r="CG31" s="2179"/>
      <c r="CH31" s="2179"/>
      <c r="CI31" s="2179"/>
      <c r="CJ31" s="2179"/>
      <c r="CK31" s="2179"/>
      <c r="CL31" s="2179"/>
      <c r="CM31" s="2179"/>
      <c r="CN31" s="2179"/>
      <c r="CO31" s="2179"/>
      <c r="CP31" s="2179"/>
      <c r="CQ31" s="2179"/>
      <c r="CR31" s="2179"/>
      <c r="CS31" s="2179"/>
      <c r="CT31" s="2179">
        <v>1</v>
      </c>
      <c r="CU31" s="2179"/>
      <c r="CV31" s="2179"/>
      <c r="CW31" s="2179"/>
      <c r="CX31" s="2179"/>
      <c r="CY31" s="2179"/>
      <c r="CZ31" s="2179"/>
      <c r="DA31" s="2179"/>
      <c r="DB31" s="2179"/>
      <c r="DC31" s="2179"/>
      <c r="DD31" s="2179"/>
      <c r="DE31" s="2179"/>
      <c r="DF31" s="2179"/>
      <c r="DG31" s="2179"/>
      <c r="DH31" s="2179"/>
      <c r="DI31" s="2179"/>
      <c r="DJ31" s="2179"/>
      <c r="DK31" s="2179"/>
      <c r="DL31" s="2179"/>
      <c r="DM31" s="2179"/>
      <c r="DN31" s="2179"/>
      <c r="DO31" s="2179"/>
      <c r="DP31" s="2179"/>
      <c r="DQ31" s="2179">
        <v>1</v>
      </c>
      <c r="DR31" s="2179"/>
      <c r="DS31" s="2179"/>
      <c r="DT31" s="2179"/>
      <c r="DU31" s="2179"/>
      <c r="DV31" s="2179"/>
      <c r="DW31" s="2179"/>
      <c r="DX31" s="2179"/>
      <c r="DY31" s="2179"/>
      <c r="DZ31" s="2179"/>
      <c r="EA31" s="2179"/>
      <c r="EB31" s="2179"/>
      <c r="EC31" s="2179"/>
      <c r="ED31" s="2179"/>
      <c r="EE31" s="2179"/>
      <c r="EF31" s="2179"/>
      <c r="EG31" s="2179"/>
      <c r="EH31" s="2179">
        <v>1</v>
      </c>
      <c r="EI31" s="2179"/>
      <c r="EJ31" s="2179"/>
      <c r="EK31" s="2179"/>
      <c r="EL31" s="2179"/>
      <c r="EM31" s="2179"/>
      <c r="EN31" s="2179"/>
      <c r="EO31" s="2179"/>
      <c r="EP31" s="2179"/>
      <c r="EQ31" s="2179"/>
      <c r="ER31" s="2179"/>
      <c r="ES31" s="2179"/>
      <c r="ET31" s="2179"/>
      <c r="EU31" s="2179"/>
      <c r="EV31" s="2179"/>
      <c r="EW31" s="2179"/>
      <c r="EX31" s="2179"/>
      <c r="EY31" s="2179"/>
      <c r="EZ31" s="2179"/>
      <c r="FA31" s="2179"/>
      <c r="FB31" s="2179"/>
      <c r="FC31" s="2179"/>
      <c r="FD31" s="2179"/>
      <c r="FE31" s="2179"/>
      <c r="FF31" s="2179"/>
      <c r="FG31" s="2179"/>
      <c r="FH31" s="2179"/>
      <c r="FI31" s="2179"/>
      <c r="FJ31" s="2179">
        <v>1</v>
      </c>
      <c r="FK31" s="2179"/>
      <c r="FL31" s="2179"/>
      <c r="FM31" s="2179"/>
      <c r="FN31" s="2179"/>
      <c r="FO31" s="2179"/>
      <c r="FP31" s="2179"/>
      <c r="FQ31" s="2179"/>
      <c r="FR31" s="2179"/>
      <c r="FS31" s="2179"/>
      <c r="FT31" s="2179">
        <v>1</v>
      </c>
      <c r="FU31" s="2179"/>
      <c r="FV31" s="2179"/>
      <c r="FW31" s="2179"/>
      <c r="FX31" s="2179"/>
      <c r="FY31" s="2179"/>
      <c r="FZ31" s="2179"/>
      <c r="GA31" s="2179">
        <v>8</v>
      </c>
      <c r="GB31" s="2179">
        <f t="shared" si="1"/>
        <v>8</v>
      </c>
    </row>
    <row r="32" spans="2:184" ht="16.8" hidden="1">
      <c r="B32" s="2313" t="s">
        <v>2568</v>
      </c>
      <c r="C32" s="2179" t="s">
        <v>3985</v>
      </c>
      <c r="D32" s="2179" t="s">
        <v>5309</v>
      </c>
      <c r="E32" s="2179">
        <f t="shared" si="0"/>
        <v>591</v>
      </c>
      <c r="F32" s="2179"/>
      <c r="G32" s="2179">
        <v>6</v>
      </c>
      <c r="H32" s="2179">
        <v>6</v>
      </c>
      <c r="I32" s="2179">
        <v>3</v>
      </c>
      <c r="J32" s="2179">
        <v>3</v>
      </c>
      <c r="K32" s="2179">
        <v>3</v>
      </c>
      <c r="L32" s="2179">
        <v>3</v>
      </c>
      <c r="M32" s="2179">
        <v>3</v>
      </c>
      <c r="N32" s="2179">
        <v>3</v>
      </c>
      <c r="O32" s="2179">
        <v>3</v>
      </c>
      <c r="P32" s="2179">
        <v>3</v>
      </c>
      <c r="Q32" s="2179">
        <v>3</v>
      </c>
      <c r="R32" s="2179">
        <v>3</v>
      </c>
      <c r="S32" s="2179">
        <v>6</v>
      </c>
      <c r="T32" s="2179">
        <v>3</v>
      </c>
      <c r="U32" s="2179">
        <v>3</v>
      </c>
      <c r="V32" s="2179">
        <v>3</v>
      </c>
      <c r="W32" s="2179">
        <v>3</v>
      </c>
      <c r="X32" s="2179">
        <v>3</v>
      </c>
      <c r="Y32" s="2179">
        <v>3</v>
      </c>
      <c r="Z32" s="2179">
        <v>3</v>
      </c>
      <c r="AA32" s="2179">
        <v>3</v>
      </c>
      <c r="AB32" s="2179">
        <v>3</v>
      </c>
      <c r="AC32" s="2179">
        <v>3</v>
      </c>
      <c r="AD32" s="2179">
        <v>3</v>
      </c>
      <c r="AE32" s="2179">
        <v>6</v>
      </c>
      <c r="AF32" s="2179">
        <v>6</v>
      </c>
      <c r="AG32" s="2179">
        <v>3</v>
      </c>
      <c r="AH32" s="2179">
        <v>3</v>
      </c>
      <c r="AI32" s="2179">
        <v>3</v>
      </c>
      <c r="AJ32" s="2179">
        <v>3</v>
      </c>
      <c r="AK32" s="2179">
        <v>3</v>
      </c>
      <c r="AL32" s="2179">
        <v>3</v>
      </c>
      <c r="AM32" s="2179">
        <v>3</v>
      </c>
      <c r="AN32" s="2179">
        <v>3</v>
      </c>
      <c r="AO32" s="2179">
        <v>3</v>
      </c>
      <c r="AP32" s="2179">
        <v>6</v>
      </c>
      <c r="AQ32" s="2179">
        <v>3</v>
      </c>
      <c r="AR32" s="2179">
        <v>3</v>
      </c>
      <c r="AS32" s="2179">
        <v>3</v>
      </c>
      <c r="AT32" s="2179">
        <v>3</v>
      </c>
      <c r="AU32" s="2179">
        <v>3</v>
      </c>
      <c r="AV32" s="2179">
        <v>6</v>
      </c>
      <c r="AW32" s="2179">
        <v>3</v>
      </c>
      <c r="AX32" s="2179">
        <v>3</v>
      </c>
      <c r="AY32" s="2179">
        <v>3</v>
      </c>
      <c r="AZ32" s="2179">
        <v>3</v>
      </c>
      <c r="BA32" s="2179">
        <v>3</v>
      </c>
      <c r="BB32" s="2179">
        <v>3</v>
      </c>
      <c r="BC32" s="2179">
        <v>3</v>
      </c>
      <c r="BD32" s="2179">
        <v>6</v>
      </c>
      <c r="BE32" s="2179">
        <v>3</v>
      </c>
      <c r="BF32" s="2179">
        <v>3</v>
      </c>
      <c r="BG32" s="2179">
        <v>3</v>
      </c>
      <c r="BH32" s="2179">
        <v>3</v>
      </c>
      <c r="BI32" s="2179">
        <v>3</v>
      </c>
      <c r="BJ32" s="2179">
        <v>3</v>
      </c>
      <c r="BK32" s="2179">
        <v>3</v>
      </c>
      <c r="BL32" s="2179">
        <v>3</v>
      </c>
      <c r="BM32" s="2179">
        <v>3</v>
      </c>
      <c r="BN32" s="2179">
        <v>3</v>
      </c>
      <c r="BO32" s="2179">
        <v>3</v>
      </c>
      <c r="BP32" s="2179">
        <v>3</v>
      </c>
      <c r="BQ32" s="2179">
        <v>3</v>
      </c>
      <c r="BR32" s="2179">
        <v>6</v>
      </c>
      <c r="BS32" s="2179">
        <v>3</v>
      </c>
      <c r="BT32" s="2179">
        <v>3</v>
      </c>
      <c r="BU32" s="2179">
        <v>3</v>
      </c>
      <c r="BV32" s="2179">
        <v>3</v>
      </c>
      <c r="BW32" s="2179">
        <v>3</v>
      </c>
      <c r="BX32" s="2179">
        <v>3</v>
      </c>
      <c r="BY32" s="2179">
        <v>3</v>
      </c>
      <c r="BZ32" s="2179">
        <v>3</v>
      </c>
      <c r="CA32" s="2179">
        <v>3</v>
      </c>
      <c r="CB32" s="2179">
        <v>3</v>
      </c>
      <c r="CC32" s="2179">
        <v>3</v>
      </c>
      <c r="CD32" s="2179">
        <v>3</v>
      </c>
      <c r="CE32" s="2179">
        <v>3</v>
      </c>
      <c r="CF32" s="2179">
        <v>3</v>
      </c>
      <c r="CG32" s="2179">
        <v>6</v>
      </c>
      <c r="CH32" s="2179">
        <v>3</v>
      </c>
      <c r="CI32" s="2179">
        <v>6</v>
      </c>
      <c r="CJ32" s="2179">
        <v>3</v>
      </c>
      <c r="CK32" s="2179">
        <v>3</v>
      </c>
      <c r="CL32" s="2179">
        <v>3</v>
      </c>
      <c r="CM32" s="2179">
        <v>3</v>
      </c>
      <c r="CN32" s="2179">
        <v>3</v>
      </c>
      <c r="CO32" s="2179">
        <v>3</v>
      </c>
      <c r="CP32" s="2179">
        <v>3</v>
      </c>
      <c r="CQ32" s="2179">
        <v>3</v>
      </c>
      <c r="CR32" s="2179">
        <v>3</v>
      </c>
      <c r="CS32" s="2179">
        <v>3</v>
      </c>
      <c r="CT32" s="2179">
        <v>6</v>
      </c>
      <c r="CU32" s="2179">
        <v>3</v>
      </c>
      <c r="CV32" s="2179">
        <v>3</v>
      </c>
      <c r="CW32" s="2179">
        <v>3</v>
      </c>
      <c r="CX32" s="2179">
        <v>3</v>
      </c>
      <c r="CY32" s="2179">
        <v>6</v>
      </c>
      <c r="CZ32" s="2179">
        <v>3</v>
      </c>
      <c r="DA32" s="2179">
        <v>3</v>
      </c>
      <c r="DB32" s="2179">
        <v>3</v>
      </c>
      <c r="DC32" s="2179">
        <v>3</v>
      </c>
      <c r="DD32" s="2179">
        <v>3</v>
      </c>
      <c r="DE32" s="2179">
        <v>3</v>
      </c>
      <c r="DF32" s="2179">
        <v>3</v>
      </c>
      <c r="DG32" s="2179">
        <v>3</v>
      </c>
      <c r="DH32" s="2179">
        <v>3</v>
      </c>
      <c r="DI32" s="2179">
        <v>3</v>
      </c>
      <c r="DJ32" s="2179">
        <v>3</v>
      </c>
      <c r="DK32" s="2179">
        <v>3</v>
      </c>
      <c r="DL32" s="2179">
        <v>6</v>
      </c>
      <c r="DM32" s="2179">
        <v>3</v>
      </c>
      <c r="DN32" s="2179">
        <v>3</v>
      </c>
      <c r="DO32" s="2179">
        <v>3</v>
      </c>
      <c r="DP32" s="2179">
        <v>3</v>
      </c>
      <c r="DQ32" s="2179">
        <v>6</v>
      </c>
      <c r="DR32" s="2179">
        <v>3</v>
      </c>
      <c r="DS32" s="2179">
        <v>3</v>
      </c>
      <c r="DT32" s="2179">
        <v>3</v>
      </c>
      <c r="DU32" s="2179">
        <v>3</v>
      </c>
      <c r="DV32" s="2179">
        <v>3</v>
      </c>
      <c r="DW32" s="2179">
        <v>3</v>
      </c>
      <c r="DX32" s="2179">
        <v>3</v>
      </c>
      <c r="DY32" s="2179">
        <v>3</v>
      </c>
      <c r="DZ32" s="2179">
        <v>3</v>
      </c>
      <c r="EA32" s="2179">
        <v>3</v>
      </c>
      <c r="EB32" s="2179">
        <v>6</v>
      </c>
      <c r="EC32" s="2179">
        <v>3</v>
      </c>
      <c r="ED32" s="2179">
        <v>3</v>
      </c>
      <c r="EE32" s="2179">
        <v>3</v>
      </c>
      <c r="EF32" s="2179">
        <v>3</v>
      </c>
      <c r="EG32" s="2179">
        <v>3</v>
      </c>
      <c r="EH32" s="2179">
        <v>6</v>
      </c>
      <c r="EI32" s="2179">
        <v>3</v>
      </c>
      <c r="EJ32" s="2179">
        <v>3</v>
      </c>
      <c r="EK32" s="2179">
        <v>3</v>
      </c>
      <c r="EL32" s="2179">
        <v>3</v>
      </c>
      <c r="EM32" s="2179">
        <v>3</v>
      </c>
      <c r="EN32" s="2179">
        <v>3</v>
      </c>
      <c r="EO32" s="2179">
        <v>3</v>
      </c>
      <c r="EP32" s="2179">
        <v>3</v>
      </c>
      <c r="EQ32" s="2179">
        <v>6</v>
      </c>
      <c r="ER32" s="2179">
        <v>3</v>
      </c>
      <c r="ES32" s="2179">
        <v>3</v>
      </c>
      <c r="ET32" s="2179">
        <v>3</v>
      </c>
      <c r="EU32" s="2179">
        <v>3</v>
      </c>
      <c r="EV32" s="2179">
        <v>3</v>
      </c>
      <c r="EW32" s="2179">
        <v>3</v>
      </c>
      <c r="EX32" s="2179">
        <v>3</v>
      </c>
      <c r="EY32" s="2179">
        <v>3</v>
      </c>
      <c r="EZ32" s="2179">
        <v>3</v>
      </c>
      <c r="FA32" s="2179">
        <v>3</v>
      </c>
      <c r="FB32" s="2179">
        <v>3</v>
      </c>
      <c r="FC32" s="2179">
        <v>3</v>
      </c>
      <c r="FD32" s="2179">
        <v>3</v>
      </c>
      <c r="FE32" s="2179">
        <v>6</v>
      </c>
      <c r="FF32" s="2179">
        <v>3</v>
      </c>
      <c r="FG32" s="2179">
        <v>3</v>
      </c>
      <c r="FH32" s="2179">
        <v>3</v>
      </c>
      <c r="FI32" s="2179">
        <v>3</v>
      </c>
      <c r="FJ32" s="2179">
        <v>6</v>
      </c>
      <c r="FK32" s="2179">
        <v>3</v>
      </c>
      <c r="FL32" s="2179">
        <v>3</v>
      </c>
      <c r="FM32" s="2179">
        <v>3</v>
      </c>
      <c r="FN32" s="2179">
        <v>3</v>
      </c>
      <c r="FO32" s="2179">
        <v>3</v>
      </c>
      <c r="FP32" s="2179">
        <v>3</v>
      </c>
      <c r="FQ32" s="2179">
        <v>3</v>
      </c>
      <c r="FR32" s="2179">
        <v>6</v>
      </c>
      <c r="FS32" s="2179">
        <v>3</v>
      </c>
      <c r="FT32" s="2179">
        <v>6</v>
      </c>
      <c r="FU32" s="2179">
        <v>3</v>
      </c>
      <c r="FV32" s="2179">
        <v>3</v>
      </c>
      <c r="FW32" s="2179">
        <v>3</v>
      </c>
      <c r="FX32" s="2179">
        <v>6</v>
      </c>
      <c r="FY32" s="2179"/>
      <c r="FZ32" s="2179"/>
      <c r="GA32" s="2179">
        <v>591</v>
      </c>
      <c r="GB32" s="2179">
        <f t="shared" si="1"/>
        <v>591</v>
      </c>
    </row>
    <row r="33" spans="2:184" ht="16.8">
      <c r="B33" s="2313" t="s">
        <v>2579</v>
      </c>
      <c r="C33" s="2179" t="s">
        <v>4176</v>
      </c>
      <c r="D33" s="2179"/>
      <c r="E33" s="2179">
        <f t="shared" si="0"/>
        <v>93</v>
      </c>
      <c r="F33" s="2179">
        <v>3</v>
      </c>
      <c r="G33" s="2179">
        <v>9</v>
      </c>
      <c r="H33" s="2179"/>
      <c r="I33" s="2179"/>
      <c r="J33" s="2179"/>
      <c r="K33" s="2179"/>
      <c r="L33" s="2179"/>
      <c r="M33" s="2179"/>
      <c r="N33" s="2179"/>
      <c r="O33" s="2179"/>
      <c r="P33" s="2179"/>
      <c r="Q33" s="2179"/>
      <c r="R33" s="2179"/>
      <c r="S33" s="2179">
        <v>6</v>
      </c>
      <c r="T33" s="2179"/>
      <c r="U33" s="2179"/>
      <c r="V33" s="2179"/>
      <c r="W33" s="2179"/>
      <c r="X33" s="2179"/>
      <c r="Y33" s="2179"/>
      <c r="Z33" s="2179"/>
      <c r="AA33" s="2179"/>
      <c r="AB33" s="2179"/>
      <c r="AC33" s="2179"/>
      <c r="AD33" s="2179"/>
      <c r="AE33" s="2179">
        <v>6</v>
      </c>
      <c r="AF33" s="2179"/>
      <c r="AG33" s="2179"/>
      <c r="AH33" s="2179"/>
      <c r="AI33" s="2179"/>
      <c r="AJ33" s="2179"/>
      <c r="AK33" s="2179"/>
      <c r="AL33" s="2179"/>
      <c r="AM33" s="2179"/>
      <c r="AN33" s="2179"/>
      <c r="AO33" s="2179"/>
      <c r="AP33" s="2179">
        <v>6</v>
      </c>
      <c r="AQ33" s="2179"/>
      <c r="AR33" s="2179"/>
      <c r="AS33" s="2179"/>
      <c r="AT33" s="2179"/>
      <c r="AU33" s="2179"/>
      <c r="AV33" s="2179"/>
      <c r="AW33" s="2179"/>
      <c r="AX33" s="2179"/>
      <c r="AY33" s="2179"/>
      <c r="AZ33" s="2179"/>
      <c r="BA33" s="2179"/>
      <c r="BB33" s="2179"/>
      <c r="BC33" s="2179"/>
      <c r="BD33" s="2179">
        <v>6</v>
      </c>
      <c r="BE33" s="2179"/>
      <c r="BF33" s="2179"/>
      <c r="BG33" s="2179"/>
      <c r="BH33" s="2179"/>
      <c r="BI33" s="2179"/>
      <c r="BJ33" s="2179"/>
      <c r="BK33" s="2179"/>
      <c r="BL33" s="2179"/>
      <c r="BM33" s="2179"/>
      <c r="BN33" s="2179"/>
      <c r="BO33" s="2179"/>
      <c r="BP33" s="2179"/>
      <c r="BQ33" s="2179"/>
      <c r="BR33" s="2179">
        <v>6</v>
      </c>
      <c r="BS33" s="2179"/>
      <c r="BT33" s="2179"/>
      <c r="BU33" s="2179"/>
      <c r="BV33" s="2179"/>
      <c r="BW33" s="2179"/>
      <c r="BX33" s="2179"/>
      <c r="BY33" s="2179"/>
      <c r="BZ33" s="2179"/>
      <c r="CA33" s="2179"/>
      <c r="CB33" s="2179"/>
      <c r="CC33" s="2179"/>
      <c r="CD33" s="2179"/>
      <c r="CE33" s="2179"/>
      <c r="CF33" s="2179"/>
      <c r="CG33" s="2179">
        <v>6</v>
      </c>
      <c r="CH33" s="2179"/>
      <c r="CI33" s="2179">
        <v>6</v>
      </c>
      <c r="CJ33" s="2179"/>
      <c r="CK33" s="2179"/>
      <c r="CL33" s="2179"/>
      <c r="CM33" s="2179"/>
      <c r="CN33" s="2179"/>
      <c r="CO33" s="2179"/>
      <c r="CP33" s="2179"/>
      <c r="CQ33" s="2179"/>
      <c r="CR33" s="2179"/>
      <c r="CS33" s="2179"/>
      <c r="CT33" s="2179"/>
      <c r="CU33" s="2179"/>
      <c r="CV33" s="2179"/>
      <c r="CW33" s="2179"/>
      <c r="CX33" s="2179"/>
      <c r="CY33" s="2179">
        <v>9</v>
      </c>
      <c r="CZ33" s="2179"/>
      <c r="DA33" s="2179"/>
      <c r="DB33" s="2179"/>
      <c r="DC33" s="2179"/>
      <c r="DD33" s="2179"/>
      <c r="DE33" s="2179"/>
      <c r="DF33" s="2179"/>
      <c r="DG33" s="2179"/>
      <c r="DH33" s="2179"/>
      <c r="DI33" s="2179"/>
      <c r="DJ33" s="2179"/>
      <c r="DK33" s="2179"/>
      <c r="DL33" s="2179">
        <v>6</v>
      </c>
      <c r="DM33" s="2179"/>
      <c r="DN33" s="2179"/>
      <c r="DO33" s="2179"/>
      <c r="DP33" s="2179"/>
      <c r="DQ33" s="2179"/>
      <c r="DR33" s="2179"/>
      <c r="DS33" s="2179"/>
      <c r="DT33" s="2179"/>
      <c r="DU33" s="2179"/>
      <c r="DV33" s="2179"/>
      <c r="DW33" s="2179"/>
      <c r="DX33" s="2179"/>
      <c r="DY33" s="2179"/>
      <c r="DZ33" s="2179"/>
      <c r="EA33" s="2179"/>
      <c r="EB33" s="2179">
        <v>6</v>
      </c>
      <c r="EC33" s="2179"/>
      <c r="ED33" s="2179"/>
      <c r="EE33" s="2179"/>
      <c r="EF33" s="2179"/>
      <c r="EG33" s="2179"/>
      <c r="EH33" s="2179"/>
      <c r="EI33" s="2179"/>
      <c r="EJ33" s="2179"/>
      <c r="EK33" s="2179"/>
      <c r="EL33" s="2179"/>
      <c r="EM33" s="2179"/>
      <c r="EN33" s="2179"/>
      <c r="EO33" s="2179"/>
      <c r="EP33" s="2179"/>
      <c r="EQ33" s="2179">
        <v>6</v>
      </c>
      <c r="ER33" s="2179"/>
      <c r="ES33" s="2179"/>
      <c r="ET33" s="2179"/>
      <c r="EU33" s="2179"/>
      <c r="EV33" s="2179"/>
      <c r="EW33" s="2179"/>
      <c r="EX33" s="2179"/>
      <c r="EY33" s="2179"/>
      <c r="EZ33" s="2179"/>
      <c r="FA33" s="2179"/>
      <c r="FB33" s="2179"/>
      <c r="FC33" s="2179"/>
      <c r="FD33" s="2179"/>
      <c r="FE33" s="2179">
        <v>6</v>
      </c>
      <c r="FF33" s="2179"/>
      <c r="FG33" s="2179"/>
      <c r="FH33" s="2179"/>
      <c r="FI33" s="2179"/>
      <c r="FJ33" s="2179"/>
      <c r="FK33" s="2179"/>
      <c r="FL33" s="2179"/>
      <c r="FM33" s="2179"/>
      <c r="FN33" s="2179"/>
      <c r="FO33" s="2179"/>
      <c r="FP33" s="2179"/>
      <c r="FQ33" s="2179"/>
      <c r="FR33" s="2179">
        <v>6</v>
      </c>
      <c r="FS33" s="2179"/>
      <c r="FT33" s="2179"/>
      <c r="FU33" s="2179"/>
      <c r="FV33" s="2179"/>
      <c r="FW33" s="2179"/>
      <c r="FX33" s="2179"/>
      <c r="FY33" s="2179"/>
      <c r="FZ33" s="2179"/>
      <c r="GA33" s="2179">
        <v>93</v>
      </c>
      <c r="GB33" s="2179">
        <f t="shared" si="1"/>
        <v>93</v>
      </c>
    </row>
    <row r="34" spans="2:184" ht="16.8" hidden="1">
      <c r="B34" s="2313" t="str">
        <f t="shared" si="2"/>
        <v xml:space="preserve">Chuỗi Polymer lắp vào trụ CĐT </v>
      </c>
      <c r="C34" s="2179" t="s">
        <v>4177</v>
      </c>
      <c r="D34" s="2179"/>
      <c r="E34" s="2179">
        <f t="shared" si="0"/>
        <v>0</v>
      </c>
      <c r="F34" s="2179"/>
      <c r="G34" s="2179"/>
      <c r="H34" s="2179"/>
      <c r="I34" s="2179"/>
      <c r="J34" s="2179"/>
      <c r="K34" s="2179"/>
      <c r="L34" s="2179"/>
      <c r="M34" s="2179"/>
      <c r="N34" s="2179"/>
      <c r="O34" s="2179"/>
      <c r="P34" s="2179"/>
      <c r="Q34" s="2179"/>
      <c r="R34" s="2179"/>
      <c r="S34" s="2179"/>
      <c r="T34" s="2179"/>
      <c r="U34" s="2179"/>
      <c r="V34" s="2179"/>
      <c r="W34" s="2179"/>
      <c r="X34" s="2179"/>
      <c r="Y34" s="2179"/>
      <c r="Z34" s="2179"/>
      <c r="AA34" s="2179"/>
      <c r="AB34" s="2179"/>
      <c r="AC34" s="2179"/>
      <c r="AD34" s="2179"/>
      <c r="AE34" s="2179"/>
      <c r="AF34" s="2179"/>
      <c r="AG34" s="2179"/>
      <c r="AH34" s="2179"/>
      <c r="AI34" s="2179"/>
      <c r="AJ34" s="2179"/>
      <c r="AK34" s="2179"/>
      <c r="AL34" s="2179"/>
      <c r="AM34" s="2179"/>
      <c r="AN34" s="2179"/>
      <c r="AO34" s="2179"/>
      <c r="AP34" s="2179"/>
      <c r="AQ34" s="2179"/>
      <c r="AR34" s="2179"/>
      <c r="AS34" s="2179"/>
      <c r="AT34" s="2179"/>
      <c r="AU34" s="2179"/>
      <c r="AV34" s="2179"/>
      <c r="AW34" s="2179"/>
      <c r="AX34" s="2179"/>
      <c r="AY34" s="2179"/>
      <c r="AZ34" s="2179"/>
      <c r="BA34" s="2179"/>
      <c r="BB34" s="2179"/>
      <c r="BC34" s="2179"/>
      <c r="BD34" s="2179"/>
      <c r="BE34" s="2179"/>
      <c r="BF34" s="2179"/>
      <c r="BG34" s="2179"/>
      <c r="BH34" s="2179"/>
      <c r="BI34" s="2179"/>
      <c r="BJ34" s="2179"/>
      <c r="BK34" s="2179"/>
      <c r="BL34" s="2179"/>
      <c r="BM34" s="2179"/>
      <c r="BN34" s="2179"/>
      <c r="BO34" s="2179"/>
      <c r="BP34" s="2179"/>
      <c r="BQ34" s="2179"/>
      <c r="BR34" s="2179"/>
      <c r="BS34" s="2179"/>
      <c r="BT34" s="2179"/>
      <c r="BU34" s="2179"/>
      <c r="BV34" s="2179"/>
      <c r="BW34" s="2179"/>
      <c r="BX34" s="2179"/>
      <c r="BY34" s="2179"/>
      <c r="BZ34" s="2179"/>
      <c r="CA34" s="2179"/>
      <c r="CB34" s="2179"/>
      <c r="CC34" s="2179"/>
      <c r="CD34" s="2179"/>
      <c r="CE34" s="2179"/>
      <c r="CF34" s="2179"/>
      <c r="CG34" s="2179"/>
      <c r="CH34" s="2179"/>
      <c r="CI34" s="2179"/>
      <c r="CJ34" s="2179"/>
      <c r="CK34" s="2179"/>
      <c r="CL34" s="2179"/>
      <c r="CM34" s="2179"/>
      <c r="CN34" s="2179"/>
      <c r="CO34" s="2179"/>
      <c r="CP34" s="2179"/>
      <c r="CQ34" s="2179"/>
      <c r="CR34" s="2179"/>
      <c r="CS34" s="2179"/>
      <c r="CT34" s="2179"/>
      <c r="CU34" s="2179"/>
      <c r="CV34" s="2179"/>
      <c r="CW34" s="2179"/>
      <c r="CX34" s="2179"/>
      <c r="CY34" s="2179"/>
      <c r="CZ34" s="2179"/>
      <c r="DA34" s="2179"/>
      <c r="DB34" s="2179"/>
      <c r="DC34" s="2179"/>
      <c r="DD34" s="2179"/>
      <c r="DE34" s="2179"/>
      <c r="DF34" s="2179"/>
      <c r="DG34" s="2179"/>
      <c r="DH34" s="2179"/>
      <c r="DI34" s="2179"/>
      <c r="DJ34" s="2179"/>
      <c r="DK34" s="2179"/>
      <c r="DL34" s="2179"/>
      <c r="DM34" s="2179"/>
      <c r="DN34" s="2179"/>
      <c r="DO34" s="2179"/>
      <c r="DP34" s="2179"/>
      <c r="DQ34" s="2179"/>
      <c r="DR34" s="2179"/>
      <c r="DS34" s="2179"/>
      <c r="DT34" s="2179"/>
      <c r="DU34" s="2179"/>
      <c r="DV34" s="2179"/>
      <c r="DW34" s="2179"/>
      <c r="DX34" s="2179"/>
      <c r="DY34" s="2179"/>
      <c r="DZ34" s="2179"/>
      <c r="EA34" s="2179"/>
      <c r="EB34" s="2179"/>
      <c r="EC34" s="2179"/>
      <c r="ED34" s="2179"/>
      <c r="EE34" s="2179"/>
      <c r="EF34" s="2179"/>
      <c r="EG34" s="2179"/>
      <c r="EH34" s="2179"/>
      <c r="EI34" s="2179"/>
      <c r="EJ34" s="2179"/>
      <c r="EK34" s="2179"/>
      <c r="EL34" s="2179"/>
      <c r="EM34" s="2179"/>
      <c r="EN34" s="2179"/>
      <c r="EO34" s="2179"/>
      <c r="EP34" s="2179"/>
      <c r="EQ34" s="2179"/>
      <c r="ER34" s="2179"/>
      <c r="ES34" s="2179"/>
      <c r="ET34" s="2179"/>
      <c r="EU34" s="2179"/>
      <c r="EV34" s="2179"/>
      <c r="EW34" s="2179"/>
      <c r="EX34" s="2179"/>
      <c r="EY34" s="2179"/>
      <c r="EZ34" s="2179"/>
      <c r="FA34" s="2179"/>
      <c r="FB34" s="2179"/>
      <c r="FC34" s="2179"/>
      <c r="FD34" s="2179"/>
      <c r="FE34" s="2179"/>
      <c r="FF34" s="2179"/>
      <c r="FG34" s="2179"/>
      <c r="FH34" s="2179"/>
      <c r="FI34" s="2179"/>
      <c r="FJ34" s="2179"/>
      <c r="FK34" s="2179"/>
      <c r="FL34" s="2179"/>
      <c r="FM34" s="2179"/>
      <c r="FN34" s="2179"/>
      <c r="FO34" s="2179"/>
      <c r="FP34" s="2179"/>
      <c r="FQ34" s="2179"/>
      <c r="FR34" s="2179"/>
      <c r="FS34" s="2179"/>
      <c r="FT34" s="2179"/>
      <c r="FU34" s="2179"/>
      <c r="FV34" s="2179"/>
      <c r="FW34" s="2179"/>
      <c r="FX34" s="2179"/>
      <c r="FY34" s="2179"/>
      <c r="FZ34" s="2179"/>
      <c r="GA34" s="2179">
        <v>0</v>
      </c>
      <c r="GB34" s="2179">
        <f t="shared" si="1"/>
        <v>0</v>
      </c>
    </row>
    <row r="35" spans="2:184" ht="16.8" hidden="1">
      <c r="B35" s="2313" t="str">
        <f t="shared" si="2"/>
        <v>Giáp níu cỡ dây50mm2</v>
      </c>
      <c r="C35" s="2179" t="s">
        <v>5129</v>
      </c>
      <c r="D35" s="2179"/>
      <c r="E35" s="2179">
        <f t="shared" si="0"/>
        <v>19</v>
      </c>
      <c r="F35" s="2179"/>
      <c r="G35" s="2179"/>
      <c r="H35" s="2179"/>
      <c r="I35" s="2179"/>
      <c r="J35" s="2179"/>
      <c r="K35" s="2179"/>
      <c r="L35" s="2179"/>
      <c r="M35" s="2179"/>
      <c r="N35" s="2179"/>
      <c r="O35" s="2179"/>
      <c r="P35" s="2179"/>
      <c r="Q35" s="2179"/>
      <c r="R35" s="2179"/>
      <c r="S35" s="2179"/>
      <c r="T35" s="2179"/>
      <c r="U35" s="2179"/>
      <c r="V35" s="2179"/>
      <c r="W35" s="2179"/>
      <c r="X35" s="2179"/>
      <c r="Y35" s="2179"/>
      <c r="Z35" s="2179"/>
      <c r="AA35" s="2179"/>
      <c r="AB35" s="2179"/>
      <c r="AC35" s="2179"/>
      <c r="AD35" s="2179"/>
      <c r="AE35" s="2179"/>
      <c r="AF35" s="2179"/>
      <c r="AG35" s="2179"/>
      <c r="AH35" s="2179"/>
      <c r="AI35" s="2179"/>
      <c r="AJ35" s="2179"/>
      <c r="AK35" s="2179"/>
      <c r="AL35" s="2179">
        <v>2</v>
      </c>
      <c r="AM35" s="2179"/>
      <c r="AN35" s="2179"/>
      <c r="AO35" s="2179"/>
      <c r="AP35" s="2179"/>
      <c r="AQ35" s="2179"/>
      <c r="AR35" s="2179"/>
      <c r="AS35" s="2179"/>
      <c r="AT35" s="2179"/>
      <c r="AU35" s="2179"/>
      <c r="AV35" s="2179"/>
      <c r="AW35" s="2179"/>
      <c r="AX35" s="2179"/>
      <c r="AY35" s="2179"/>
      <c r="AZ35" s="2179"/>
      <c r="BA35" s="2179"/>
      <c r="BB35" s="2179"/>
      <c r="BC35" s="2179"/>
      <c r="BD35" s="2179"/>
      <c r="BE35" s="2179"/>
      <c r="BF35" s="2179"/>
      <c r="BG35" s="2179"/>
      <c r="BH35" s="2179"/>
      <c r="BI35" s="2179"/>
      <c r="BJ35" s="2179"/>
      <c r="BK35" s="2179"/>
      <c r="BL35" s="2179"/>
      <c r="BM35" s="2179"/>
      <c r="BN35" s="2179"/>
      <c r="BO35" s="2179"/>
      <c r="BP35" s="2179"/>
      <c r="BQ35" s="2179"/>
      <c r="BR35" s="2179"/>
      <c r="BS35" s="2179"/>
      <c r="BT35" s="2179"/>
      <c r="BU35" s="2179"/>
      <c r="BV35" s="2179"/>
      <c r="BW35" s="2179"/>
      <c r="BX35" s="2179"/>
      <c r="BY35" s="2179"/>
      <c r="BZ35" s="2179"/>
      <c r="CA35" s="2179"/>
      <c r="CB35" s="2179"/>
      <c r="CC35" s="2179"/>
      <c r="CD35" s="2179"/>
      <c r="CE35" s="2179">
        <v>2</v>
      </c>
      <c r="CF35" s="2179"/>
      <c r="CG35" s="2179"/>
      <c r="CH35" s="2179"/>
      <c r="CI35" s="2179"/>
      <c r="CJ35" s="2179"/>
      <c r="CK35" s="2179"/>
      <c r="CL35" s="2179"/>
      <c r="CM35" s="2179"/>
      <c r="CN35" s="2179"/>
      <c r="CO35" s="2179"/>
      <c r="CP35" s="2179">
        <v>1</v>
      </c>
      <c r="CQ35" s="2179">
        <v>3</v>
      </c>
      <c r="CR35" s="2179"/>
      <c r="CS35" s="2179"/>
      <c r="CT35" s="2179"/>
      <c r="CU35" s="2179"/>
      <c r="CV35" s="2179"/>
      <c r="CW35" s="2179"/>
      <c r="CX35" s="2179"/>
      <c r="CY35" s="2179"/>
      <c r="CZ35" s="2179"/>
      <c r="DA35" s="2179"/>
      <c r="DB35" s="2179"/>
      <c r="DC35" s="2179"/>
      <c r="DD35" s="2179"/>
      <c r="DE35" s="2179"/>
      <c r="DF35" s="2179">
        <v>3</v>
      </c>
      <c r="DG35" s="2179"/>
      <c r="DH35" s="2179"/>
      <c r="DI35" s="2179"/>
      <c r="DJ35" s="2179"/>
      <c r="DK35" s="2179"/>
      <c r="DL35" s="2179"/>
      <c r="DM35" s="2179"/>
      <c r="DN35" s="2179"/>
      <c r="DO35" s="2179"/>
      <c r="DP35" s="2179"/>
      <c r="DQ35" s="2179"/>
      <c r="DR35" s="2179"/>
      <c r="DS35" s="2179"/>
      <c r="DT35" s="2179">
        <v>2</v>
      </c>
      <c r="DU35" s="2179"/>
      <c r="DV35" s="2179"/>
      <c r="DW35" s="2179"/>
      <c r="DX35" s="2179"/>
      <c r="DY35" s="2179"/>
      <c r="DZ35" s="2179"/>
      <c r="EA35" s="2179"/>
      <c r="EB35" s="2179"/>
      <c r="EC35" s="2179"/>
      <c r="ED35" s="2179">
        <v>3</v>
      </c>
      <c r="EE35" s="2179"/>
      <c r="EF35" s="2179"/>
      <c r="EG35" s="2179"/>
      <c r="EH35" s="2179"/>
      <c r="EI35" s="2179"/>
      <c r="EJ35" s="2179"/>
      <c r="EK35" s="2179"/>
      <c r="EL35" s="2179"/>
      <c r="EM35" s="2179"/>
      <c r="EN35" s="2179"/>
      <c r="EO35" s="2179"/>
      <c r="EP35" s="2179"/>
      <c r="EQ35" s="2179"/>
      <c r="ER35" s="2179"/>
      <c r="ES35" s="2179"/>
      <c r="ET35" s="2179"/>
      <c r="EU35" s="2179"/>
      <c r="EV35" s="2179"/>
      <c r="EW35" s="2179"/>
      <c r="EX35" s="2179"/>
      <c r="EY35" s="2179">
        <v>1</v>
      </c>
      <c r="EZ35" s="2179"/>
      <c r="FA35" s="2179"/>
      <c r="FB35" s="2179"/>
      <c r="FC35" s="2179"/>
      <c r="FD35" s="2179"/>
      <c r="FE35" s="2179"/>
      <c r="FF35" s="2179"/>
      <c r="FG35" s="2179"/>
      <c r="FH35" s="2179"/>
      <c r="FI35" s="2179"/>
      <c r="FJ35" s="2179"/>
      <c r="FK35" s="2179"/>
      <c r="FL35" s="2179">
        <v>2</v>
      </c>
      <c r="FM35" s="2179"/>
      <c r="FN35" s="2179"/>
      <c r="FO35" s="2179"/>
      <c r="FP35" s="2179"/>
      <c r="FQ35" s="2179"/>
      <c r="FR35" s="2179"/>
      <c r="FS35" s="2179"/>
      <c r="FT35" s="2179"/>
      <c r="FU35" s="2179"/>
      <c r="FV35" s="2179"/>
      <c r="FW35" s="2179"/>
      <c r="FX35" s="2179"/>
      <c r="FY35" s="2179"/>
      <c r="FZ35" s="2179"/>
      <c r="GA35" s="2179">
        <v>19</v>
      </c>
      <c r="GB35" s="2179">
        <f t="shared" si="1"/>
        <v>19</v>
      </c>
    </row>
    <row r="36" spans="2:184" ht="16.8">
      <c r="B36" s="2313" t="str">
        <f t="shared" si="2"/>
        <v>Giáp níu cỡ dây 185mm2</v>
      </c>
      <c r="C36" s="2179" t="s">
        <v>5130</v>
      </c>
      <c r="D36" s="2179"/>
      <c r="E36" s="2179">
        <f t="shared" si="0"/>
        <v>96</v>
      </c>
      <c r="F36" s="2179">
        <v>3</v>
      </c>
      <c r="G36" s="2179">
        <v>6</v>
      </c>
      <c r="H36" s="2179"/>
      <c r="I36" s="2179"/>
      <c r="J36" s="2179"/>
      <c r="K36" s="2179"/>
      <c r="L36" s="2179"/>
      <c r="M36" s="2179"/>
      <c r="N36" s="2179"/>
      <c r="O36" s="2179"/>
      <c r="P36" s="2179"/>
      <c r="Q36" s="2179"/>
      <c r="R36" s="2179"/>
      <c r="S36" s="2179">
        <v>6</v>
      </c>
      <c r="T36" s="2179"/>
      <c r="U36" s="2179"/>
      <c r="V36" s="2179"/>
      <c r="W36" s="2179"/>
      <c r="X36" s="2179"/>
      <c r="Y36" s="2179"/>
      <c r="Z36" s="2179"/>
      <c r="AA36" s="2179"/>
      <c r="AB36" s="2179"/>
      <c r="AC36" s="2179"/>
      <c r="AD36" s="2179"/>
      <c r="AE36" s="2179">
        <v>6</v>
      </c>
      <c r="AF36" s="2179"/>
      <c r="AG36" s="2179"/>
      <c r="AH36" s="2179"/>
      <c r="AI36" s="2179"/>
      <c r="AJ36" s="2179"/>
      <c r="AK36" s="2179"/>
      <c r="AL36" s="2179"/>
      <c r="AM36" s="2179"/>
      <c r="AN36" s="2179"/>
      <c r="AO36" s="2179"/>
      <c r="AP36" s="2179">
        <v>6</v>
      </c>
      <c r="AQ36" s="2179"/>
      <c r="AR36" s="2179"/>
      <c r="AS36" s="2179"/>
      <c r="AT36" s="2179"/>
      <c r="AU36" s="2179"/>
      <c r="AV36" s="2179"/>
      <c r="AW36" s="2179"/>
      <c r="AX36" s="2179"/>
      <c r="AY36" s="2179"/>
      <c r="AZ36" s="2179"/>
      <c r="BA36" s="2179"/>
      <c r="BB36" s="2179"/>
      <c r="BC36" s="2179"/>
      <c r="BD36" s="2179">
        <v>6</v>
      </c>
      <c r="BE36" s="2179"/>
      <c r="BF36" s="2179"/>
      <c r="BG36" s="2179"/>
      <c r="BH36" s="2179"/>
      <c r="BI36" s="2179"/>
      <c r="BJ36" s="2179"/>
      <c r="BK36" s="2179"/>
      <c r="BL36" s="2179"/>
      <c r="BM36" s="2179"/>
      <c r="BN36" s="2179"/>
      <c r="BO36" s="2179"/>
      <c r="BP36" s="2179"/>
      <c r="BQ36" s="2179"/>
      <c r="BR36" s="2179">
        <v>6</v>
      </c>
      <c r="BS36" s="2179"/>
      <c r="BT36" s="2179"/>
      <c r="BU36" s="2179"/>
      <c r="BV36" s="2179"/>
      <c r="BW36" s="2179"/>
      <c r="BX36" s="2179"/>
      <c r="BY36" s="2179"/>
      <c r="BZ36" s="2179"/>
      <c r="CA36" s="2179"/>
      <c r="CB36" s="2179"/>
      <c r="CC36" s="2179"/>
      <c r="CD36" s="2179"/>
      <c r="CE36" s="2179"/>
      <c r="CF36" s="2179"/>
      <c r="CG36" s="2179">
        <v>6</v>
      </c>
      <c r="CH36" s="2179"/>
      <c r="CI36" s="2179">
        <v>6</v>
      </c>
      <c r="CJ36" s="2179"/>
      <c r="CK36" s="2179"/>
      <c r="CL36" s="2179"/>
      <c r="CM36" s="2179"/>
      <c r="CN36" s="2179"/>
      <c r="CO36" s="2179"/>
      <c r="CP36" s="2179"/>
      <c r="CQ36" s="2179"/>
      <c r="CR36" s="2179"/>
      <c r="CS36" s="2179"/>
      <c r="CT36" s="2179"/>
      <c r="CU36" s="2179"/>
      <c r="CV36" s="2179"/>
      <c r="CW36" s="2179"/>
      <c r="CX36" s="2179"/>
      <c r="CY36" s="2179">
        <v>6</v>
      </c>
      <c r="CZ36" s="2179"/>
      <c r="DA36" s="2179"/>
      <c r="DB36" s="2179"/>
      <c r="DC36" s="2179"/>
      <c r="DD36" s="2179"/>
      <c r="DE36" s="2179"/>
      <c r="DF36" s="2179"/>
      <c r="DG36" s="2179"/>
      <c r="DH36" s="2179"/>
      <c r="DI36" s="2179"/>
      <c r="DJ36" s="2179"/>
      <c r="DK36" s="2179"/>
      <c r="DL36" s="2179">
        <v>6</v>
      </c>
      <c r="DM36" s="2179"/>
      <c r="DN36" s="2179"/>
      <c r="DO36" s="2179"/>
      <c r="DP36" s="2179"/>
      <c r="DQ36" s="2179"/>
      <c r="DR36" s="2179"/>
      <c r="DS36" s="2179"/>
      <c r="DT36" s="2179"/>
      <c r="DU36" s="2179"/>
      <c r="DV36" s="2179"/>
      <c r="DW36" s="2179"/>
      <c r="DX36" s="2179"/>
      <c r="DY36" s="2179"/>
      <c r="DZ36" s="2179"/>
      <c r="EA36" s="2179"/>
      <c r="EB36" s="2179">
        <v>6</v>
      </c>
      <c r="EC36" s="2179"/>
      <c r="ED36" s="2179"/>
      <c r="EE36" s="2179"/>
      <c r="EF36" s="2179"/>
      <c r="EG36" s="2179"/>
      <c r="EH36" s="2179"/>
      <c r="EI36" s="2179"/>
      <c r="EJ36" s="2179"/>
      <c r="EK36" s="2179"/>
      <c r="EL36" s="2179"/>
      <c r="EM36" s="2179"/>
      <c r="EN36" s="2179"/>
      <c r="EO36" s="2179"/>
      <c r="EP36" s="2179"/>
      <c r="EQ36" s="2179">
        <v>6</v>
      </c>
      <c r="ER36" s="2179"/>
      <c r="ES36" s="2179"/>
      <c r="ET36" s="2179"/>
      <c r="EU36" s="2179"/>
      <c r="EV36" s="2179"/>
      <c r="EW36" s="2179"/>
      <c r="EX36" s="2179"/>
      <c r="EY36" s="2179"/>
      <c r="EZ36" s="2179"/>
      <c r="FA36" s="2179"/>
      <c r="FB36" s="2179"/>
      <c r="FC36" s="2179"/>
      <c r="FD36" s="2179"/>
      <c r="FE36" s="2179">
        <v>6</v>
      </c>
      <c r="FF36" s="2179"/>
      <c r="FG36" s="2179"/>
      <c r="FH36" s="2179"/>
      <c r="FI36" s="2179"/>
      <c r="FJ36" s="2179"/>
      <c r="FK36" s="2179"/>
      <c r="FL36" s="2179"/>
      <c r="FM36" s="2179"/>
      <c r="FN36" s="2179"/>
      <c r="FO36" s="2179"/>
      <c r="FP36" s="2179"/>
      <c r="FQ36" s="2179"/>
      <c r="FR36" s="2179">
        <v>6</v>
      </c>
      <c r="FS36" s="2179"/>
      <c r="FT36" s="2179"/>
      <c r="FU36" s="2179"/>
      <c r="FV36" s="2179"/>
      <c r="FW36" s="2179"/>
      <c r="FX36" s="2179">
        <v>6</v>
      </c>
      <c r="FY36" s="2179">
        <v>3</v>
      </c>
      <c r="FZ36" s="2179"/>
      <c r="GA36" s="2179">
        <v>96</v>
      </c>
      <c r="GB36" s="2179">
        <f t="shared" si="1"/>
        <v>96</v>
      </c>
    </row>
    <row r="37" spans="2:184" ht="16.8">
      <c r="B37" s="2313" t="str">
        <f t="shared" si="2"/>
        <v>Bộ dừng trung hoà</v>
      </c>
      <c r="C37" s="2179" t="s">
        <v>5131</v>
      </c>
      <c r="D37" s="2179"/>
      <c r="E37" s="2179">
        <f t="shared" si="0"/>
        <v>29</v>
      </c>
      <c r="F37" s="2179">
        <v>1</v>
      </c>
      <c r="G37" s="2179"/>
      <c r="H37" s="2179"/>
      <c r="I37" s="2179"/>
      <c r="J37" s="2179"/>
      <c r="K37" s="2179"/>
      <c r="L37" s="2179"/>
      <c r="M37" s="2179"/>
      <c r="N37" s="2179"/>
      <c r="O37" s="2179"/>
      <c r="P37" s="2179"/>
      <c r="Q37" s="2179"/>
      <c r="R37" s="2179"/>
      <c r="S37" s="2179"/>
      <c r="T37" s="2179"/>
      <c r="U37" s="2179"/>
      <c r="V37" s="2179"/>
      <c r="W37" s="2179"/>
      <c r="X37" s="2179"/>
      <c r="Y37" s="2179"/>
      <c r="Z37" s="2179"/>
      <c r="AA37" s="2179"/>
      <c r="AB37" s="2179"/>
      <c r="AC37" s="2179"/>
      <c r="AD37" s="2179"/>
      <c r="AE37" s="2179">
        <v>2</v>
      </c>
      <c r="AF37" s="2179"/>
      <c r="AG37" s="2179"/>
      <c r="AH37" s="2179"/>
      <c r="AI37" s="2179"/>
      <c r="AJ37" s="2179"/>
      <c r="AK37" s="2179"/>
      <c r="AL37" s="2179"/>
      <c r="AM37" s="2179"/>
      <c r="AN37" s="2179"/>
      <c r="AO37" s="2179"/>
      <c r="AP37" s="2179">
        <v>2</v>
      </c>
      <c r="AQ37" s="2179"/>
      <c r="AR37" s="2179"/>
      <c r="AS37" s="2179"/>
      <c r="AT37" s="2179"/>
      <c r="AU37" s="2179"/>
      <c r="AV37" s="2179"/>
      <c r="AW37" s="2179"/>
      <c r="AX37" s="2179"/>
      <c r="AY37" s="2179"/>
      <c r="AZ37" s="2179"/>
      <c r="BA37" s="2179"/>
      <c r="BB37" s="2179"/>
      <c r="BC37" s="2179"/>
      <c r="BD37" s="2179">
        <v>2</v>
      </c>
      <c r="BE37" s="2179"/>
      <c r="BF37" s="2179"/>
      <c r="BG37" s="2179"/>
      <c r="BH37" s="2179"/>
      <c r="BI37" s="2179"/>
      <c r="BJ37" s="2179"/>
      <c r="BK37" s="2179"/>
      <c r="BL37" s="2179"/>
      <c r="BM37" s="2179"/>
      <c r="BN37" s="2179"/>
      <c r="BO37" s="2179"/>
      <c r="BP37" s="2179"/>
      <c r="BQ37" s="2179"/>
      <c r="BR37" s="2179">
        <v>2</v>
      </c>
      <c r="BS37" s="2179"/>
      <c r="BT37" s="2179"/>
      <c r="BU37" s="2179"/>
      <c r="BV37" s="2179"/>
      <c r="BW37" s="2179"/>
      <c r="BX37" s="2179"/>
      <c r="BY37" s="2179"/>
      <c r="BZ37" s="2179"/>
      <c r="CA37" s="2179"/>
      <c r="CB37" s="2179"/>
      <c r="CC37" s="2179">
        <v>1</v>
      </c>
      <c r="CD37" s="2179"/>
      <c r="CE37" s="2179"/>
      <c r="CF37" s="2179"/>
      <c r="CG37" s="2179">
        <v>2</v>
      </c>
      <c r="CH37" s="2179"/>
      <c r="CI37" s="2179">
        <v>2</v>
      </c>
      <c r="CJ37" s="2179"/>
      <c r="CK37" s="2179"/>
      <c r="CL37" s="2179"/>
      <c r="CM37" s="2179"/>
      <c r="CN37" s="2179"/>
      <c r="CO37" s="2179"/>
      <c r="CP37" s="2179"/>
      <c r="CQ37" s="2179"/>
      <c r="CR37" s="2179"/>
      <c r="CS37" s="2179"/>
      <c r="CT37" s="2179"/>
      <c r="CU37" s="2179"/>
      <c r="CV37" s="2179"/>
      <c r="CW37" s="2179"/>
      <c r="CX37" s="2179"/>
      <c r="CY37" s="2179">
        <v>2</v>
      </c>
      <c r="CZ37" s="2179"/>
      <c r="DA37" s="2179"/>
      <c r="DB37" s="2179"/>
      <c r="DC37" s="2179"/>
      <c r="DD37" s="2179"/>
      <c r="DE37" s="2179"/>
      <c r="DF37" s="2179"/>
      <c r="DG37" s="2179">
        <v>1</v>
      </c>
      <c r="DH37" s="2179"/>
      <c r="DI37" s="2179"/>
      <c r="DJ37" s="2179"/>
      <c r="DK37" s="2179"/>
      <c r="DL37" s="2179">
        <v>2</v>
      </c>
      <c r="DM37" s="2179"/>
      <c r="DN37" s="2179"/>
      <c r="DO37" s="2179"/>
      <c r="DP37" s="2179"/>
      <c r="DQ37" s="2179"/>
      <c r="DR37" s="2179"/>
      <c r="DS37" s="2179"/>
      <c r="DT37" s="2179"/>
      <c r="DU37" s="2179"/>
      <c r="DV37" s="2179"/>
      <c r="DW37" s="2179"/>
      <c r="DX37" s="2179"/>
      <c r="DY37" s="2179"/>
      <c r="DZ37" s="2179"/>
      <c r="EA37" s="2179"/>
      <c r="EB37" s="2179">
        <v>2</v>
      </c>
      <c r="EC37" s="2179"/>
      <c r="ED37" s="2179"/>
      <c r="EE37" s="2179"/>
      <c r="EF37" s="2179"/>
      <c r="EG37" s="2179"/>
      <c r="EH37" s="2179"/>
      <c r="EI37" s="2179"/>
      <c r="EJ37" s="2179"/>
      <c r="EK37" s="2179"/>
      <c r="EL37" s="2179">
        <v>1</v>
      </c>
      <c r="EM37" s="2179"/>
      <c r="EN37" s="2179"/>
      <c r="EO37" s="2179"/>
      <c r="EP37" s="2179"/>
      <c r="EQ37" s="2179">
        <v>2</v>
      </c>
      <c r="ER37" s="2179"/>
      <c r="ES37" s="2179"/>
      <c r="ET37" s="2179"/>
      <c r="EU37" s="2179"/>
      <c r="EV37" s="2179"/>
      <c r="EW37" s="2179"/>
      <c r="EX37" s="2179"/>
      <c r="EY37" s="2179"/>
      <c r="EZ37" s="2179"/>
      <c r="FA37" s="2179"/>
      <c r="FB37" s="2179"/>
      <c r="FC37" s="2179"/>
      <c r="FD37" s="2179"/>
      <c r="FE37" s="2179">
        <v>2</v>
      </c>
      <c r="FF37" s="2179"/>
      <c r="FG37" s="2179"/>
      <c r="FH37" s="2179"/>
      <c r="FI37" s="2179"/>
      <c r="FJ37" s="2179"/>
      <c r="FK37" s="2179"/>
      <c r="FL37" s="2179"/>
      <c r="FM37" s="2179"/>
      <c r="FN37" s="2179"/>
      <c r="FO37" s="2179"/>
      <c r="FP37" s="2179"/>
      <c r="FQ37" s="2179"/>
      <c r="FR37" s="2179">
        <v>2</v>
      </c>
      <c r="FS37" s="2179"/>
      <c r="FT37" s="2179"/>
      <c r="FU37" s="2179"/>
      <c r="FV37" s="2179"/>
      <c r="FW37" s="2179"/>
      <c r="FX37" s="2179"/>
      <c r="FY37" s="2179">
        <v>1</v>
      </c>
      <c r="FZ37" s="2179"/>
      <c r="GA37" s="2179">
        <v>29</v>
      </c>
      <c r="GB37" s="2179">
        <f t="shared" ref="GB37:GB68" si="3">SUM(F37:FY37)</f>
        <v>29</v>
      </c>
    </row>
    <row r="38" spans="2:184" ht="16.8" hidden="1">
      <c r="B38" s="2313" t="str">
        <f t="shared" si="2"/>
        <v>Bộ đỡ dây T.H : Đth-U</v>
      </c>
      <c r="C38" s="2179" t="s">
        <v>3886</v>
      </c>
      <c r="D38" s="2179"/>
      <c r="E38" s="2179">
        <f t="shared" si="0"/>
        <v>163</v>
      </c>
      <c r="F38" s="2179"/>
      <c r="G38" s="2179">
        <v>1</v>
      </c>
      <c r="H38" s="2179">
        <v>1</v>
      </c>
      <c r="I38" s="2179">
        <v>1</v>
      </c>
      <c r="J38" s="2179">
        <v>1</v>
      </c>
      <c r="K38" s="2179">
        <v>1</v>
      </c>
      <c r="L38" s="2179">
        <v>1</v>
      </c>
      <c r="M38" s="2179">
        <v>1</v>
      </c>
      <c r="N38" s="2179">
        <v>1</v>
      </c>
      <c r="O38" s="2179">
        <v>1</v>
      </c>
      <c r="P38" s="2179">
        <v>1</v>
      </c>
      <c r="Q38" s="2179">
        <v>1</v>
      </c>
      <c r="R38" s="2179">
        <v>1</v>
      </c>
      <c r="S38" s="2179">
        <v>2</v>
      </c>
      <c r="T38" s="2179">
        <v>1</v>
      </c>
      <c r="U38" s="2179">
        <v>1</v>
      </c>
      <c r="V38" s="2179">
        <v>1</v>
      </c>
      <c r="W38" s="2179">
        <v>1</v>
      </c>
      <c r="X38" s="2179">
        <v>1</v>
      </c>
      <c r="Y38" s="2179">
        <v>1</v>
      </c>
      <c r="Z38" s="2179">
        <v>1</v>
      </c>
      <c r="AA38" s="2179">
        <v>1</v>
      </c>
      <c r="AB38" s="2179">
        <v>1</v>
      </c>
      <c r="AC38" s="2179">
        <v>1</v>
      </c>
      <c r="AD38" s="2179">
        <v>1</v>
      </c>
      <c r="AE38" s="2179"/>
      <c r="AF38" s="2179">
        <v>1</v>
      </c>
      <c r="AG38" s="2179">
        <v>1</v>
      </c>
      <c r="AH38" s="2179">
        <v>1</v>
      </c>
      <c r="AI38" s="2179">
        <v>1</v>
      </c>
      <c r="AJ38" s="2179">
        <v>1</v>
      </c>
      <c r="AK38" s="2179">
        <v>1</v>
      </c>
      <c r="AL38" s="2179">
        <v>1</v>
      </c>
      <c r="AM38" s="2179">
        <v>1</v>
      </c>
      <c r="AN38" s="2179">
        <v>1</v>
      </c>
      <c r="AO38" s="2179">
        <v>1</v>
      </c>
      <c r="AP38" s="2179"/>
      <c r="AQ38" s="2179">
        <v>1</v>
      </c>
      <c r="AR38" s="2179">
        <v>1</v>
      </c>
      <c r="AS38" s="2179">
        <v>1</v>
      </c>
      <c r="AT38" s="2179">
        <v>1</v>
      </c>
      <c r="AU38" s="2179">
        <v>1</v>
      </c>
      <c r="AV38" s="2179">
        <v>1</v>
      </c>
      <c r="AW38" s="2179">
        <v>1</v>
      </c>
      <c r="AX38" s="2179">
        <v>1</v>
      </c>
      <c r="AY38" s="2179">
        <v>1</v>
      </c>
      <c r="AZ38" s="2179">
        <v>1</v>
      </c>
      <c r="BA38" s="2179">
        <v>1</v>
      </c>
      <c r="BB38" s="2179">
        <v>1</v>
      </c>
      <c r="BC38" s="2179">
        <v>1</v>
      </c>
      <c r="BD38" s="2179"/>
      <c r="BE38" s="2179">
        <v>1</v>
      </c>
      <c r="BF38" s="2179">
        <v>1</v>
      </c>
      <c r="BG38" s="2179">
        <v>1</v>
      </c>
      <c r="BH38" s="2179">
        <v>1</v>
      </c>
      <c r="BI38" s="2179">
        <v>1</v>
      </c>
      <c r="BJ38" s="2179">
        <v>1</v>
      </c>
      <c r="BK38" s="2179">
        <v>1</v>
      </c>
      <c r="BL38" s="2179">
        <v>1</v>
      </c>
      <c r="BM38" s="2179">
        <v>1</v>
      </c>
      <c r="BN38" s="2179">
        <v>1</v>
      </c>
      <c r="BO38" s="2179">
        <v>1</v>
      </c>
      <c r="BP38" s="2179">
        <v>1</v>
      </c>
      <c r="BQ38" s="2179">
        <v>1</v>
      </c>
      <c r="BR38" s="2179"/>
      <c r="BS38" s="2179">
        <v>1</v>
      </c>
      <c r="BT38" s="2179">
        <v>1</v>
      </c>
      <c r="BU38" s="2179">
        <v>1</v>
      </c>
      <c r="BV38" s="2179">
        <v>1</v>
      </c>
      <c r="BW38" s="2179">
        <v>1</v>
      </c>
      <c r="BX38" s="2179">
        <v>1</v>
      </c>
      <c r="BY38" s="2179">
        <v>1</v>
      </c>
      <c r="BZ38" s="2179">
        <v>1</v>
      </c>
      <c r="CA38" s="2179">
        <v>1</v>
      </c>
      <c r="CB38" s="2179">
        <v>1</v>
      </c>
      <c r="CC38" s="2179">
        <v>1</v>
      </c>
      <c r="CD38" s="2179">
        <v>1</v>
      </c>
      <c r="CE38" s="2179">
        <v>1</v>
      </c>
      <c r="CF38" s="2179">
        <v>1</v>
      </c>
      <c r="CG38" s="2179"/>
      <c r="CH38" s="2179">
        <v>1</v>
      </c>
      <c r="CI38" s="2179"/>
      <c r="CJ38" s="2179">
        <v>1</v>
      </c>
      <c r="CK38" s="2179">
        <v>1</v>
      </c>
      <c r="CL38" s="2179">
        <v>1</v>
      </c>
      <c r="CM38" s="2179">
        <v>1</v>
      </c>
      <c r="CN38" s="2179">
        <v>1</v>
      </c>
      <c r="CO38" s="2179">
        <v>1</v>
      </c>
      <c r="CP38" s="2179">
        <v>1</v>
      </c>
      <c r="CQ38" s="2179">
        <v>1</v>
      </c>
      <c r="CR38" s="2179">
        <v>1</v>
      </c>
      <c r="CS38" s="2179">
        <v>1</v>
      </c>
      <c r="CT38" s="2179">
        <v>1</v>
      </c>
      <c r="CU38" s="2179">
        <v>1</v>
      </c>
      <c r="CV38" s="2179">
        <v>1</v>
      </c>
      <c r="CW38" s="2179">
        <v>1</v>
      </c>
      <c r="CX38" s="2179">
        <v>1</v>
      </c>
      <c r="CY38" s="2179"/>
      <c r="CZ38" s="2179">
        <v>1</v>
      </c>
      <c r="DA38" s="2179">
        <v>1</v>
      </c>
      <c r="DB38" s="2179">
        <v>1</v>
      </c>
      <c r="DC38" s="2179">
        <v>1</v>
      </c>
      <c r="DD38" s="2179">
        <v>1</v>
      </c>
      <c r="DE38" s="2179">
        <v>1</v>
      </c>
      <c r="DF38" s="2179">
        <v>1</v>
      </c>
      <c r="DG38" s="2179">
        <v>1</v>
      </c>
      <c r="DH38" s="2179">
        <v>1</v>
      </c>
      <c r="DI38" s="2179">
        <v>1</v>
      </c>
      <c r="DJ38" s="2179">
        <v>1</v>
      </c>
      <c r="DK38" s="2179">
        <v>1</v>
      </c>
      <c r="DL38" s="2179"/>
      <c r="DM38" s="2179">
        <v>1</v>
      </c>
      <c r="DN38" s="2179">
        <v>1</v>
      </c>
      <c r="DO38" s="2179">
        <v>1</v>
      </c>
      <c r="DP38" s="2179">
        <v>1</v>
      </c>
      <c r="DQ38" s="2179">
        <v>1</v>
      </c>
      <c r="DR38" s="2179">
        <v>1</v>
      </c>
      <c r="DS38" s="2179">
        <v>1</v>
      </c>
      <c r="DT38" s="2179">
        <v>1</v>
      </c>
      <c r="DU38" s="2179">
        <v>1</v>
      </c>
      <c r="DV38" s="2179">
        <v>1</v>
      </c>
      <c r="DW38" s="2179">
        <v>1</v>
      </c>
      <c r="DX38" s="2179">
        <v>1</v>
      </c>
      <c r="DY38" s="2179">
        <v>1</v>
      </c>
      <c r="DZ38" s="2179">
        <v>1</v>
      </c>
      <c r="EA38" s="2179">
        <v>1</v>
      </c>
      <c r="EB38" s="2179"/>
      <c r="EC38" s="2179">
        <v>1</v>
      </c>
      <c r="ED38" s="2179">
        <v>1</v>
      </c>
      <c r="EE38" s="2179">
        <v>1</v>
      </c>
      <c r="EF38" s="2179">
        <v>1</v>
      </c>
      <c r="EG38" s="2179">
        <v>1</v>
      </c>
      <c r="EH38" s="2179">
        <v>1</v>
      </c>
      <c r="EI38" s="2179">
        <v>1</v>
      </c>
      <c r="EJ38" s="2179">
        <v>1</v>
      </c>
      <c r="EK38" s="2179">
        <v>1</v>
      </c>
      <c r="EL38" s="2179">
        <v>1</v>
      </c>
      <c r="EM38" s="2179">
        <v>1</v>
      </c>
      <c r="EN38" s="2179">
        <v>1</v>
      </c>
      <c r="EO38" s="2179">
        <v>1</v>
      </c>
      <c r="EP38" s="2179">
        <v>1</v>
      </c>
      <c r="EQ38" s="2179"/>
      <c r="ER38" s="2179">
        <v>1</v>
      </c>
      <c r="ES38" s="2179">
        <v>1</v>
      </c>
      <c r="ET38" s="2179">
        <v>1</v>
      </c>
      <c r="EU38" s="2179">
        <v>1</v>
      </c>
      <c r="EV38" s="2179">
        <v>1</v>
      </c>
      <c r="EW38" s="2179">
        <v>1</v>
      </c>
      <c r="EX38" s="2179">
        <v>1</v>
      </c>
      <c r="EY38" s="2179">
        <v>1</v>
      </c>
      <c r="EZ38" s="2179">
        <v>1</v>
      </c>
      <c r="FA38" s="2179">
        <v>1</v>
      </c>
      <c r="FB38" s="2179">
        <v>1</v>
      </c>
      <c r="FC38" s="2179">
        <v>1</v>
      </c>
      <c r="FD38" s="2179">
        <v>1</v>
      </c>
      <c r="FE38" s="2179"/>
      <c r="FF38" s="2179">
        <v>1</v>
      </c>
      <c r="FG38" s="2179">
        <v>1</v>
      </c>
      <c r="FH38" s="2179">
        <v>1</v>
      </c>
      <c r="FI38" s="2179">
        <v>1</v>
      </c>
      <c r="FJ38" s="2179">
        <v>1</v>
      </c>
      <c r="FK38" s="2179">
        <v>1</v>
      </c>
      <c r="FL38" s="2179">
        <v>1</v>
      </c>
      <c r="FM38" s="2179">
        <v>1</v>
      </c>
      <c r="FN38" s="2179">
        <v>1</v>
      </c>
      <c r="FO38" s="2179">
        <v>1</v>
      </c>
      <c r="FP38" s="2179">
        <v>1</v>
      </c>
      <c r="FQ38" s="2179">
        <v>1</v>
      </c>
      <c r="FR38" s="2179"/>
      <c r="FS38" s="2179">
        <v>1</v>
      </c>
      <c r="FT38" s="2179">
        <v>1</v>
      </c>
      <c r="FU38" s="2179">
        <v>1</v>
      </c>
      <c r="FV38" s="2179">
        <v>1</v>
      </c>
      <c r="FW38" s="2179">
        <v>1</v>
      </c>
      <c r="FX38" s="2179">
        <v>1</v>
      </c>
      <c r="FY38" s="2179"/>
      <c r="FZ38" s="2179"/>
      <c r="GA38" s="2179">
        <v>163</v>
      </c>
      <c r="GB38" s="2179">
        <f t="shared" si="3"/>
        <v>163</v>
      </c>
    </row>
    <row r="39" spans="2:184" ht="16.8" hidden="1">
      <c r="B39" s="2313" t="str">
        <f t="shared" si="2"/>
        <v xml:space="preserve">Kẹp quai 4/0 đấu nóng + Chụp </v>
      </c>
      <c r="C39" s="2179" t="s">
        <v>5132</v>
      </c>
      <c r="D39" s="2179"/>
      <c r="E39" s="2179">
        <f t="shared" si="0"/>
        <v>56</v>
      </c>
      <c r="F39" s="2179"/>
      <c r="G39" s="2179"/>
      <c r="H39" s="2179">
        <v>3</v>
      </c>
      <c r="I39" s="2179"/>
      <c r="J39" s="2179"/>
      <c r="K39" s="2179"/>
      <c r="L39" s="2179"/>
      <c r="M39" s="2179"/>
      <c r="N39" s="2179"/>
      <c r="O39" s="2179"/>
      <c r="P39" s="2179"/>
      <c r="Q39" s="2179"/>
      <c r="R39" s="2179"/>
      <c r="S39" s="2179"/>
      <c r="T39" s="2179"/>
      <c r="U39" s="2179"/>
      <c r="V39" s="2179"/>
      <c r="W39" s="2179"/>
      <c r="X39" s="2179"/>
      <c r="Y39" s="2179"/>
      <c r="Z39" s="2179"/>
      <c r="AA39" s="2179"/>
      <c r="AB39" s="2179"/>
      <c r="AC39" s="2179"/>
      <c r="AD39" s="2179">
        <v>1</v>
      </c>
      <c r="AE39" s="2179"/>
      <c r="AF39" s="2179"/>
      <c r="AG39" s="2179"/>
      <c r="AH39" s="2179"/>
      <c r="AI39" s="2179"/>
      <c r="AJ39" s="2179"/>
      <c r="AK39" s="2179"/>
      <c r="AL39" s="2179">
        <v>1</v>
      </c>
      <c r="AM39" s="2179"/>
      <c r="AN39" s="2179">
        <v>1</v>
      </c>
      <c r="AO39" s="2179"/>
      <c r="AP39" s="2179"/>
      <c r="AQ39" s="2179"/>
      <c r="AR39" s="2179"/>
      <c r="AS39" s="2179"/>
      <c r="AT39" s="2179"/>
      <c r="AU39" s="2179"/>
      <c r="AV39" s="2179"/>
      <c r="AW39" s="2179"/>
      <c r="AX39" s="2179">
        <v>3</v>
      </c>
      <c r="AY39" s="2179"/>
      <c r="AZ39" s="2179"/>
      <c r="BA39" s="2179"/>
      <c r="BB39" s="2179"/>
      <c r="BC39" s="2179"/>
      <c r="BD39" s="2179"/>
      <c r="BE39" s="2179"/>
      <c r="BF39" s="2179"/>
      <c r="BG39" s="2179"/>
      <c r="BH39" s="2179"/>
      <c r="BI39" s="2179">
        <v>1</v>
      </c>
      <c r="BJ39" s="2179"/>
      <c r="BK39" s="2179">
        <v>3</v>
      </c>
      <c r="BL39" s="2179"/>
      <c r="BM39" s="2179"/>
      <c r="BN39" s="2179"/>
      <c r="BO39" s="2179"/>
      <c r="BP39" s="2179"/>
      <c r="BQ39" s="2179"/>
      <c r="BR39" s="2179"/>
      <c r="BS39" s="2179"/>
      <c r="BT39" s="2179"/>
      <c r="BU39" s="2179"/>
      <c r="BV39" s="2179"/>
      <c r="BW39" s="2179">
        <v>1</v>
      </c>
      <c r="BX39" s="2179"/>
      <c r="BY39" s="2179"/>
      <c r="BZ39" s="2179"/>
      <c r="CA39" s="2179"/>
      <c r="CB39" s="2179"/>
      <c r="CC39" s="2179"/>
      <c r="CD39" s="2179"/>
      <c r="CE39" s="2179">
        <v>2</v>
      </c>
      <c r="CF39" s="2179"/>
      <c r="CG39" s="2179"/>
      <c r="CH39" s="2179"/>
      <c r="CI39" s="2179"/>
      <c r="CJ39" s="2179"/>
      <c r="CK39" s="2179"/>
      <c r="CL39" s="2179"/>
      <c r="CM39" s="2179"/>
      <c r="CN39" s="2179"/>
      <c r="CO39" s="2179"/>
      <c r="CP39" s="2179"/>
      <c r="CQ39" s="2179"/>
      <c r="CR39" s="2179"/>
      <c r="CS39" s="2179"/>
      <c r="CT39" s="2179"/>
      <c r="CU39" s="2179"/>
      <c r="CV39" s="2179"/>
      <c r="CW39" s="2179"/>
      <c r="CX39" s="2179"/>
      <c r="CY39" s="2179"/>
      <c r="CZ39" s="2179">
        <v>1</v>
      </c>
      <c r="DA39" s="2179"/>
      <c r="DB39" s="2179"/>
      <c r="DC39" s="2179"/>
      <c r="DD39" s="2179"/>
      <c r="DE39" s="2179"/>
      <c r="DF39" s="2179"/>
      <c r="DG39" s="2179"/>
      <c r="DH39" s="2179"/>
      <c r="DI39" s="2179"/>
      <c r="DJ39" s="2179"/>
      <c r="DK39" s="2179">
        <v>3</v>
      </c>
      <c r="DL39" s="2179"/>
      <c r="DM39" s="2179"/>
      <c r="DN39" s="2179"/>
      <c r="DO39" s="2179">
        <v>3</v>
      </c>
      <c r="DP39" s="2179"/>
      <c r="DQ39" s="2179"/>
      <c r="DR39" s="2179"/>
      <c r="DS39" s="2179">
        <v>3</v>
      </c>
      <c r="DT39" s="2179">
        <v>1</v>
      </c>
      <c r="DU39" s="2179"/>
      <c r="DV39" s="2179">
        <v>1</v>
      </c>
      <c r="DW39" s="2179"/>
      <c r="DX39" s="2179">
        <v>3</v>
      </c>
      <c r="DY39" s="2179"/>
      <c r="DZ39" s="2179"/>
      <c r="EA39" s="2179"/>
      <c r="EB39" s="2179">
        <v>3</v>
      </c>
      <c r="EC39" s="2179"/>
      <c r="ED39" s="2179">
        <v>3</v>
      </c>
      <c r="EE39" s="2179"/>
      <c r="EF39" s="2179"/>
      <c r="EG39" s="2179"/>
      <c r="EH39" s="2179"/>
      <c r="EI39" s="2179"/>
      <c r="EJ39" s="2179"/>
      <c r="EK39" s="2179"/>
      <c r="EL39" s="2179"/>
      <c r="EM39" s="2179"/>
      <c r="EN39" s="2179"/>
      <c r="EO39" s="2179"/>
      <c r="EP39" s="2179"/>
      <c r="EQ39" s="2179"/>
      <c r="ER39" s="2179"/>
      <c r="ES39" s="2179"/>
      <c r="ET39" s="2179"/>
      <c r="EU39" s="2179"/>
      <c r="EV39" s="2179">
        <v>1</v>
      </c>
      <c r="EW39" s="2179"/>
      <c r="EX39" s="2179">
        <v>1</v>
      </c>
      <c r="EY39" s="2179">
        <v>1</v>
      </c>
      <c r="EZ39" s="2179"/>
      <c r="FA39" s="2179"/>
      <c r="FB39" s="2179"/>
      <c r="FC39" s="2179"/>
      <c r="FD39" s="2179">
        <v>1</v>
      </c>
      <c r="FE39" s="2179"/>
      <c r="FF39" s="2179"/>
      <c r="FG39" s="2179"/>
      <c r="FH39" s="2179"/>
      <c r="FI39" s="2179">
        <v>1</v>
      </c>
      <c r="FJ39" s="2179"/>
      <c r="FK39" s="2179"/>
      <c r="FL39" s="2179">
        <v>1</v>
      </c>
      <c r="FM39" s="2179"/>
      <c r="FN39" s="2179">
        <v>1</v>
      </c>
      <c r="FO39" s="2179"/>
      <c r="FP39" s="2179">
        <v>3</v>
      </c>
      <c r="FQ39" s="2179"/>
      <c r="FR39" s="2179"/>
      <c r="FS39" s="2179"/>
      <c r="FT39" s="2179"/>
      <c r="FU39" s="2179"/>
      <c r="FV39" s="2179">
        <v>3</v>
      </c>
      <c r="FW39" s="2179"/>
      <c r="FX39" s="2179">
        <v>3</v>
      </c>
      <c r="FY39" s="2179">
        <v>3</v>
      </c>
      <c r="FZ39" s="2179"/>
      <c r="GA39" s="2179">
        <v>56</v>
      </c>
      <c r="GB39" s="2179">
        <f t="shared" si="3"/>
        <v>56</v>
      </c>
    </row>
    <row r="40" spans="2:184" ht="16.8" hidden="1">
      <c r="B40" s="2313" t="str">
        <f t="shared" si="2"/>
        <v>Hotline 4/0</v>
      </c>
      <c r="C40" s="2179" t="s">
        <v>409</v>
      </c>
      <c r="D40" s="2179"/>
      <c r="E40" s="2179">
        <f t="shared" si="0"/>
        <v>47</v>
      </c>
      <c r="F40" s="2179"/>
      <c r="G40" s="2179"/>
      <c r="H40" s="2179"/>
      <c r="I40" s="2179"/>
      <c r="J40" s="2179"/>
      <c r="K40" s="2179"/>
      <c r="L40" s="2179"/>
      <c r="M40" s="2179"/>
      <c r="N40" s="2179"/>
      <c r="O40" s="2179"/>
      <c r="P40" s="2179"/>
      <c r="Q40" s="2179"/>
      <c r="R40" s="2179"/>
      <c r="S40" s="2179"/>
      <c r="T40" s="2179"/>
      <c r="U40" s="2179"/>
      <c r="V40" s="2179"/>
      <c r="W40" s="2179"/>
      <c r="X40" s="2179"/>
      <c r="Y40" s="2179"/>
      <c r="Z40" s="2179"/>
      <c r="AA40" s="2179"/>
      <c r="AB40" s="2179"/>
      <c r="AC40" s="2179"/>
      <c r="AD40" s="2179">
        <v>1</v>
      </c>
      <c r="AE40" s="2179"/>
      <c r="AF40" s="2179"/>
      <c r="AG40" s="2179"/>
      <c r="AH40" s="2179"/>
      <c r="AI40" s="2179"/>
      <c r="AJ40" s="2179"/>
      <c r="AK40" s="2179"/>
      <c r="AL40" s="2179">
        <v>1</v>
      </c>
      <c r="AM40" s="2179"/>
      <c r="AN40" s="2179">
        <v>1</v>
      </c>
      <c r="AO40" s="2179"/>
      <c r="AP40" s="2179"/>
      <c r="AQ40" s="2179"/>
      <c r="AR40" s="2179"/>
      <c r="AS40" s="2179"/>
      <c r="AT40" s="2179"/>
      <c r="AU40" s="2179"/>
      <c r="AV40" s="2179"/>
      <c r="AW40" s="2179"/>
      <c r="AX40" s="2179">
        <v>3</v>
      </c>
      <c r="AY40" s="2179"/>
      <c r="AZ40" s="2179"/>
      <c r="BA40" s="2179"/>
      <c r="BB40" s="2179"/>
      <c r="BC40" s="2179"/>
      <c r="BD40" s="2179"/>
      <c r="BE40" s="2179"/>
      <c r="BF40" s="2179"/>
      <c r="BG40" s="2179"/>
      <c r="BH40" s="2179"/>
      <c r="BI40" s="2179">
        <v>1</v>
      </c>
      <c r="BJ40" s="2179"/>
      <c r="BK40" s="2179"/>
      <c r="BL40" s="2179"/>
      <c r="BM40" s="2179"/>
      <c r="BN40" s="2179"/>
      <c r="BO40" s="2179"/>
      <c r="BP40" s="2179"/>
      <c r="BQ40" s="2179"/>
      <c r="BR40" s="2179"/>
      <c r="BS40" s="2179"/>
      <c r="BT40" s="2179"/>
      <c r="BU40" s="2179"/>
      <c r="BV40" s="2179"/>
      <c r="BW40" s="2179">
        <v>1</v>
      </c>
      <c r="BX40" s="2179"/>
      <c r="BY40" s="2179"/>
      <c r="BZ40" s="2179"/>
      <c r="CA40" s="2179"/>
      <c r="CB40" s="2179"/>
      <c r="CC40" s="2179"/>
      <c r="CD40" s="2179"/>
      <c r="CE40" s="2179">
        <v>2</v>
      </c>
      <c r="CF40" s="2179"/>
      <c r="CG40" s="2179"/>
      <c r="CH40" s="2179"/>
      <c r="CI40" s="2179"/>
      <c r="CJ40" s="2179"/>
      <c r="CK40" s="2179"/>
      <c r="CL40" s="2179"/>
      <c r="CM40" s="2179"/>
      <c r="CN40" s="2179"/>
      <c r="CO40" s="2179"/>
      <c r="CP40" s="2179"/>
      <c r="CQ40" s="2179"/>
      <c r="CR40" s="2179"/>
      <c r="CS40" s="2179"/>
      <c r="CT40" s="2179"/>
      <c r="CU40" s="2179"/>
      <c r="CV40" s="2179"/>
      <c r="CW40" s="2179"/>
      <c r="CX40" s="2179"/>
      <c r="CY40" s="2179"/>
      <c r="CZ40" s="2179">
        <v>1</v>
      </c>
      <c r="DA40" s="2179"/>
      <c r="DB40" s="2179"/>
      <c r="DC40" s="2179"/>
      <c r="DD40" s="2179"/>
      <c r="DE40" s="2179"/>
      <c r="DF40" s="2179"/>
      <c r="DG40" s="2179"/>
      <c r="DH40" s="2179"/>
      <c r="DI40" s="2179"/>
      <c r="DJ40" s="2179"/>
      <c r="DK40" s="2179">
        <v>3</v>
      </c>
      <c r="DL40" s="2179"/>
      <c r="DM40" s="2179"/>
      <c r="DN40" s="2179"/>
      <c r="DO40" s="2179"/>
      <c r="DP40" s="2179"/>
      <c r="DQ40" s="2179"/>
      <c r="DR40" s="2179"/>
      <c r="DS40" s="2179">
        <v>3</v>
      </c>
      <c r="DT40" s="2179">
        <v>1</v>
      </c>
      <c r="DU40" s="2179"/>
      <c r="DV40" s="2179">
        <v>1</v>
      </c>
      <c r="DW40" s="2179"/>
      <c r="DX40" s="2179">
        <v>3</v>
      </c>
      <c r="DY40" s="2179"/>
      <c r="DZ40" s="2179"/>
      <c r="EA40" s="2179"/>
      <c r="EB40" s="2179">
        <v>3</v>
      </c>
      <c r="EC40" s="2179"/>
      <c r="ED40" s="2179">
        <v>3</v>
      </c>
      <c r="EE40" s="2179"/>
      <c r="EF40" s="2179"/>
      <c r="EG40" s="2179"/>
      <c r="EH40" s="2179"/>
      <c r="EI40" s="2179"/>
      <c r="EJ40" s="2179"/>
      <c r="EK40" s="2179"/>
      <c r="EL40" s="2179"/>
      <c r="EM40" s="2179"/>
      <c r="EN40" s="2179"/>
      <c r="EO40" s="2179"/>
      <c r="EP40" s="2179"/>
      <c r="EQ40" s="2179"/>
      <c r="ER40" s="2179"/>
      <c r="ES40" s="2179"/>
      <c r="ET40" s="2179"/>
      <c r="EU40" s="2179"/>
      <c r="EV40" s="2179">
        <v>1</v>
      </c>
      <c r="EW40" s="2179"/>
      <c r="EX40" s="2179">
        <v>1</v>
      </c>
      <c r="EY40" s="2179">
        <v>1</v>
      </c>
      <c r="EZ40" s="2179"/>
      <c r="FA40" s="2179"/>
      <c r="FB40" s="2179"/>
      <c r="FC40" s="2179"/>
      <c r="FD40" s="2179">
        <v>1</v>
      </c>
      <c r="FE40" s="2179"/>
      <c r="FF40" s="2179"/>
      <c r="FG40" s="2179"/>
      <c r="FH40" s="2179"/>
      <c r="FI40" s="2179">
        <v>1</v>
      </c>
      <c r="FJ40" s="2179"/>
      <c r="FK40" s="2179"/>
      <c r="FL40" s="2179">
        <v>1</v>
      </c>
      <c r="FM40" s="2179"/>
      <c r="FN40" s="2179">
        <v>1</v>
      </c>
      <c r="FO40" s="2179"/>
      <c r="FP40" s="2179">
        <v>3</v>
      </c>
      <c r="FQ40" s="2179"/>
      <c r="FR40" s="2179"/>
      <c r="FS40" s="2179"/>
      <c r="FT40" s="2179"/>
      <c r="FU40" s="2179"/>
      <c r="FV40" s="2179">
        <v>3</v>
      </c>
      <c r="FW40" s="2179"/>
      <c r="FX40" s="2179">
        <v>3</v>
      </c>
      <c r="FY40" s="2179">
        <v>3</v>
      </c>
      <c r="FZ40" s="2179"/>
      <c r="GA40" s="2179">
        <v>47</v>
      </c>
      <c r="GB40" s="2179">
        <f t="shared" si="3"/>
        <v>47</v>
      </c>
    </row>
    <row r="41" spans="2:184" ht="16.8" hidden="1">
      <c r="B41" s="2313" t="str">
        <f t="shared" si="2"/>
        <v>Kẹp ép cỡ 50mm2</v>
      </c>
      <c r="C41" s="2179" t="s">
        <v>3892</v>
      </c>
      <c r="D41" s="2179"/>
      <c r="E41" s="2179">
        <f t="shared" si="0"/>
        <v>10</v>
      </c>
      <c r="F41" s="2179"/>
      <c r="G41" s="2179"/>
      <c r="H41" s="2179"/>
      <c r="I41" s="2179"/>
      <c r="J41" s="2179"/>
      <c r="K41" s="2179"/>
      <c r="L41" s="2179"/>
      <c r="M41" s="2179"/>
      <c r="N41" s="2179"/>
      <c r="O41" s="2179"/>
      <c r="P41" s="2179"/>
      <c r="Q41" s="2179"/>
      <c r="R41" s="2179"/>
      <c r="S41" s="2179"/>
      <c r="T41" s="2179"/>
      <c r="U41" s="2179"/>
      <c r="V41" s="2179"/>
      <c r="W41" s="2179"/>
      <c r="X41" s="2179"/>
      <c r="Y41" s="2179"/>
      <c r="Z41" s="2179"/>
      <c r="AA41" s="2179"/>
      <c r="AB41" s="2179"/>
      <c r="AC41" s="2179"/>
      <c r="AD41" s="2179"/>
      <c r="AE41" s="2179"/>
      <c r="AF41" s="2179"/>
      <c r="AG41" s="2179"/>
      <c r="AH41" s="2179"/>
      <c r="AI41" s="2179"/>
      <c r="AJ41" s="2179"/>
      <c r="AK41" s="2179"/>
      <c r="AL41" s="2179"/>
      <c r="AM41" s="2179"/>
      <c r="AN41" s="2179"/>
      <c r="AO41" s="2179"/>
      <c r="AP41" s="2179"/>
      <c r="AQ41" s="2179"/>
      <c r="AR41" s="2179"/>
      <c r="AS41" s="2179"/>
      <c r="AT41" s="2179"/>
      <c r="AU41" s="2179"/>
      <c r="AV41" s="2179"/>
      <c r="AW41" s="2179"/>
      <c r="AX41" s="2179"/>
      <c r="AY41" s="2179"/>
      <c r="AZ41" s="2179"/>
      <c r="BA41" s="2179"/>
      <c r="BB41" s="2179"/>
      <c r="BC41" s="2179"/>
      <c r="BD41" s="2179"/>
      <c r="BE41" s="2179"/>
      <c r="BF41" s="2179"/>
      <c r="BG41" s="2179"/>
      <c r="BH41" s="2179"/>
      <c r="BI41" s="2179"/>
      <c r="BJ41" s="2179"/>
      <c r="BK41" s="2179"/>
      <c r="BL41" s="2179"/>
      <c r="BM41" s="2179"/>
      <c r="BN41" s="2179"/>
      <c r="BO41" s="2179"/>
      <c r="BP41" s="2179"/>
      <c r="BQ41" s="2179"/>
      <c r="BR41" s="2179"/>
      <c r="BS41" s="2179"/>
      <c r="BT41" s="2179"/>
      <c r="BU41" s="2179"/>
      <c r="BV41" s="2179"/>
      <c r="BW41" s="2179"/>
      <c r="BX41" s="2179"/>
      <c r="BY41" s="2179"/>
      <c r="BZ41" s="2179"/>
      <c r="CA41" s="2179"/>
      <c r="CB41" s="2179"/>
      <c r="CC41" s="2179"/>
      <c r="CD41" s="2179"/>
      <c r="CE41" s="2179"/>
      <c r="CF41" s="2179"/>
      <c r="CG41" s="2179"/>
      <c r="CH41" s="2179"/>
      <c r="CI41" s="2179"/>
      <c r="CJ41" s="2179"/>
      <c r="CK41" s="2179"/>
      <c r="CL41" s="2179"/>
      <c r="CM41" s="2179"/>
      <c r="CN41" s="2179"/>
      <c r="CO41" s="2179"/>
      <c r="CP41" s="2179"/>
      <c r="CQ41" s="2179"/>
      <c r="CR41" s="2179"/>
      <c r="CS41" s="2179"/>
      <c r="CT41" s="2179"/>
      <c r="CU41" s="2179"/>
      <c r="CV41" s="2179"/>
      <c r="CW41" s="2179"/>
      <c r="CX41" s="2179"/>
      <c r="CY41" s="2179"/>
      <c r="CZ41" s="2179"/>
      <c r="DA41" s="2179"/>
      <c r="DB41" s="2179"/>
      <c r="DC41" s="2179"/>
      <c r="DD41" s="2179"/>
      <c r="DE41" s="2179"/>
      <c r="DF41" s="2179"/>
      <c r="DG41" s="2179"/>
      <c r="DH41" s="2179"/>
      <c r="DI41" s="2179"/>
      <c r="DJ41" s="2179"/>
      <c r="DK41" s="2179"/>
      <c r="DL41" s="2179"/>
      <c r="DM41" s="2179"/>
      <c r="DN41" s="2179"/>
      <c r="DO41" s="2179"/>
      <c r="DP41" s="2179"/>
      <c r="DQ41" s="2179"/>
      <c r="DR41" s="2179"/>
      <c r="DS41" s="2179"/>
      <c r="DT41" s="2179">
        <v>2</v>
      </c>
      <c r="DU41" s="2179"/>
      <c r="DV41" s="2179"/>
      <c r="DW41" s="2179"/>
      <c r="DX41" s="2179"/>
      <c r="DY41" s="2179"/>
      <c r="DZ41" s="2179"/>
      <c r="EA41" s="2179"/>
      <c r="EB41" s="2179"/>
      <c r="EC41" s="2179"/>
      <c r="ED41" s="2179">
        <v>2</v>
      </c>
      <c r="EE41" s="2179"/>
      <c r="EF41" s="2179"/>
      <c r="EG41" s="2179"/>
      <c r="EH41" s="2179"/>
      <c r="EI41" s="2179"/>
      <c r="EJ41" s="2179"/>
      <c r="EK41" s="2179"/>
      <c r="EL41" s="2179"/>
      <c r="EM41" s="2179"/>
      <c r="EN41" s="2179"/>
      <c r="EO41" s="2179"/>
      <c r="EP41" s="2179"/>
      <c r="EQ41" s="2179"/>
      <c r="ER41" s="2179"/>
      <c r="ES41" s="2179"/>
      <c r="ET41" s="2179"/>
      <c r="EU41" s="2179"/>
      <c r="EV41" s="2179"/>
      <c r="EW41" s="2179"/>
      <c r="EX41" s="2179"/>
      <c r="EY41" s="2179">
        <v>2</v>
      </c>
      <c r="EZ41" s="2179"/>
      <c r="FA41" s="2179"/>
      <c r="FB41" s="2179"/>
      <c r="FC41" s="2179"/>
      <c r="FD41" s="2179"/>
      <c r="FE41" s="2179"/>
      <c r="FF41" s="2179"/>
      <c r="FG41" s="2179"/>
      <c r="FH41" s="2179"/>
      <c r="FI41" s="2179">
        <v>2</v>
      </c>
      <c r="FJ41" s="2179"/>
      <c r="FK41" s="2179"/>
      <c r="FL41" s="2179">
        <v>2</v>
      </c>
      <c r="FM41" s="2179"/>
      <c r="FN41" s="2179"/>
      <c r="FO41" s="2179"/>
      <c r="FP41" s="2179"/>
      <c r="FQ41" s="2179"/>
      <c r="FR41" s="2179"/>
      <c r="FS41" s="2179"/>
      <c r="FT41" s="2179"/>
      <c r="FU41" s="2179"/>
      <c r="FV41" s="2179"/>
      <c r="FW41" s="2179"/>
      <c r="FX41" s="2179"/>
      <c r="FY41" s="2179"/>
      <c r="FZ41" s="2179"/>
      <c r="GA41" s="2179">
        <v>10</v>
      </c>
      <c r="GB41" s="2179">
        <f t="shared" si="3"/>
        <v>10</v>
      </c>
    </row>
    <row r="42" spans="2:184" ht="16.8" hidden="1">
      <c r="B42" s="2313" t="str">
        <f t="shared" si="2"/>
        <v>Kẹp ép cỡ 95mm2</v>
      </c>
      <c r="C42" s="2179" t="s">
        <v>4195</v>
      </c>
      <c r="D42" s="2179"/>
      <c r="E42" s="2179">
        <f t="shared" si="0"/>
        <v>4</v>
      </c>
      <c r="F42" s="2179"/>
      <c r="G42" s="2179"/>
      <c r="H42" s="2179"/>
      <c r="I42" s="2179"/>
      <c r="J42" s="2179"/>
      <c r="K42" s="2179"/>
      <c r="L42" s="2179"/>
      <c r="M42" s="2179"/>
      <c r="N42" s="2179"/>
      <c r="O42" s="2179"/>
      <c r="P42" s="2179"/>
      <c r="Q42" s="2179"/>
      <c r="R42" s="2179"/>
      <c r="S42" s="2179"/>
      <c r="T42" s="2179"/>
      <c r="U42" s="2179"/>
      <c r="V42" s="2179"/>
      <c r="W42" s="2179"/>
      <c r="X42" s="2179"/>
      <c r="Y42" s="2179"/>
      <c r="Z42" s="2179"/>
      <c r="AA42" s="2179"/>
      <c r="AB42" s="2179"/>
      <c r="AC42" s="2179"/>
      <c r="AD42" s="2179"/>
      <c r="AE42" s="2179"/>
      <c r="AF42" s="2179"/>
      <c r="AG42" s="2179"/>
      <c r="AH42" s="2179"/>
      <c r="AI42" s="2179"/>
      <c r="AJ42" s="2179"/>
      <c r="AK42" s="2179"/>
      <c r="AL42" s="2179"/>
      <c r="AM42" s="2179"/>
      <c r="AN42" s="2179"/>
      <c r="AO42" s="2179"/>
      <c r="AP42" s="2179"/>
      <c r="AQ42" s="2179"/>
      <c r="AR42" s="2179"/>
      <c r="AS42" s="2179"/>
      <c r="AT42" s="2179"/>
      <c r="AU42" s="2179"/>
      <c r="AV42" s="2179"/>
      <c r="AW42" s="2179"/>
      <c r="AX42" s="2179"/>
      <c r="AY42" s="2179"/>
      <c r="AZ42" s="2179"/>
      <c r="BA42" s="2179"/>
      <c r="BB42" s="2179"/>
      <c r="BC42" s="2179"/>
      <c r="BD42" s="2179"/>
      <c r="BE42" s="2179"/>
      <c r="BF42" s="2179"/>
      <c r="BG42" s="2179"/>
      <c r="BH42" s="2179"/>
      <c r="BI42" s="2179"/>
      <c r="BJ42" s="2179"/>
      <c r="BK42" s="2179"/>
      <c r="BL42" s="2179"/>
      <c r="BM42" s="2179"/>
      <c r="BN42" s="2179"/>
      <c r="BO42" s="2179"/>
      <c r="BP42" s="2179"/>
      <c r="BQ42" s="2179"/>
      <c r="BR42" s="2179"/>
      <c r="BS42" s="2179"/>
      <c r="BT42" s="2179"/>
      <c r="BU42" s="2179"/>
      <c r="BV42" s="2179"/>
      <c r="BW42" s="2179"/>
      <c r="BX42" s="2179"/>
      <c r="BY42" s="2179"/>
      <c r="BZ42" s="2179"/>
      <c r="CA42" s="2179"/>
      <c r="CB42" s="2179"/>
      <c r="CC42" s="2179"/>
      <c r="CD42" s="2179"/>
      <c r="CE42" s="2179"/>
      <c r="CF42" s="2179"/>
      <c r="CG42" s="2179"/>
      <c r="CH42" s="2179"/>
      <c r="CI42" s="2179"/>
      <c r="CJ42" s="2179"/>
      <c r="CK42" s="2179"/>
      <c r="CL42" s="2179"/>
      <c r="CM42" s="2179"/>
      <c r="CN42" s="2179"/>
      <c r="CO42" s="2179"/>
      <c r="CP42" s="2179">
        <v>2</v>
      </c>
      <c r="CQ42" s="2179">
        <v>2</v>
      </c>
      <c r="CR42" s="2179"/>
      <c r="CS42" s="2179"/>
      <c r="CT42" s="2179"/>
      <c r="CU42" s="2179"/>
      <c r="CV42" s="2179"/>
      <c r="CW42" s="2179"/>
      <c r="CX42" s="2179"/>
      <c r="CY42" s="2179"/>
      <c r="CZ42" s="2179"/>
      <c r="DA42" s="2179"/>
      <c r="DB42" s="2179"/>
      <c r="DC42" s="2179"/>
      <c r="DD42" s="2179"/>
      <c r="DE42" s="2179"/>
      <c r="DF42" s="2179"/>
      <c r="DG42" s="2179"/>
      <c r="DH42" s="2179"/>
      <c r="DI42" s="2179"/>
      <c r="DJ42" s="2179"/>
      <c r="DK42" s="2179"/>
      <c r="DL42" s="2179"/>
      <c r="DM42" s="2179"/>
      <c r="DN42" s="2179"/>
      <c r="DO42" s="2179"/>
      <c r="DP42" s="2179"/>
      <c r="DQ42" s="2179"/>
      <c r="DR42" s="2179"/>
      <c r="DS42" s="2179"/>
      <c r="DT42" s="2179"/>
      <c r="DU42" s="2179"/>
      <c r="DV42" s="2179"/>
      <c r="DW42" s="2179"/>
      <c r="DX42" s="2179"/>
      <c r="DY42" s="2179"/>
      <c r="DZ42" s="2179"/>
      <c r="EA42" s="2179"/>
      <c r="EB42" s="2179"/>
      <c r="EC42" s="2179"/>
      <c r="ED42" s="2179"/>
      <c r="EE42" s="2179"/>
      <c r="EF42" s="2179"/>
      <c r="EG42" s="2179"/>
      <c r="EH42" s="2179"/>
      <c r="EI42" s="2179"/>
      <c r="EJ42" s="2179"/>
      <c r="EK42" s="2179"/>
      <c r="EL42" s="2179"/>
      <c r="EM42" s="2179"/>
      <c r="EN42" s="2179"/>
      <c r="EO42" s="2179"/>
      <c r="EP42" s="2179"/>
      <c r="EQ42" s="2179"/>
      <c r="ER42" s="2179"/>
      <c r="ES42" s="2179"/>
      <c r="ET42" s="2179"/>
      <c r="EU42" s="2179"/>
      <c r="EV42" s="2179"/>
      <c r="EW42" s="2179"/>
      <c r="EX42" s="2179"/>
      <c r="EY42" s="2179"/>
      <c r="EZ42" s="2179"/>
      <c r="FA42" s="2179"/>
      <c r="FB42" s="2179"/>
      <c r="FC42" s="2179"/>
      <c r="FD42" s="2179"/>
      <c r="FE42" s="2179"/>
      <c r="FF42" s="2179"/>
      <c r="FG42" s="2179"/>
      <c r="FH42" s="2179"/>
      <c r="FI42" s="2179"/>
      <c r="FJ42" s="2179"/>
      <c r="FK42" s="2179"/>
      <c r="FL42" s="2179"/>
      <c r="FM42" s="2179"/>
      <c r="FN42" s="2179"/>
      <c r="FO42" s="2179"/>
      <c r="FP42" s="2179"/>
      <c r="FQ42" s="2179"/>
      <c r="FR42" s="2179"/>
      <c r="FS42" s="2179"/>
      <c r="FT42" s="2179"/>
      <c r="FU42" s="2179"/>
      <c r="FV42" s="2179"/>
      <c r="FW42" s="2179"/>
      <c r="FX42" s="2179"/>
      <c r="FY42" s="2179"/>
      <c r="FZ42" s="2179"/>
      <c r="GA42" s="2179">
        <v>4</v>
      </c>
      <c r="GB42" s="2179">
        <f t="shared" si="3"/>
        <v>4</v>
      </c>
    </row>
    <row r="43" spans="2:184" ht="16.8">
      <c r="B43" s="2313" t="str">
        <f t="shared" si="2"/>
        <v>Kẹp ép cỡ 120mm2</v>
      </c>
      <c r="C43" s="2179" t="s">
        <v>3894</v>
      </c>
      <c r="D43" s="2179"/>
      <c r="E43" s="2179">
        <f t="shared" si="0"/>
        <v>70</v>
      </c>
      <c r="F43" s="2179">
        <v>2</v>
      </c>
      <c r="G43" s="2179"/>
      <c r="H43" s="2179"/>
      <c r="I43" s="2179"/>
      <c r="J43" s="2179"/>
      <c r="K43" s="2179"/>
      <c r="L43" s="2179"/>
      <c r="M43" s="2179"/>
      <c r="N43" s="2179"/>
      <c r="O43" s="2179"/>
      <c r="P43" s="2179"/>
      <c r="Q43" s="2179"/>
      <c r="R43" s="2179"/>
      <c r="S43" s="2179">
        <v>2</v>
      </c>
      <c r="T43" s="2179"/>
      <c r="U43" s="2179"/>
      <c r="V43" s="2179"/>
      <c r="W43" s="2179"/>
      <c r="X43" s="2179"/>
      <c r="Y43" s="2179"/>
      <c r="Z43" s="2179"/>
      <c r="AA43" s="2179"/>
      <c r="AB43" s="2179"/>
      <c r="AC43" s="2179"/>
      <c r="AD43" s="2179">
        <v>2</v>
      </c>
      <c r="AE43" s="2179"/>
      <c r="AF43" s="2179"/>
      <c r="AG43" s="2179"/>
      <c r="AH43" s="2179"/>
      <c r="AI43" s="2179"/>
      <c r="AJ43" s="2179"/>
      <c r="AK43" s="2179"/>
      <c r="AL43" s="2179">
        <v>2</v>
      </c>
      <c r="AM43" s="2179"/>
      <c r="AN43" s="2179">
        <v>2</v>
      </c>
      <c r="AO43" s="2179"/>
      <c r="AP43" s="2179">
        <v>2</v>
      </c>
      <c r="AQ43" s="2179"/>
      <c r="AR43" s="2179"/>
      <c r="AS43" s="2179"/>
      <c r="AT43" s="2179"/>
      <c r="AU43" s="2179"/>
      <c r="AV43" s="2179"/>
      <c r="AW43" s="2179"/>
      <c r="AX43" s="2179"/>
      <c r="AY43" s="2179"/>
      <c r="AZ43" s="2179"/>
      <c r="BA43" s="2179"/>
      <c r="BB43" s="2179"/>
      <c r="BC43" s="2179"/>
      <c r="BD43" s="2179"/>
      <c r="BE43" s="2179"/>
      <c r="BF43" s="2179"/>
      <c r="BG43" s="2179"/>
      <c r="BH43" s="2179"/>
      <c r="BI43" s="2179">
        <v>2</v>
      </c>
      <c r="BJ43" s="2179"/>
      <c r="BK43" s="2179"/>
      <c r="BL43" s="2179"/>
      <c r="BM43" s="2179"/>
      <c r="BN43" s="2179"/>
      <c r="BO43" s="2179"/>
      <c r="BP43" s="2179"/>
      <c r="BQ43" s="2179"/>
      <c r="BR43" s="2179">
        <v>2</v>
      </c>
      <c r="BS43" s="2179"/>
      <c r="BT43" s="2179"/>
      <c r="BU43" s="2179"/>
      <c r="BV43" s="2179"/>
      <c r="BW43" s="2179">
        <v>2</v>
      </c>
      <c r="BX43" s="2179"/>
      <c r="BY43" s="2179"/>
      <c r="BZ43" s="2179"/>
      <c r="CA43" s="2179"/>
      <c r="CB43" s="2179"/>
      <c r="CC43" s="2179"/>
      <c r="CD43" s="2179"/>
      <c r="CE43" s="2179">
        <v>4</v>
      </c>
      <c r="CF43" s="2179"/>
      <c r="CG43" s="2179">
        <v>2</v>
      </c>
      <c r="CH43" s="2179"/>
      <c r="CI43" s="2179"/>
      <c r="CJ43" s="2179"/>
      <c r="CK43" s="2179"/>
      <c r="CL43" s="2179"/>
      <c r="CM43" s="2179"/>
      <c r="CN43" s="2179"/>
      <c r="CO43" s="2179"/>
      <c r="CP43" s="2179"/>
      <c r="CQ43" s="2179"/>
      <c r="CR43" s="2179"/>
      <c r="CS43" s="2179"/>
      <c r="CT43" s="2179"/>
      <c r="CU43" s="2179"/>
      <c r="CV43" s="2179"/>
      <c r="CW43" s="2179"/>
      <c r="CX43" s="2179"/>
      <c r="CY43" s="2179">
        <v>2</v>
      </c>
      <c r="CZ43" s="2179">
        <v>2</v>
      </c>
      <c r="DA43" s="2179"/>
      <c r="DB43" s="2179"/>
      <c r="DC43" s="2179"/>
      <c r="DD43" s="2179"/>
      <c r="DE43" s="2179"/>
      <c r="DF43" s="2179">
        <v>2</v>
      </c>
      <c r="DG43" s="2179"/>
      <c r="DH43" s="2179"/>
      <c r="DI43" s="2179"/>
      <c r="DJ43" s="2179"/>
      <c r="DK43" s="2179">
        <v>2</v>
      </c>
      <c r="DL43" s="2179">
        <v>2</v>
      </c>
      <c r="DM43" s="2179"/>
      <c r="DN43" s="2179"/>
      <c r="DO43" s="2179"/>
      <c r="DP43" s="2179"/>
      <c r="DQ43" s="2179"/>
      <c r="DR43" s="2179"/>
      <c r="DS43" s="2179">
        <v>2</v>
      </c>
      <c r="DT43" s="2179">
        <v>2</v>
      </c>
      <c r="DU43" s="2179"/>
      <c r="DV43" s="2179">
        <v>2</v>
      </c>
      <c r="DW43" s="2179"/>
      <c r="DX43" s="2179">
        <v>2</v>
      </c>
      <c r="DY43" s="2179"/>
      <c r="DZ43" s="2179"/>
      <c r="EA43" s="2179"/>
      <c r="EB43" s="2179">
        <v>4</v>
      </c>
      <c r="EC43" s="2179"/>
      <c r="ED43" s="2179">
        <v>2</v>
      </c>
      <c r="EE43" s="2179"/>
      <c r="EF43" s="2179"/>
      <c r="EG43" s="2179"/>
      <c r="EH43" s="2179"/>
      <c r="EI43" s="2179"/>
      <c r="EJ43" s="2179"/>
      <c r="EK43" s="2179"/>
      <c r="EL43" s="2179"/>
      <c r="EM43" s="2179"/>
      <c r="EN43" s="2179"/>
      <c r="EO43" s="2179"/>
      <c r="EP43" s="2179"/>
      <c r="EQ43" s="2179">
        <v>2</v>
      </c>
      <c r="ER43" s="2179"/>
      <c r="ES43" s="2179"/>
      <c r="ET43" s="2179"/>
      <c r="EU43" s="2179"/>
      <c r="EV43" s="2179">
        <v>2</v>
      </c>
      <c r="EW43" s="2179"/>
      <c r="EX43" s="2179"/>
      <c r="EY43" s="2179">
        <v>2</v>
      </c>
      <c r="EZ43" s="2179"/>
      <c r="FA43" s="2179"/>
      <c r="FB43" s="2179"/>
      <c r="FC43" s="2179"/>
      <c r="FD43" s="2179">
        <v>2</v>
      </c>
      <c r="FE43" s="2179">
        <v>2</v>
      </c>
      <c r="FF43" s="2179"/>
      <c r="FG43" s="2179"/>
      <c r="FH43" s="2179"/>
      <c r="FI43" s="2179">
        <v>2</v>
      </c>
      <c r="FJ43" s="2179"/>
      <c r="FK43" s="2179"/>
      <c r="FL43" s="2179">
        <v>2</v>
      </c>
      <c r="FM43" s="2179"/>
      <c r="FN43" s="2179">
        <v>2</v>
      </c>
      <c r="FO43" s="2179"/>
      <c r="FP43" s="2179">
        <v>2</v>
      </c>
      <c r="FQ43" s="2179"/>
      <c r="FR43" s="2179">
        <v>2</v>
      </c>
      <c r="FS43" s="2179"/>
      <c r="FT43" s="2179"/>
      <c r="FU43" s="2179"/>
      <c r="FV43" s="2179">
        <v>2</v>
      </c>
      <c r="FW43" s="2179"/>
      <c r="FX43" s="2179"/>
      <c r="FY43" s="2179"/>
      <c r="FZ43" s="2179"/>
      <c r="GA43" s="2179">
        <v>70</v>
      </c>
      <c r="GB43" s="2179">
        <f t="shared" si="3"/>
        <v>70</v>
      </c>
    </row>
    <row r="44" spans="2:184" ht="16.8">
      <c r="B44" s="2313" t="str">
        <f t="shared" si="2"/>
        <v>Kẹp ép cỡ 185mm2</v>
      </c>
      <c r="C44" s="2179" t="s">
        <v>4196</v>
      </c>
      <c r="D44" s="2179"/>
      <c r="E44" s="2179">
        <f t="shared" si="0"/>
        <v>100</v>
      </c>
      <c r="F44" s="2179">
        <v>12</v>
      </c>
      <c r="G44" s="2179">
        <v>6</v>
      </c>
      <c r="H44" s="2179"/>
      <c r="I44" s="2179"/>
      <c r="J44" s="2179"/>
      <c r="K44" s="2179"/>
      <c r="L44" s="2179"/>
      <c r="M44" s="2179"/>
      <c r="N44" s="2179"/>
      <c r="O44" s="2179"/>
      <c r="P44" s="2179"/>
      <c r="Q44" s="2179"/>
      <c r="R44" s="2179"/>
      <c r="S44" s="2179">
        <v>6</v>
      </c>
      <c r="T44" s="2179"/>
      <c r="U44" s="2179"/>
      <c r="V44" s="2179"/>
      <c r="W44" s="2179"/>
      <c r="X44" s="2179"/>
      <c r="Y44" s="2179"/>
      <c r="Z44" s="2179"/>
      <c r="AA44" s="2179"/>
      <c r="AB44" s="2179"/>
      <c r="AC44" s="2179"/>
      <c r="AD44" s="2179"/>
      <c r="AE44" s="2179"/>
      <c r="AF44" s="2179"/>
      <c r="AG44" s="2179"/>
      <c r="AH44" s="2179"/>
      <c r="AI44" s="2179"/>
      <c r="AJ44" s="2179"/>
      <c r="AK44" s="2179"/>
      <c r="AL44" s="2179"/>
      <c r="AM44" s="2179"/>
      <c r="AN44" s="2179"/>
      <c r="AO44" s="2179"/>
      <c r="AP44" s="2179">
        <v>6</v>
      </c>
      <c r="AQ44" s="2179"/>
      <c r="AR44" s="2179"/>
      <c r="AS44" s="2179"/>
      <c r="AT44" s="2179"/>
      <c r="AU44" s="2179"/>
      <c r="AV44" s="2179"/>
      <c r="AW44" s="2179"/>
      <c r="AX44" s="2179"/>
      <c r="AY44" s="2179"/>
      <c r="AZ44" s="2179"/>
      <c r="BA44" s="2179"/>
      <c r="BB44" s="2179"/>
      <c r="BC44" s="2179"/>
      <c r="BD44" s="2179"/>
      <c r="BE44" s="2179"/>
      <c r="BF44" s="2179"/>
      <c r="BG44" s="2179"/>
      <c r="BH44" s="2179"/>
      <c r="BI44" s="2179"/>
      <c r="BJ44" s="2179"/>
      <c r="BK44" s="2179"/>
      <c r="BL44" s="2179"/>
      <c r="BM44" s="2179"/>
      <c r="BN44" s="2179"/>
      <c r="BO44" s="2179"/>
      <c r="BP44" s="2179"/>
      <c r="BQ44" s="2179"/>
      <c r="BR44" s="2179">
        <v>6</v>
      </c>
      <c r="BS44" s="2179"/>
      <c r="BT44" s="2179"/>
      <c r="BU44" s="2179"/>
      <c r="BV44" s="2179"/>
      <c r="BW44" s="2179"/>
      <c r="BX44" s="2179"/>
      <c r="BY44" s="2179"/>
      <c r="BZ44" s="2179"/>
      <c r="CA44" s="2179"/>
      <c r="CB44" s="2179"/>
      <c r="CC44" s="2179"/>
      <c r="CD44" s="2179"/>
      <c r="CE44" s="2179">
        <v>2</v>
      </c>
      <c r="CF44" s="2179"/>
      <c r="CG44" s="2179">
        <v>6</v>
      </c>
      <c r="CH44" s="2179"/>
      <c r="CI44" s="2179"/>
      <c r="CJ44" s="2179"/>
      <c r="CK44" s="2179"/>
      <c r="CL44" s="2179"/>
      <c r="CM44" s="2179"/>
      <c r="CN44" s="2179"/>
      <c r="CO44" s="2179"/>
      <c r="CP44" s="2179">
        <v>2</v>
      </c>
      <c r="CQ44" s="2179">
        <v>6</v>
      </c>
      <c r="CR44" s="2179"/>
      <c r="CS44" s="2179"/>
      <c r="CT44" s="2179"/>
      <c r="CU44" s="2179"/>
      <c r="CV44" s="2179"/>
      <c r="CW44" s="2179"/>
      <c r="CX44" s="2179"/>
      <c r="CY44" s="2179">
        <v>6</v>
      </c>
      <c r="CZ44" s="2179"/>
      <c r="DA44" s="2179"/>
      <c r="DB44" s="2179"/>
      <c r="DC44" s="2179"/>
      <c r="DD44" s="2179"/>
      <c r="DE44" s="2179"/>
      <c r="DF44" s="2179">
        <v>6</v>
      </c>
      <c r="DG44" s="2179"/>
      <c r="DH44" s="2179"/>
      <c r="DI44" s="2179"/>
      <c r="DJ44" s="2179"/>
      <c r="DK44" s="2179"/>
      <c r="DL44" s="2179">
        <v>6</v>
      </c>
      <c r="DM44" s="2179"/>
      <c r="DN44" s="2179"/>
      <c r="DO44" s="2179"/>
      <c r="DP44" s="2179"/>
      <c r="DQ44" s="2179"/>
      <c r="DR44" s="2179"/>
      <c r="DS44" s="2179"/>
      <c r="DT44" s="2179"/>
      <c r="DU44" s="2179"/>
      <c r="DV44" s="2179"/>
      <c r="DW44" s="2179"/>
      <c r="DX44" s="2179"/>
      <c r="DY44" s="2179"/>
      <c r="DZ44" s="2179"/>
      <c r="EA44" s="2179"/>
      <c r="EB44" s="2179">
        <v>6</v>
      </c>
      <c r="EC44" s="2179"/>
      <c r="ED44" s="2179"/>
      <c r="EE44" s="2179"/>
      <c r="EF44" s="2179"/>
      <c r="EG44" s="2179"/>
      <c r="EH44" s="2179"/>
      <c r="EI44" s="2179"/>
      <c r="EJ44" s="2179"/>
      <c r="EK44" s="2179"/>
      <c r="EL44" s="2179"/>
      <c r="EM44" s="2179"/>
      <c r="EN44" s="2179"/>
      <c r="EO44" s="2179"/>
      <c r="EP44" s="2179"/>
      <c r="EQ44" s="2179">
        <v>6</v>
      </c>
      <c r="ER44" s="2179"/>
      <c r="ES44" s="2179"/>
      <c r="ET44" s="2179"/>
      <c r="EU44" s="2179"/>
      <c r="EV44" s="2179"/>
      <c r="EW44" s="2179"/>
      <c r="EX44" s="2179"/>
      <c r="EY44" s="2179"/>
      <c r="EZ44" s="2179"/>
      <c r="FA44" s="2179"/>
      <c r="FB44" s="2179"/>
      <c r="FC44" s="2179"/>
      <c r="FD44" s="2179"/>
      <c r="FE44" s="2179">
        <v>6</v>
      </c>
      <c r="FF44" s="2179"/>
      <c r="FG44" s="2179"/>
      <c r="FH44" s="2179"/>
      <c r="FI44" s="2179"/>
      <c r="FJ44" s="2179"/>
      <c r="FK44" s="2179"/>
      <c r="FL44" s="2179"/>
      <c r="FM44" s="2179"/>
      <c r="FN44" s="2179"/>
      <c r="FO44" s="2179"/>
      <c r="FP44" s="2179"/>
      <c r="FQ44" s="2179"/>
      <c r="FR44" s="2179">
        <v>6</v>
      </c>
      <c r="FS44" s="2179"/>
      <c r="FT44" s="2179"/>
      <c r="FU44" s="2179"/>
      <c r="FV44" s="2179"/>
      <c r="FW44" s="2179"/>
      <c r="FX44" s="2179"/>
      <c r="FY44" s="2179">
        <v>6</v>
      </c>
      <c r="FZ44" s="2179"/>
      <c r="GA44" s="2179">
        <v>100</v>
      </c>
      <c r="GB44" s="2179">
        <f t="shared" si="3"/>
        <v>100</v>
      </c>
    </row>
    <row r="45" spans="2:184" ht="16.8" hidden="1">
      <c r="B45" s="2313" t="str">
        <f t="shared" si="2"/>
        <v>Dây cổ sứ dây 185</v>
      </c>
      <c r="C45" s="2179" t="s">
        <v>5133</v>
      </c>
      <c r="D45" s="2179"/>
      <c r="E45" s="2179">
        <f t="shared" si="0"/>
        <v>48</v>
      </c>
      <c r="F45" s="2179"/>
      <c r="G45" s="2179"/>
      <c r="H45" s="2179">
        <v>6</v>
      </c>
      <c r="I45" s="2179"/>
      <c r="J45" s="2179"/>
      <c r="K45" s="2179"/>
      <c r="L45" s="2179"/>
      <c r="M45" s="2179"/>
      <c r="N45" s="2179"/>
      <c r="O45" s="2179"/>
      <c r="P45" s="2179"/>
      <c r="Q45" s="2179"/>
      <c r="R45" s="2179"/>
      <c r="S45" s="2179"/>
      <c r="T45" s="2179"/>
      <c r="U45" s="2179"/>
      <c r="V45" s="2179"/>
      <c r="W45" s="2179"/>
      <c r="X45" s="2179"/>
      <c r="Y45" s="2179"/>
      <c r="Z45" s="2179"/>
      <c r="AA45" s="2179"/>
      <c r="AB45" s="2179"/>
      <c r="AC45" s="2179"/>
      <c r="AD45" s="2179"/>
      <c r="AE45" s="2179"/>
      <c r="AF45" s="2179">
        <v>6</v>
      </c>
      <c r="AG45" s="2179"/>
      <c r="AH45" s="2179"/>
      <c r="AI45" s="2179"/>
      <c r="AJ45" s="2179"/>
      <c r="AK45" s="2179"/>
      <c r="AL45" s="2179"/>
      <c r="AM45" s="2179"/>
      <c r="AN45" s="2179"/>
      <c r="AO45" s="2179"/>
      <c r="AP45" s="2179"/>
      <c r="AQ45" s="2179"/>
      <c r="AR45" s="2179"/>
      <c r="AS45" s="2179"/>
      <c r="AT45" s="2179"/>
      <c r="AU45" s="2179"/>
      <c r="AV45" s="2179">
        <v>6</v>
      </c>
      <c r="AW45" s="2179"/>
      <c r="AX45" s="2179"/>
      <c r="AY45" s="2179"/>
      <c r="AZ45" s="2179"/>
      <c r="BA45" s="2179"/>
      <c r="BB45" s="2179"/>
      <c r="BC45" s="2179"/>
      <c r="BD45" s="2179"/>
      <c r="BE45" s="2179"/>
      <c r="BF45" s="2179"/>
      <c r="BG45" s="2179"/>
      <c r="BH45" s="2179"/>
      <c r="BI45" s="2179"/>
      <c r="BJ45" s="2179"/>
      <c r="BK45" s="2179"/>
      <c r="BL45" s="2179"/>
      <c r="BM45" s="2179"/>
      <c r="BN45" s="2179"/>
      <c r="BO45" s="2179"/>
      <c r="BP45" s="2179"/>
      <c r="BQ45" s="2179"/>
      <c r="BR45" s="2179"/>
      <c r="BS45" s="2179"/>
      <c r="BT45" s="2179"/>
      <c r="BU45" s="2179"/>
      <c r="BV45" s="2179"/>
      <c r="BW45" s="2179"/>
      <c r="BX45" s="2179"/>
      <c r="BY45" s="2179"/>
      <c r="BZ45" s="2179"/>
      <c r="CA45" s="2179"/>
      <c r="CB45" s="2179"/>
      <c r="CC45" s="2179"/>
      <c r="CD45" s="2179"/>
      <c r="CE45" s="2179"/>
      <c r="CF45" s="2179"/>
      <c r="CG45" s="2179"/>
      <c r="CH45" s="2179"/>
      <c r="CI45" s="2179"/>
      <c r="CJ45" s="2179"/>
      <c r="CK45" s="2179"/>
      <c r="CL45" s="2179"/>
      <c r="CM45" s="2179"/>
      <c r="CN45" s="2179"/>
      <c r="CO45" s="2179"/>
      <c r="CP45" s="2179"/>
      <c r="CQ45" s="2179"/>
      <c r="CR45" s="2179"/>
      <c r="CS45" s="2179"/>
      <c r="CT45" s="2179">
        <v>6</v>
      </c>
      <c r="CU45" s="2179"/>
      <c r="CV45" s="2179"/>
      <c r="CW45" s="2179"/>
      <c r="CX45" s="2179"/>
      <c r="CY45" s="2179"/>
      <c r="CZ45" s="2179"/>
      <c r="DA45" s="2179"/>
      <c r="DB45" s="2179"/>
      <c r="DC45" s="2179"/>
      <c r="DD45" s="2179"/>
      <c r="DE45" s="2179"/>
      <c r="DF45" s="2179"/>
      <c r="DG45" s="2179"/>
      <c r="DH45" s="2179"/>
      <c r="DI45" s="2179"/>
      <c r="DJ45" s="2179"/>
      <c r="DK45" s="2179"/>
      <c r="DL45" s="2179"/>
      <c r="DM45" s="2179"/>
      <c r="DN45" s="2179"/>
      <c r="DO45" s="2179"/>
      <c r="DP45" s="2179"/>
      <c r="DQ45" s="2179">
        <v>6</v>
      </c>
      <c r="DR45" s="2179"/>
      <c r="DS45" s="2179"/>
      <c r="DT45" s="2179"/>
      <c r="DU45" s="2179"/>
      <c r="DV45" s="2179"/>
      <c r="DW45" s="2179"/>
      <c r="DX45" s="2179"/>
      <c r="DY45" s="2179"/>
      <c r="DZ45" s="2179"/>
      <c r="EA45" s="2179"/>
      <c r="EB45" s="2179"/>
      <c r="EC45" s="2179"/>
      <c r="ED45" s="2179"/>
      <c r="EE45" s="2179"/>
      <c r="EF45" s="2179"/>
      <c r="EG45" s="2179"/>
      <c r="EH45" s="2179">
        <v>6</v>
      </c>
      <c r="EI45" s="2179"/>
      <c r="EJ45" s="2179"/>
      <c r="EK45" s="2179"/>
      <c r="EL45" s="2179"/>
      <c r="EM45" s="2179"/>
      <c r="EN45" s="2179"/>
      <c r="EO45" s="2179"/>
      <c r="EP45" s="2179"/>
      <c r="EQ45" s="2179"/>
      <c r="ER45" s="2179"/>
      <c r="ES45" s="2179"/>
      <c r="ET45" s="2179"/>
      <c r="EU45" s="2179"/>
      <c r="EV45" s="2179"/>
      <c r="EW45" s="2179"/>
      <c r="EX45" s="2179"/>
      <c r="EY45" s="2179"/>
      <c r="EZ45" s="2179"/>
      <c r="FA45" s="2179"/>
      <c r="FB45" s="2179"/>
      <c r="FC45" s="2179"/>
      <c r="FD45" s="2179"/>
      <c r="FE45" s="2179"/>
      <c r="FF45" s="2179"/>
      <c r="FG45" s="2179"/>
      <c r="FH45" s="2179"/>
      <c r="FI45" s="2179"/>
      <c r="FJ45" s="2179">
        <v>6</v>
      </c>
      <c r="FK45" s="2179"/>
      <c r="FL45" s="2179"/>
      <c r="FM45" s="2179"/>
      <c r="FN45" s="2179"/>
      <c r="FO45" s="2179"/>
      <c r="FP45" s="2179"/>
      <c r="FQ45" s="2179"/>
      <c r="FR45" s="2179"/>
      <c r="FS45" s="2179"/>
      <c r="FT45" s="2179">
        <v>6</v>
      </c>
      <c r="FU45" s="2179"/>
      <c r="FV45" s="2179"/>
      <c r="FW45" s="2179"/>
      <c r="FX45" s="2179"/>
      <c r="FY45" s="2179"/>
      <c r="FZ45" s="2179"/>
      <c r="GA45" s="2179">
        <v>48</v>
      </c>
      <c r="GB45" s="2179">
        <f t="shared" si="3"/>
        <v>48</v>
      </c>
    </row>
    <row r="46" spans="2:184" ht="16.8" hidden="1">
      <c r="B46" s="2313" t="str">
        <f t="shared" si="2"/>
        <v>Dây đầu sứ dây 185</v>
      </c>
      <c r="C46" s="2179" t="s">
        <v>5134</v>
      </c>
      <c r="D46" s="2179"/>
      <c r="E46" s="2179">
        <f t="shared" si="0"/>
        <v>543</v>
      </c>
      <c r="F46" s="2179"/>
      <c r="G46" s="2179">
        <v>6</v>
      </c>
      <c r="H46" s="2179"/>
      <c r="I46" s="2179">
        <v>3</v>
      </c>
      <c r="J46" s="2179">
        <v>3</v>
      </c>
      <c r="K46" s="2179">
        <v>3</v>
      </c>
      <c r="L46" s="2179">
        <v>3</v>
      </c>
      <c r="M46" s="2179">
        <v>3</v>
      </c>
      <c r="N46" s="2179">
        <v>3</v>
      </c>
      <c r="O46" s="2179">
        <v>3</v>
      </c>
      <c r="P46" s="2179">
        <v>3</v>
      </c>
      <c r="Q46" s="2179">
        <v>3</v>
      </c>
      <c r="R46" s="2179">
        <v>3</v>
      </c>
      <c r="S46" s="2179">
        <v>6</v>
      </c>
      <c r="T46" s="2179">
        <v>3</v>
      </c>
      <c r="U46" s="2179">
        <v>3</v>
      </c>
      <c r="V46" s="2179">
        <v>3</v>
      </c>
      <c r="W46" s="2179">
        <v>3</v>
      </c>
      <c r="X46" s="2179">
        <v>3</v>
      </c>
      <c r="Y46" s="2179">
        <v>3</v>
      </c>
      <c r="Z46" s="2179">
        <v>3</v>
      </c>
      <c r="AA46" s="2179">
        <v>3</v>
      </c>
      <c r="AB46" s="2179">
        <v>3</v>
      </c>
      <c r="AC46" s="2179">
        <v>3</v>
      </c>
      <c r="AD46" s="2179">
        <v>3</v>
      </c>
      <c r="AE46" s="2179">
        <v>6</v>
      </c>
      <c r="AF46" s="2179"/>
      <c r="AG46" s="2179">
        <v>3</v>
      </c>
      <c r="AH46" s="2179">
        <v>3</v>
      </c>
      <c r="AI46" s="2179">
        <v>3</v>
      </c>
      <c r="AJ46" s="2179">
        <v>3</v>
      </c>
      <c r="AK46" s="2179">
        <v>3</v>
      </c>
      <c r="AL46" s="2179">
        <v>3</v>
      </c>
      <c r="AM46" s="2179">
        <v>3</v>
      </c>
      <c r="AN46" s="2179">
        <v>3</v>
      </c>
      <c r="AO46" s="2179">
        <v>3</v>
      </c>
      <c r="AP46" s="2179">
        <v>6</v>
      </c>
      <c r="AQ46" s="2179">
        <v>3</v>
      </c>
      <c r="AR46" s="2179">
        <v>3</v>
      </c>
      <c r="AS46" s="2179">
        <v>3</v>
      </c>
      <c r="AT46" s="2179">
        <v>3</v>
      </c>
      <c r="AU46" s="2179">
        <v>3</v>
      </c>
      <c r="AV46" s="2179"/>
      <c r="AW46" s="2179">
        <v>3</v>
      </c>
      <c r="AX46" s="2179">
        <v>3</v>
      </c>
      <c r="AY46" s="2179">
        <v>3</v>
      </c>
      <c r="AZ46" s="2179">
        <v>3</v>
      </c>
      <c r="BA46" s="2179">
        <v>3</v>
      </c>
      <c r="BB46" s="2179">
        <v>3</v>
      </c>
      <c r="BC46" s="2179">
        <v>3</v>
      </c>
      <c r="BD46" s="2179">
        <v>6</v>
      </c>
      <c r="BE46" s="2179">
        <v>3</v>
      </c>
      <c r="BF46" s="2179">
        <v>3</v>
      </c>
      <c r="BG46" s="2179">
        <v>3</v>
      </c>
      <c r="BH46" s="2179">
        <v>3</v>
      </c>
      <c r="BI46" s="2179">
        <v>3</v>
      </c>
      <c r="BJ46" s="2179">
        <v>3</v>
      </c>
      <c r="BK46" s="2179">
        <v>3</v>
      </c>
      <c r="BL46" s="2179">
        <v>3</v>
      </c>
      <c r="BM46" s="2179">
        <v>3</v>
      </c>
      <c r="BN46" s="2179">
        <v>3</v>
      </c>
      <c r="BO46" s="2179">
        <v>3</v>
      </c>
      <c r="BP46" s="2179">
        <v>3</v>
      </c>
      <c r="BQ46" s="2179">
        <v>3</v>
      </c>
      <c r="BR46" s="2179">
        <v>6</v>
      </c>
      <c r="BS46" s="2179">
        <v>3</v>
      </c>
      <c r="BT46" s="2179">
        <v>3</v>
      </c>
      <c r="BU46" s="2179">
        <v>3</v>
      </c>
      <c r="BV46" s="2179">
        <v>3</v>
      </c>
      <c r="BW46" s="2179">
        <v>3</v>
      </c>
      <c r="BX46" s="2179">
        <v>3</v>
      </c>
      <c r="BY46" s="2179">
        <v>3</v>
      </c>
      <c r="BZ46" s="2179">
        <v>3</v>
      </c>
      <c r="CA46" s="2179">
        <v>3</v>
      </c>
      <c r="CB46" s="2179">
        <v>3</v>
      </c>
      <c r="CC46" s="2179">
        <v>3</v>
      </c>
      <c r="CD46" s="2179">
        <v>3</v>
      </c>
      <c r="CE46" s="2179">
        <v>3</v>
      </c>
      <c r="CF46" s="2179">
        <v>3</v>
      </c>
      <c r="CG46" s="2179">
        <v>6</v>
      </c>
      <c r="CH46" s="2179">
        <v>3</v>
      </c>
      <c r="CI46" s="2179">
        <v>6</v>
      </c>
      <c r="CJ46" s="2179">
        <v>3</v>
      </c>
      <c r="CK46" s="2179">
        <v>3</v>
      </c>
      <c r="CL46" s="2179">
        <v>3</v>
      </c>
      <c r="CM46" s="2179">
        <v>3</v>
      </c>
      <c r="CN46" s="2179">
        <v>3</v>
      </c>
      <c r="CO46" s="2179">
        <v>3</v>
      </c>
      <c r="CP46" s="2179">
        <v>3</v>
      </c>
      <c r="CQ46" s="2179">
        <v>3</v>
      </c>
      <c r="CR46" s="2179">
        <v>3</v>
      </c>
      <c r="CS46" s="2179">
        <v>3</v>
      </c>
      <c r="CT46" s="2179"/>
      <c r="CU46" s="2179">
        <v>3</v>
      </c>
      <c r="CV46" s="2179">
        <v>3</v>
      </c>
      <c r="CW46" s="2179">
        <v>3</v>
      </c>
      <c r="CX46" s="2179">
        <v>3</v>
      </c>
      <c r="CY46" s="2179">
        <v>6</v>
      </c>
      <c r="CZ46" s="2179">
        <v>3</v>
      </c>
      <c r="DA46" s="2179">
        <v>3</v>
      </c>
      <c r="DB46" s="2179">
        <v>3</v>
      </c>
      <c r="DC46" s="2179">
        <v>3</v>
      </c>
      <c r="DD46" s="2179">
        <v>3</v>
      </c>
      <c r="DE46" s="2179">
        <v>3</v>
      </c>
      <c r="DF46" s="2179">
        <v>3</v>
      </c>
      <c r="DG46" s="2179">
        <v>3</v>
      </c>
      <c r="DH46" s="2179">
        <v>3</v>
      </c>
      <c r="DI46" s="2179">
        <v>3</v>
      </c>
      <c r="DJ46" s="2179">
        <v>3</v>
      </c>
      <c r="DK46" s="2179">
        <v>3</v>
      </c>
      <c r="DL46" s="2179">
        <v>6</v>
      </c>
      <c r="DM46" s="2179">
        <v>3</v>
      </c>
      <c r="DN46" s="2179">
        <v>3</v>
      </c>
      <c r="DO46" s="2179">
        <v>3</v>
      </c>
      <c r="DP46" s="2179">
        <v>3</v>
      </c>
      <c r="DQ46" s="2179"/>
      <c r="DR46" s="2179">
        <v>3</v>
      </c>
      <c r="DS46" s="2179">
        <v>3</v>
      </c>
      <c r="DT46" s="2179">
        <v>3</v>
      </c>
      <c r="DU46" s="2179">
        <v>3</v>
      </c>
      <c r="DV46" s="2179">
        <v>3</v>
      </c>
      <c r="DW46" s="2179">
        <v>3</v>
      </c>
      <c r="DX46" s="2179">
        <v>3</v>
      </c>
      <c r="DY46" s="2179">
        <v>3</v>
      </c>
      <c r="DZ46" s="2179">
        <v>3</v>
      </c>
      <c r="EA46" s="2179">
        <v>3</v>
      </c>
      <c r="EB46" s="2179">
        <v>6</v>
      </c>
      <c r="EC46" s="2179">
        <v>3</v>
      </c>
      <c r="ED46" s="2179">
        <v>3</v>
      </c>
      <c r="EE46" s="2179">
        <v>3</v>
      </c>
      <c r="EF46" s="2179">
        <v>3</v>
      </c>
      <c r="EG46" s="2179">
        <v>3</v>
      </c>
      <c r="EH46" s="2179"/>
      <c r="EI46" s="2179">
        <v>3</v>
      </c>
      <c r="EJ46" s="2179">
        <v>3</v>
      </c>
      <c r="EK46" s="2179">
        <v>3</v>
      </c>
      <c r="EL46" s="2179">
        <v>3</v>
      </c>
      <c r="EM46" s="2179">
        <v>3</v>
      </c>
      <c r="EN46" s="2179">
        <v>3</v>
      </c>
      <c r="EO46" s="2179">
        <v>3</v>
      </c>
      <c r="EP46" s="2179">
        <v>3</v>
      </c>
      <c r="EQ46" s="2179">
        <v>6</v>
      </c>
      <c r="ER46" s="2179">
        <v>3</v>
      </c>
      <c r="ES46" s="2179">
        <v>3</v>
      </c>
      <c r="ET46" s="2179">
        <v>3</v>
      </c>
      <c r="EU46" s="2179">
        <v>3</v>
      </c>
      <c r="EV46" s="2179">
        <v>3</v>
      </c>
      <c r="EW46" s="2179">
        <v>3</v>
      </c>
      <c r="EX46" s="2179">
        <v>3</v>
      </c>
      <c r="EY46" s="2179">
        <v>3</v>
      </c>
      <c r="EZ46" s="2179">
        <v>3</v>
      </c>
      <c r="FA46" s="2179">
        <v>3</v>
      </c>
      <c r="FB46" s="2179">
        <v>3</v>
      </c>
      <c r="FC46" s="2179">
        <v>3</v>
      </c>
      <c r="FD46" s="2179">
        <v>3</v>
      </c>
      <c r="FE46" s="2179">
        <v>6</v>
      </c>
      <c r="FF46" s="2179">
        <v>3</v>
      </c>
      <c r="FG46" s="2179">
        <v>3</v>
      </c>
      <c r="FH46" s="2179">
        <v>3</v>
      </c>
      <c r="FI46" s="2179">
        <v>3</v>
      </c>
      <c r="FJ46" s="2179"/>
      <c r="FK46" s="2179">
        <v>3</v>
      </c>
      <c r="FL46" s="2179">
        <v>3</v>
      </c>
      <c r="FM46" s="2179">
        <v>3</v>
      </c>
      <c r="FN46" s="2179">
        <v>3</v>
      </c>
      <c r="FO46" s="2179">
        <v>3</v>
      </c>
      <c r="FP46" s="2179">
        <v>3</v>
      </c>
      <c r="FQ46" s="2179">
        <v>3</v>
      </c>
      <c r="FR46" s="2179">
        <v>6</v>
      </c>
      <c r="FS46" s="2179">
        <v>3</v>
      </c>
      <c r="FT46" s="2179"/>
      <c r="FU46" s="2179">
        <v>3</v>
      </c>
      <c r="FV46" s="2179">
        <v>3</v>
      </c>
      <c r="FW46" s="2179">
        <v>3</v>
      </c>
      <c r="FX46" s="2179">
        <v>6</v>
      </c>
      <c r="FY46" s="2179"/>
      <c r="FZ46" s="2179"/>
      <c r="GA46" s="2179">
        <v>543</v>
      </c>
      <c r="GB46" s="2179">
        <f t="shared" si="3"/>
        <v>543</v>
      </c>
    </row>
    <row r="47" spans="2:184" ht="16.8" hidden="1">
      <c r="B47" s="2313" t="str">
        <f t="shared" si="2"/>
        <v>LTD</v>
      </c>
      <c r="C47" s="2179" t="s">
        <v>796</v>
      </c>
      <c r="D47" s="2179"/>
      <c r="E47" s="2179">
        <f t="shared" si="0"/>
        <v>3</v>
      </c>
      <c r="F47" s="2179"/>
      <c r="G47" s="2179"/>
      <c r="H47" s="2179"/>
      <c r="I47" s="2179"/>
      <c r="J47" s="2179"/>
      <c r="K47" s="2179"/>
      <c r="L47" s="2179"/>
      <c r="M47" s="2179"/>
      <c r="N47" s="2179"/>
      <c r="O47" s="2179"/>
      <c r="P47" s="2179"/>
      <c r="Q47" s="2179"/>
      <c r="R47" s="2179"/>
      <c r="S47" s="2179"/>
      <c r="T47" s="2179"/>
      <c r="U47" s="2179"/>
      <c r="V47" s="2179"/>
      <c r="W47" s="2179"/>
      <c r="X47" s="2179"/>
      <c r="Y47" s="2179"/>
      <c r="Z47" s="2179"/>
      <c r="AA47" s="2179"/>
      <c r="AB47" s="2179"/>
      <c r="AC47" s="2179"/>
      <c r="AD47" s="2179"/>
      <c r="AE47" s="2179"/>
      <c r="AF47" s="2179"/>
      <c r="AG47" s="2179"/>
      <c r="AH47" s="2179"/>
      <c r="AI47" s="2179"/>
      <c r="AJ47" s="2179"/>
      <c r="AK47" s="2179"/>
      <c r="AL47" s="2179"/>
      <c r="AM47" s="2179"/>
      <c r="AN47" s="2179"/>
      <c r="AO47" s="2179"/>
      <c r="AP47" s="2179"/>
      <c r="AQ47" s="2179"/>
      <c r="AR47" s="2179"/>
      <c r="AS47" s="2179"/>
      <c r="AT47" s="2179"/>
      <c r="AU47" s="2179"/>
      <c r="AV47" s="2179"/>
      <c r="AW47" s="2179"/>
      <c r="AX47" s="2179"/>
      <c r="AY47" s="2179"/>
      <c r="AZ47" s="2179"/>
      <c r="BA47" s="2179"/>
      <c r="BB47" s="2179"/>
      <c r="BC47" s="2179"/>
      <c r="BD47" s="2179"/>
      <c r="BE47" s="2179"/>
      <c r="BF47" s="2179"/>
      <c r="BG47" s="2179"/>
      <c r="BH47" s="2179"/>
      <c r="BI47" s="2179"/>
      <c r="BJ47" s="2179"/>
      <c r="BK47" s="2179"/>
      <c r="BL47" s="2179"/>
      <c r="BM47" s="2179"/>
      <c r="BN47" s="2179"/>
      <c r="BO47" s="2179"/>
      <c r="BP47" s="2179"/>
      <c r="BQ47" s="2179"/>
      <c r="BR47" s="2179"/>
      <c r="BS47" s="2179"/>
      <c r="BT47" s="2179"/>
      <c r="BU47" s="2179"/>
      <c r="BV47" s="2179"/>
      <c r="BW47" s="2179"/>
      <c r="BX47" s="2179"/>
      <c r="BY47" s="2179"/>
      <c r="BZ47" s="2179"/>
      <c r="CA47" s="2179"/>
      <c r="CB47" s="2179"/>
      <c r="CC47" s="2179"/>
      <c r="CD47" s="2179"/>
      <c r="CE47" s="2179"/>
      <c r="CF47" s="2179"/>
      <c r="CG47" s="2179"/>
      <c r="CH47" s="2179"/>
      <c r="CI47" s="2179"/>
      <c r="CJ47" s="2179"/>
      <c r="CK47" s="2179"/>
      <c r="CL47" s="2179"/>
      <c r="CM47" s="2179"/>
      <c r="CN47" s="2179"/>
      <c r="CO47" s="2179"/>
      <c r="CP47" s="2179"/>
      <c r="CQ47" s="2179"/>
      <c r="CR47" s="2179"/>
      <c r="CS47" s="2179"/>
      <c r="CT47" s="2179"/>
      <c r="CU47" s="2179"/>
      <c r="CV47" s="2179"/>
      <c r="CW47" s="2179"/>
      <c r="CX47" s="2179"/>
      <c r="CY47" s="2179">
        <v>3</v>
      </c>
      <c r="CZ47" s="2179"/>
      <c r="DA47" s="2179"/>
      <c r="DB47" s="2179"/>
      <c r="DC47" s="2179"/>
      <c r="DD47" s="2179"/>
      <c r="DE47" s="2179"/>
      <c r="DF47" s="2179"/>
      <c r="DG47" s="2179"/>
      <c r="DH47" s="2179"/>
      <c r="DI47" s="2179"/>
      <c r="DJ47" s="2179"/>
      <c r="DK47" s="2179"/>
      <c r="DL47" s="2179"/>
      <c r="DM47" s="2179"/>
      <c r="DN47" s="2179"/>
      <c r="DO47" s="2179"/>
      <c r="DP47" s="2179"/>
      <c r="DQ47" s="2179"/>
      <c r="DR47" s="2179"/>
      <c r="DS47" s="2179"/>
      <c r="DT47" s="2179"/>
      <c r="DU47" s="2179"/>
      <c r="DV47" s="2179"/>
      <c r="DW47" s="2179"/>
      <c r="DX47" s="2179"/>
      <c r="DY47" s="2179"/>
      <c r="DZ47" s="2179"/>
      <c r="EA47" s="2179"/>
      <c r="EB47" s="2179"/>
      <c r="EC47" s="2179"/>
      <c r="ED47" s="2179"/>
      <c r="EE47" s="2179"/>
      <c r="EF47" s="2179"/>
      <c r="EG47" s="2179"/>
      <c r="EH47" s="2179"/>
      <c r="EI47" s="2179"/>
      <c r="EJ47" s="2179"/>
      <c r="EK47" s="2179"/>
      <c r="EL47" s="2179"/>
      <c r="EM47" s="2179"/>
      <c r="EN47" s="2179"/>
      <c r="EO47" s="2179"/>
      <c r="EP47" s="2179"/>
      <c r="EQ47" s="2179"/>
      <c r="ER47" s="2179"/>
      <c r="ES47" s="2179"/>
      <c r="ET47" s="2179"/>
      <c r="EU47" s="2179"/>
      <c r="EV47" s="2179"/>
      <c r="EW47" s="2179"/>
      <c r="EX47" s="2179"/>
      <c r="EY47" s="2179"/>
      <c r="EZ47" s="2179"/>
      <c r="FA47" s="2179"/>
      <c r="FB47" s="2179"/>
      <c r="FC47" s="2179"/>
      <c r="FD47" s="2179"/>
      <c r="FE47" s="2179"/>
      <c r="FF47" s="2179"/>
      <c r="FG47" s="2179"/>
      <c r="FH47" s="2179"/>
      <c r="FI47" s="2179"/>
      <c r="FJ47" s="2179"/>
      <c r="FK47" s="2179"/>
      <c r="FL47" s="2179"/>
      <c r="FM47" s="2179"/>
      <c r="FN47" s="2179"/>
      <c r="FO47" s="2179"/>
      <c r="FP47" s="2179"/>
      <c r="FQ47" s="2179"/>
      <c r="FR47" s="2179"/>
      <c r="FS47" s="2179"/>
      <c r="FT47" s="2179"/>
      <c r="FU47" s="2179"/>
      <c r="FV47" s="2179"/>
      <c r="FW47" s="2179"/>
      <c r="FX47" s="2179"/>
      <c r="FY47" s="2179"/>
      <c r="FZ47" s="2179"/>
      <c r="GA47" s="2179">
        <v>3</v>
      </c>
      <c r="GB47" s="2179">
        <f t="shared" si="3"/>
        <v>3</v>
      </c>
    </row>
    <row r="48" spans="2:184" ht="16.8" hidden="1">
      <c r="B48" s="2313" t="str">
        <f t="shared" si="2"/>
        <v xml:space="preserve">Bass LI </v>
      </c>
      <c r="C48" s="2179" t="s">
        <v>5135</v>
      </c>
      <c r="D48" s="2179"/>
      <c r="E48" s="2179">
        <f t="shared" si="0"/>
        <v>6</v>
      </c>
      <c r="F48" s="2179"/>
      <c r="G48" s="2179"/>
      <c r="H48" s="2179"/>
      <c r="I48" s="2179"/>
      <c r="J48" s="2179"/>
      <c r="K48" s="2179"/>
      <c r="L48" s="2179"/>
      <c r="M48" s="2179"/>
      <c r="N48" s="2179"/>
      <c r="O48" s="2179"/>
      <c r="P48" s="2179"/>
      <c r="Q48" s="2179"/>
      <c r="R48" s="2179"/>
      <c r="S48" s="2179"/>
      <c r="T48" s="2179"/>
      <c r="U48" s="2179"/>
      <c r="V48" s="2179"/>
      <c r="W48" s="2179"/>
      <c r="X48" s="2179"/>
      <c r="Y48" s="2179"/>
      <c r="Z48" s="2179"/>
      <c r="AA48" s="2179"/>
      <c r="AB48" s="2179"/>
      <c r="AC48" s="2179"/>
      <c r="AD48" s="2179"/>
      <c r="AE48" s="2179"/>
      <c r="AF48" s="2179"/>
      <c r="AG48" s="2179"/>
      <c r="AH48" s="2179"/>
      <c r="AI48" s="2179"/>
      <c r="AJ48" s="2179"/>
      <c r="AK48" s="2179"/>
      <c r="AL48" s="2179"/>
      <c r="AM48" s="2179"/>
      <c r="AN48" s="2179"/>
      <c r="AO48" s="2179"/>
      <c r="AP48" s="2179"/>
      <c r="AQ48" s="2179"/>
      <c r="AR48" s="2179"/>
      <c r="AS48" s="2179"/>
      <c r="AT48" s="2179"/>
      <c r="AU48" s="2179"/>
      <c r="AV48" s="2179"/>
      <c r="AW48" s="2179"/>
      <c r="AX48" s="2179"/>
      <c r="AY48" s="2179"/>
      <c r="AZ48" s="2179"/>
      <c r="BA48" s="2179"/>
      <c r="BB48" s="2179"/>
      <c r="BC48" s="2179"/>
      <c r="BD48" s="2179"/>
      <c r="BE48" s="2179"/>
      <c r="BF48" s="2179"/>
      <c r="BG48" s="2179"/>
      <c r="BH48" s="2179"/>
      <c r="BI48" s="2179"/>
      <c r="BJ48" s="2179"/>
      <c r="BK48" s="2179"/>
      <c r="BL48" s="2179"/>
      <c r="BM48" s="2179"/>
      <c r="BN48" s="2179"/>
      <c r="BO48" s="2179"/>
      <c r="BP48" s="2179"/>
      <c r="BQ48" s="2179"/>
      <c r="BR48" s="2179"/>
      <c r="BS48" s="2179"/>
      <c r="BT48" s="2179"/>
      <c r="BU48" s="2179"/>
      <c r="BV48" s="2179"/>
      <c r="BW48" s="2179"/>
      <c r="BX48" s="2179"/>
      <c r="BY48" s="2179"/>
      <c r="BZ48" s="2179"/>
      <c r="CA48" s="2179"/>
      <c r="CB48" s="2179"/>
      <c r="CC48" s="2179"/>
      <c r="CD48" s="2179"/>
      <c r="CE48" s="2179"/>
      <c r="CF48" s="2179"/>
      <c r="CG48" s="2179"/>
      <c r="CH48" s="2179"/>
      <c r="CI48" s="2179"/>
      <c r="CJ48" s="2179"/>
      <c r="CK48" s="2179"/>
      <c r="CL48" s="2179"/>
      <c r="CM48" s="2179"/>
      <c r="CN48" s="2179"/>
      <c r="CO48" s="2179"/>
      <c r="CP48" s="2179"/>
      <c r="CQ48" s="2179"/>
      <c r="CR48" s="2179"/>
      <c r="CS48" s="2179"/>
      <c r="CT48" s="2179"/>
      <c r="CU48" s="2179"/>
      <c r="CV48" s="2179"/>
      <c r="CW48" s="2179"/>
      <c r="CX48" s="2179"/>
      <c r="CY48" s="2179"/>
      <c r="CZ48" s="2179"/>
      <c r="DA48" s="2179"/>
      <c r="DB48" s="2179">
        <v>6</v>
      </c>
      <c r="DC48" s="2179"/>
      <c r="DD48" s="2179"/>
      <c r="DE48" s="2179"/>
      <c r="DF48" s="2179"/>
      <c r="DG48" s="2179"/>
      <c r="DH48" s="2179"/>
      <c r="DI48" s="2179"/>
      <c r="DJ48" s="2179"/>
      <c r="DK48" s="2179"/>
      <c r="DL48" s="2179"/>
      <c r="DM48" s="2179"/>
      <c r="DN48" s="2179"/>
      <c r="DO48" s="2179"/>
      <c r="DP48" s="2179"/>
      <c r="DQ48" s="2179"/>
      <c r="DR48" s="2179"/>
      <c r="DS48" s="2179"/>
      <c r="DT48" s="2179"/>
      <c r="DU48" s="2179"/>
      <c r="DV48" s="2179"/>
      <c r="DW48" s="2179"/>
      <c r="DX48" s="2179"/>
      <c r="DY48" s="2179"/>
      <c r="DZ48" s="2179"/>
      <c r="EA48" s="2179"/>
      <c r="EB48" s="2179"/>
      <c r="EC48" s="2179"/>
      <c r="ED48" s="2179"/>
      <c r="EE48" s="2179"/>
      <c r="EF48" s="2179"/>
      <c r="EG48" s="2179"/>
      <c r="EH48" s="2179"/>
      <c r="EI48" s="2179"/>
      <c r="EJ48" s="2179"/>
      <c r="EK48" s="2179"/>
      <c r="EL48" s="2179"/>
      <c r="EM48" s="2179"/>
      <c r="EN48" s="2179"/>
      <c r="EO48" s="2179"/>
      <c r="EP48" s="2179"/>
      <c r="EQ48" s="2179"/>
      <c r="ER48" s="2179"/>
      <c r="ES48" s="2179"/>
      <c r="ET48" s="2179"/>
      <c r="EU48" s="2179"/>
      <c r="EV48" s="2179"/>
      <c r="EW48" s="2179"/>
      <c r="EX48" s="2179"/>
      <c r="EY48" s="2179"/>
      <c r="EZ48" s="2179"/>
      <c r="FA48" s="2179"/>
      <c r="FB48" s="2179"/>
      <c r="FC48" s="2179"/>
      <c r="FD48" s="2179"/>
      <c r="FE48" s="2179"/>
      <c r="FF48" s="2179"/>
      <c r="FG48" s="2179"/>
      <c r="FH48" s="2179"/>
      <c r="FI48" s="2179"/>
      <c r="FJ48" s="2179"/>
      <c r="FK48" s="2179"/>
      <c r="FL48" s="2179"/>
      <c r="FM48" s="2179"/>
      <c r="FN48" s="2179"/>
      <c r="FO48" s="2179"/>
      <c r="FP48" s="2179"/>
      <c r="FQ48" s="2179"/>
      <c r="FR48" s="2179"/>
      <c r="FS48" s="2179"/>
      <c r="FT48" s="2179"/>
      <c r="FU48" s="2179"/>
      <c r="FV48" s="2179"/>
      <c r="FW48" s="2179"/>
      <c r="FX48" s="2179"/>
      <c r="FY48" s="2179"/>
      <c r="FZ48" s="2179"/>
      <c r="GA48" s="2179">
        <v>6</v>
      </c>
      <c r="GB48" s="2179">
        <f t="shared" si="3"/>
        <v>6</v>
      </c>
    </row>
    <row r="49" spans="2:184" ht="16.8" hidden="1">
      <c r="B49" s="2313" t="str">
        <f t="shared" si="2"/>
        <v xml:space="preserve">Bu long móc 16x300 </v>
      </c>
      <c r="C49" s="2179" t="s">
        <v>5136</v>
      </c>
      <c r="D49" s="2179"/>
      <c r="E49" s="2179">
        <f t="shared" si="0"/>
        <v>42</v>
      </c>
      <c r="F49" s="2179"/>
      <c r="G49" s="2179"/>
      <c r="H49" s="2179"/>
      <c r="I49" s="2179"/>
      <c r="J49" s="2179"/>
      <c r="K49" s="2179"/>
      <c r="L49" s="2179"/>
      <c r="M49" s="2179"/>
      <c r="N49" s="2179"/>
      <c r="O49" s="2179"/>
      <c r="P49" s="2179"/>
      <c r="Q49" s="2179"/>
      <c r="R49" s="2179"/>
      <c r="S49" s="2179"/>
      <c r="T49" s="2179"/>
      <c r="U49" s="2179">
        <v>1</v>
      </c>
      <c r="V49" s="2179"/>
      <c r="W49" s="2179">
        <v>1</v>
      </c>
      <c r="X49" s="2179"/>
      <c r="Y49" s="2179">
        <v>1</v>
      </c>
      <c r="Z49" s="2179"/>
      <c r="AA49" s="2179">
        <v>1</v>
      </c>
      <c r="AB49" s="2179"/>
      <c r="AC49" s="2179">
        <v>1</v>
      </c>
      <c r="AD49" s="2179"/>
      <c r="AE49" s="2179">
        <v>1</v>
      </c>
      <c r="AF49" s="2179"/>
      <c r="AG49" s="2179">
        <v>1</v>
      </c>
      <c r="AH49" s="2179"/>
      <c r="AI49" s="2179">
        <v>2</v>
      </c>
      <c r="AJ49" s="2179"/>
      <c r="AK49" s="2179">
        <v>1</v>
      </c>
      <c r="AL49" s="2179"/>
      <c r="AM49" s="2179">
        <v>1</v>
      </c>
      <c r="AN49" s="2179"/>
      <c r="AO49" s="2179">
        <v>1</v>
      </c>
      <c r="AP49" s="2179"/>
      <c r="AQ49" s="2179">
        <v>1</v>
      </c>
      <c r="AR49" s="2179"/>
      <c r="AS49" s="2179">
        <v>1</v>
      </c>
      <c r="AT49" s="2179"/>
      <c r="AU49" s="2179">
        <v>1</v>
      </c>
      <c r="AV49" s="2179"/>
      <c r="AW49" s="2179">
        <v>1</v>
      </c>
      <c r="AX49" s="2179"/>
      <c r="AY49" s="2179"/>
      <c r="AZ49" s="2179"/>
      <c r="BA49" s="2179"/>
      <c r="BB49" s="2179">
        <v>1</v>
      </c>
      <c r="BC49" s="2179"/>
      <c r="BD49" s="2179">
        <v>1</v>
      </c>
      <c r="BE49" s="2179"/>
      <c r="BF49" s="2179">
        <v>1</v>
      </c>
      <c r="BG49" s="2179"/>
      <c r="BH49" s="2179">
        <v>1</v>
      </c>
      <c r="BI49" s="2179"/>
      <c r="BJ49" s="2179">
        <v>1</v>
      </c>
      <c r="BK49" s="2179"/>
      <c r="BL49" s="2179">
        <v>1</v>
      </c>
      <c r="BM49" s="2179"/>
      <c r="BN49" s="2179">
        <v>2</v>
      </c>
      <c r="BO49" s="2179"/>
      <c r="BP49" s="2179">
        <v>1</v>
      </c>
      <c r="BQ49" s="2179"/>
      <c r="BR49" s="2179">
        <v>1</v>
      </c>
      <c r="BS49" s="2179"/>
      <c r="BT49" s="2179">
        <v>1</v>
      </c>
      <c r="BU49" s="2179"/>
      <c r="BV49" s="2179">
        <v>1</v>
      </c>
      <c r="BW49" s="2179"/>
      <c r="BX49" s="2179">
        <v>1</v>
      </c>
      <c r="BY49" s="2179"/>
      <c r="BZ49" s="2179">
        <v>2</v>
      </c>
      <c r="CA49" s="2179"/>
      <c r="CB49" s="2179"/>
      <c r="CC49" s="2179"/>
      <c r="CD49" s="2179"/>
      <c r="CE49" s="2179"/>
      <c r="CF49" s="2179"/>
      <c r="CG49" s="2179"/>
      <c r="CH49" s="2179"/>
      <c r="CI49" s="2179"/>
      <c r="CJ49" s="2179"/>
      <c r="CK49" s="2179"/>
      <c r="CL49" s="2179"/>
      <c r="CM49" s="2179"/>
      <c r="CN49" s="2179"/>
      <c r="CO49" s="2179"/>
      <c r="CP49" s="2179"/>
      <c r="CQ49" s="2179"/>
      <c r="CR49" s="2179"/>
      <c r="CS49" s="2179"/>
      <c r="CT49" s="2179"/>
      <c r="CU49" s="2179"/>
      <c r="CV49" s="2179"/>
      <c r="CW49" s="2179"/>
      <c r="CX49" s="2179"/>
      <c r="CY49" s="2179"/>
      <c r="CZ49" s="2179"/>
      <c r="DA49" s="2179"/>
      <c r="DB49" s="2179"/>
      <c r="DC49" s="2179"/>
      <c r="DD49" s="2179"/>
      <c r="DE49" s="2179"/>
      <c r="DF49" s="2179"/>
      <c r="DG49" s="2179"/>
      <c r="DH49" s="2179"/>
      <c r="DI49" s="2179"/>
      <c r="DJ49" s="2179">
        <v>1</v>
      </c>
      <c r="DK49" s="2179"/>
      <c r="DL49" s="2179">
        <v>1</v>
      </c>
      <c r="DM49" s="2179"/>
      <c r="DN49" s="2179">
        <v>1</v>
      </c>
      <c r="DO49" s="2179"/>
      <c r="DP49" s="2179">
        <v>1</v>
      </c>
      <c r="DQ49" s="2179"/>
      <c r="DR49" s="2179">
        <v>1</v>
      </c>
      <c r="DS49" s="2179"/>
      <c r="DT49" s="2179"/>
      <c r="DU49" s="2179">
        <v>1</v>
      </c>
      <c r="DV49" s="2179"/>
      <c r="DW49" s="2179">
        <v>1</v>
      </c>
      <c r="DX49" s="2179"/>
      <c r="DY49" s="2179"/>
      <c r="DZ49" s="2179"/>
      <c r="EA49" s="2179">
        <v>1</v>
      </c>
      <c r="EB49" s="2179"/>
      <c r="EC49" s="2179">
        <v>1</v>
      </c>
      <c r="ED49" s="2179"/>
      <c r="EE49" s="2179"/>
      <c r="EF49" s="2179"/>
      <c r="EG49" s="2179">
        <v>1</v>
      </c>
      <c r="EH49" s="2179"/>
      <c r="EI49" s="2179">
        <v>1</v>
      </c>
      <c r="EJ49" s="2179"/>
      <c r="EK49" s="2179"/>
      <c r="EL49" s="2179"/>
      <c r="EM49" s="2179"/>
      <c r="EN49" s="2179"/>
      <c r="EO49" s="2179"/>
      <c r="EP49" s="2179"/>
      <c r="EQ49" s="2179"/>
      <c r="ER49" s="2179"/>
      <c r="ES49" s="2179"/>
      <c r="ET49" s="2179"/>
      <c r="EU49" s="2179"/>
      <c r="EV49" s="2179"/>
      <c r="EW49" s="2179"/>
      <c r="EX49" s="2179"/>
      <c r="EY49" s="2179"/>
      <c r="EZ49" s="2179"/>
      <c r="FA49" s="2179"/>
      <c r="FB49" s="2179"/>
      <c r="FC49" s="2179"/>
      <c r="FD49" s="2179"/>
      <c r="FE49" s="2179"/>
      <c r="FF49" s="2179"/>
      <c r="FG49" s="2179"/>
      <c r="FH49" s="2179"/>
      <c r="FI49" s="2179"/>
      <c r="FJ49" s="2179"/>
      <c r="FK49" s="2179"/>
      <c r="FL49" s="2179"/>
      <c r="FM49" s="2179"/>
      <c r="FN49" s="2179"/>
      <c r="FO49" s="2179"/>
      <c r="FP49" s="2179"/>
      <c r="FQ49" s="2179"/>
      <c r="FR49" s="2179"/>
      <c r="FS49" s="2179"/>
      <c r="FT49" s="2179"/>
      <c r="FU49" s="2179"/>
      <c r="FV49" s="2179"/>
      <c r="FW49" s="2179"/>
      <c r="FX49" s="2179"/>
      <c r="FY49" s="2179"/>
      <c r="FZ49" s="2179"/>
      <c r="GA49" s="2179">
        <v>42</v>
      </c>
      <c r="GB49" s="2179">
        <f t="shared" si="3"/>
        <v>42</v>
      </c>
    </row>
    <row r="50" spans="2:184" ht="16.8" hidden="1">
      <c r="B50" s="2313" t="str">
        <f t="shared" si="2"/>
        <v>Bu long 16x300 bắt rack</v>
      </c>
      <c r="C50" s="2179" t="s">
        <v>5137</v>
      </c>
      <c r="D50" s="2179"/>
      <c r="E50" s="2179">
        <f t="shared" si="0"/>
        <v>74</v>
      </c>
      <c r="F50" s="2179"/>
      <c r="G50" s="2179">
        <v>2</v>
      </c>
      <c r="H50" s="2179"/>
      <c r="I50" s="2179">
        <v>2</v>
      </c>
      <c r="J50" s="2179"/>
      <c r="K50" s="2179">
        <v>2</v>
      </c>
      <c r="L50" s="2179"/>
      <c r="M50" s="2179">
        <v>2</v>
      </c>
      <c r="N50" s="2179"/>
      <c r="O50" s="2179">
        <v>2</v>
      </c>
      <c r="P50" s="2179"/>
      <c r="Q50" s="2179">
        <v>2</v>
      </c>
      <c r="R50" s="2179"/>
      <c r="S50" s="2179">
        <v>2</v>
      </c>
      <c r="T50" s="2179"/>
      <c r="U50" s="2179">
        <v>2</v>
      </c>
      <c r="V50" s="2179"/>
      <c r="W50" s="2179"/>
      <c r="X50" s="2179"/>
      <c r="Y50" s="2179"/>
      <c r="Z50" s="2179"/>
      <c r="AA50" s="2179"/>
      <c r="AB50" s="2179"/>
      <c r="AC50" s="2179"/>
      <c r="AD50" s="2179"/>
      <c r="AE50" s="2179"/>
      <c r="AF50" s="2179"/>
      <c r="AG50" s="2179"/>
      <c r="AH50" s="2179"/>
      <c r="AI50" s="2179"/>
      <c r="AJ50" s="2179"/>
      <c r="AK50" s="2179"/>
      <c r="AL50" s="2179"/>
      <c r="AM50" s="2179"/>
      <c r="AN50" s="2179"/>
      <c r="AO50" s="2179"/>
      <c r="AP50" s="2179"/>
      <c r="AQ50" s="2179"/>
      <c r="AR50" s="2179"/>
      <c r="AS50" s="2179"/>
      <c r="AT50" s="2179"/>
      <c r="AU50" s="2179"/>
      <c r="AV50" s="2179"/>
      <c r="AW50" s="2179"/>
      <c r="AX50" s="2179"/>
      <c r="AY50" s="2179"/>
      <c r="AZ50" s="2179"/>
      <c r="BA50" s="2179"/>
      <c r="BB50" s="2179"/>
      <c r="BC50" s="2179"/>
      <c r="BD50" s="2179"/>
      <c r="BE50" s="2179"/>
      <c r="BF50" s="2179"/>
      <c r="BG50" s="2179"/>
      <c r="BH50" s="2179"/>
      <c r="BI50" s="2179"/>
      <c r="BJ50" s="2179"/>
      <c r="BK50" s="2179"/>
      <c r="BL50" s="2179"/>
      <c r="BM50" s="2179"/>
      <c r="BN50" s="2179"/>
      <c r="BO50" s="2179"/>
      <c r="BP50" s="2179"/>
      <c r="BQ50" s="2179"/>
      <c r="BR50" s="2179"/>
      <c r="BS50" s="2179"/>
      <c r="BT50" s="2179"/>
      <c r="BU50" s="2179"/>
      <c r="BV50" s="2179"/>
      <c r="BW50" s="2179"/>
      <c r="BX50" s="2179"/>
      <c r="BY50" s="2179"/>
      <c r="BZ50" s="2179"/>
      <c r="CA50" s="2179"/>
      <c r="CB50" s="2179"/>
      <c r="CC50" s="2179"/>
      <c r="CD50" s="2179">
        <v>2</v>
      </c>
      <c r="CE50" s="2179"/>
      <c r="CF50" s="2179">
        <v>2</v>
      </c>
      <c r="CG50" s="2179"/>
      <c r="CH50" s="2179">
        <v>2</v>
      </c>
      <c r="CI50" s="2179"/>
      <c r="CJ50" s="2179">
        <v>2</v>
      </c>
      <c r="CK50" s="2179"/>
      <c r="CL50" s="2179">
        <v>2</v>
      </c>
      <c r="CM50" s="2179"/>
      <c r="CN50" s="2179">
        <v>2</v>
      </c>
      <c r="CO50" s="2179"/>
      <c r="CP50" s="2179"/>
      <c r="CQ50" s="2179"/>
      <c r="CR50" s="2179"/>
      <c r="CS50" s="2179">
        <v>2</v>
      </c>
      <c r="CT50" s="2179"/>
      <c r="CU50" s="2179">
        <v>2</v>
      </c>
      <c r="CV50" s="2179"/>
      <c r="CW50" s="2179">
        <v>2</v>
      </c>
      <c r="CX50" s="2179"/>
      <c r="CY50" s="2179">
        <v>2</v>
      </c>
      <c r="CZ50" s="2179"/>
      <c r="DA50" s="2179">
        <v>2</v>
      </c>
      <c r="DB50" s="2179"/>
      <c r="DC50" s="2179">
        <v>2</v>
      </c>
      <c r="DD50" s="2179"/>
      <c r="DE50" s="2179">
        <v>2</v>
      </c>
      <c r="DF50" s="2179"/>
      <c r="DG50" s="2179"/>
      <c r="DH50" s="2179"/>
      <c r="DI50" s="2179"/>
      <c r="DJ50" s="2179"/>
      <c r="DK50" s="2179"/>
      <c r="DL50" s="2179"/>
      <c r="DM50" s="2179"/>
      <c r="DN50" s="2179"/>
      <c r="DO50" s="2179"/>
      <c r="DP50" s="2179"/>
      <c r="DQ50" s="2179"/>
      <c r="DR50" s="2179"/>
      <c r="DS50" s="2179"/>
      <c r="DT50" s="2179"/>
      <c r="DU50" s="2179"/>
      <c r="DV50" s="2179"/>
      <c r="DW50" s="2179"/>
      <c r="DX50" s="2179"/>
      <c r="DY50" s="2179"/>
      <c r="DZ50" s="2179"/>
      <c r="EA50" s="2179"/>
      <c r="EB50" s="2179"/>
      <c r="EC50" s="2179"/>
      <c r="ED50" s="2179"/>
      <c r="EE50" s="2179"/>
      <c r="EF50" s="2179"/>
      <c r="EG50" s="2179"/>
      <c r="EH50" s="2179"/>
      <c r="EI50" s="2179"/>
      <c r="EJ50" s="2179"/>
      <c r="EK50" s="2179"/>
      <c r="EL50" s="2179"/>
      <c r="EM50" s="2179">
        <v>2</v>
      </c>
      <c r="EN50" s="2179"/>
      <c r="EO50" s="2179">
        <v>2</v>
      </c>
      <c r="EP50" s="2179"/>
      <c r="EQ50" s="2179">
        <v>2</v>
      </c>
      <c r="ER50" s="2179"/>
      <c r="ES50" s="2179">
        <v>2</v>
      </c>
      <c r="ET50" s="2179"/>
      <c r="EU50" s="2179">
        <v>2</v>
      </c>
      <c r="EV50" s="2179"/>
      <c r="EW50" s="2179">
        <v>2</v>
      </c>
      <c r="EX50" s="2179"/>
      <c r="EY50" s="2179"/>
      <c r="EZ50" s="2179"/>
      <c r="FA50" s="2179">
        <v>2</v>
      </c>
      <c r="FB50" s="2179"/>
      <c r="FC50" s="2179">
        <v>2</v>
      </c>
      <c r="FD50" s="2179"/>
      <c r="FE50" s="2179">
        <v>2</v>
      </c>
      <c r="FF50" s="2179"/>
      <c r="FG50" s="2179">
        <v>2</v>
      </c>
      <c r="FH50" s="2179"/>
      <c r="FI50" s="2179"/>
      <c r="FJ50" s="2179"/>
      <c r="FK50" s="2179">
        <v>2</v>
      </c>
      <c r="FL50" s="2179"/>
      <c r="FM50" s="2179">
        <v>2</v>
      </c>
      <c r="FN50" s="2179"/>
      <c r="FO50" s="2179">
        <v>2</v>
      </c>
      <c r="FP50" s="2179"/>
      <c r="FQ50" s="2179">
        <v>2</v>
      </c>
      <c r="FR50" s="2179"/>
      <c r="FS50" s="2179"/>
      <c r="FT50" s="2179"/>
      <c r="FU50" s="2179">
        <v>2</v>
      </c>
      <c r="FV50" s="2179"/>
      <c r="FW50" s="2179">
        <v>2</v>
      </c>
      <c r="FX50" s="2179"/>
      <c r="FY50" s="2179"/>
      <c r="FZ50" s="2179"/>
      <c r="GA50" s="2179">
        <v>74</v>
      </c>
      <c r="GB50" s="2179">
        <f t="shared" si="3"/>
        <v>74</v>
      </c>
    </row>
    <row r="51" spans="2:184" ht="16.8" hidden="1">
      <c r="B51" s="2313" t="str">
        <f t="shared" si="2"/>
        <v>Bảng độ cao băng đường</v>
      </c>
      <c r="C51" s="2179" t="s">
        <v>5138</v>
      </c>
      <c r="D51" s="2179"/>
      <c r="E51" s="2179">
        <f t="shared" si="0"/>
        <v>3</v>
      </c>
      <c r="F51" s="2179"/>
      <c r="G51" s="2179"/>
      <c r="H51" s="2179"/>
      <c r="I51" s="2179"/>
      <c r="J51" s="2179"/>
      <c r="K51" s="2179"/>
      <c r="L51" s="2179"/>
      <c r="M51" s="2179"/>
      <c r="N51" s="2179"/>
      <c r="O51" s="2179"/>
      <c r="P51" s="2179"/>
      <c r="Q51" s="2179"/>
      <c r="R51" s="2179"/>
      <c r="S51" s="2179"/>
      <c r="T51" s="2179"/>
      <c r="U51" s="2179"/>
      <c r="V51" s="2179"/>
      <c r="W51" s="2179"/>
      <c r="X51" s="2179"/>
      <c r="Y51" s="2179"/>
      <c r="Z51" s="2179"/>
      <c r="AA51" s="2179"/>
      <c r="AB51" s="2179"/>
      <c r="AC51" s="2179"/>
      <c r="AD51" s="2179"/>
      <c r="AE51" s="2179"/>
      <c r="AF51" s="2179"/>
      <c r="AG51" s="2179"/>
      <c r="AH51" s="2179"/>
      <c r="AI51" s="2179"/>
      <c r="AJ51" s="2179"/>
      <c r="AK51" s="2179"/>
      <c r="AL51" s="2179"/>
      <c r="AM51" s="2179"/>
      <c r="AN51" s="2179"/>
      <c r="AO51" s="2179"/>
      <c r="AP51" s="2179"/>
      <c r="AQ51" s="2179"/>
      <c r="AR51" s="2179"/>
      <c r="AS51" s="2179"/>
      <c r="AT51" s="2179"/>
      <c r="AU51" s="2179"/>
      <c r="AV51" s="2179"/>
      <c r="AW51" s="2179"/>
      <c r="AX51" s="2179"/>
      <c r="AY51" s="2179"/>
      <c r="AZ51" s="2179"/>
      <c r="BA51" s="2179"/>
      <c r="BB51" s="2179"/>
      <c r="BC51" s="2179"/>
      <c r="BD51" s="2179"/>
      <c r="BE51" s="2179"/>
      <c r="BF51" s="2179"/>
      <c r="BG51" s="2179"/>
      <c r="BH51" s="2179"/>
      <c r="BI51" s="2179"/>
      <c r="BJ51" s="2179"/>
      <c r="BK51" s="2179"/>
      <c r="BL51" s="2179"/>
      <c r="BM51" s="2179"/>
      <c r="BN51" s="2179"/>
      <c r="BO51" s="2179"/>
      <c r="BP51" s="2179"/>
      <c r="BQ51" s="2179"/>
      <c r="BR51" s="2179"/>
      <c r="BS51" s="2179"/>
      <c r="BT51" s="2179"/>
      <c r="BU51" s="2179"/>
      <c r="BV51" s="2179"/>
      <c r="BW51" s="2179"/>
      <c r="BX51" s="2179"/>
      <c r="BY51" s="2179"/>
      <c r="BZ51" s="2179">
        <v>3</v>
      </c>
      <c r="CA51" s="2179"/>
      <c r="CB51" s="2179"/>
      <c r="CC51" s="2179"/>
      <c r="CD51" s="2179"/>
      <c r="CE51" s="2179"/>
      <c r="CF51" s="2179"/>
      <c r="CG51" s="2179"/>
      <c r="CH51" s="2179"/>
      <c r="CI51" s="2179"/>
      <c r="CJ51" s="2179"/>
      <c r="CK51" s="2179"/>
      <c r="CL51" s="2179"/>
      <c r="CM51" s="2179"/>
      <c r="CN51" s="2179"/>
      <c r="CO51" s="2179"/>
      <c r="CP51" s="2179"/>
      <c r="CQ51" s="2179"/>
      <c r="CR51" s="2179"/>
      <c r="CS51" s="2179"/>
      <c r="CT51" s="2179"/>
      <c r="CU51" s="2179"/>
      <c r="CV51" s="2179"/>
      <c r="CW51" s="2179"/>
      <c r="CX51" s="2179"/>
      <c r="CY51" s="2179"/>
      <c r="CZ51" s="2179"/>
      <c r="DA51" s="2179"/>
      <c r="DB51" s="2179"/>
      <c r="DC51" s="2179"/>
      <c r="DD51" s="2179"/>
      <c r="DE51" s="2179"/>
      <c r="DF51" s="2179"/>
      <c r="DG51" s="2179"/>
      <c r="DH51" s="2179"/>
      <c r="DI51" s="2179"/>
      <c r="DJ51" s="2179"/>
      <c r="DK51" s="2179"/>
      <c r="DL51" s="2179"/>
      <c r="DM51" s="2179"/>
      <c r="DN51" s="2179"/>
      <c r="DO51" s="2179"/>
      <c r="DP51" s="2179"/>
      <c r="DQ51" s="2179"/>
      <c r="DR51" s="2179"/>
      <c r="DS51" s="2179"/>
      <c r="DT51" s="2179"/>
      <c r="DU51" s="2179"/>
      <c r="DV51" s="2179"/>
      <c r="DW51" s="2179"/>
      <c r="DX51" s="2179"/>
      <c r="DY51" s="2179"/>
      <c r="DZ51" s="2179"/>
      <c r="EA51" s="2179"/>
      <c r="EB51" s="2179"/>
      <c r="EC51" s="2179"/>
      <c r="ED51" s="2179"/>
      <c r="EE51" s="2179"/>
      <c r="EF51" s="2179"/>
      <c r="EG51" s="2179"/>
      <c r="EH51" s="2179"/>
      <c r="EI51" s="2179"/>
      <c r="EJ51" s="2179"/>
      <c r="EK51" s="2179"/>
      <c r="EL51" s="2179"/>
      <c r="EM51" s="2179"/>
      <c r="EN51" s="2179"/>
      <c r="EO51" s="2179"/>
      <c r="EP51" s="2179"/>
      <c r="EQ51" s="2179"/>
      <c r="ER51" s="2179"/>
      <c r="ES51" s="2179"/>
      <c r="ET51" s="2179"/>
      <c r="EU51" s="2179"/>
      <c r="EV51" s="2179"/>
      <c r="EW51" s="2179"/>
      <c r="EX51" s="2179"/>
      <c r="EY51" s="2179"/>
      <c r="EZ51" s="2179"/>
      <c r="FA51" s="2179"/>
      <c r="FB51" s="2179"/>
      <c r="FC51" s="2179"/>
      <c r="FD51" s="2179"/>
      <c r="FE51" s="2179"/>
      <c r="FF51" s="2179"/>
      <c r="FG51" s="2179"/>
      <c r="FH51" s="2179"/>
      <c r="FI51" s="2179"/>
      <c r="FJ51" s="2179"/>
      <c r="FK51" s="2179"/>
      <c r="FL51" s="2179"/>
      <c r="FM51" s="2179"/>
      <c r="FN51" s="2179"/>
      <c r="FO51" s="2179"/>
      <c r="FP51" s="2179"/>
      <c r="FQ51" s="2179"/>
      <c r="FR51" s="2179"/>
      <c r="FS51" s="2179"/>
      <c r="FT51" s="2179"/>
      <c r="FU51" s="2179"/>
      <c r="FV51" s="2179"/>
      <c r="FW51" s="2179"/>
      <c r="FX51" s="2179"/>
      <c r="FY51" s="2179"/>
      <c r="FZ51" s="2179"/>
      <c r="GA51" s="2179">
        <v>3</v>
      </c>
      <c r="GB51" s="2179">
        <f t="shared" si="3"/>
        <v>3</v>
      </c>
    </row>
    <row r="52" spans="2:184" ht="16.8" hidden="1">
      <c r="B52" s="2313" t="str">
        <f t="shared" si="2"/>
        <v>Số dây Dupplex trên trụ</v>
      </c>
      <c r="C52" s="2179" t="s">
        <v>5139</v>
      </c>
      <c r="D52" s="2179"/>
      <c r="E52" s="2179">
        <f t="shared" si="0"/>
        <v>347</v>
      </c>
      <c r="F52" s="2179"/>
      <c r="G52" s="2179">
        <v>4</v>
      </c>
      <c r="H52" s="2179"/>
      <c r="I52" s="2179">
        <v>10</v>
      </c>
      <c r="J52" s="2179"/>
      <c r="K52" s="2179">
        <v>15</v>
      </c>
      <c r="L52" s="2179"/>
      <c r="M52" s="2179">
        <v>2</v>
      </c>
      <c r="N52" s="2179"/>
      <c r="O52" s="2179">
        <v>5</v>
      </c>
      <c r="P52" s="2179"/>
      <c r="Q52" s="2179">
        <v>3</v>
      </c>
      <c r="R52" s="2179"/>
      <c r="S52" s="2179">
        <v>1</v>
      </c>
      <c r="T52" s="2179"/>
      <c r="U52" s="2179">
        <v>4</v>
      </c>
      <c r="V52" s="2179"/>
      <c r="W52" s="2179">
        <v>5</v>
      </c>
      <c r="X52" s="2179"/>
      <c r="Y52" s="2179">
        <v>2</v>
      </c>
      <c r="Z52" s="2179"/>
      <c r="AA52" s="2179">
        <v>1</v>
      </c>
      <c r="AB52" s="2179"/>
      <c r="AC52" s="2179">
        <v>4</v>
      </c>
      <c r="AD52" s="2179"/>
      <c r="AE52" s="2179">
        <v>4</v>
      </c>
      <c r="AF52" s="2179"/>
      <c r="AG52" s="2179">
        <v>1</v>
      </c>
      <c r="AH52" s="2179"/>
      <c r="AI52" s="2179">
        <v>1</v>
      </c>
      <c r="AJ52" s="2179"/>
      <c r="AK52" s="2179">
        <v>3</v>
      </c>
      <c r="AL52" s="2179"/>
      <c r="AM52" s="2179">
        <v>7</v>
      </c>
      <c r="AN52" s="2179"/>
      <c r="AO52" s="2179">
        <v>4</v>
      </c>
      <c r="AP52" s="2179"/>
      <c r="AQ52" s="2179">
        <v>5</v>
      </c>
      <c r="AR52" s="2179"/>
      <c r="AS52" s="2179">
        <v>7</v>
      </c>
      <c r="AT52" s="2179"/>
      <c r="AU52" s="2179">
        <v>6</v>
      </c>
      <c r="AV52" s="2179"/>
      <c r="AW52" s="2179">
        <v>3</v>
      </c>
      <c r="AX52" s="2179"/>
      <c r="AY52" s="2179"/>
      <c r="AZ52" s="2179"/>
      <c r="BA52" s="2179"/>
      <c r="BB52" s="2179">
        <v>6</v>
      </c>
      <c r="BC52" s="2179"/>
      <c r="BD52" s="2179">
        <v>10</v>
      </c>
      <c r="BE52" s="2179"/>
      <c r="BF52" s="2179">
        <v>5</v>
      </c>
      <c r="BG52" s="2179"/>
      <c r="BH52" s="2179">
        <v>2</v>
      </c>
      <c r="BI52" s="2179"/>
      <c r="BJ52" s="2179">
        <v>2</v>
      </c>
      <c r="BK52" s="2179"/>
      <c r="BL52" s="2179">
        <v>2</v>
      </c>
      <c r="BM52" s="2179"/>
      <c r="BN52" s="2179">
        <v>4</v>
      </c>
      <c r="BO52" s="2179"/>
      <c r="BP52" s="2179">
        <v>3</v>
      </c>
      <c r="BQ52" s="2179"/>
      <c r="BR52" s="2179">
        <v>8</v>
      </c>
      <c r="BS52" s="2179"/>
      <c r="BT52" s="2179">
        <v>6</v>
      </c>
      <c r="BU52" s="2179"/>
      <c r="BV52" s="2179">
        <v>11</v>
      </c>
      <c r="BW52" s="2179"/>
      <c r="BX52" s="2179">
        <v>4</v>
      </c>
      <c r="BY52" s="2179"/>
      <c r="BZ52" s="2179">
        <v>5</v>
      </c>
      <c r="CA52" s="2179"/>
      <c r="CB52" s="2179"/>
      <c r="CC52" s="2179"/>
      <c r="CD52" s="2179">
        <v>2</v>
      </c>
      <c r="CE52" s="2179"/>
      <c r="CF52" s="2179">
        <v>4</v>
      </c>
      <c r="CG52" s="2179"/>
      <c r="CH52" s="2179">
        <v>4</v>
      </c>
      <c r="CI52" s="2179"/>
      <c r="CJ52" s="2179">
        <v>3</v>
      </c>
      <c r="CK52" s="2179"/>
      <c r="CL52" s="2179">
        <v>4</v>
      </c>
      <c r="CM52" s="2179"/>
      <c r="CN52" s="2179">
        <v>8</v>
      </c>
      <c r="CO52" s="2179"/>
      <c r="CP52" s="2179"/>
      <c r="CQ52" s="2179"/>
      <c r="CR52" s="2179"/>
      <c r="CS52" s="2179">
        <v>4</v>
      </c>
      <c r="CT52" s="2179"/>
      <c r="CU52" s="2179">
        <v>5</v>
      </c>
      <c r="CV52" s="2179"/>
      <c r="CW52" s="2179">
        <v>5</v>
      </c>
      <c r="CX52" s="2179"/>
      <c r="CY52" s="2179">
        <v>8</v>
      </c>
      <c r="CZ52" s="2179"/>
      <c r="DA52" s="2179">
        <v>2</v>
      </c>
      <c r="DB52" s="2179"/>
      <c r="DC52" s="2179">
        <v>6</v>
      </c>
      <c r="DD52" s="2179"/>
      <c r="DE52" s="2179">
        <v>2</v>
      </c>
      <c r="DF52" s="2179"/>
      <c r="DG52" s="2179"/>
      <c r="DH52" s="2179"/>
      <c r="DI52" s="2179"/>
      <c r="DJ52" s="2179">
        <v>5</v>
      </c>
      <c r="DK52" s="2179"/>
      <c r="DL52" s="2179">
        <v>7</v>
      </c>
      <c r="DM52" s="2179"/>
      <c r="DN52" s="2179">
        <v>6</v>
      </c>
      <c r="DO52" s="2179"/>
      <c r="DP52" s="2179">
        <v>6</v>
      </c>
      <c r="DQ52" s="2179"/>
      <c r="DR52" s="2179">
        <v>4</v>
      </c>
      <c r="DS52" s="2179"/>
      <c r="DT52" s="2179"/>
      <c r="DU52" s="2179">
        <v>7</v>
      </c>
      <c r="DV52" s="2179"/>
      <c r="DW52" s="2179">
        <v>3</v>
      </c>
      <c r="DX52" s="2179"/>
      <c r="DY52" s="2179"/>
      <c r="DZ52" s="2179"/>
      <c r="EA52" s="2179">
        <v>2</v>
      </c>
      <c r="EB52" s="2179"/>
      <c r="EC52" s="2179">
        <v>1</v>
      </c>
      <c r="ED52" s="2179"/>
      <c r="EE52" s="2179"/>
      <c r="EF52" s="2179"/>
      <c r="EG52" s="2179">
        <v>2</v>
      </c>
      <c r="EH52" s="2179"/>
      <c r="EI52" s="2179">
        <v>6</v>
      </c>
      <c r="EJ52" s="2179"/>
      <c r="EK52" s="2179"/>
      <c r="EL52" s="2179"/>
      <c r="EM52" s="2179">
        <v>7</v>
      </c>
      <c r="EN52" s="2179"/>
      <c r="EO52" s="2179">
        <v>3</v>
      </c>
      <c r="EP52" s="2179"/>
      <c r="EQ52" s="2179">
        <v>3</v>
      </c>
      <c r="ER52" s="2179"/>
      <c r="ES52" s="2179">
        <v>5</v>
      </c>
      <c r="ET52" s="2179"/>
      <c r="EU52" s="2179">
        <v>3</v>
      </c>
      <c r="EV52" s="2179"/>
      <c r="EW52" s="2179">
        <v>3</v>
      </c>
      <c r="EX52" s="2179"/>
      <c r="EY52" s="2179"/>
      <c r="EZ52" s="2179"/>
      <c r="FA52" s="2179">
        <v>3</v>
      </c>
      <c r="FB52" s="2179"/>
      <c r="FC52" s="2179">
        <v>6</v>
      </c>
      <c r="FD52" s="2179"/>
      <c r="FE52" s="2179">
        <v>15</v>
      </c>
      <c r="FF52" s="2179"/>
      <c r="FG52" s="2179">
        <v>2</v>
      </c>
      <c r="FH52" s="2179"/>
      <c r="FI52" s="2179"/>
      <c r="FJ52" s="2179"/>
      <c r="FK52" s="2179">
        <v>5</v>
      </c>
      <c r="FL52" s="2179"/>
      <c r="FM52" s="2179">
        <v>3</v>
      </c>
      <c r="FN52" s="2179"/>
      <c r="FO52" s="2179">
        <v>3</v>
      </c>
      <c r="FP52" s="2179"/>
      <c r="FQ52" s="2179">
        <v>2</v>
      </c>
      <c r="FR52" s="2179"/>
      <c r="FS52" s="2179"/>
      <c r="FT52" s="2179"/>
      <c r="FU52" s="2179">
        <v>4</v>
      </c>
      <c r="FV52" s="2179"/>
      <c r="FW52" s="2179">
        <v>9</v>
      </c>
      <c r="FX52" s="2179"/>
      <c r="FY52" s="2179"/>
      <c r="FZ52" s="2179"/>
      <c r="GA52" s="2179">
        <v>347</v>
      </c>
      <c r="GB52" s="2179">
        <f t="shared" si="3"/>
        <v>347</v>
      </c>
    </row>
    <row r="53" spans="2:184" ht="16.8" hidden="1">
      <c r="B53" s="2313" t="str">
        <f t="shared" si="2"/>
        <v>Ghip 95(70)/35 2 bulon</v>
      </c>
      <c r="C53" s="2179" t="s">
        <v>5140</v>
      </c>
      <c r="D53" s="2179"/>
      <c r="E53" s="2179">
        <f t="shared" si="0"/>
        <v>353</v>
      </c>
      <c r="F53" s="2179"/>
      <c r="G53" s="2179">
        <v>5</v>
      </c>
      <c r="H53" s="2179"/>
      <c r="I53" s="2179">
        <v>10</v>
      </c>
      <c r="J53" s="2179"/>
      <c r="K53" s="2179">
        <v>15</v>
      </c>
      <c r="L53" s="2179"/>
      <c r="M53" s="2179">
        <v>5</v>
      </c>
      <c r="N53" s="2179"/>
      <c r="O53" s="2179">
        <v>5</v>
      </c>
      <c r="P53" s="2179"/>
      <c r="Q53" s="2179">
        <v>5</v>
      </c>
      <c r="R53" s="2179"/>
      <c r="S53" s="2179"/>
      <c r="T53" s="2179"/>
      <c r="U53" s="2179">
        <v>4</v>
      </c>
      <c r="V53" s="2179"/>
      <c r="W53" s="2179">
        <v>4</v>
      </c>
      <c r="X53" s="2179"/>
      <c r="Y53" s="2179">
        <v>4</v>
      </c>
      <c r="Z53" s="2179"/>
      <c r="AA53" s="2179">
        <v>4</v>
      </c>
      <c r="AB53" s="2179"/>
      <c r="AC53" s="2179">
        <v>8</v>
      </c>
      <c r="AD53" s="2179"/>
      <c r="AE53" s="2179">
        <v>4</v>
      </c>
      <c r="AF53" s="2179">
        <v>4</v>
      </c>
      <c r="AG53" s="2179">
        <v>4</v>
      </c>
      <c r="AH53" s="2179"/>
      <c r="AI53" s="2179">
        <v>4</v>
      </c>
      <c r="AJ53" s="2179"/>
      <c r="AK53" s="2179">
        <v>4</v>
      </c>
      <c r="AL53" s="2179"/>
      <c r="AM53" s="2179">
        <v>4</v>
      </c>
      <c r="AN53" s="2179"/>
      <c r="AO53" s="2179">
        <v>4</v>
      </c>
      <c r="AP53" s="2179"/>
      <c r="AQ53" s="2179">
        <v>4</v>
      </c>
      <c r="AR53" s="2179"/>
      <c r="AS53" s="2179">
        <v>8</v>
      </c>
      <c r="AT53" s="2179"/>
      <c r="AU53" s="2179">
        <v>4</v>
      </c>
      <c r="AV53" s="2179"/>
      <c r="AW53" s="2179">
        <v>4</v>
      </c>
      <c r="AX53" s="2179"/>
      <c r="AY53" s="2179"/>
      <c r="AZ53" s="2179"/>
      <c r="BA53" s="2179"/>
      <c r="BB53" s="2179">
        <v>4</v>
      </c>
      <c r="BC53" s="2179"/>
      <c r="BD53" s="2179">
        <v>8</v>
      </c>
      <c r="BE53" s="2179"/>
      <c r="BF53" s="2179">
        <v>4</v>
      </c>
      <c r="BG53" s="2179"/>
      <c r="BH53" s="2179">
        <v>4</v>
      </c>
      <c r="BI53" s="2179"/>
      <c r="BJ53" s="2179">
        <v>4</v>
      </c>
      <c r="BK53" s="2179"/>
      <c r="BL53" s="2179">
        <v>4</v>
      </c>
      <c r="BM53" s="2179"/>
      <c r="BN53" s="2179">
        <v>4</v>
      </c>
      <c r="BO53" s="2179"/>
      <c r="BP53" s="2179">
        <v>8</v>
      </c>
      <c r="BQ53" s="2179"/>
      <c r="BR53" s="2179">
        <v>4</v>
      </c>
      <c r="BS53" s="2179"/>
      <c r="BT53" s="2179">
        <v>4</v>
      </c>
      <c r="BU53" s="2179"/>
      <c r="BV53" s="2179">
        <v>4</v>
      </c>
      <c r="BW53" s="2179"/>
      <c r="BX53" s="2179">
        <v>4</v>
      </c>
      <c r="BY53" s="2179"/>
      <c r="BZ53" s="2179"/>
      <c r="CA53" s="2179"/>
      <c r="CB53" s="2179"/>
      <c r="CC53" s="2179"/>
      <c r="CD53" s="2179">
        <v>4</v>
      </c>
      <c r="CE53" s="2179"/>
      <c r="CF53" s="2179">
        <v>4</v>
      </c>
      <c r="CG53" s="2179"/>
      <c r="CH53" s="2179">
        <v>4</v>
      </c>
      <c r="CI53" s="2179">
        <v>4</v>
      </c>
      <c r="CJ53" s="2179">
        <v>4</v>
      </c>
      <c r="CK53" s="2179"/>
      <c r="CL53" s="2179">
        <v>4</v>
      </c>
      <c r="CM53" s="2179"/>
      <c r="CN53" s="2179">
        <v>8</v>
      </c>
      <c r="CO53" s="2179"/>
      <c r="CP53" s="2179"/>
      <c r="CQ53" s="2179"/>
      <c r="CR53" s="2179"/>
      <c r="CS53" s="2179">
        <v>4</v>
      </c>
      <c r="CT53" s="2179"/>
      <c r="CU53" s="2179">
        <v>4</v>
      </c>
      <c r="CV53" s="2179"/>
      <c r="CW53" s="2179">
        <v>4</v>
      </c>
      <c r="CX53" s="2179"/>
      <c r="CY53" s="2179">
        <v>8</v>
      </c>
      <c r="CZ53" s="2179"/>
      <c r="DA53" s="2179">
        <v>4</v>
      </c>
      <c r="DB53" s="2179"/>
      <c r="DC53" s="2179">
        <v>4</v>
      </c>
      <c r="DD53" s="2179"/>
      <c r="DE53" s="2179">
        <v>4</v>
      </c>
      <c r="DF53" s="2179"/>
      <c r="DG53" s="2179"/>
      <c r="DH53" s="2179"/>
      <c r="DI53" s="2179"/>
      <c r="DJ53" s="2179">
        <v>4</v>
      </c>
      <c r="DK53" s="2179"/>
      <c r="DL53" s="2179">
        <v>4</v>
      </c>
      <c r="DM53" s="2179"/>
      <c r="DN53" s="2179">
        <v>4</v>
      </c>
      <c r="DO53" s="2179"/>
      <c r="DP53" s="2179">
        <v>4</v>
      </c>
      <c r="DQ53" s="2179"/>
      <c r="DR53" s="2179">
        <v>4</v>
      </c>
      <c r="DS53" s="2179"/>
      <c r="DT53" s="2179"/>
      <c r="DU53" s="2179">
        <v>4</v>
      </c>
      <c r="DV53" s="2179"/>
      <c r="DW53" s="2179">
        <v>4</v>
      </c>
      <c r="DX53" s="2179">
        <v>4</v>
      </c>
      <c r="DY53" s="2179"/>
      <c r="DZ53" s="2179"/>
      <c r="EA53" s="2179">
        <v>4</v>
      </c>
      <c r="EB53" s="2179">
        <v>4</v>
      </c>
      <c r="EC53" s="2179">
        <v>4</v>
      </c>
      <c r="ED53" s="2179"/>
      <c r="EE53" s="2179"/>
      <c r="EF53" s="2179"/>
      <c r="EG53" s="2179">
        <v>4</v>
      </c>
      <c r="EH53" s="2179"/>
      <c r="EI53" s="2179">
        <v>4</v>
      </c>
      <c r="EJ53" s="2179"/>
      <c r="EK53" s="2179"/>
      <c r="EL53" s="2179"/>
      <c r="EM53" s="2179">
        <v>4</v>
      </c>
      <c r="EN53" s="2179"/>
      <c r="EO53" s="2179">
        <v>4</v>
      </c>
      <c r="EP53" s="2179"/>
      <c r="EQ53" s="2179">
        <v>4</v>
      </c>
      <c r="ER53" s="2179"/>
      <c r="ES53" s="2179">
        <v>4</v>
      </c>
      <c r="ET53" s="2179"/>
      <c r="EU53" s="2179">
        <v>4</v>
      </c>
      <c r="EV53" s="2179"/>
      <c r="EW53" s="2179">
        <v>4</v>
      </c>
      <c r="EX53" s="2179"/>
      <c r="EY53" s="2179"/>
      <c r="EZ53" s="2179"/>
      <c r="FA53" s="2179">
        <v>4</v>
      </c>
      <c r="FB53" s="2179"/>
      <c r="FC53" s="2179">
        <v>4</v>
      </c>
      <c r="FD53" s="2179"/>
      <c r="FE53" s="2179">
        <v>8</v>
      </c>
      <c r="FF53" s="2179"/>
      <c r="FG53" s="2179">
        <v>4</v>
      </c>
      <c r="FH53" s="2179"/>
      <c r="FI53" s="2179"/>
      <c r="FJ53" s="2179"/>
      <c r="FK53" s="2179">
        <v>4</v>
      </c>
      <c r="FL53" s="2179"/>
      <c r="FM53" s="2179">
        <v>4</v>
      </c>
      <c r="FN53" s="2179"/>
      <c r="FO53" s="2179"/>
      <c r="FP53" s="2179"/>
      <c r="FQ53" s="2179">
        <v>4</v>
      </c>
      <c r="FR53" s="2179"/>
      <c r="FS53" s="2179"/>
      <c r="FT53" s="2179"/>
      <c r="FU53" s="2179">
        <v>4</v>
      </c>
      <c r="FV53" s="2179"/>
      <c r="FW53" s="2179">
        <v>4</v>
      </c>
      <c r="FX53" s="2179"/>
      <c r="FY53" s="2179"/>
      <c r="FZ53" s="2179"/>
      <c r="GA53" s="2179">
        <v>353</v>
      </c>
      <c r="GB53" s="2179">
        <f t="shared" si="3"/>
        <v>353</v>
      </c>
    </row>
    <row r="54" spans="2:184" ht="16.8" hidden="1">
      <c r="B54" s="2313" t="str">
        <f t="shared" si="2"/>
        <v>Ong co nhiệt F95/25 (m)</v>
      </c>
      <c r="C54" s="2179" t="s">
        <v>5141</v>
      </c>
      <c r="D54" s="2179"/>
      <c r="E54" s="2179">
        <f t="shared" si="0"/>
        <v>14.699999999999998</v>
      </c>
      <c r="F54" s="2179"/>
      <c r="G54" s="2179"/>
      <c r="H54" s="2179"/>
      <c r="I54" s="2179"/>
      <c r="J54" s="2179"/>
      <c r="K54" s="2179"/>
      <c r="L54" s="2179"/>
      <c r="M54" s="2179"/>
      <c r="N54" s="2179"/>
      <c r="O54" s="2179"/>
      <c r="P54" s="2179"/>
      <c r="Q54" s="2179"/>
      <c r="R54" s="2179"/>
      <c r="S54" s="2179">
        <v>1.2</v>
      </c>
      <c r="T54" s="2179"/>
      <c r="U54" s="2179"/>
      <c r="V54" s="2179"/>
      <c r="W54" s="2179">
        <v>1.5</v>
      </c>
      <c r="X54" s="2179"/>
      <c r="Y54" s="2179"/>
      <c r="Z54" s="2179"/>
      <c r="AA54" s="2179"/>
      <c r="AB54" s="2179"/>
      <c r="AC54" s="2179"/>
      <c r="AD54" s="2179"/>
      <c r="AE54" s="2179"/>
      <c r="AF54" s="2179"/>
      <c r="AG54" s="2179"/>
      <c r="AH54" s="2179"/>
      <c r="AI54" s="2179"/>
      <c r="AJ54" s="2179"/>
      <c r="AK54" s="2179"/>
      <c r="AL54" s="2179"/>
      <c r="AM54" s="2179"/>
      <c r="AN54" s="2179"/>
      <c r="AO54" s="2179"/>
      <c r="AP54" s="2179">
        <v>1.2</v>
      </c>
      <c r="AQ54" s="2179"/>
      <c r="AR54" s="2179"/>
      <c r="AS54" s="2179"/>
      <c r="AT54" s="2179"/>
      <c r="AU54" s="2179"/>
      <c r="AV54" s="2179"/>
      <c r="AW54" s="2179"/>
      <c r="AX54" s="2179"/>
      <c r="AY54" s="2179"/>
      <c r="AZ54" s="2179"/>
      <c r="BA54" s="2179"/>
      <c r="BB54" s="2179"/>
      <c r="BC54" s="2179"/>
      <c r="BD54" s="2179"/>
      <c r="BE54" s="2179"/>
      <c r="BF54" s="2179"/>
      <c r="BG54" s="2179"/>
      <c r="BH54" s="2179"/>
      <c r="BI54" s="2179"/>
      <c r="BJ54" s="2179"/>
      <c r="BK54" s="2179"/>
      <c r="BL54" s="2179">
        <v>1.2</v>
      </c>
      <c r="BM54" s="2179"/>
      <c r="BN54" s="2179"/>
      <c r="BO54" s="2179"/>
      <c r="BP54" s="2179"/>
      <c r="BQ54" s="2179"/>
      <c r="BR54" s="2179">
        <v>1.2</v>
      </c>
      <c r="BS54" s="2179"/>
      <c r="BT54" s="2179"/>
      <c r="BU54" s="2179"/>
      <c r="BV54" s="2179"/>
      <c r="BW54" s="2179"/>
      <c r="BX54" s="2179"/>
      <c r="BY54" s="2179"/>
      <c r="BZ54" s="2179"/>
      <c r="CA54" s="2179"/>
      <c r="CB54" s="2179"/>
      <c r="CC54" s="2179"/>
      <c r="CD54" s="2179"/>
      <c r="CE54" s="2179"/>
      <c r="CF54" s="2179"/>
      <c r="CG54" s="2179">
        <v>1.2</v>
      </c>
      <c r="CH54" s="2179"/>
      <c r="CI54" s="2179"/>
      <c r="CJ54" s="2179"/>
      <c r="CK54" s="2179"/>
      <c r="CL54" s="2179"/>
      <c r="CM54" s="2179"/>
      <c r="CN54" s="2179"/>
      <c r="CO54" s="2179"/>
      <c r="CP54" s="2179"/>
      <c r="CQ54" s="2179"/>
      <c r="CR54" s="2179"/>
      <c r="CS54" s="2179"/>
      <c r="CT54" s="2179"/>
      <c r="CU54" s="2179"/>
      <c r="CV54" s="2179"/>
      <c r="CW54" s="2179"/>
      <c r="CX54" s="2179"/>
      <c r="CY54" s="2179">
        <v>1.2</v>
      </c>
      <c r="CZ54" s="2179"/>
      <c r="DA54" s="2179"/>
      <c r="DB54" s="2179"/>
      <c r="DC54" s="2179"/>
      <c r="DD54" s="2179"/>
      <c r="DE54" s="2179"/>
      <c r="DF54" s="2179"/>
      <c r="DG54" s="2179"/>
      <c r="DH54" s="2179"/>
      <c r="DI54" s="2179"/>
      <c r="DJ54" s="2179"/>
      <c r="DK54" s="2179"/>
      <c r="DL54" s="2179">
        <v>1.2</v>
      </c>
      <c r="DM54" s="2179"/>
      <c r="DN54" s="2179"/>
      <c r="DO54" s="2179"/>
      <c r="DP54" s="2179"/>
      <c r="DQ54" s="2179"/>
      <c r="DR54" s="2179"/>
      <c r="DS54" s="2179"/>
      <c r="DT54" s="2179"/>
      <c r="DU54" s="2179"/>
      <c r="DV54" s="2179"/>
      <c r="DW54" s="2179"/>
      <c r="DX54" s="2179"/>
      <c r="DY54" s="2179"/>
      <c r="DZ54" s="2179"/>
      <c r="EA54" s="2179"/>
      <c r="EB54" s="2179">
        <v>1.2</v>
      </c>
      <c r="EC54" s="2179"/>
      <c r="ED54" s="2179"/>
      <c r="EE54" s="2179"/>
      <c r="EF54" s="2179"/>
      <c r="EG54" s="2179"/>
      <c r="EH54" s="2179"/>
      <c r="EI54" s="2179"/>
      <c r="EJ54" s="2179"/>
      <c r="EK54" s="2179"/>
      <c r="EL54" s="2179"/>
      <c r="EM54" s="2179"/>
      <c r="EN54" s="2179"/>
      <c r="EO54" s="2179"/>
      <c r="EP54" s="2179"/>
      <c r="EQ54" s="2179">
        <v>1.2</v>
      </c>
      <c r="ER54" s="2179"/>
      <c r="ES54" s="2179"/>
      <c r="ET54" s="2179"/>
      <c r="EU54" s="2179"/>
      <c r="EV54" s="2179"/>
      <c r="EW54" s="2179"/>
      <c r="EX54" s="2179"/>
      <c r="EY54" s="2179"/>
      <c r="EZ54" s="2179"/>
      <c r="FA54" s="2179"/>
      <c r="FB54" s="2179"/>
      <c r="FC54" s="2179"/>
      <c r="FD54" s="2179"/>
      <c r="FE54" s="2179">
        <v>1.2</v>
      </c>
      <c r="FF54" s="2179"/>
      <c r="FG54" s="2179"/>
      <c r="FH54" s="2179"/>
      <c r="FI54" s="2179"/>
      <c r="FJ54" s="2179"/>
      <c r="FK54" s="2179"/>
      <c r="FL54" s="2179"/>
      <c r="FM54" s="2179"/>
      <c r="FN54" s="2179"/>
      <c r="FO54" s="2179"/>
      <c r="FP54" s="2179"/>
      <c r="FQ54" s="2179"/>
      <c r="FR54" s="2179">
        <v>1.2</v>
      </c>
      <c r="FS54" s="2179"/>
      <c r="FT54" s="2179"/>
      <c r="FU54" s="2179"/>
      <c r="FV54" s="2179"/>
      <c r="FW54" s="2179"/>
      <c r="FX54" s="2179"/>
      <c r="FY54" s="2179"/>
      <c r="FZ54" s="2179"/>
      <c r="GA54" s="2179">
        <v>15</v>
      </c>
      <c r="GB54" s="2179">
        <f t="shared" si="3"/>
        <v>14.699999999999998</v>
      </c>
    </row>
    <row r="55" spans="2:184" ht="16.8" hidden="1">
      <c r="B55" s="2313" t="str">
        <f t="shared" si="2"/>
        <v>Tháo dây AC95</v>
      </c>
      <c r="C55" s="2179" t="s">
        <v>5142</v>
      </c>
      <c r="D55" s="2179" t="s">
        <v>5143</v>
      </c>
      <c r="E55" s="2179">
        <f t="shared" si="0"/>
        <v>19014</v>
      </c>
      <c r="F55" s="2179"/>
      <c r="G55" s="2179">
        <v>84</v>
      </c>
      <c r="H55" s="2179">
        <v>86.7</v>
      </c>
      <c r="I55" s="2179">
        <v>105</v>
      </c>
      <c r="J55" s="2179">
        <v>101.7</v>
      </c>
      <c r="K55" s="2179">
        <v>123</v>
      </c>
      <c r="L55" s="2179">
        <v>120.3</v>
      </c>
      <c r="M55" s="2179">
        <v>120</v>
      </c>
      <c r="N55" s="2179">
        <v>118.8</v>
      </c>
      <c r="O55" s="2179">
        <v>117</v>
      </c>
      <c r="P55" s="2179">
        <v>119.4</v>
      </c>
      <c r="Q55" s="2179">
        <v>126</v>
      </c>
      <c r="R55" s="2179">
        <v>128.4</v>
      </c>
      <c r="S55" s="2179">
        <v>108</v>
      </c>
      <c r="T55" s="2179">
        <v>109.8</v>
      </c>
      <c r="U55" s="2179">
        <v>105</v>
      </c>
      <c r="V55" s="2179">
        <v>102.9</v>
      </c>
      <c r="W55" s="2179">
        <v>111</v>
      </c>
      <c r="X55" s="2179">
        <v>111.3</v>
      </c>
      <c r="Y55" s="2179">
        <v>111</v>
      </c>
      <c r="Z55" s="2179">
        <v>110.7</v>
      </c>
      <c r="AA55" s="2179">
        <v>111</v>
      </c>
      <c r="AB55" s="2179">
        <v>114.6</v>
      </c>
      <c r="AC55" s="2179">
        <v>114</v>
      </c>
      <c r="AD55" s="2179">
        <v>114.3</v>
      </c>
      <c r="AE55" s="2179">
        <v>144</v>
      </c>
      <c r="AF55" s="2179">
        <v>149.4</v>
      </c>
      <c r="AG55" s="2179">
        <v>114</v>
      </c>
      <c r="AH55" s="2179">
        <v>116.4</v>
      </c>
      <c r="AI55" s="2179">
        <v>108</v>
      </c>
      <c r="AJ55" s="2179">
        <v>105.9</v>
      </c>
      <c r="AK55" s="2179">
        <v>111</v>
      </c>
      <c r="AL55" s="2179">
        <v>110.1</v>
      </c>
      <c r="AM55" s="2179">
        <v>115.5</v>
      </c>
      <c r="AN55" s="2179">
        <v>114</v>
      </c>
      <c r="AO55" s="2179">
        <v>111</v>
      </c>
      <c r="AP55" s="2179">
        <v>112.8</v>
      </c>
      <c r="AQ55" s="2179">
        <v>102</v>
      </c>
      <c r="AR55" s="2179">
        <v>101.1</v>
      </c>
      <c r="AS55" s="2179">
        <v>102</v>
      </c>
      <c r="AT55" s="2179">
        <v>105</v>
      </c>
      <c r="AU55" s="2179">
        <v>81</v>
      </c>
      <c r="AV55" s="2179">
        <v>84.3</v>
      </c>
      <c r="AW55" s="2179">
        <v>105</v>
      </c>
      <c r="AX55" s="2179">
        <v>105.3</v>
      </c>
      <c r="AY55" s="2179">
        <v>30</v>
      </c>
      <c r="AZ55" s="2179">
        <v>155.4</v>
      </c>
      <c r="BA55" s="2179">
        <v>30</v>
      </c>
      <c r="BB55" s="2179">
        <v>113.1</v>
      </c>
      <c r="BC55" s="2179">
        <v>111</v>
      </c>
      <c r="BD55" s="2179">
        <v>99</v>
      </c>
      <c r="BE55" s="2179">
        <v>96</v>
      </c>
      <c r="BF55" s="2179">
        <v>126</v>
      </c>
      <c r="BG55" s="2179">
        <v>118.2</v>
      </c>
      <c r="BH55" s="2179">
        <v>111</v>
      </c>
      <c r="BI55" s="2179">
        <v>111.3</v>
      </c>
      <c r="BJ55" s="2179">
        <v>102</v>
      </c>
      <c r="BK55" s="2179">
        <v>101.1</v>
      </c>
      <c r="BL55" s="2179">
        <v>120</v>
      </c>
      <c r="BM55" s="2179">
        <v>133.5</v>
      </c>
      <c r="BN55" s="2179">
        <v>99.9</v>
      </c>
      <c r="BO55" s="2179">
        <v>99</v>
      </c>
      <c r="BP55" s="2179">
        <v>108</v>
      </c>
      <c r="BQ55" s="2179">
        <v>106.5</v>
      </c>
      <c r="BR55" s="2179">
        <v>117</v>
      </c>
      <c r="BS55" s="2179">
        <v>117.9</v>
      </c>
      <c r="BT55" s="2179">
        <v>105</v>
      </c>
      <c r="BU55" s="2179">
        <v>101.1</v>
      </c>
      <c r="BV55" s="2179">
        <v>105</v>
      </c>
      <c r="BW55" s="2179">
        <v>102.9</v>
      </c>
      <c r="BX55" s="2179">
        <v>114</v>
      </c>
      <c r="BY55" s="2179">
        <v>124.8</v>
      </c>
      <c r="BZ55" s="2179">
        <v>100.8</v>
      </c>
      <c r="CA55" s="2179">
        <v>102</v>
      </c>
      <c r="CB55" s="2179">
        <v>108</v>
      </c>
      <c r="CC55" s="2179">
        <v>108.9</v>
      </c>
      <c r="CD55" s="2179">
        <v>102</v>
      </c>
      <c r="CE55" s="2179">
        <v>102</v>
      </c>
      <c r="CF55" s="2179">
        <v>104.7</v>
      </c>
      <c r="CG55" s="2179">
        <v>124.5</v>
      </c>
      <c r="CH55" s="2179">
        <v>102</v>
      </c>
      <c r="CI55" s="2179">
        <v>99.9</v>
      </c>
      <c r="CJ55" s="2179">
        <v>111</v>
      </c>
      <c r="CK55" s="2179">
        <v>112.2</v>
      </c>
      <c r="CL55" s="2179">
        <v>99</v>
      </c>
      <c r="CM55" s="2179">
        <v>100.5</v>
      </c>
      <c r="CN55" s="2179">
        <v>102</v>
      </c>
      <c r="CO55" s="2179">
        <v>102.6</v>
      </c>
      <c r="CP55" s="2179">
        <v>114.6</v>
      </c>
      <c r="CQ55" s="2179">
        <v>36</v>
      </c>
      <c r="CR55" s="2179">
        <v>83.7</v>
      </c>
      <c r="CS55" s="2179">
        <v>120</v>
      </c>
      <c r="CT55" s="2179">
        <v>118.2</v>
      </c>
      <c r="CU55" s="2179">
        <v>120</v>
      </c>
      <c r="CV55" s="2179">
        <v>120.3</v>
      </c>
      <c r="CW55" s="2179">
        <v>111</v>
      </c>
      <c r="CX55" s="2179">
        <v>109.8</v>
      </c>
      <c r="CY55" s="2179">
        <v>126</v>
      </c>
      <c r="CZ55" s="2179">
        <v>125.4</v>
      </c>
      <c r="DA55" s="2179">
        <v>108</v>
      </c>
      <c r="DB55" s="2179">
        <v>109.2</v>
      </c>
      <c r="DC55" s="2179">
        <v>129</v>
      </c>
      <c r="DD55" s="2179">
        <v>131.1</v>
      </c>
      <c r="DE55" s="2179">
        <v>96</v>
      </c>
      <c r="DF55" s="2179">
        <v>94.5</v>
      </c>
      <c r="DG55" s="2179">
        <v>21</v>
      </c>
      <c r="DH55" s="2179">
        <v>117</v>
      </c>
      <c r="DI55" s="2179">
        <v>116.7</v>
      </c>
      <c r="DJ55" s="2179">
        <v>120</v>
      </c>
      <c r="DK55" s="2179">
        <v>117.6</v>
      </c>
      <c r="DL55" s="2179">
        <v>123</v>
      </c>
      <c r="DM55" s="2179">
        <v>123.9</v>
      </c>
      <c r="DN55" s="2179">
        <v>132</v>
      </c>
      <c r="DO55" s="2179">
        <v>131.4</v>
      </c>
      <c r="DP55" s="2179">
        <v>114</v>
      </c>
      <c r="DQ55" s="2179">
        <v>113.4</v>
      </c>
      <c r="DR55" s="2179">
        <v>81</v>
      </c>
      <c r="DS55" s="2179">
        <v>79.5</v>
      </c>
      <c r="DT55" s="2179">
        <v>46.8</v>
      </c>
      <c r="DU55" s="2179">
        <v>99</v>
      </c>
      <c r="DV55" s="2179">
        <v>95.7</v>
      </c>
      <c r="DW55" s="2179">
        <v>102</v>
      </c>
      <c r="DX55" s="2179">
        <v>103.8</v>
      </c>
      <c r="DY55" s="2179">
        <v>96</v>
      </c>
      <c r="DZ55" s="2179">
        <v>91.5</v>
      </c>
      <c r="EA55" s="2179">
        <v>81</v>
      </c>
      <c r="EB55" s="2179">
        <v>84.9</v>
      </c>
      <c r="EC55" s="2179">
        <v>111</v>
      </c>
      <c r="ED55" s="2179">
        <v>111.3</v>
      </c>
      <c r="EE55" s="2179">
        <v>99</v>
      </c>
      <c r="EF55" s="2179">
        <v>99.3</v>
      </c>
      <c r="EG55" s="2179">
        <v>102</v>
      </c>
      <c r="EH55" s="2179">
        <v>99.6</v>
      </c>
      <c r="EI55" s="2179">
        <v>99</v>
      </c>
      <c r="EJ55" s="2179">
        <v>96.6</v>
      </c>
      <c r="EK55" s="2179">
        <v>93</v>
      </c>
      <c r="EL55" s="2179">
        <v>94.5</v>
      </c>
      <c r="EM55" s="2179">
        <v>120</v>
      </c>
      <c r="EN55" s="2179">
        <v>119.1</v>
      </c>
      <c r="EO55" s="2179">
        <v>111.6</v>
      </c>
      <c r="EP55" s="2179">
        <v>114</v>
      </c>
      <c r="EQ55" s="2179">
        <v>123</v>
      </c>
      <c r="ER55" s="2179">
        <v>120.6</v>
      </c>
      <c r="ES55" s="2179">
        <v>117</v>
      </c>
      <c r="ET55" s="2179">
        <v>117.3</v>
      </c>
      <c r="EU55" s="2179">
        <v>126</v>
      </c>
      <c r="EV55" s="2179">
        <v>126.9</v>
      </c>
      <c r="EW55" s="2179">
        <v>114</v>
      </c>
      <c r="EX55" s="2179">
        <v>113.7</v>
      </c>
      <c r="EY55" s="2179">
        <v>91.2</v>
      </c>
      <c r="EZ55" s="2179">
        <v>126.9</v>
      </c>
      <c r="FA55" s="2179">
        <v>117.3</v>
      </c>
      <c r="FB55" s="2179">
        <v>117</v>
      </c>
      <c r="FC55" s="2179">
        <v>120</v>
      </c>
      <c r="FD55" s="2179">
        <v>120.3</v>
      </c>
      <c r="FE55" s="2179">
        <v>120</v>
      </c>
      <c r="FF55" s="2179">
        <v>109.5</v>
      </c>
      <c r="FG55" s="2179">
        <v>108</v>
      </c>
      <c r="FH55" s="2179">
        <v>108.9</v>
      </c>
      <c r="FI55" s="2179">
        <v>116.1</v>
      </c>
      <c r="FJ55" s="2179">
        <v>104.4</v>
      </c>
      <c r="FK55" s="2179">
        <v>114</v>
      </c>
      <c r="FL55" s="2179">
        <v>113.7</v>
      </c>
      <c r="FM55" s="2179">
        <v>105</v>
      </c>
      <c r="FN55" s="2179">
        <v>102.3</v>
      </c>
      <c r="FO55" s="2179">
        <v>108</v>
      </c>
      <c r="FP55" s="2179">
        <v>108</v>
      </c>
      <c r="FQ55" s="2179">
        <v>111</v>
      </c>
      <c r="FR55" s="2179">
        <v>114</v>
      </c>
      <c r="FS55" s="2179">
        <v>138</v>
      </c>
      <c r="FT55" s="2179">
        <v>141</v>
      </c>
      <c r="FU55" s="2179">
        <v>135</v>
      </c>
      <c r="FV55" s="2179">
        <v>135.30000000000001</v>
      </c>
      <c r="FW55" s="2179">
        <v>144</v>
      </c>
      <c r="FX55" s="2179">
        <v>140.1</v>
      </c>
      <c r="FY55" s="2179">
        <v>60</v>
      </c>
      <c r="FZ55" s="2179"/>
      <c r="GA55" s="2179">
        <v>19014</v>
      </c>
      <c r="GB55" s="2179">
        <f t="shared" si="3"/>
        <v>19014</v>
      </c>
    </row>
    <row r="56" spans="2:184" ht="16.8" hidden="1">
      <c r="B56" s="2313" t="str">
        <f t="shared" si="2"/>
        <v>Tháo dây AC70</v>
      </c>
      <c r="C56" s="2179"/>
      <c r="D56" s="2179" t="s">
        <v>5144</v>
      </c>
      <c r="E56" s="2179">
        <f t="shared" si="0"/>
        <v>3146.8999999999996</v>
      </c>
      <c r="F56" s="2179"/>
      <c r="G56" s="2179"/>
      <c r="H56" s="2179"/>
      <c r="I56" s="2179"/>
      <c r="J56" s="2179"/>
      <c r="K56" s="2179"/>
      <c r="L56" s="2179"/>
      <c r="M56" s="2179"/>
      <c r="N56" s="2179"/>
      <c r="O56" s="2179"/>
      <c r="P56" s="2179"/>
      <c r="Q56" s="2179"/>
      <c r="R56" s="2179"/>
      <c r="S56" s="2179"/>
      <c r="T56" s="2179"/>
      <c r="U56" s="2179"/>
      <c r="V56" s="2179"/>
      <c r="W56" s="2179">
        <v>37</v>
      </c>
      <c r="X56" s="2179">
        <v>37.1</v>
      </c>
      <c r="Y56" s="2179">
        <v>37</v>
      </c>
      <c r="Z56" s="2179">
        <v>36.9</v>
      </c>
      <c r="AA56" s="2179">
        <v>37</v>
      </c>
      <c r="AB56" s="2179">
        <v>38.200000000000003</v>
      </c>
      <c r="AC56" s="2179">
        <v>38</v>
      </c>
      <c r="AD56" s="2179">
        <v>38.1</v>
      </c>
      <c r="AE56" s="2179">
        <v>48</v>
      </c>
      <c r="AF56" s="2179">
        <v>49.8</v>
      </c>
      <c r="AG56" s="2179">
        <v>38</v>
      </c>
      <c r="AH56" s="2179">
        <v>38.799999999999997</v>
      </c>
      <c r="AI56" s="2179">
        <v>36</v>
      </c>
      <c r="AJ56" s="2179">
        <v>35.299999999999997</v>
      </c>
      <c r="AK56" s="2179">
        <v>37</v>
      </c>
      <c r="AL56" s="2179">
        <v>36.700000000000003</v>
      </c>
      <c r="AM56" s="2179">
        <v>38.5</v>
      </c>
      <c r="AN56" s="2179">
        <v>38</v>
      </c>
      <c r="AO56" s="2179">
        <v>37</v>
      </c>
      <c r="AP56" s="2179">
        <v>37.6</v>
      </c>
      <c r="AQ56" s="2179">
        <v>34</v>
      </c>
      <c r="AR56" s="2179">
        <v>33.700000000000003</v>
      </c>
      <c r="AS56" s="2179">
        <v>34</v>
      </c>
      <c r="AT56" s="2179">
        <v>35</v>
      </c>
      <c r="AU56" s="2179">
        <v>27</v>
      </c>
      <c r="AV56" s="2179">
        <v>28.1</v>
      </c>
      <c r="AW56" s="2179">
        <v>35</v>
      </c>
      <c r="AX56" s="2179">
        <v>35.1</v>
      </c>
      <c r="AY56" s="2179">
        <v>10</v>
      </c>
      <c r="AZ56" s="2179">
        <v>51.8</v>
      </c>
      <c r="BA56" s="2179">
        <v>10</v>
      </c>
      <c r="BB56" s="2179">
        <v>37.700000000000003</v>
      </c>
      <c r="BC56" s="2179">
        <v>37</v>
      </c>
      <c r="BD56" s="2179">
        <v>33</v>
      </c>
      <c r="BE56" s="2179">
        <v>32</v>
      </c>
      <c r="BF56" s="2179">
        <v>42</v>
      </c>
      <c r="BG56" s="2179">
        <v>39.4</v>
      </c>
      <c r="BH56" s="2179">
        <v>37</v>
      </c>
      <c r="BI56" s="2179">
        <v>37.1</v>
      </c>
      <c r="BJ56" s="2179">
        <v>34</v>
      </c>
      <c r="BK56" s="2179">
        <v>33.700000000000003</v>
      </c>
      <c r="BL56" s="2179">
        <v>40</v>
      </c>
      <c r="BM56" s="2179">
        <v>44.5</v>
      </c>
      <c r="BN56" s="2179">
        <v>33.299999999999997</v>
      </c>
      <c r="BO56" s="2179">
        <v>33</v>
      </c>
      <c r="BP56" s="2179">
        <v>36</v>
      </c>
      <c r="BQ56" s="2179">
        <v>35.5</v>
      </c>
      <c r="BR56" s="2179">
        <v>39</v>
      </c>
      <c r="BS56" s="2179">
        <v>39.299999999999997</v>
      </c>
      <c r="BT56" s="2179">
        <v>35</v>
      </c>
      <c r="BU56" s="2179">
        <v>33.700000000000003</v>
      </c>
      <c r="BV56" s="2179">
        <v>35</v>
      </c>
      <c r="BW56" s="2179">
        <v>34.299999999999997</v>
      </c>
      <c r="BX56" s="2179">
        <v>38</v>
      </c>
      <c r="BY56" s="2179">
        <v>41.6</v>
      </c>
      <c r="BZ56" s="2179">
        <v>33.6</v>
      </c>
      <c r="CA56" s="2179">
        <v>34</v>
      </c>
      <c r="CB56" s="2179">
        <v>36</v>
      </c>
      <c r="CC56" s="2179"/>
      <c r="CD56" s="2179"/>
      <c r="CE56" s="2179"/>
      <c r="CF56" s="2179"/>
      <c r="CG56" s="2179"/>
      <c r="CH56" s="2179"/>
      <c r="CI56" s="2179"/>
      <c r="CJ56" s="2179"/>
      <c r="CK56" s="2179"/>
      <c r="CL56" s="2179"/>
      <c r="CM56" s="2179"/>
      <c r="CN56" s="2179"/>
      <c r="CO56" s="2179"/>
      <c r="CP56" s="2179"/>
      <c r="CQ56" s="2179"/>
      <c r="CR56" s="2179"/>
      <c r="CS56" s="2179"/>
      <c r="CT56" s="2179"/>
      <c r="CU56" s="2179"/>
      <c r="CV56" s="2179"/>
      <c r="CW56" s="2179"/>
      <c r="CX56" s="2179"/>
      <c r="CY56" s="2179"/>
      <c r="CZ56" s="2179"/>
      <c r="DA56" s="2179"/>
      <c r="DB56" s="2179"/>
      <c r="DC56" s="2179"/>
      <c r="DD56" s="2179"/>
      <c r="DE56" s="2179"/>
      <c r="DF56" s="2179"/>
      <c r="DG56" s="2179"/>
      <c r="DH56" s="2179">
        <v>39</v>
      </c>
      <c r="DI56" s="2179">
        <v>38.9</v>
      </c>
      <c r="DJ56" s="2179">
        <v>40</v>
      </c>
      <c r="DK56" s="2179">
        <v>39.200000000000003</v>
      </c>
      <c r="DL56" s="2179">
        <v>41</v>
      </c>
      <c r="DM56" s="2179">
        <v>41.3</v>
      </c>
      <c r="DN56" s="2179">
        <v>44</v>
      </c>
      <c r="DO56" s="2179">
        <v>43.8</v>
      </c>
      <c r="DP56" s="2179">
        <v>38</v>
      </c>
      <c r="DQ56" s="2179">
        <v>37.799999999999997</v>
      </c>
      <c r="DR56" s="2179">
        <v>27</v>
      </c>
      <c r="DS56" s="2179">
        <v>26.5</v>
      </c>
      <c r="DT56" s="2179">
        <v>15.6</v>
      </c>
      <c r="DU56" s="2179">
        <v>33</v>
      </c>
      <c r="DV56" s="2179">
        <v>31.9</v>
      </c>
      <c r="DW56" s="2179">
        <v>34</v>
      </c>
      <c r="DX56" s="2179">
        <v>34.6</v>
      </c>
      <c r="DY56" s="2179">
        <v>32</v>
      </c>
      <c r="DZ56" s="2179">
        <v>30.5</v>
      </c>
      <c r="EA56" s="2179">
        <v>27</v>
      </c>
      <c r="EB56" s="2179">
        <v>28.3</v>
      </c>
      <c r="EC56" s="2179">
        <v>37</v>
      </c>
      <c r="ED56" s="2179">
        <v>37.1</v>
      </c>
      <c r="EE56" s="2179">
        <v>33</v>
      </c>
      <c r="EF56" s="2179">
        <v>33.1</v>
      </c>
      <c r="EG56" s="2179">
        <v>34</v>
      </c>
      <c r="EH56" s="2179">
        <v>33.200000000000003</v>
      </c>
      <c r="EI56" s="2179">
        <v>33</v>
      </c>
      <c r="EJ56" s="2179">
        <v>32.200000000000003</v>
      </c>
      <c r="EK56" s="2179">
        <v>31</v>
      </c>
      <c r="EL56" s="2179">
        <v>31.5</v>
      </c>
      <c r="EM56" s="2179"/>
      <c r="EN56" s="2179"/>
      <c r="EO56" s="2179"/>
      <c r="EP56" s="2179"/>
      <c r="EQ56" s="2179"/>
      <c r="ER56" s="2179"/>
      <c r="ES56" s="2179"/>
      <c r="ET56" s="2179"/>
      <c r="EU56" s="2179"/>
      <c r="EV56" s="2179"/>
      <c r="EW56" s="2179"/>
      <c r="EX56" s="2179"/>
      <c r="EY56" s="2179"/>
      <c r="EZ56" s="2179"/>
      <c r="FA56" s="2179"/>
      <c r="FB56" s="2179"/>
      <c r="FC56" s="2179"/>
      <c r="FD56" s="2179"/>
      <c r="FE56" s="2179"/>
      <c r="FF56" s="2179"/>
      <c r="FG56" s="2179"/>
      <c r="FH56" s="2179"/>
      <c r="FI56" s="2179"/>
      <c r="FJ56" s="2179"/>
      <c r="FK56" s="2179"/>
      <c r="FL56" s="2179"/>
      <c r="FM56" s="2179"/>
      <c r="FN56" s="2179"/>
      <c r="FO56" s="2179"/>
      <c r="FP56" s="2179"/>
      <c r="FQ56" s="2179"/>
      <c r="FR56" s="2179"/>
      <c r="FS56" s="2179"/>
      <c r="FT56" s="2179"/>
      <c r="FU56" s="2179"/>
      <c r="FV56" s="2179"/>
      <c r="FW56" s="2179"/>
      <c r="FX56" s="2179"/>
      <c r="FY56" s="2179"/>
      <c r="FZ56" s="2179"/>
      <c r="GA56" s="2179">
        <v>3146.9</v>
      </c>
      <c r="GB56" s="2179">
        <f t="shared" si="3"/>
        <v>3146.8999999999996</v>
      </c>
    </row>
    <row r="57" spans="2:184" ht="16.8" hidden="1">
      <c r="B57" s="2313" t="str">
        <f t="shared" si="2"/>
        <v>Tháo dây AC50</v>
      </c>
      <c r="C57" s="2179"/>
      <c r="D57" s="2179" t="s">
        <v>5145</v>
      </c>
      <c r="E57" s="2179">
        <f t="shared" si="0"/>
        <v>159</v>
      </c>
      <c r="F57" s="2179"/>
      <c r="G57" s="2179">
        <v>0</v>
      </c>
      <c r="H57" s="2179">
        <v>0</v>
      </c>
      <c r="I57" s="2179">
        <v>0</v>
      </c>
      <c r="J57" s="2179">
        <v>0</v>
      </c>
      <c r="K57" s="2179">
        <v>0</v>
      </c>
      <c r="L57" s="2179">
        <v>0</v>
      </c>
      <c r="M57" s="2179">
        <v>0</v>
      </c>
      <c r="N57" s="2179">
        <v>0</v>
      </c>
      <c r="O57" s="2179">
        <v>0</v>
      </c>
      <c r="P57" s="2179">
        <v>0</v>
      </c>
      <c r="Q57" s="2179">
        <v>0</v>
      </c>
      <c r="R57" s="2179">
        <v>0</v>
      </c>
      <c r="S57" s="2179">
        <v>0</v>
      </c>
      <c r="T57" s="2179">
        <v>0</v>
      </c>
      <c r="U57" s="2179">
        <v>0</v>
      </c>
      <c r="V57" s="2179">
        <v>0</v>
      </c>
      <c r="W57" s="2179">
        <v>0</v>
      </c>
      <c r="X57" s="2179">
        <v>0</v>
      </c>
      <c r="Y57" s="2179">
        <v>0</v>
      </c>
      <c r="Z57" s="2179">
        <v>0</v>
      </c>
      <c r="AA57" s="2179">
        <v>0</v>
      </c>
      <c r="AB57" s="2179">
        <v>0</v>
      </c>
      <c r="AC57" s="2179">
        <v>0</v>
      </c>
      <c r="AD57" s="2179">
        <v>0</v>
      </c>
      <c r="AE57" s="2179">
        <v>0</v>
      </c>
      <c r="AF57" s="2179">
        <v>0</v>
      </c>
      <c r="AG57" s="2179">
        <v>0</v>
      </c>
      <c r="AH57" s="2179">
        <v>0</v>
      </c>
      <c r="AI57" s="2179">
        <v>0</v>
      </c>
      <c r="AJ57" s="2179">
        <v>0</v>
      </c>
      <c r="AK57" s="2179">
        <v>0</v>
      </c>
      <c r="AL57" s="2179">
        <v>28</v>
      </c>
      <c r="AM57" s="2179">
        <v>0</v>
      </c>
      <c r="AN57" s="2179">
        <v>0</v>
      </c>
      <c r="AO57" s="2179">
        <v>0</v>
      </c>
      <c r="AP57" s="2179">
        <v>0</v>
      </c>
      <c r="AQ57" s="2179">
        <v>0</v>
      </c>
      <c r="AR57" s="2179">
        <v>0</v>
      </c>
      <c r="AS57" s="2179">
        <v>0</v>
      </c>
      <c r="AT57" s="2179">
        <v>0</v>
      </c>
      <c r="AU57" s="2179">
        <v>0</v>
      </c>
      <c r="AV57" s="2179">
        <v>0</v>
      </c>
      <c r="AW57" s="2179">
        <v>0</v>
      </c>
      <c r="AX57" s="2179">
        <v>0</v>
      </c>
      <c r="AY57" s="2179">
        <v>0</v>
      </c>
      <c r="AZ57" s="2179">
        <v>0</v>
      </c>
      <c r="BA57" s="2179">
        <v>0</v>
      </c>
      <c r="BB57" s="2179">
        <v>0</v>
      </c>
      <c r="BC57" s="2179">
        <v>0</v>
      </c>
      <c r="BD57" s="2179">
        <v>0</v>
      </c>
      <c r="BE57" s="2179">
        <v>0</v>
      </c>
      <c r="BF57" s="2179">
        <v>0</v>
      </c>
      <c r="BG57" s="2179">
        <v>0</v>
      </c>
      <c r="BH57" s="2179">
        <v>0</v>
      </c>
      <c r="BI57" s="2179">
        <v>0</v>
      </c>
      <c r="BJ57" s="2179">
        <v>0</v>
      </c>
      <c r="BK57" s="2179">
        <v>0</v>
      </c>
      <c r="BL57" s="2179">
        <v>0</v>
      </c>
      <c r="BM57" s="2179">
        <v>0</v>
      </c>
      <c r="BN57" s="2179">
        <v>0</v>
      </c>
      <c r="BO57" s="2179">
        <v>0</v>
      </c>
      <c r="BP57" s="2179">
        <v>0</v>
      </c>
      <c r="BQ57" s="2179">
        <v>0</v>
      </c>
      <c r="BR57" s="2179">
        <v>0</v>
      </c>
      <c r="BS57" s="2179">
        <v>0</v>
      </c>
      <c r="BT57" s="2179">
        <v>0</v>
      </c>
      <c r="BU57" s="2179">
        <v>0</v>
      </c>
      <c r="BV57" s="2179">
        <v>0</v>
      </c>
      <c r="BW57" s="2179">
        <v>0</v>
      </c>
      <c r="BX57" s="2179">
        <v>0</v>
      </c>
      <c r="BY57" s="2179">
        <v>0</v>
      </c>
      <c r="BZ57" s="2179">
        <v>0</v>
      </c>
      <c r="CA57" s="2179">
        <v>0</v>
      </c>
      <c r="CB57" s="2179">
        <v>0</v>
      </c>
      <c r="CC57" s="2179">
        <v>0</v>
      </c>
      <c r="CD57" s="2179">
        <v>0</v>
      </c>
      <c r="CE57" s="2179">
        <v>28</v>
      </c>
      <c r="CF57" s="2179">
        <v>0</v>
      </c>
      <c r="CG57" s="2179">
        <v>0</v>
      </c>
      <c r="CH57" s="2179">
        <v>0</v>
      </c>
      <c r="CI57" s="2179">
        <v>0</v>
      </c>
      <c r="CJ57" s="2179">
        <v>0</v>
      </c>
      <c r="CK57" s="2179">
        <v>0</v>
      </c>
      <c r="CL57" s="2179">
        <v>0</v>
      </c>
      <c r="CM57" s="2179">
        <v>0</v>
      </c>
      <c r="CN57" s="2179">
        <v>0</v>
      </c>
      <c r="CO57" s="2179">
        <v>0</v>
      </c>
      <c r="CP57" s="2179">
        <v>3</v>
      </c>
      <c r="CQ57" s="2179">
        <v>9</v>
      </c>
      <c r="CR57" s="2179">
        <v>0</v>
      </c>
      <c r="CS57" s="2179">
        <v>0</v>
      </c>
      <c r="CT57" s="2179">
        <v>0</v>
      </c>
      <c r="CU57" s="2179">
        <v>0</v>
      </c>
      <c r="CV57" s="2179">
        <v>0</v>
      </c>
      <c r="CW57" s="2179">
        <v>0</v>
      </c>
      <c r="CX57" s="2179">
        <v>0</v>
      </c>
      <c r="CY57" s="2179">
        <v>0</v>
      </c>
      <c r="CZ57" s="2179">
        <v>0</v>
      </c>
      <c r="DA57" s="2179">
        <v>0</v>
      </c>
      <c r="DB57" s="2179">
        <v>0</v>
      </c>
      <c r="DC57" s="2179">
        <v>0</v>
      </c>
      <c r="DD57" s="2179">
        <v>0</v>
      </c>
      <c r="DE57" s="2179">
        <v>0</v>
      </c>
      <c r="DF57" s="2179">
        <v>9</v>
      </c>
      <c r="DG57" s="2179">
        <v>0</v>
      </c>
      <c r="DH57" s="2179">
        <v>0</v>
      </c>
      <c r="DI57" s="2179">
        <v>0</v>
      </c>
      <c r="DJ57" s="2179">
        <v>0</v>
      </c>
      <c r="DK57" s="2179">
        <v>0</v>
      </c>
      <c r="DL57" s="2179">
        <v>0</v>
      </c>
      <c r="DM57" s="2179">
        <v>0</v>
      </c>
      <c r="DN57" s="2179">
        <v>0</v>
      </c>
      <c r="DO57" s="2179">
        <v>0</v>
      </c>
      <c r="DP57" s="2179">
        <v>0</v>
      </c>
      <c r="DQ57" s="2179">
        <v>0</v>
      </c>
      <c r="DR57" s="2179">
        <v>0</v>
      </c>
      <c r="DS57" s="2179">
        <v>0</v>
      </c>
      <c r="DT57" s="2179">
        <v>32</v>
      </c>
      <c r="DU57" s="2179">
        <v>0</v>
      </c>
      <c r="DV57" s="2179">
        <v>0</v>
      </c>
      <c r="DW57" s="2179">
        <v>0</v>
      </c>
      <c r="DX57" s="2179">
        <v>0</v>
      </c>
      <c r="DY57" s="2179">
        <v>0</v>
      </c>
      <c r="DZ57" s="2179">
        <v>0</v>
      </c>
      <c r="EA57" s="2179">
        <v>0</v>
      </c>
      <c r="EB57" s="2179">
        <v>0</v>
      </c>
      <c r="EC57" s="2179">
        <v>0</v>
      </c>
      <c r="ED57" s="2179">
        <v>12</v>
      </c>
      <c r="EE57" s="2179">
        <v>0</v>
      </c>
      <c r="EF57" s="2179">
        <v>0</v>
      </c>
      <c r="EG57" s="2179">
        <v>0</v>
      </c>
      <c r="EH57" s="2179">
        <v>0</v>
      </c>
      <c r="EI57" s="2179">
        <v>0</v>
      </c>
      <c r="EJ57" s="2179">
        <v>0</v>
      </c>
      <c r="EK57" s="2179">
        <v>0</v>
      </c>
      <c r="EL57" s="2179">
        <v>0</v>
      </c>
      <c r="EM57" s="2179">
        <v>0</v>
      </c>
      <c r="EN57" s="2179">
        <v>0</v>
      </c>
      <c r="EO57" s="2179">
        <v>0</v>
      </c>
      <c r="EP57" s="2179">
        <v>0</v>
      </c>
      <c r="EQ57" s="2179">
        <v>0</v>
      </c>
      <c r="ER57" s="2179">
        <v>0</v>
      </c>
      <c r="ES57" s="2179">
        <v>0</v>
      </c>
      <c r="ET57" s="2179">
        <v>0</v>
      </c>
      <c r="EU57" s="2179">
        <v>0</v>
      </c>
      <c r="EV57" s="2179">
        <v>0</v>
      </c>
      <c r="EW57" s="2179">
        <v>0</v>
      </c>
      <c r="EX57" s="2179">
        <v>0</v>
      </c>
      <c r="EY57" s="2179">
        <v>5</v>
      </c>
      <c r="EZ57" s="2179">
        <v>0</v>
      </c>
      <c r="FA57" s="2179">
        <v>0</v>
      </c>
      <c r="FB57" s="2179">
        <v>0</v>
      </c>
      <c r="FC57" s="2179">
        <v>0</v>
      </c>
      <c r="FD57" s="2179">
        <v>0</v>
      </c>
      <c r="FE57" s="2179">
        <v>0</v>
      </c>
      <c r="FF57" s="2179">
        <v>0</v>
      </c>
      <c r="FG57" s="2179">
        <v>0</v>
      </c>
      <c r="FH57" s="2179">
        <v>0</v>
      </c>
      <c r="FI57" s="2179">
        <v>5</v>
      </c>
      <c r="FJ57" s="2179">
        <v>0</v>
      </c>
      <c r="FK57" s="2179">
        <v>0</v>
      </c>
      <c r="FL57" s="2179">
        <v>28</v>
      </c>
      <c r="FM57" s="2179">
        <v>0</v>
      </c>
      <c r="FN57" s="2179">
        <v>0</v>
      </c>
      <c r="FO57" s="2179">
        <v>0</v>
      </c>
      <c r="FP57" s="2179">
        <v>0</v>
      </c>
      <c r="FQ57" s="2179">
        <v>0</v>
      </c>
      <c r="FR57" s="2179">
        <v>0</v>
      </c>
      <c r="FS57" s="2179">
        <v>0</v>
      </c>
      <c r="FT57" s="2179">
        <v>0</v>
      </c>
      <c r="FU57" s="2179">
        <v>0</v>
      </c>
      <c r="FV57" s="2179">
        <v>0</v>
      </c>
      <c r="FW57" s="2179">
        <v>0</v>
      </c>
      <c r="FX57" s="2179">
        <v>0</v>
      </c>
      <c r="FY57" s="2179">
        <v>0</v>
      </c>
      <c r="FZ57" s="2179"/>
      <c r="GA57" s="2179">
        <v>159</v>
      </c>
      <c r="GB57" s="2179">
        <f t="shared" si="3"/>
        <v>159</v>
      </c>
    </row>
    <row r="58" spans="2:184" ht="16.8" hidden="1">
      <c r="B58" s="2313" t="str">
        <f t="shared" si="2"/>
        <v>Nhổ trụ 12m</v>
      </c>
      <c r="C58" s="2179"/>
      <c r="D58" s="2179" t="s">
        <v>5146</v>
      </c>
      <c r="E58" s="2179">
        <f t="shared" si="0"/>
        <v>20</v>
      </c>
      <c r="F58" s="2179"/>
      <c r="G58" s="2179"/>
      <c r="H58" s="2179"/>
      <c r="I58" s="2179"/>
      <c r="J58" s="2179"/>
      <c r="K58" s="2179"/>
      <c r="L58" s="2179"/>
      <c r="M58" s="2179"/>
      <c r="N58" s="2179"/>
      <c r="O58" s="2179"/>
      <c r="P58" s="2179"/>
      <c r="Q58" s="2179"/>
      <c r="R58" s="2179"/>
      <c r="S58" s="2179"/>
      <c r="T58" s="2179"/>
      <c r="U58" s="2179"/>
      <c r="V58" s="2179"/>
      <c r="W58" s="2179"/>
      <c r="X58" s="2179"/>
      <c r="Y58" s="2179"/>
      <c r="Z58" s="2179"/>
      <c r="AA58" s="2179"/>
      <c r="AB58" s="2179"/>
      <c r="AC58" s="2179"/>
      <c r="AD58" s="2179">
        <v>1</v>
      </c>
      <c r="AE58" s="2179"/>
      <c r="AF58" s="2179">
        <v>1</v>
      </c>
      <c r="AG58" s="2179"/>
      <c r="AH58" s="2179"/>
      <c r="AI58" s="2179"/>
      <c r="AJ58" s="2179"/>
      <c r="AK58" s="2179"/>
      <c r="AL58" s="2179"/>
      <c r="AM58" s="2179"/>
      <c r="AN58" s="2179">
        <v>1</v>
      </c>
      <c r="AO58" s="2179"/>
      <c r="AP58" s="2179">
        <v>1</v>
      </c>
      <c r="AQ58" s="2179"/>
      <c r="AR58" s="2179"/>
      <c r="AS58" s="2179"/>
      <c r="AT58" s="2179"/>
      <c r="AU58" s="2179"/>
      <c r="AV58" s="2179">
        <v>1</v>
      </c>
      <c r="AW58" s="2179"/>
      <c r="AX58" s="2179"/>
      <c r="AY58" s="2179"/>
      <c r="AZ58" s="2179"/>
      <c r="BA58" s="2179"/>
      <c r="BB58" s="2179"/>
      <c r="BC58" s="2179"/>
      <c r="BD58" s="2179"/>
      <c r="BE58" s="2179"/>
      <c r="BF58" s="2179"/>
      <c r="BG58" s="2179">
        <v>1</v>
      </c>
      <c r="BH58" s="2179"/>
      <c r="BI58" s="2179">
        <v>1</v>
      </c>
      <c r="BJ58" s="2179"/>
      <c r="BK58" s="2179"/>
      <c r="BL58" s="2179"/>
      <c r="BM58" s="2179"/>
      <c r="BN58" s="2179"/>
      <c r="BO58" s="2179"/>
      <c r="BP58" s="2179"/>
      <c r="BQ58" s="2179"/>
      <c r="BR58" s="2179"/>
      <c r="BS58" s="2179"/>
      <c r="BT58" s="2179"/>
      <c r="BU58" s="2179"/>
      <c r="BV58" s="2179"/>
      <c r="BW58" s="2179">
        <v>1</v>
      </c>
      <c r="BX58" s="2179"/>
      <c r="BY58" s="2179"/>
      <c r="BZ58" s="2179"/>
      <c r="CA58" s="2179"/>
      <c r="CB58" s="2179"/>
      <c r="CC58" s="2179"/>
      <c r="CD58" s="2179"/>
      <c r="CE58" s="2179">
        <v>1</v>
      </c>
      <c r="CF58" s="2179"/>
      <c r="CG58" s="2179">
        <v>1</v>
      </c>
      <c r="CH58" s="2179"/>
      <c r="CI58" s="2179">
        <v>1</v>
      </c>
      <c r="CJ58" s="2179"/>
      <c r="CK58" s="2179"/>
      <c r="CL58" s="2179"/>
      <c r="CM58" s="2179"/>
      <c r="CN58" s="2179"/>
      <c r="CO58" s="2179"/>
      <c r="CP58" s="2179"/>
      <c r="CQ58" s="2179"/>
      <c r="CR58" s="2179"/>
      <c r="CS58" s="2179"/>
      <c r="CT58" s="2179"/>
      <c r="CU58" s="2179"/>
      <c r="CV58" s="2179"/>
      <c r="CW58" s="2179"/>
      <c r="CX58" s="2179"/>
      <c r="CY58" s="2179"/>
      <c r="CZ58" s="2179">
        <v>1</v>
      </c>
      <c r="DA58" s="2179"/>
      <c r="DB58" s="2179"/>
      <c r="DC58" s="2179"/>
      <c r="DD58" s="2179"/>
      <c r="DE58" s="2179"/>
      <c r="DF58" s="2179"/>
      <c r="DG58" s="2179"/>
      <c r="DH58" s="2179"/>
      <c r="DI58" s="2179"/>
      <c r="DJ58" s="2179"/>
      <c r="DK58" s="2179"/>
      <c r="DL58" s="2179"/>
      <c r="DM58" s="2179"/>
      <c r="DN58" s="2179"/>
      <c r="DO58" s="2179"/>
      <c r="DP58" s="2179"/>
      <c r="DQ58" s="2179"/>
      <c r="DR58" s="2179"/>
      <c r="DS58" s="2179"/>
      <c r="DT58" s="2179"/>
      <c r="DU58" s="2179"/>
      <c r="DV58" s="2179">
        <v>1</v>
      </c>
      <c r="DW58" s="2179"/>
      <c r="DX58" s="2179">
        <v>1</v>
      </c>
      <c r="DY58" s="2179"/>
      <c r="DZ58" s="2179"/>
      <c r="EA58" s="2179"/>
      <c r="EB58" s="2179">
        <v>1</v>
      </c>
      <c r="EC58" s="2179"/>
      <c r="ED58" s="2179"/>
      <c r="EE58" s="2179"/>
      <c r="EF58" s="2179"/>
      <c r="EG58" s="2179"/>
      <c r="EH58" s="2179"/>
      <c r="EI58" s="2179"/>
      <c r="EJ58" s="2179"/>
      <c r="EK58" s="2179"/>
      <c r="EL58" s="2179"/>
      <c r="EM58" s="2179"/>
      <c r="EN58" s="2179"/>
      <c r="EO58" s="2179"/>
      <c r="EP58" s="2179"/>
      <c r="EQ58" s="2179"/>
      <c r="ER58" s="2179"/>
      <c r="ES58" s="2179"/>
      <c r="ET58" s="2179"/>
      <c r="EU58" s="2179"/>
      <c r="EV58" s="2179"/>
      <c r="EW58" s="2179"/>
      <c r="EX58" s="2179">
        <v>1</v>
      </c>
      <c r="EY58" s="2179"/>
      <c r="EZ58" s="2179"/>
      <c r="FA58" s="2179"/>
      <c r="FB58" s="2179"/>
      <c r="FC58" s="2179"/>
      <c r="FD58" s="2179">
        <v>1</v>
      </c>
      <c r="FE58" s="2179"/>
      <c r="FF58" s="2179"/>
      <c r="FG58" s="2179"/>
      <c r="FH58" s="2179"/>
      <c r="FI58" s="2179"/>
      <c r="FJ58" s="2179"/>
      <c r="FK58" s="2179"/>
      <c r="FL58" s="2179"/>
      <c r="FM58" s="2179"/>
      <c r="FN58" s="2179">
        <v>1</v>
      </c>
      <c r="FO58" s="2179"/>
      <c r="FP58" s="2179"/>
      <c r="FQ58" s="2179"/>
      <c r="FR58" s="2179">
        <v>1</v>
      </c>
      <c r="FS58" s="2179"/>
      <c r="FT58" s="2179">
        <v>1</v>
      </c>
      <c r="FU58" s="2179"/>
      <c r="FV58" s="2179"/>
      <c r="FW58" s="2179"/>
      <c r="FX58" s="2179"/>
      <c r="FY58" s="2179"/>
      <c r="FZ58" s="2179"/>
      <c r="GA58" s="2179">
        <v>20</v>
      </c>
      <c r="GB58" s="2179">
        <f t="shared" si="3"/>
        <v>20</v>
      </c>
    </row>
    <row r="59" spans="2:184" ht="16.8" hidden="1">
      <c r="B59" s="2313" t="str">
        <f t="shared" si="2"/>
        <v>Nhổ trụ 7,5m</v>
      </c>
      <c r="C59" s="2179"/>
      <c r="D59" s="2179" t="s">
        <v>5147</v>
      </c>
      <c r="E59" s="2179">
        <f t="shared" si="0"/>
        <v>1</v>
      </c>
      <c r="F59" s="2179"/>
      <c r="G59" s="2179"/>
      <c r="H59" s="2179"/>
      <c r="I59" s="2179"/>
      <c r="J59" s="2179"/>
      <c r="K59" s="2179"/>
      <c r="L59" s="2179"/>
      <c r="M59" s="2179"/>
      <c r="N59" s="2179"/>
      <c r="O59" s="2179"/>
      <c r="P59" s="2179"/>
      <c r="Q59" s="2179"/>
      <c r="R59" s="2179"/>
      <c r="S59" s="2179"/>
      <c r="T59" s="2179"/>
      <c r="U59" s="2179"/>
      <c r="V59" s="2179"/>
      <c r="W59" s="2179"/>
      <c r="X59" s="2179"/>
      <c r="Y59" s="2179"/>
      <c r="Z59" s="2179"/>
      <c r="AA59" s="2179"/>
      <c r="AB59" s="2179"/>
      <c r="AC59" s="2179"/>
      <c r="AD59" s="2179"/>
      <c r="AE59" s="2179"/>
      <c r="AF59" s="2179"/>
      <c r="AG59" s="2179"/>
      <c r="AH59" s="2179"/>
      <c r="AI59" s="2179"/>
      <c r="AJ59" s="2179"/>
      <c r="AK59" s="2179"/>
      <c r="AL59" s="2179"/>
      <c r="AM59" s="2179"/>
      <c r="AN59" s="2179"/>
      <c r="AO59" s="2179"/>
      <c r="AP59" s="2179"/>
      <c r="AQ59" s="2179"/>
      <c r="AR59" s="2179"/>
      <c r="AS59" s="2179"/>
      <c r="AT59" s="2179"/>
      <c r="AU59" s="2179"/>
      <c r="AV59" s="2179"/>
      <c r="AW59" s="2179"/>
      <c r="AX59" s="2179"/>
      <c r="AY59" s="2179"/>
      <c r="AZ59" s="2179"/>
      <c r="BA59" s="2179"/>
      <c r="BB59" s="2179"/>
      <c r="BC59" s="2179"/>
      <c r="BD59" s="2179"/>
      <c r="BE59" s="2179"/>
      <c r="BF59" s="2179"/>
      <c r="BG59" s="2179"/>
      <c r="BH59" s="2179"/>
      <c r="BI59" s="2179"/>
      <c r="BJ59" s="2179"/>
      <c r="BK59" s="2179"/>
      <c r="BL59" s="2179"/>
      <c r="BM59" s="2179"/>
      <c r="BN59" s="2179"/>
      <c r="BO59" s="2179"/>
      <c r="BP59" s="2179"/>
      <c r="BQ59" s="2179"/>
      <c r="BR59" s="2179"/>
      <c r="BS59" s="2179"/>
      <c r="BT59" s="2179"/>
      <c r="BU59" s="2179"/>
      <c r="BV59" s="2179"/>
      <c r="BW59" s="2179"/>
      <c r="BX59" s="2179"/>
      <c r="BY59" s="2179"/>
      <c r="BZ59" s="2179">
        <v>1</v>
      </c>
      <c r="CA59" s="2179"/>
      <c r="CB59" s="2179"/>
      <c r="CC59" s="2179"/>
      <c r="CD59" s="2179"/>
      <c r="CE59" s="2179"/>
      <c r="CF59" s="2179"/>
      <c r="CG59" s="2179"/>
      <c r="CH59" s="2179"/>
      <c r="CI59" s="2179"/>
      <c r="CJ59" s="2179"/>
      <c r="CK59" s="2179"/>
      <c r="CL59" s="2179"/>
      <c r="CM59" s="2179"/>
      <c r="CN59" s="2179"/>
      <c r="CO59" s="2179"/>
      <c r="CP59" s="2179"/>
      <c r="CQ59" s="2179"/>
      <c r="CR59" s="2179"/>
      <c r="CS59" s="2179"/>
      <c r="CT59" s="2179"/>
      <c r="CU59" s="2179"/>
      <c r="CV59" s="2179"/>
      <c r="CW59" s="2179"/>
      <c r="CX59" s="2179"/>
      <c r="CY59" s="2179"/>
      <c r="CZ59" s="2179"/>
      <c r="DA59" s="2179"/>
      <c r="DB59" s="2179"/>
      <c r="DC59" s="2179"/>
      <c r="DD59" s="2179"/>
      <c r="DE59" s="2179"/>
      <c r="DF59" s="2179"/>
      <c r="DG59" s="2179"/>
      <c r="DH59" s="2179"/>
      <c r="DI59" s="2179"/>
      <c r="DJ59" s="2179"/>
      <c r="DK59" s="2179"/>
      <c r="DL59" s="2179"/>
      <c r="DM59" s="2179"/>
      <c r="DN59" s="2179"/>
      <c r="DO59" s="2179"/>
      <c r="DP59" s="2179"/>
      <c r="DQ59" s="2179"/>
      <c r="DR59" s="2179"/>
      <c r="DS59" s="2179"/>
      <c r="DT59" s="2179"/>
      <c r="DU59" s="2179"/>
      <c r="DV59" s="2179"/>
      <c r="DW59" s="2179"/>
      <c r="DX59" s="2179"/>
      <c r="DY59" s="2179"/>
      <c r="DZ59" s="2179"/>
      <c r="EA59" s="2179"/>
      <c r="EB59" s="2179"/>
      <c r="EC59" s="2179"/>
      <c r="ED59" s="2179"/>
      <c r="EE59" s="2179"/>
      <c r="EF59" s="2179"/>
      <c r="EG59" s="2179"/>
      <c r="EH59" s="2179"/>
      <c r="EI59" s="2179"/>
      <c r="EJ59" s="2179"/>
      <c r="EK59" s="2179"/>
      <c r="EL59" s="2179"/>
      <c r="EM59" s="2179"/>
      <c r="EN59" s="2179"/>
      <c r="EO59" s="2179"/>
      <c r="EP59" s="2179"/>
      <c r="EQ59" s="2179"/>
      <c r="ER59" s="2179"/>
      <c r="ES59" s="2179"/>
      <c r="ET59" s="2179"/>
      <c r="EU59" s="2179"/>
      <c r="EV59" s="2179"/>
      <c r="EW59" s="2179"/>
      <c r="EX59" s="2179"/>
      <c r="EY59" s="2179"/>
      <c r="EZ59" s="2179"/>
      <c r="FA59" s="2179"/>
      <c r="FB59" s="2179"/>
      <c r="FC59" s="2179"/>
      <c r="FD59" s="2179"/>
      <c r="FE59" s="2179"/>
      <c r="FF59" s="2179"/>
      <c r="FG59" s="2179"/>
      <c r="FH59" s="2179"/>
      <c r="FI59" s="2179"/>
      <c r="FJ59" s="2179"/>
      <c r="FK59" s="2179"/>
      <c r="FL59" s="2179"/>
      <c r="FM59" s="2179"/>
      <c r="FN59" s="2179"/>
      <c r="FO59" s="2179"/>
      <c r="FP59" s="2179"/>
      <c r="FQ59" s="2179"/>
      <c r="FR59" s="2179"/>
      <c r="FS59" s="2179"/>
      <c r="FT59" s="2179"/>
      <c r="FU59" s="2179"/>
      <c r="FV59" s="2179"/>
      <c r="FW59" s="2179"/>
      <c r="FX59" s="2179"/>
      <c r="FY59" s="2179"/>
      <c r="FZ59" s="2179"/>
      <c r="GA59" s="2179">
        <v>1</v>
      </c>
      <c r="GB59" s="2179">
        <f t="shared" si="3"/>
        <v>1</v>
      </c>
    </row>
    <row r="60" spans="2:184" ht="16.8" hidden="1">
      <c r="B60" s="2313" t="str">
        <f t="shared" si="2"/>
        <v>Nhổ trụ 8,4m</v>
      </c>
      <c r="C60" s="2179"/>
      <c r="D60" s="2179" t="s">
        <v>2466</v>
      </c>
      <c r="E60" s="2179">
        <f t="shared" si="0"/>
        <v>76</v>
      </c>
      <c r="F60" s="2179"/>
      <c r="G60" s="2179">
        <v>1</v>
      </c>
      <c r="H60" s="2179"/>
      <c r="I60" s="2179">
        <v>1</v>
      </c>
      <c r="J60" s="2179"/>
      <c r="K60" s="2179">
        <v>1</v>
      </c>
      <c r="L60" s="2179"/>
      <c r="M60" s="2179">
        <v>1</v>
      </c>
      <c r="N60" s="2179"/>
      <c r="O60" s="2179">
        <v>1</v>
      </c>
      <c r="P60" s="2179"/>
      <c r="Q60" s="2179">
        <v>1</v>
      </c>
      <c r="R60" s="2179"/>
      <c r="S60" s="2179">
        <v>1</v>
      </c>
      <c r="T60" s="2179"/>
      <c r="U60" s="2179">
        <v>1</v>
      </c>
      <c r="V60" s="2179"/>
      <c r="W60" s="2179">
        <v>1</v>
      </c>
      <c r="X60" s="2179"/>
      <c r="Y60" s="2179">
        <v>1</v>
      </c>
      <c r="Z60" s="2179"/>
      <c r="AA60" s="2179">
        <v>1</v>
      </c>
      <c r="AB60" s="2179"/>
      <c r="AC60" s="2179">
        <v>1</v>
      </c>
      <c r="AD60" s="2179"/>
      <c r="AE60" s="2179">
        <v>1</v>
      </c>
      <c r="AF60" s="2179"/>
      <c r="AG60" s="2179">
        <v>1</v>
      </c>
      <c r="AH60" s="2179"/>
      <c r="AI60" s="2179">
        <v>1</v>
      </c>
      <c r="AJ60" s="2179"/>
      <c r="AK60" s="2179">
        <v>1</v>
      </c>
      <c r="AL60" s="2179"/>
      <c r="AM60" s="2179">
        <v>1</v>
      </c>
      <c r="AN60" s="2179"/>
      <c r="AO60" s="2179">
        <v>1</v>
      </c>
      <c r="AP60" s="2179"/>
      <c r="AQ60" s="2179">
        <v>1</v>
      </c>
      <c r="AR60" s="2179"/>
      <c r="AS60" s="2179">
        <v>1</v>
      </c>
      <c r="AT60" s="2179"/>
      <c r="AU60" s="2179">
        <v>1</v>
      </c>
      <c r="AV60" s="2179"/>
      <c r="AW60" s="2179">
        <v>1</v>
      </c>
      <c r="AX60" s="2179"/>
      <c r="AY60" s="2179"/>
      <c r="AZ60" s="2179"/>
      <c r="BA60" s="2179"/>
      <c r="BB60" s="2179">
        <v>1</v>
      </c>
      <c r="BC60" s="2179"/>
      <c r="BD60" s="2179">
        <v>1</v>
      </c>
      <c r="BE60" s="2179"/>
      <c r="BF60" s="2179">
        <v>1</v>
      </c>
      <c r="BG60" s="2179"/>
      <c r="BH60" s="2179">
        <v>1</v>
      </c>
      <c r="BI60" s="2179"/>
      <c r="BJ60" s="2179">
        <v>1</v>
      </c>
      <c r="BK60" s="2179"/>
      <c r="BL60" s="2179">
        <v>1</v>
      </c>
      <c r="BM60" s="2179"/>
      <c r="BN60" s="2179">
        <v>1</v>
      </c>
      <c r="BO60" s="2179"/>
      <c r="BP60" s="2179">
        <v>1</v>
      </c>
      <c r="BQ60" s="2179"/>
      <c r="BR60" s="2179">
        <v>1</v>
      </c>
      <c r="BS60" s="2179"/>
      <c r="BT60" s="2179">
        <v>1</v>
      </c>
      <c r="BU60" s="2179"/>
      <c r="BV60" s="2179">
        <v>1</v>
      </c>
      <c r="BW60" s="2179"/>
      <c r="BX60" s="2179">
        <v>1</v>
      </c>
      <c r="BY60" s="2179"/>
      <c r="BZ60" s="2179"/>
      <c r="CA60" s="2179"/>
      <c r="CB60" s="2179"/>
      <c r="CC60" s="2179"/>
      <c r="CD60" s="2179">
        <v>1</v>
      </c>
      <c r="CE60" s="2179"/>
      <c r="CF60" s="2179">
        <v>1</v>
      </c>
      <c r="CG60" s="2179"/>
      <c r="CH60" s="2179">
        <v>1</v>
      </c>
      <c r="CI60" s="2179"/>
      <c r="CJ60" s="2179">
        <v>1</v>
      </c>
      <c r="CK60" s="2179"/>
      <c r="CL60" s="2179">
        <v>1</v>
      </c>
      <c r="CM60" s="2179"/>
      <c r="CN60" s="2179">
        <v>1</v>
      </c>
      <c r="CO60" s="2179"/>
      <c r="CP60" s="2179"/>
      <c r="CQ60" s="2179"/>
      <c r="CR60" s="2179"/>
      <c r="CS60" s="2179">
        <v>1</v>
      </c>
      <c r="CT60" s="2179"/>
      <c r="CU60" s="2179">
        <v>1</v>
      </c>
      <c r="CV60" s="2179"/>
      <c r="CW60" s="2179">
        <v>1</v>
      </c>
      <c r="CX60" s="2179"/>
      <c r="CY60" s="2179">
        <v>1</v>
      </c>
      <c r="CZ60" s="2179"/>
      <c r="DA60" s="2179">
        <v>1</v>
      </c>
      <c r="DB60" s="2179"/>
      <c r="DC60" s="2179">
        <v>1</v>
      </c>
      <c r="DD60" s="2179"/>
      <c r="DE60" s="2179">
        <v>1</v>
      </c>
      <c r="DF60" s="2179"/>
      <c r="DG60" s="2179"/>
      <c r="DH60" s="2179"/>
      <c r="DI60" s="2179"/>
      <c r="DJ60" s="2179">
        <v>1</v>
      </c>
      <c r="DK60" s="2179"/>
      <c r="DL60" s="2179">
        <v>1</v>
      </c>
      <c r="DM60" s="2179"/>
      <c r="DN60" s="2179">
        <v>1</v>
      </c>
      <c r="DO60" s="2179"/>
      <c r="DP60" s="2179">
        <v>1</v>
      </c>
      <c r="DQ60" s="2179"/>
      <c r="DR60" s="2179">
        <v>1</v>
      </c>
      <c r="DS60" s="2179"/>
      <c r="DT60" s="2179"/>
      <c r="DU60" s="2179">
        <v>1</v>
      </c>
      <c r="DV60" s="2179"/>
      <c r="DW60" s="2179">
        <v>1</v>
      </c>
      <c r="DX60" s="2179"/>
      <c r="DY60" s="2179">
        <v>1</v>
      </c>
      <c r="DZ60" s="2179"/>
      <c r="EA60" s="2179">
        <v>1</v>
      </c>
      <c r="EB60" s="2179"/>
      <c r="EC60" s="2179">
        <v>1</v>
      </c>
      <c r="ED60" s="2179"/>
      <c r="EE60" s="2179">
        <v>1</v>
      </c>
      <c r="EF60" s="2179"/>
      <c r="EG60" s="2179">
        <v>1</v>
      </c>
      <c r="EH60" s="2179"/>
      <c r="EI60" s="2179">
        <v>1</v>
      </c>
      <c r="EJ60" s="2179"/>
      <c r="EK60" s="2179"/>
      <c r="EL60" s="2179"/>
      <c r="EM60" s="2179">
        <v>1</v>
      </c>
      <c r="EN60" s="2179"/>
      <c r="EO60" s="2179">
        <v>1</v>
      </c>
      <c r="EP60" s="2179"/>
      <c r="EQ60" s="2179">
        <v>1</v>
      </c>
      <c r="ER60" s="2179"/>
      <c r="ES60" s="2179">
        <v>1</v>
      </c>
      <c r="ET60" s="2179"/>
      <c r="EU60" s="2179">
        <v>1</v>
      </c>
      <c r="EV60" s="2179"/>
      <c r="EW60" s="2179">
        <v>1</v>
      </c>
      <c r="EX60" s="2179"/>
      <c r="EY60" s="2179"/>
      <c r="EZ60" s="2179"/>
      <c r="FA60" s="2179">
        <v>1</v>
      </c>
      <c r="FB60" s="2179"/>
      <c r="FC60" s="2179">
        <v>1</v>
      </c>
      <c r="FD60" s="2179"/>
      <c r="FE60" s="2179">
        <v>1</v>
      </c>
      <c r="FF60" s="2179"/>
      <c r="FG60" s="2179">
        <v>1</v>
      </c>
      <c r="FH60" s="2179"/>
      <c r="FI60" s="2179"/>
      <c r="FJ60" s="2179"/>
      <c r="FK60" s="2179">
        <v>1</v>
      </c>
      <c r="FL60" s="2179"/>
      <c r="FM60" s="2179">
        <v>1</v>
      </c>
      <c r="FN60" s="2179"/>
      <c r="FO60" s="2179">
        <v>1</v>
      </c>
      <c r="FP60" s="2179"/>
      <c r="FQ60" s="2179">
        <v>1</v>
      </c>
      <c r="FR60" s="2179"/>
      <c r="FS60" s="2179"/>
      <c r="FT60" s="2179"/>
      <c r="FU60" s="2179">
        <v>1</v>
      </c>
      <c r="FV60" s="2179"/>
      <c r="FW60" s="2179">
        <v>1</v>
      </c>
      <c r="FX60" s="2179"/>
      <c r="FY60" s="2179"/>
      <c r="FZ60" s="2179"/>
      <c r="GA60" s="2179">
        <v>76</v>
      </c>
      <c r="GB60" s="2179">
        <f t="shared" si="3"/>
        <v>76</v>
      </c>
    </row>
    <row r="61" spans="2:184" ht="16.8" hidden="1">
      <c r="B61" s="2313" t="str">
        <f t="shared" si="2"/>
        <v>Tháo X-composite 0,8m</v>
      </c>
      <c r="C61" s="2179"/>
      <c r="D61" s="2179" t="s">
        <v>5148</v>
      </c>
      <c r="E61" s="2179">
        <f t="shared" si="0"/>
        <v>10</v>
      </c>
      <c r="F61" s="2179"/>
      <c r="G61" s="2179"/>
      <c r="H61" s="2179"/>
      <c r="I61" s="2179"/>
      <c r="J61" s="2179"/>
      <c r="K61" s="2179"/>
      <c r="L61" s="2179"/>
      <c r="M61" s="2179"/>
      <c r="N61" s="2179"/>
      <c r="O61" s="2179"/>
      <c r="P61" s="2179"/>
      <c r="Q61" s="2179"/>
      <c r="R61" s="2179"/>
      <c r="S61" s="2179"/>
      <c r="T61" s="2179"/>
      <c r="U61" s="2179"/>
      <c r="V61" s="2179"/>
      <c r="W61" s="2179"/>
      <c r="X61" s="2179"/>
      <c r="Y61" s="2179"/>
      <c r="Z61" s="2179"/>
      <c r="AA61" s="2179"/>
      <c r="AB61" s="2179"/>
      <c r="AC61" s="2179"/>
      <c r="AD61" s="2179">
        <v>1</v>
      </c>
      <c r="AE61" s="2179"/>
      <c r="AF61" s="2179"/>
      <c r="AG61" s="2179"/>
      <c r="AH61" s="2179"/>
      <c r="AI61" s="2179"/>
      <c r="AJ61" s="2179"/>
      <c r="AK61" s="2179"/>
      <c r="AL61" s="2179"/>
      <c r="AM61" s="2179"/>
      <c r="AN61" s="2179">
        <v>1</v>
      </c>
      <c r="AO61" s="2179"/>
      <c r="AP61" s="2179"/>
      <c r="AQ61" s="2179"/>
      <c r="AR61" s="2179"/>
      <c r="AS61" s="2179"/>
      <c r="AT61" s="2179"/>
      <c r="AU61" s="2179"/>
      <c r="AV61" s="2179"/>
      <c r="AW61" s="2179"/>
      <c r="AX61" s="2179"/>
      <c r="AY61" s="2179"/>
      <c r="AZ61" s="2179"/>
      <c r="BA61" s="2179"/>
      <c r="BB61" s="2179"/>
      <c r="BC61" s="2179"/>
      <c r="BD61" s="2179"/>
      <c r="BE61" s="2179"/>
      <c r="BF61" s="2179"/>
      <c r="BG61" s="2179"/>
      <c r="BH61" s="2179"/>
      <c r="BI61" s="2179">
        <v>1</v>
      </c>
      <c r="BJ61" s="2179"/>
      <c r="BK61" s="2179"/>
      <c r="BL61" s="2179"/>
      <c r="BM61" s="2179"/>
      <c r="BN61" s="2179"/>
      <c r="BO61" s="2179"/>
      <c r="BP61" s="2179"/>
      <c r="BQ61" s="2179"/>
      <c r="BR61" s="2179"/>
      <c r="BS61" s="2179"/>
      <c r="BT61" s="2179"/>
      <c r="BU61" s="2179"/>
      <c r="BV61" s="2179"/>
      <c r="BW61" s="2179">
        <v>1</v>
      </c>
      <c r="BX61" s="2179"/>
      <c r="BY61" s="2179"/>
      <c r="BZ61" s="2179"/>
      <c r="CA61" s="2179"/>
      <c r="CB61" s="2179"/>
      <c r="CC61" s="2179"/>
      <c r="CD61" s="2179"/>
      <c r="CE61" s="2179">
        <v>1</v>
      </c>
      <c r="CF61" s="2179"/>
      <c r="CG61" s="2179"/>
      <c r="CH61" s="2179"/>
      <c r="CI61" s="2179"/>
      <c r="CJ61" s="2179"/>
      <c r="CK61" s="2179"/>
      <c r="CL61" s="2179"/>
      <c r="CM61" s="2179"/>
      <c r="CN61" s="2179"/>
      <c r="CO61" s="2179"/>
      <c r="CP61" s="2179"/>
      <c r="CQ61" s="2179"/>
      <c r="CR61" s="2179"/>
      <c r="CS61" s="2179"/>
      <c r="CT61" s="2179"/>
      <c r="CU61" s="2179"/>
      <c r="CV61" s="2179"/>
      <c r="CW61" s="2179"/>
      <c r="CX61" s="2179"/>
      <c r="CY61" s="2179"/>
      <c r="CZ61" s="2179">
        <v>1</v>
      </c>
      <c r="DA61" s="2179"/>
      <c r="DB61" s="2179"/>
      <c r="DC61" s="2179"/>
      <c r="DD61" s="2179"/>
      <c r="DE61" s="2179"/>
      <c r="DF61" s="2179"/>
      <c r="DG61" s="2179"/>
      <c r="DH61" s="2179"/>
      <c r="DI61" s="2179"/>
      <c r="DJ61" s="2179"/>
      <c r="DK61" s="2179"/>
      <c r="DL61" s="2179"/>
      <c r="DM61" s="2179"/>
      <c r="DN61" s="2179"/>
      <c r="DO61" s="2179"/>
      <c r="DP61" s="2179"/>
      <c r="DQ61" s="2179"/>
      <c r="DR61" s="2179"/>
      <c r="DS61" s="2179"/>
      <c r="DT61" s="2179"/>
      <c r="DU61" s="2179"/>
      <c r="DV61" s="2179">
        <v>1</v>
      </c>
      <c r="DW61" s="2179"/>
      <c r="DX61" s="2179"/>
      <c r="DY61" s="2179"/>
      <c r="DZ61" s="2179"/>
      <c r="EA61" s="2179"/>
      <c r="EB61" s="2179"/>
      <c r="EC61" s="2179"/>
      <c r="ED61" s="2179"/>
      <c r="EE61" s="2179"/>
      <c r="EF61" s="2179"/>
      <c r="EG61" s="2179"/>
      <c r="EH61" s="2179"/>
      <c r="EI61" s="2179"/>
      <c r="EJ61" s="2179"/>
      <c r="EK61" s="2179"/>
      <c r="EL61" s="2179"/>
      <c r="EM61" s="2179"/>
      <c r="EN61" s="2179"/>
      <c r="EO61" s="2179"/>
      <c r="EP61" s="2179"/>
      <c r="EQ61" s="2179"/>
      <c r="ER61" s="2179"/>
      <c r="ES61" s="2179"/>
      <c r="ET61" s="2179"/>
      <c r="EU61" s="2179"/>
      <c r="EV61" s="2179"/>
      <c r="EW61" s="2179"/>
      <c r="EX61" s="2179">
        <v>1</v>
      </c>
      <c r="EY61" s="2179"/>
      <c r="EZ61" s="2179"/>
      <c r="FA61" s="2179"/>
      <c r="FB61" s="2179"/>
      <c r="FC61" s="2179"/>
      <c r="FD61" s="2179">
        <v>1</v>
      </c>
      <c r="FE61" s="2179"/>
      <c r="FF61" s="2179"/>
      <c r="FG61" s="2179"/>
      <c r="FH61" s="2179"/>
      <c r="FI61" s="2179"/>
      <c r="FJ61" s="2179"/>
      <c r="FK61" s="2179"/>
      <c r="FL61" s="2179"/>
      <c r="FM61" s="2179"/>
      <c r="FN61" s="2179">
        <v>1</v>
      </c>
      <c r="FO61" s="2179"/>
      <c r="FP61" s="2179"/>
      <c r="FQ61" s="2179"/>
      <c r="FR61" s="2179"/>
      <c r="FS61" s="2179"/>
      <c r="FT61" s="2179"/>
      <c r="FU61" s="2179"/>
      <c r="FV61" s="2179"/>
      <c r="FW61" s="2179"/>
      <c r="FX61" s="2179"/>
      <c r="FY61" s="2179"/>
      <c r="FZ61" s="2179"/>
      <c r="GA61" s="2179">
        <v>10</v>
      </c>
      <c r="GB61" s="2179">
        <f t="shared" si="3"/>
        <v>10</v>
      </c>
    </row>
    <row r="62" spans="2:184" ht="16.8" hidden="1">
      <c r="B62" s="2313" t="str">
        <f t="shared" si="2"/>
        <v>Tháo X-1,66Đ</v>
      </c>
      <c r="C62" s="2179"/>
      <c r="D62" s="2179" t="s">
        <v>5149</v>
      </c>
      <c r="E62" s="2179">
        <f t="shared" si="0"/>
        <v>77</v>
      </c>
      <c r="F62" s="2179"/>
      <c r="G62" s="2179"/>
      <c r="H62" s="2179"/>
      <c r="I62" s="2179"/>
      <c r="J62" s="2179">
        <v>1</v>
      </c>
      <c r="K62" s="2179"/>
      <c r="L62" s="2179">
        <v>1</v>
      </c>
      <c r="M62" s="2179"/>
      <c r="N62" s="2179">
        <v>1</v>
      </c>
      <c r="O62" s="2179"/>
      <c r="P62" s="2179">
        <v>1</v>
      </c>
      <c r="Q62" s="2179"/>
      <c r="R62" s="2179">
        <v>1</v>
      </c>
      <c r="S62" s="2179"/>
      <c r="T62" s="2179">
        <v>1</v>
      </c>
      <c r="U62" s="2179"/>
      <c r="V62" s="2179">
        <v>1</v>
      </c>
      <c r="W62" s="2179"/>
      <c r="X62" s="2179">
        <v>1</v>
      </c>
      <c r="Y62" s="2179"/>
      <c r="Z62" s="2179">
        <v>1</v>
      </c>
      <c r="AA62" s="2179"/>
      <c r="AB62" s="2179">
        <v>1</v>
      </c>
      <c r="AC62" s="2179"/>
      <c r="AD62" s="2179">
        <v>1</v>
      </c>
      <c r="AE62" s="2179"/>
      <c r="AF62" s="2179"/>
      <c r="AG62" s="2179"/>
      <c r="AH62" s="2179">
        <v>1</v>
      </c>
      <c r="AI62" s="2179"/>
      <c r="AJ62" s="2179">
        <v>1</v>
      </c>
      <c r="AK62" s="2179"/>
      <c r="AL62" s="2179">
        <v>1</v>
      </c>
      <c r="AM62" s="2179"/>
      <c r="AN62" s="2179">
        <v>1</v>
      </c>
      <c r="AO62" s="2179"/>
      <c r="AP62" s="2179"/>
      <c r="AQ62" s="2179"/>
      <c r="AR62" s="2179">
        <v>1</v>
      </c>
      <c r="AS62" s="2179"/>
      <c r="AT62" s="2179">
        <v>1</v>
      </c>
      <c r="AU62" s="2179"/>
      <c r="AV62" s="2179"/>
      <c r="AW62" s="2179"/>
      <c r="AX62" s="2179">
        <v>1</v>
      </c>
      <c r="AY62" s="2179"/>
      <c r="AZ62" s="2179"/>
      <c r="BA62" s="2179">
        <v>1</v>
      </c>
      <c r="BB62" s="2179"/>
      <c r="BC62" s="2179">
        <v>1</v>
      </c>
      <c r="BD62" s="2179"/>
      <c r="BE62" s="2179">
        <v>1</v>
      </c>
      <c r="BF62" s="2179"/>
      <c r="BG62" s="2179">
        <v>1</v>
      </c>
      <c r="BH62" s="2179"/>
      <c r="BI62" s="2179">
        <v>1</v>
      </c>
      <c r="BJ62" s="2179"/>
      <c r="BK62" s="2179">
        <v>1</v>
      </c>
      <c r="BL62" s="2179"/>
      <c r="BM62" s="2179">
        <v>1</v>
      </c>
      <c r="BN62" s="2179"/>
      <c r="BO62" s="2179">
        <v>1</v>
      </c>
      <c r="BP62" s="2179"/>
      <c r="BQ62" s="2179">
        <v>1</v>
      </c>
      <c r="BR62" s="2179"/>
      <c r="BS62" s="2179">
        <v>1</v>
      </c>
      <c r="BT62" s="2179"/>
      <c r="BU62" s="2179">
        <v>1</v>
      </c>
      <c r="BV62" s="2179"/>
      <c r="BW62" s="2179">
        <v>1</v>
      </c>
      <c r="BX62" s="2179"/>
      <c r="BY62" s="2179">
        <v>1</v>
      </c>
      <c r="BZ62" s="2179"/>
      <c r="CA62" s="2179">
        <v>1</v>
      </c>
      <c r="CB62" s="2179"/>
      <c r="CC62" s="2179">
        <v>1</v>
      </c>
      <c r="CD62" s="2179"/>
      <c r="CE62" s="2179">
        <v>1</v>
      </c>
      <c r="CF62" s="2179"/>
      <c r="CG62" s="2179"/>
      <c r="CH62" s="2179"/>
      <c r="CI62" s="2179"/>
      <c r="CJ62" s="2179"/>
      <c r="CK62" s="2179">
        <v>1</v>
      </c>
      <c r="CL62" s="2179"/>
      <c r="CM62" s="2179">
        <v>1</v>
      </c>
      <c r="CN62" s="2179"/>
      <c r="CO62" s="2179">
        <v>1</v>
      </c>
      <c r="CP62" s="2179">
        <v>1</v>
      </c>
      <c r="CQ62" s="2179">
        <v>1</v>
      </c>
      <c r="CR62" s="2179">
        <v>1</v>
      </c>
      <c r="CS62" s="2179"/>
      <c r="CT62" s="2179"/>
      <c r="CU62" s="2179"/>
      <c r="CV62" s="2179">
        <v>1</v>
      </c>
      <c r="CW62" s="2179"/>
      <c r="CX62" s="2179">
        <v>1</v>
      </c>
      <c r="CY62" s="2179"/>
      <c r="CZ62" s="2179">
        <v>1</v>
      </c>
      <c r="DA62" s="2179"/>
      <c r="DB62" s="2179">
        <v>1</v>
      </c>
      <c r="DC62" s="2179"/>
      <c r="DD62" s="2179">
        <v>1</v>
      </c>
      <c r="DE62" s="2179"/>
      <c r="DF62" s="2179">
        <v>1</v>
      </c>
      <c r="DG62" s="2179">
        <v>1</v>
      </c>
      <c r="DH62" s="2179"/>
      <c r="DI62" s="2179">
        <v>1</v>
      </c>
      <c r="DJ62" s="2179"/>
      <c r="DK62" s="2179">
        <v>1</v>
      </c>
      <c r="DL62" s="2179"/>
      <c r="DM62" s="2179">
        <v>1</v>
      </c>
      <c r="DN62" s="2179"/>
      <c r="DO62" s="2179">
        <v>1</v>
      </c>
      <c r="DP62" s="2179"/>
      <c r="DQ62" s="2179"/>
      <c r="DR62" s="2179"/>
      <c r="DS62" s="2179">
        <v>1</v>
      </c>
      <c r="DT62" s="2179">
        <v>1</v>
      </c>
      <c r="DU62" s="2179"/>
      <c r="DV62" s="2179">
        <v>1</v>
      </c>
      <c r="DW62" s="2179"/>
      <c r="DX62" s="2179">
        <v>1</v>
      </c>
      <c r="DY62" s="2179"/>
      <c r="DZ62" s="2179">
        <v>1</v>
      </c>
      <c r="EA62" s="2179"/>
      <c r="EB62" s="2179"/>
      <c r="EC62" s="2179"/>
      <c r="ED62" s="2179">
        <v>1</v>
      </c>
      <c r="EE62" s="2179"/>
      <c r="EF62" s="2179">
        <v>1</v>
      </c>
      <c r="EG62" s="2179"/>
      <c r="EH62" s="2179"/>
      <c r="EI62" s="2179"/>
      <c r="EJ62" s="2179">
        <v>1</v>
      </c>
      <c r="EK62" s="2179"/>
      <c r="EL62" s="2179">
        <v>1</v>
      </c>
      <c r="EM62" s="2179"/>
      <c r="EN62" s="2179">
        <v>1</v>
      </c>
      <c r="EO62" s="2179"/>
      <c r="EP62" s="2179">
        <v>1</v>
      </c>
      <c r="EQ62" s="2179"/>
      <c r="ER62" s="2179">
        <v>1</v>
      </c>
      <c r="ES62" s="2179"/>
      <c r="ET62" s="2179">
        <v>1</v>
      </c>
      <c r="EU62" s="2179"/>
      <c r="EV62" s="2179">
        <v>1</v>
      </c>
      <c r="EW62" s="2179"/>
      <c r="EX62" s="2179">
        <v>1</v>
      </c>
      <c r="EY62" s="2179">
        <v>1</v>
      </c>
      <c r="EZ62" s="2179">
        <v>1</v>
      </c>
      <c r="FA62" s="2179"/>
      <c r="FB62" s="2179">
        <v>1</v>
      </c>
      <c r="FC62" s="2179"/>
      <c r="FD62" s="2179">
        <v>1</v>
      </c>
      <c r="FE62" s="2179"/>
      <c r="FF62" s="2179">
        <v>1</v>
      </c>
      <c r="FG62" s="2179"/>
      <c r="FH62" s="2179">
        <v>1</v>
      </c>
      <c r="FI62" s="2179">
        <v>1</v>
      </c>
      <c r="FJ62" s="2179"/>
      <c r="FK62" s="2179"/>
      <c r="FL62" s="2179">
        <v>1</v>
      </c>
      <c r="FM62" s="2179"/>
      <c r="FN62" s="2179">
        <v>1</v>
      </c>
      <c r="FO62" s="2179"/>
      <c r="FP62" s="2179">
        <v>1</v>
      </c>
      <c r="FQ62" s="2179"/>
      <c r="FR62" s="2179"/>
      <c r="FS62" s="2179"/>
      <c r="FT62" s="2179"/>
      <c r="FU62" s="2179"/>
      <c r="FV62" s="2179">
        <v>1</v>
      </c>
      <c r="FW62" s="2179"/>
      <c r="FX62" s="2179"/>
      <c r="FY62" s="2179"/>
      <c r="FZ62" s="2179"/>
      <c r="GA62" s="2179">
        <v>77</v>
      </c>
      <c r="GB62" s="2179">
        <f t="shared" si="3"/>
        <v>77</v>
      </c>
    </row>
    <row r="63" spans="2:184" ht="16.8" hidden="1">
      <c r="B63" s="2313" t="str">
        <f t="shared" si="2"/>
        <v>Tháo X-1,66K</v>
      </c>
      <c r="C63" s="2179"/>
      <c r="D63" s="2179" t="s">
        <v>5150</v>
      </c>
      <c r="E63" s="2179">
        <f t="shared" si="0"/>
        <v>8</v>
      </c>
      <c r="F63" s="2179"/>
      <c r="G63" s="2179"/>
      <c r="H63" s="2179">
        <v>1</v>
      </c>
      <c r="I63" s="2179"/>
      <c r="J63" s="2179"/>
      <c r="K63" s="2179"/>
      <c r="L63" s="2179"/>
      <c r="M63" s="2179"/>
      <c r="N63" s="2179"/>
      <c r="O63" s="2179"/>
      <c r="P63" s="2179"/>
      <c r="Q63" s="2179"/>
      <c r="R63" s="2179"/>
      <c r="S63" s="2179"/>
      <c r="T63" s="2179"/>
      <c r="U63" s="2179"/>
      <c r="V63" s="2179"/>
      <c r="W63" s="2179"/>
      <c r="X63" s="2179"/>
      <c r="Y63" s="2179"/>
      <c r="Z63" s="2179"/>
      <c r="AA63" s="2179"/>
      <c r="AB63" s="2179"/>
      <c r="AC63" s="2179"/>
      <c r="AD63" s="2179"/>
      <c r="AE63" s="2179"/>
      <c r="AF63" s="2179">
        <v>1</v>
      </c>
      <c r="AG63" s="2179"/>
      <c r="AH63" s="2179"/>
      <c r="AI63" s="2179"/>
      <c r="AJ63" s="2179"/>
      <c r="AK63" s="2179"/>
      <c r="AL63" s="2179"/>
      <c r="AM63" s="2179"/>
      <c r="AN63" s="2179"/>
      <c r="AO63" s="2179"/>
      <c r="AP63" s="2179"/>
      <c r="AQ63" s="2179"/>
      <c r="AR63" s="2179"/>
      <c r="AS63" s="2179"/>
      <c r="AT63" s="2179"/>
      <c r="AU63" s="2179"/>
      <c r="AV63" s="2179">
        <v>1</v>
      </c>
      <c r="AW63" s="2179"/>
      <c r="AX63" s="2179"/>
      <c r="AY63" s="2179"/>
      <c r="AZ63" s="2179"/>
      <c r="BA63" s="2179"/>
      <c r="BB63" s="2179"/>
      <c r="BC63" s="2179"/>
      <c r="BD63" s="2179"/>
      <c r="BE63" s="2179"/>
      <c r="BF63" s="2179"/>
      <c r="BG63" s="2179"/>
      <c r="BH63" s="2179"/>
      <c r="BI63" s="2179"/>
      <c r="BJ63" s="2179"/>
      <c r="BK63" s="2179"/>
      <c r="BL63" s="2179"/>
      <c r="BM63" s="2179"/>
      <c r="BN63" s="2179"/>
      <c r="BO63" s="2179"/>
      <c r="BP63" s="2179"/>
      <c r="BQ63" s="2179"/>
      <c r="BR63" s="2179"/>
      <c r="BS63" s="2179"/>
      <c r="BT63" s="2179"/>
      <c r="BU63" s="2179"/>
      <c r="BV63" s="2179"/>
      <c r="BW63" s="2179"/>
      <c r="BX63" s="2179"/>
      <c r="BY63" s="2179"/>
      <c r="BZ63" s="2179"/>
      <c r="CA63" s="2179"/>
      <c r="CB63" s="2179"/>
      <c r="CC63" s="2179"/>
      <c r="CD63" s="2179"/>
      <c r="CE63" s="2179"/>
      <c r="CF63" s="2179"/>
      <c r="CG63" s="2179"/>
      <c r="CH63" s="2179"/>
      <c r="CI63" s="2179"/>
      <c r="CJ63" s="2179"/>
      <c r="CK63" s="2179"/>
      <c r="CL63" s="2179"/>
      <c r="CM63" s="2179"/>
      <c r="CN63" s="2179"/>
      <c r="CO63" s="2179"/>
      <c r="CP63" s="2179"/>
      <c r="CQ63" s="2179"/>
      <c r="CR63" s="2179"/>
      <c r="CS63" s="2179"/>
      <c r="CT63" s="2179">
        <v>1</v>
      </c>
      <c r="CU63" s="2179"/>
      <c r="CV63" s="2179"/>
      <c r="CW63" s="2179"/>
      <c r="CX63" s="2179"/>
      <c r="CY63" s="2179"/>
      <c r="CZ63" s="2179"/>
      <c r="DA63" s="2179"/>
      <c r="DB63" s="2179"/>
      <c r="DC63" s="2179"/>
      <c r="DD63" s="2179"/>
      <c r="DE63" s="2179"/>
      <c r="DF63" s="2179"/>
      <c r="DG63" s="2179"/>
      <c r="DH63" s="2179"/>
      <c r="DI63" s="2179"/>
      <c r="DJ63" s="2179"/>
      <c r="DK63" s="2179"/>
      <c r="DL63" s="2179"/>
      <c r="DM63" s="2179"/>
      <c r="DN63" s="2179"/>
      <c r="DO63" s="2179"/>
      <c r="DP63" s="2179"/>
      <c r="DQ63" s="2179">
        <v>1</v>
      </c>
      <c r="DR63" s="2179"/>
      <c r="DS63" s="2179"/>
      <c r="DT63" s="2179"/>
      <c r="DU63" s="2179"/>
      <c r="DV63" s="2179"/>
      <c r="DW63" s="2179"/>
      <c r="DX63" s="2179"/>
      <c r="DY63" s="2179"/>
      <c r="DZ63" s="2179"/>
      <c r="EA63" s="2179"/>
      <c r="EB63" s="2179"/>
      <c r="EC63" s="2179"/>
      <c r="ED63" s="2179"/>
      <c r="EE63" s="2179"/>
      <c r="EF63" s="2179"/>
      <c r="EG63" s="2179"/>
      <c r="EH63" s="2179">
        <v>1</v>
      </c>
      <c r="EI63" s="2179"/>
      <c r="EJ63" s="2179"/>
      <c r="EK63" s="2179"/>
      <c r="EL63" s="2179"/>
      <c r="EM63" s="2179"/>
      <c r="EN63" s="2179"/>
      <c r="EO63" s="2179"/>
      <c r="EP63" s="2179"/>
      <c r="EQ63" s="2179"/>
      <c r="ER63" s="2179"/>
      <c r="ES63" s="2179"/>
      <c r="ET63" s="2179"/>
      <c r="EU63" s="2179"/>
      <c r="EV63" s="2179"/>
      <c r="EW63" s="2179"/>
      <c r="EX63" s="2179"/>
      <c r="EY63" s="2179"/>
      <c r="EZ63" s="2179"/>
      <c r="FA63" s="2179"/>
      <c r="FB63" s="2179"/>
      <c r="FC63" s="2179"/>
      <c r="FD63" s="2179"/>
      <c r="FE63" s="2179"/>
      <c r="FF63" s="2179"/>
      <c r="FG63" s="2179"/>
      <c r="FH63" s="2179"/>
      <c r="FI63" s="2179"/>
      <c r="FJ63" s="2179">
        <v>1</v>
      </c>
      <c r="FK63" s="2179"/>
      <c r="FL63" s="2179"/>
      <c r="FM63" s="2179"/>
      <c r="FN63" s="2179"/>
      <c r="FO63" s="2179"/>
      <c r="FP63" s="2179"/>
      <c r="FQ63" s="2179"/>
      <c r="FR63" s="2179"/>
      <c r="FS63" s="2179"/>
      <c r="FT63" s="2179">
        <v>1</v>
      </c>
      <c r="FU63" s="2179"/>
      <c r="FV63" s="2179"/>
      <c r="FW63" s="2179"/>
      <c r="FX63" s="2179"/>
      <c r="FY63" s="2179"/>
      <c r="FZ63" s="2179"/>
      <c r="GA63" s="2179">
        <v>8</v>
      </c>
      <c r="GB63" s="2179">
        <f t="shared" si="3"/>
        <v>8</v>
      </c>
    </row>
    <row r="64" spans="2:184" ht="16.8" hidden="1">
      <c r="B64" s="2313" t="str">
        <f t="shared" si="2"/>
        <v>Tháo X-2,2K</v>
      </c>
      <c r="C64" s="2179"/>
      <c r="D64" s="2179" t="s">
        <v>5151</v>
      </c>
      <c r="E64" s="2179">
        <f t="shared" si="0"/>
        <v>6</v>
      </c>
      <c r="F64" s="2179"/>
      <c r="G64" s="2179"/>
      <c r="H64" s="2179"/>
      <c r="I64" s="2179"/>
      <c r="J64" s="2179"/>
      <c r="K64" s="2179"/>
      <c r="L64" s="2179"/>
      <c r="M64" s="2179"/>
      <c r="N64" s="2179"/>
      <c r="O64" s="2179"/>
      <c r="P64" s="2179"/>
      <c r="Q64" s="2179"/>
      <c r="R64" s="2179"/>
      <c r="S64" s="2179"/>
      <c r="T64" s="2179"/>
      <c r="U64" s="2179"/>
      <c r="V64" s="2179"/>
      <c r="W64" s="2179"/>
      <c r="X64" s="2179"/>
      <c r="Y64" s="2179"/>
      <c r="Z64" s="2179"/>
      <c r="AA64" s="2179"/>
      <c r="AB64" s="2179"/>
      <c r="AC64" s="2179"/>
      <c r="AD64" s="2179"/>
      <c r="AE64" s="2179"/>
      <c r="AF64" s="2179"/>
      <c r="AG64" s="2179"/>
      <c r="AH64" s="2179"/>
      <c r="AI64" s="2179"/>
      <c r="AJ64" s="2179"/>
      <c r="AK64" s="2179"/>
      <c r="AL64" s="2179"/>
      <c r="AM64" s="2179"/>
      <c r="AN64" s="2179"/>
      <c r="AO64" s="2179"/>
      <c r="AP64" s="2179">
        <v>1</v>
      </c>
      <c r="AQ64" s="2179"/>
      <c r="AR64" s="2179"/>
      <c r="AS64" s="2179"/>
      <c r="AT64" s="2179"/>
      <c r="AU64" s="2179"/>
      <c r="AV64" s="2179"/>
      <c r="AW64" s="2179"/>
      <c r="AX64" s="2179"/>
      <c r="AY64" s="2179"/>
      <c r="AZ64" s="2179"/>
      <c r="BA64" s="2179"/>
      <c r="BB64" s="2179"/>
      <c r="BC64" s="2179"/>
      <c r="BD64" s="2179"/>
      <c r="BE64" s="2179"/>
      <c r="BF64" s="2179"/>
      <c r="BG64" s="2179"/>
      <c r="BH64" s="2179"/>
      <c r="BI64" s="2179"/>
      <c r="BJ64" s="2179"/>
      <c r="BK64" s="2179"/>
      <c r="BL64" s="2179"/>
      <c r="BM64" s="2179"/>
      <c r="BN64" s="2179"/>
      <c r="BO64" s="2179"/>
      <c r="BP64" s="2179"/>
      <c r="BQ64" s="2179"/>
      <c r="BR64" s="2179"/>
      <c r="BS64" s="2179"/>
      <c r="BT64" s="2179"/>
      <c r="BU64" s="2179"/>
      <c r="BV64" s="2179"/>
      <c r="BW64" s="2179"/>
      <c r="BX64" s="2179"/>
      <c r="BY64" s="2179"/>
      <c r="BZ64" s="2179"/>
      <c r="CA64" s="2179"/>
      <c r="CB64" s="2179"/>
      <c r="CC64" s="2179"/>
      <c r="CD64" s="2179"/>
      <c r="CE64" s="2179"/>
      <c r="CF64" s="2179"/>
      <c r="CG64" s="2179">
        <v>1</v>
      </c>
      <c r="CH64" s="2179"/>
      <c r="CI64" s="2179"/>
      <c r="CJ64" s="2179"/>
      <c r="CK64" s="2179"/>
      <c r="CL64" s="2179"/>
      <c r="CM64" s="2179"/>
      <c r="CN64" s="2179"/>
      <c r="CO64" s="2179"/>
      <c r="CP64" s="2179"/>
      <c r="CQ64" s="2179"/>
      <c r="CR64" s="2179"/>
      <c r="CS64" s="2179"/>
      <c r="CT64" s="2179"/>
      <c r="CU64" s="2179"/>
      <c r="CV64" s="2179"/>
      <c r="CW64" s="2179"/>
      <c r="CX64" s="2179"/>
      <c r="CY64" s="2179"/>
      <c r="CZ64" s="2179"/>
      <c r="DA64" s="2179"/>
      <c r="DB64" s="2179"/>
      <c r="DC64" s="2179"/>
      <c r="DD64" s="2179"/>
      <c r="DE64" s="2179"/>
      <c r="DF64" s="2179"/>
      <c r="DG64" s="2179"/>
      <c r="DH64" s="2179"/>
      <c r="DI64" s="2179"/>
      <c r="DJ64" s="2179"/>
      <c r="DK64" s="2179"/>
      <c r="DL64" s="2179"/>
      <c r="DM64" s="2179"/>
      <c r="DN64" s="2179"/>
      <c r="DO64" s="2179"/>
      <c r="DP64" s="2179"/>
      <c r="DQ64" s="2179"/>
      <c r="DR64" s="2179"/>
      <c r="DS64" s="2179"/>
      <c r="DT64" s="2179"/>
      <c r="DU64" s="2179"/>
      <c r="DV64" s="2179"/>
      <c r="DW64" s="2179"/>
      <c r="DX64" s="2179">
        <v>1</v>
      </c>
      <c r="DY64" s="2179"/>
      <c r="DZ64" s="2179"/>
      <c r="EA64" s="2179"/>
      <c r="EB64" s="2179">
        <v>2</v>
      </c>
      <c r="EC64" s="2179"/>
      <c r="ED64" s="2179"/>
      <c r="EE64" s="2179"/>
      <c r="EF64" s="2179"/>
      <c r="EG64" s="2179"/>
      <c r="EH64" s="2179"/>
      <c r="EI64" s="2179"/>
      <c r="EJ64" s="2179"/>
      <c r="EK64" s="2179"/>
      <c r="EL64" s="2179"/>
      <c r="EM64" s="2179"/>
      <c r="EN64" s="2179"/>
      <c r="EO64" s="2179"/>
      <c r="EP64" s="2179"/>
      <c r="EQ64" s="2179"/>
      <c r="ER64" s="2179"/>
      <c r="ES64" s="2179"/>
      <c r="ET64" s="2179"/>
      <c r="EU64" s="2179"/>
      <c r="EV64" s="2179"/>
      <c r="EW64" s="2179"/>
      <c r="EX64" s="2179"/>
      <c r="EY64" s="2179"/>
      <c r="EZ64" s="2179"/>
      <c r="FA64" s="2179"/>
      <c r="FB64" s="2179"/>
      <c r="FC64" s="2179"/>
      <c r="FD64" s="2179"/>
      <c r="FE64" s="2179"/>
      <c r="FF64" s="2179"/>
      <c r="FG64" s="2179"/>
      <c r="FH64" s="2179"/>
      <c r="FI64" s="2179"/>
      <c r="FJ64" s="2179"/>
      <c r="FK64" s="2179"/>
      <c r="FL64" s="2179"/>
      <c r="FM64" s="2179"/>
      <c r="FN64" s="2179"/>
      <c r="FO64" s="2179"/>
      <c r="FP64" s="2179"/>
      <c r="FQ64" s="2179"/>
      <c r="FR64" s="2179">
        <v>1</v>
      </c>
      <c r="FS64" s="2179"/>
      <c r="FT64" s="2179"/>
      <c r="FU64" s="2179"/>
      <c r="FV64" s="2179"/>
      <c r="FW64" s="2179"/>
      <c r="FX64" s="2179"/>
      <c r="FY64" s="2179"/>
      <c r="FZ64" s="2179"/>
      <c r="GA64" s="2179">
        <v>6</v>
      </c>
      <c r="GB64" s="2179">
        <f t="shared" si="3"/>
        <v>6</v>
      </c>
    </row>
    <row r="65" spans="2:184" ht="16.8" hidden="1">
      <c r="B65" s="2313" t="str">
        <f t="shared" si="2"/>
        <v>Tháo bộ chằng lệch</v>
      </c>
      <c r="C65" s="2179"/>
      <c r="D65" s="2179" t="s">
        <v>5152</v>
      </c>
      <c r="E65" s="2179">
        <f t="shared" si="0"/>
        <v>3</v>
      </c>
      <c r="F65" s="2179"/>
      <c r="G65" s="2179"/>
      <c r="H65" s="2179">
        <v>1</v>
      </c>
      <c r="I65" s="2179">
        <v>0</v>
      </c>
      <c r="J65" s="2179">
        <v>0</v>
      </c>
      <c r="K65" s="2179">
        <v>0</v>
      </c>
      <c r="L65" s="2179">
        <v>0</v>
      </c>
      <c r="M65" s="2179">
        <v>0</v>
      </c>
      <c r="N65" s="2179">
        <v>0</v>
      </c>
      <c r="O65" s="2179">
        <v>0</v>
      </c>
      <c r="P65" s="2179">
        <v>0</v>
      </c>
      <c r="Q65" s="2179">
        <v>0</v>
      </c>
      <c r="R65" s="2179">
        <v>0</v>
      </c>
      <c r="S65" s="2179">
        <v>0</v>
      </c>
      <c r="T65" s="2179">
        <v>0</v>
      </c>
      <c r="U65" s="2179">
        <v>0</v>
      </c>
      <c r="V65" s="2179">
        <v>0</v>
      </c>
      <c r="W65" s="2179">
        <v>0</v>
      </c>
      <c r="X65" s="2179">
        <v>0</v>
      </c>
      <c r="Y65" s="2179">
        <v>0</v>
      </c>
      <c r="Z65" s="2179">
        <v>0</v>
      </c>
      <c r="AA65" s="2179">
        <v>0</v>
      </c>
      <c r="AB65" s="2179">
        <v>0</v>
      </c>
      <c r="AC65" s="2179">
        <v>0</v>
      </c>
      <c r="AD65" s="2179">
        <v>0</v>
      </c>
      <c r="AE65" s="2179">
        <v>0</v>
      </c>
      <c r="AF65" s="2179">
        <v>0</v>
      </c>
      <c r="AG65" s="2179">
        <v>0</v>
      </c>
      <c r="AH65" s="2179">
        <v>0</v>
      </c>
      <c r="AI65" s="2179">
        <v>0</v>
      </c>
      <c r="AJ65" s="2179">
        <v>0</v>
      </c>
      <c r="AK65" s="2179">
        <v>0</v>
      </c>
      <c r="AL65" s="2179">
        <v>0</v>
      </c>
      <c r="AM65" s="2179">
        <v>0</v>
      </c>
      <c r="AN65" s="2179">
        <v>0</v>
      </c>
      <c r="AO65" s="2179">
        <v>0</v>
      </c>
      <c r="AP65" s="2179">
        <v>0</v>
      </c>
      <c r="AQ65" s="2179">
        <v>0</v>
      </c>
      <c r="AR65" s="2179">
        <v>0</v>
      </c>
      <c r="AS65" s="2179">
        <v>0</v>
      </c>
      <c r="AT65" s="2179">
        <v>0</v>
      </c>
      <c r="AU65" s="2179">
        <v>0</v>
      </c>
      <c r="AV65" s="2179">
        <v>1</v>
      </c>
      <c r="AW65" s="2179">
        <v>0</v>
      </c>
      <c r="AX65" s="2179">
        <v>0</v>
      </c>
      <c r="AY65" s="2179">
        <v>0</v>
      </c>
      <c r="AZ65" s="2179">
        <v>0</v>
      </c>
      <c r="BA65" s="2179">
        <v>0</v>
      </c>
      <c r="BB65" s="2179">
        <v>0</v>
      </c>
      <c r="BC65" s="2179">
        <v>0</v>
      </c>
      <c r="BD65" s="2179">
        <v>0</v>
      </c>
      <c r="BE65" s="2179">
        <v>0</v>
      </c>
      <c r="BF65" s="2179">
        <v>0</v>
      </c>
      <c r="BG65" s="2179">
        <v>0</v>
      </c>
      <c r="BH65" s="2179">
        <v>0</v>
      </c>
      <c r="BI65" s="2179">
        <v>0</v>
      </c>
      <c r="BJ65" s="2179">
        <v>0</v>
      </c>
      <c r="BK65" s="2179">
        <v>0</v>
      </c>
      <c r="BL65" s="2179">
        <v>0</v>
      </c>
      <c r="BM65" s="2179">
        <v>0</v>
      </c>
      <c r="BN65" s="2179">
        <v>0</v>
      </c>
      <c r="BO65" s="2179">
        <v>0</v>
      </c>
      <c r="BP65" s="2179">
        <v>0</v>
      </c>
      <c r="BQ65" s="2179">
        <v>0</v>
      </c>
      <c r="BR65" s="2179">
        <v>0</v>
      </c>
      <c r="BS65" s="2179">
        <v>0</v>
      </c>
      <c r="BT65" s="2179">
        <v>0</v>
      </c>
      <c r="BU65" s="2179">
        <v>0</v>
      </c>
      <c r="BV65" s="2179">
        <v>0</v>
      </c>
      <c r="BW65" s="2179">
        <v>0</v>
      </c>
      <c r="BX65" s="2179">
        <v>0</v>
      </c>
      <c r="BY65" s="2179">
        <v>0</v>
      </c>
      <c r="BZ65" s="2179">
        <v>0</v>
      </c>
      <c r="CA65" s="2179">
        <v>0</v>
      </c>
      <c r="CB65" s="2179">
        <v>0</v>
      </c>
      <c r="CC65" s="2179">
        <v>0</v>
      </c>
      <c r="CD65" s="2179">
        <v>0</v>
      </c>
      <c r="CE65" s="2179">
        <v>0</v>
      </c>
      <c r="CF65" s="2179">
        <v>0</v>
      </c>
      <c r="CG65" s="2179">
        <v>0</v>
      </c>
      <c r="CH65" s="2179">
        <v>0</v>
      </c>
      <c r="CI65" s="2179">
        <v>0</v>
      </c>
      <c r="CJ65" s="2179">
        <v>0</v>
      </c>
      <c r="CK65" s="2179">
        <v>0</v>
      </c>
      <c r="CL65" s="2179">
        <v>0</v>
      </c>
      <c r="CM65" s="2179">
        <v>0</v>
      </c>
      <c r="CN65" s="2179">
        <v>0</v>
      </c>
      <c r="CO65" s="2179">
        <v>0</v>
      </c>
      <c r="CP65" s="2179">
        <v>0</v>
      </c>
      <c r="CQ65" s="2179">
        <v>0</v>
      </c>
      <c r="CR65" s="2179">
        <v>0</v>
      </c>
      <c r="CS65" s="2179">
        <v>0</v>
      </c>
      <c r="CT65" s="2179">
        <v>0</v>
      </c>
      <c r="CU65" s="2179">
        <v>0</v>
      </c>
      <c r="CV65" s="2179">
        <v>0</v>
      </c>
      <c r="CW65" s="2179">
        <v>0</v>
      </c>
      <c r="CX65" s="2179">
        <v>0</v>
      </c>
      <c r="CY65" s="2179">
        <v>0</v>
      </c>
      <c r="CZ65" s="2179">
        <v>0</v>
      </c>
      <c r="DA65" s="2179">
        <v>0</v>
      </c>
      <c r="DB65" s="2179">
        <v>0</v>
      </c>
      <c r="DC65" s="2179">
        <v>0</v>
      </c>
      <c r="DD65" s="2179">
        <v>0</v>
      </c>
      <c r="DE65" s="2179">
        <v>0</v>
      </c>
      <c r="DF65" s="2179">
        <v>0</v>
      </c>
      <c r="DG65" s="2179">
        <v>0</v>
      </c>
      <c r="DH65" s="2179">
        <v>0</v>
      </c>
      <c r="DI65" s="2179">
        <v>0</v>
      </c>
      <c r="DJ65" s="2179">
        <v>0</v>
      </c>
      <c r="DK65" s="2179">
        <v>0</v>
      </c>
      <c r="DL65" s="2179">
        <v>0</v>
      </c>
      <c r="DM65" s="2179">
        <v>0</v>
      </c>
      <c r="DN65" s="2179">
        <v>0</v>
      </c>
      <c r="DO65" s="2179">
        <v>0</v>
      </c>
      <c r="DP65" s="2179">
        <v>0</v>
      </c>
      <c r="DQ65" s="2179">
        <v>0</v>
      </c>
      <c r="DR65" s="2179">
        <v>0</v>
      </c>
      <c r="DS65" s="2179">
        <v>0</v>
      </c>
      <c r="DT65" s="2179">
        <v>0</v>
      </c>
      <c r="DU65" s="2179">
        <v>0</v>
      </c>
      <c r="DV65" s="2179">
        <v>0</v>
      </c>
      <c r="DW65" s="2179">
        <v>0</v>
      </c>
      <c r="DX65" s="2179">
        <v>0</v>
      </c>
      <c r="DY65" s="2179">
        <v>0</v>
      </c>
      <c r="DZ65" s="2179">
        <v>0</v>
      </c>
      <c r="EA65" s="2179">
        <v>0</v>
      </c>
      <c r="EB65" s="2179">
        <v>0</v>
      </c>
      <c r="EC65" s="2179">
        <v>0</v>
      </c>
      <c r="ED65" s="2179">
        <v>0</v>
      </c>
      <c r="EE65" s="2179">
        <v>0</v>
      </c>
      <c r="EF65" s="2179">
        <v>0</v>
      </c>
      <c r="EG65" s="2179">
        <v>0</v>
      </c>
      <c r="EH65" s="2179">
        <v>0</v>
      </c>
      <c r="EI65" s="2179">
        <v>0</v>
      </c>
      <c r="EJ65" s="2179">
        <v>0</v>
      </c>
      <c r="EK65" s="2179">
        <v>0</v>
      </c>
      <c r="EL65" s="2179">
        <v>0</v>
      </c>
      <c r="EM65" s="2179">
        <v>0</v>
      </c>
      <c r="EN65" s="2179">
        <v>0</v>
      </c>
      <c r="EO65" s="2179">
        <v>0</v>
      </c>
      <c r="EP65" s="2179">
        <v>0</v>
      </c>
      <c r="EQ65" s="2179">
        <v>0</v>
      </c>
      <c r="ER65" s="2179">
        <v>0</v>
      </c>
      <c r="ES65" s="2179">
        <v>0</v>
      </c>
      <c r="ET65" s="2179">
        <v>0</v>
      </c>
      <c r="EU65" s="2179">
        <v>0</v>
      </c>
      <c r="EV65" s="2179">
        <v>0</v>
      </c>
      <c r="EW65" s="2179">
        <v>0</v>
      </c>
      <c r="EX65" s="2179">
        <v>0</v>
      </c>
      <c r="EY65" s="2179">
        <v>0</v>
      </c>
      <c r="EZ65" s="2179">
        <v>0</v>
      </c>
      <c r="FA65" s="2179">
        <v>0</v>
      </c>
      <c r="FB65" s="2179">
        <v>0</v>
      </c>
      <c r="FC65" s="2179">
        <v>0</v>
      </c>
      <c r="FD65" s="2179">
        <v>0</v>
      </c>
      <c r="FE65" s="2179">
        <v>0</v>
      </c>
      <c r="FF65" s="2179">
        <v>0</v>
      </c>
      <c r="FG65" s="2179">
        <v>0</v>
      </c>
      <c r="FH65" s="2179">
        <v>0</v>
      </c>
      <c r="FI65" s="2179">
        <v>0</v>
      </c>
      <c r="FJ65" s="2179">
        <v>1</v>
      </c>
      <c r="FK65" s="2179">
        <v>0</v>
      </c>
      <c r="FL65" s="2179">
        <v>0</v>
      </c>
      <c r="FM65" s="2179">
        <v>0</v>
      </c>
      <c r="FN65" s="2179">
        <v>0</v>
      </c>
      <c r="FO65" s="2179">
        <v>0</v>
      </c>
      <c r="FP65" s="2179">
        <v>0</v>
      </c>
      <c r="FQ65" s="2179">
        <v>0</v>
      </c>
      <c r="FR65" s="2179">
        <v>0</v>
      </c>
      <c r="FS65" s="2179">
        <v>0</v>
      </c>
      <c r="FT65" s="2179">
        <v>0</v>
      </c>
      <c r="FU65" s="2179">
        <v>0</v>
      </c>
      <c r="FV65" s="2179">
        <v>0</v>
      </c>
      <c r="FW65" s="2179">
        <v>0</v>
      </c>
      <c r="FX65" s="2179">
        <v>0</v>
      </c>
      <c r="FY65" s="2179"/>
      <c r="FZ65" s="2179"/>
      <c r="GA65" s="2179">
        <v>3</v>
      </c>
      <c r="GB65" s="2179">
        <f t="shared" si="3"/>
        <v>3</v>
      </c>
    </row>
    <row r="66" spans="2:184" ht="16.8" hidden="1">
      <c r="B66" s="2313" t="str">
        <f t="shared" si="2"/>
        <v>Tháo bộ chằng xuống</v>
      </c>
      <c r="C66" s="2179"/>
      <c r="D66" s="2179" t="s">
        <v>5153</v>
      </c>
      <c r="E66" s="2179">
        <f t="shared" si="0"/>
        <v>9</v>
      </c>
      <c r="F66" s="2179"/>
      <c r="G66" s="2179"/>
      <c r="H66" s="2179">
        <v>0</v>
      </c>
      <c r="I66" s="2179">
        <v>0</v>
      </c>
      <c r="J66" s="2179">
        <v>0</v>
      </c>
      <c r="K66" s="2179">
        <v>0</v>
      </c>
      <c r="L66" s="2179">
        <v>0</v>
      </c>
      <c r="M66" s="2179">
        <v>0</v>
      </c>
      <c r="N66" s="2179">
        <v>0</v>
      </c>
      <c r="O66" s="2179">
        <v>0</v>
      </c>
      <c r="P66" s="2179">
        <v>0</v>
      </c>
      <c r="Q66" s="2179">
        <v>0</v>
      </c>
      <c r="R66" s="2179">
        <v>0</v>
      </c>
      <c r="S66" s="2179">
        <v>0</v>
      </c>
      <c r="T66" s="2179">
        <v>0</v>
      </c>
      <c r="U66" s="2179">
        <v>0</v>
      </c>
      <c r="V66" s="2179">
        <v>0</v>
      </c>
      <c r="W66" s="2179">
        <v>0</v>
      </c>
      <c r="X66" s="2179">
        <v>0</v>
      </c>
      <c r="Y66" s="2179">
        <v>0</v>
      </c>
      <c r="Z66" s="2179">
        <v>0</v>
      </c>
      <c r="AA66" s="2179">
        <v>0</v>
      </c>
      <c r="AB66" s="2179">
        <v>0</v>
      </c>
      <c r="AC66" s="2179">
        <v>0</v>
      </c>
      <c r="AD66" s="2179">
        <v>0</v>
      </c>
      <c r="AE66" s="2179">
        <v>0</v>
      </c>
      <c r="AF66" s="2179">
        <v>0</v>
      </c>
      <c r="AG66" s="2179">
        <v>0</v>
      </c>
      <c r="AH66" s="2179">
        <v>0</v>
      </c>
      <c r="AI66" s="2179">
        <v>0</v>
      </c>
      <c r="AJ66" s="2179">
        <v>0</v>
      </c>
      <c r="AK66" s="2179">
        <v>0</v>
      </c>
      <c r="AL66" s="2179">
        <v>0</v>
      </c>
      <c r="AM66" s="2179">
        <v>0</v>
      </c>
      <c r="AN66" s="2179">
        <v>0</v>
      </c>
      <c r="AO66" s="2179">
        <v>0</v>
      </c>
      <c r="AP66" s="2179">
        <v>2</v>
      </c>
      <c r="AQ66" s="2179">
        <v>0</v>
      </c>
      <c r="AR66" s="2179">
        <v>0</v>
      </c>
      <c r="AS66" s="2179">
        <v>0</v>
      </c>
      <c r="AT66" s="2179">
        <v>0</v>
      </c>
      <c r="AU66" s="2179">
        <v>0</v>
      </c>
      <c r="AV66" s="2179">
        <v>0</v>
      </c>
      <c r="AW66" s="2179">
        <v>0</v>
      </c>
      <c r="AX66" s="2179">
        <v>0</v>
      </c>
      <c r="AY66" s="2179">
        <v>0</v>
      </c>
      <c r="AZ66" s="2179">
        <v>0</v>
      </c>
      <c r="BA66" s="2179">
        <v>0</v>
      </c>
      <c r="BB66" s="2179">
        <v>0</v>
      </c>
      <c r="BC66" s="2179">
        <v>0</v>
      </c>
      <c r="BD66" s="2179">
        <v>0</v>
      </c>
      <c r="BE66" s="2179">
        <v>0</v>
      </c>
      <c r="BF66" s="2179">
        <v>0</v>
      </c>
      <c r="BG66" s="2179">
        <v>0</v>
      </c>
      <c r="BH66" s="2179">
        <v>0</v>
      </c>
      <c r="BI66" s="2179">
        <v>0</v>
      </c>
      <c r="BJ66" s="2179">
        <v>0</v>
      </c>
      <c r="BK66" s="2179">
        <v>0</v>
      </c>
      <c r="BL66" s="2179">
        <v>0</v>
      </c>
      <c r="BM66" s="2179">
        <v>0</v>
      </c>
      <c r="BN66" s="2179">
        <v>0</v>
      </c>
      <c r="BO66" s="2179">
        <v>0</v>
      </c>
      <c r="BP66" s="2179">
        <v>0</v>
      </c>
      <c r="BQ66" s="2179">
        <v>0</v>
      </c>
      <c r="BR66" s="2179">
        <v>0</v>
      </c>
      <c r="BS66" s="2179">
        <v>0</v>
      </c>
      <c r="BT66" s="2179">
        <v>0</v>
      </c>
      <c r="BU66" s="2179">
        <v>0</v>
      </c>
      <c r="BV66" s="2179">
        <v>0</v>
      </c>
      <c r="BW66" s="2179">
        <v>0</v>
      </c>
      <c r="BX66" s="2179">
        <v>0</v>
      </c>
      <c r="BY66" s="2179">
        <v>0</v>
      </c>
      <c r="BZ66" s="2179">
        <v>0</v>
      </c>
      <c r="CA66" s="2179">
        <v>0</v>
      </c>
      <c r="CB66" s="2179">
        <v>0</v>
      </c>
      <c r="CC66" s="2179">
        <v>0</v>
      </c>
      <c r="CD66" s="2179">
        <v>0</v>
      </c>
      <c r="CE66" s="2179">
        <v>0</v>
      </c>
      <c r="CF66" s="2179">
        <v>0</v>
      </c>
      <c r="CG66" s="2179">
        <v>2</v>
      </c>
      <c r="CH66" s="2179">
        <v>0</v>
      </c>
      <c r="CI66" s="2179">
        <v>0</v>
      </c>
      <c r="CJ66" s="2179">
        <v>0</v>
      </c>
      <c r="CK66" s="2179">
        <v>0</v>
      </c>
      <c r="CL66" s="2179">
        <v>0</v>
      </c>
      <c r="CM66" s="2179">
        <v>0</v>
      </c>
      <c r="CN66" s="2179">
        <v>0</v>
      </c>
      <c r="CO66" s="2179">
        <v>0</v>
      </c>
      <c r="CP66" s="2179">
        <v>0</v>
      </c>
      <c r="CQ66" s="2179">
        <v>0</v>
      </c>
      <c r="CR66" s="2179">
        <v>0</v>
      </c>
      <c r="CS66" s="2179">
        <v>0</v>
      </c>
      <c r="CT66" s="2179">
        <v>1</v>
      </c>
      <c r="CU66" s="2179">
        <v>0</v>
      </c>
      <c r="CV66" s="2179">
        <v>0</v>
      </c>
      <c r="CW66" s="2179">
        <v>0</v>
      </c>
      <c r="CX66" s="2179">
        <v>0</v>
      </c>
      <c r="CY66" s="2179">
        <v>0</v>
      </c>
      <c r="CZ66" s="2179">
        <v>0</v>
      </c>
      <c r="DA66" s="2179">
        <v>0</v>
      </c>
      <c r="DB66" s="2179">
        <v>0</v>
      </c>
      <c r="DC66" s="2179">
        <v>0</v>
      </c>
      <c r="DD66" s="2179">
        <v>0</v>
      </c>
      <c r="DE66" s="2179">
        <v>0</v>
      </c>
      <c r="DF66" s="2179">
        <v>0</v>
      </c>
      <c r="DG66" s="2179">
        <v>0</v>
      </c>
      <c r="DH66" s="2179">
        <v>0</v>
      </c>
      <c r="DI66" s="2179">
        <v>0</v>
      </c>
      <c r="DJ66" s="2179">
        <v>0</v>
      </c>
      <c r="DK66" s="2179">
        <v>0</v>
      </c>
      <c r="DL66" s="2179">
        <v>0</v>
      </c>
      <c r="DM66" s="2179">
        <v>0</v>
      </c>
      <c r="DN66" s="2179">
        <v>0</v>
      </c>
      <c r="DO66" s="2179">
        <v>0</v>
      </c>
      <c r="DP66" s="2179">
        <v>0</v>
      </c>
      <c r="DQ66" s="2179">
        <v>1</v>
      </c>
      <c r="DR66" s="2179">
        <v>0</v>
      </c>
      <c r="DS66" s="2179">
        <v>0</v>
      </c>
      <c r="DT66" s="2179">
        <v>0</v>
      </c>
      <c r="DU66" s="2179">
        <v>0</v>
      </c>
      <c r="DV66" s="2179">
        <v>0</v>
      </c>
      <c r="DW66" s="2179">
        <v>0</v>
      </c>
      <c r="DX66" s="2179">
        <v>0</v>
      </c>
      <c r="DY66" s="2179">
        <v>0</v>
      </c>
      <c r="DZ66" s="2179">
        <v>0</v>
      </c>
      <c r="EA66" s="2179">
        <v>0</v>
      </c>
      <c r="EB66" s="2179">
        <v>0</v>
      </c>
      <c r="EC66" s="2179">
        <v>0</v>
      </c>
      <c r="ED66" s="2179">
        <v>0</v>
      </c>
      <c r="EE66" s="2179">
        <v>0</v>
      </c>
      <c r="EF66" s="2179">
        <v>0</v>
      </c>
      <c r="EG66" s="2179">
        <v>0</v>
      </c>
      <c r="EH66" s="2179">
        <v>1</v>
      </c>
      <c r="EI66" s="2179">
        <v>0</v>
      </c>
      <c r="EJ66" s="2179">
        <v>0</v>
      </c>
      <c r="EK66" s="2179">
        <v>0</v>
      </c>
      <c r="EL66" s="2179">
        <v>0</v>
      </c>
      <c r="EM66" s="2179">
        <v>0</v>
      </c>
      <c r="EN66" s="2179">
        <v>0</v>
      </c>
      <c r="EO66" s="2179">
        <v>0</v>
      </c>
      <c r="EP66" s="2179">
        <v>0</v>
      </c>
      <c r="EQ66" s="2179">
        <v>0</v>
      </c>
      <c r="ER66" s="2179">
        <v>0</v>
      </c>
      <c r="ES66" s="2179">
        <v>0</v>
      </c>
      <c r="ET66" s="2179">
        <v>0</v>
      </c>
      <c r="EU66" s="2179">
        <v>0</v>
      </c>
      <c r="EV66" s="2179">
        <v>0</v>
      </c>
      <c r="EW66" s="2179">
        <v>0</v>
      </c>
      <c r="EX66" s="2179">
        <v>0</v>
      </c>
      <c r="EY66" s="2179">
        <v>0</v>
      </c>
      <c r="EZ66" s="2179">
        <v>0</v>
      </c>
      <c r="FA66" s="2179">
        <v>0</v>
      </c>
      <c r="FB66" s="2179">
        <v>0</v>
      </c>
      <c r="FC66" s="2179">
        <v>0</v>
      </c>
      <c r="FD66" s="2179">
        <v>0</v>
      </c>
      <c r="FE66" s="2179">
        <v>0</v>
      </c>
      <c r="FF66" s="2179">
        <v>0</v>
      </c>
      <c r="FG66" s="2179">
        <v>0</v>
      </c>
      <c r="FH66" s="2179">
        <v>0</v>
      </c>
      <c r="FI66" s="2179">
        <v>0</v>
      </c>
      <c r="FJ66" s="2179">
        <v>0</v>
      </c>
      <c r="FK66" s="2179">
        <v>0</v>
      </c>
      <c r="FL66" s="2179">
        <v>0</v>
      </c>
      <c r="FM66" s="2179">
        <v>0</v>
      </c>
      <c r="FN66" s="2179">
        <v>0</v>
      </c>
      <c r="FO66" s="2179">
        <v>0</v>
      </c>
      <c r="FP66" s="2179">
        <v>0</v>
      </c>
      <c r="FQ66" s="2179">
        <v>0</v>
      </c>
      <c r="FR66" s="2179">
        <v>2</v>
      </c>
      <c r="FS66" s="2179">
        <v>0</v>
      </c>
      <c r="FT66" s="2179">
        <v>0</v>
      </c>
      <c r="FU66" s="2179">
        <v>0</v>
      </c>
      <c r="FV66" s="2179">
        <v>0</v>
      </c>
      <c r="FW66" s="2179">
        <v>0</v>
      </c>
      <c r="FX66" s="2179">
        <v>0</v>
      </c>
      <c r="FY66" s="2179"/>
      <c r="FZ66" s="2179"/>
      <c r="GA66" s="2179">
        <v>9</v>
      </c>
      <c r="GB66" s="2179">
        <f t="shared" si="3"/>
        <v>9</v>
      </c>
    </row>
    <row r="67" spans="2:184" ht="16.8">
      <c r="B67" s="2313" t="str">
        <f t="shared" si="2"/>
        <v>Tháo sứ treo thủy tinh</v>
      </c>
      <c r="C67" s="2179"/>
      <c r="D67" s="2179" t="s">
        <v>5154</v>
      </c>
      <c r="E67" s="2179">
        <f t="shared" si="0"/>
        <v>30</v>
      </c>
      <c r="F67" s="2179">
        <v>3</v>
      </c>
      <c r="G67" s="2179"/>
      <c r="H67" s="2179"/>
      <c r="I67" s="2179"/>
      <c r="J67" s="2179"/>
      <c r="K67" s="2179"/>
      <c r="L67" s="2179"/>
      <c r="M67" s="2179"/>
      <c r="N67" s="2179"/>
      <c r="O67" s="2179"/>
      <c r="P67" s="2179"/>
      <c r="Q67" s="2179"/>
      <c r="R67" s="2179"/>
      <c r="S67" s="2179"/>
      <c r="T67" s="2179"/>
      <c r="U67" s="2179"/>
      <c r="V67" s="2179"/>
      <c r="W67" s="2179"/>
      <c r="X67" s="2179"/>
      <c r="Y67" s="2179"/>
      <c r="Z67" s="2179"/>
      <c r="AA67" s="2179"/>
      <c r="AB67" s="2179"/>
      <c r="AC67" s="2179"/>
      <c r="AD67" s="2179"/>
      <c r="AE67" s="2179"/>
      <c r="AF67" s="2179"/>
      <c r="AG67" s="2179"/>
      <c r="AH67" s="2179"/>
      <c r="AI67" s="2179"/>
      <c r="AJ67" s="2179"/>
      <c r="AK67" s="2179"/>
      <c r="AL67" s="2179"/>
      <c r="AM67" s="2179"/>
      <c r="AN67" s="2179"/>
      <c r="AO67" s="2179"/>
      <c r="AP67" s="2179">
        <v>6</v>
      </c>
      <c r="AQ67" s="2179"/>
      <c r="AR67" s="2179"/>
      <c r="AS67" s="2179"/>
      <c r="AT67" s="2179"/>
      <c r="AU67" s="2179"/>
      <c r="AV67" s="2179"/>
      <c r="AW67" s="2179"/>
      <c r="AX67" s="2179"/>
      <c r="AY67" s="2179"/>
      <c r="AZ67" s="2179"/>
      <c r="BA67" s="2179"/>
      <c r="BB67" s="2179"/>
      <c r="BC67" s="2179"/>
      <c r="BD67" s="2179"/>
      <c r="BE67" s="2179"/>
      <c r="BF67" s="2179"/>
      <c r="BG67" s="2179"/>
      <c r="BH67" s="2179"/>
      <c r="BI67" s="2179"/>
      <c r="BJ67" s="2179"/>
      <c r="BK67" s="2179"/>
      <c r="BL67" s="2179"/>
      <c r="BM67" s="2179"/>
      <c r="BN67" s="2179"/>
      <c r="BO67" s="2179"/>
      <c r="BP67" s="2179"/>
      <c r="BQ67" s="2179"/>
      <c r="BR67" s="2179"/>
      <c r="BS67" s="2179"/>
      <c r="BT67" s="2179"/>
      <c r="BU67" s="2179"/>
      <c r="BV67" s="2179"/>
      <c r="BW67" s="2179"/>
      <c r="BX67" s="2179"/>
      <c r="BY67" s="2179"/>
      <c r="BZ67" s="2179"/>
      <c r="CA67" s="2179"/>
      <c r="CB67" s="2179"/>
      <c r="CC67" s="2179"/>
      <c r="CD67" s="2179"/>
      <c r="CE67" s="2179"/>
      <c r="CF67" s="2179"/>
      <c r="CG67" s="2179">
        <v>6</v>
      </c>
      <c r="CH67" s="2179"/>
      <c r="CI67" s="2179">
        <v>3</v>
      </c>
      <c r="CJ67" s="2179"/>
      <c r="CK67" s="2179"/>
      <c r="CL67" s="2179"/>
      <c r="CM67" s="2179"/>
      <c r="CN67" s="2179"/>
      <c r="CO67" s="2179"/>
      <c r="CP67" s="2179"/>
      <c r="CQ67" s="2179"/>
      <c r="CR67" s="2179"/>
      <c r="CS67" s="2179"/>
      <c r="CT67" s="2179"/>
      <c r="CU67" s="2179"/>
      <c r="CV67" s="2179"/>
      <c r="CW67" s="2179"/>
      <c r="CX67" s="2179"/>
      <c r="CY67" s="2179"/>
      <c r="CZ67" s="2179"/>
      <c r="DA67" s="2179"/>
      <c r="DB67" s="2179"/>
      <c r="DC67" s="2179"/>
      <c r="DD67" s="2179"/>
      <c r="DE67" s="2179"/>
      <c r="DF67" s="2179"/>
      <c r="DG67" s="2179"/>
      <c r="DH67" s="2179"/>
      <c r="DI67" s="2179"/>
      <c r="DJ67" s="2179"/>
      <c r="DK67" s="2179"/>
      <c r="DL67" s="2179"/>
      <c r="DM67" s="2179"/>
      <c r="DN67" s="2179"/>
      <c r="DO67" s="2179"/>
      <c r="DP67" s="2179"/>
      <c r="DQ67" s="2179"/>
      <c r="DR67" s="2179"/>
      <c r="DS67" s="2179"/>
      <c r="DT67" s="2179"/>
      <c r="DU67" s="2179"/>
      <c r="DV67" s="2179"/>
      <c r="DW67" s="2179"/>
      <c r="DX67" s="2179"/>
      <c r="DY67" s="2179"/>
      <c r="DZ67" s="2179"/>
      <c r="EA67" s="2179"/>
      <c r="EB67" s="2179">
        <v>6</v>
      </c>
      <c r="EC67" s="2179"/>
      <c r="ED67" s="2179"/>
      <c r="EE67" s="2179"/>
      <c r="EF67" s="2179"/>
      <c r="EG67" s="2179"/>
      <c r="EH67" s="2179"/>
      <c r="EI67" s="2179"/>
      <c r="EJ67" s="2179"/>
      <c r="EK67" s="2179"/>
      <c r="EL67" s="2179"/>
      <c r="EM67" s="2179"/>
      <c r="EN67" s="2179"/>
      <c r="EO67" s="2179"/>
      <c r="EP67" s="2179"/>
      <c r="EQ67" s="2179"/>
      <c r="ER67" s="2179"/>
      <c r="ES67" s="2179"/>
      <c r="ET67" s="2179"/>
      <c r="EU67" s="2179"/>
      <c r="EV67" s="2179"/>
      <c r="EW67" s="2179"/>
      <c r="EX67" s="2179"/>
      <c r="EY67" s="2179"/>
      <c r="EZ67" s="2179"/>
      <c r="FA67" s="2179"/>
      <c r="FB67" s="2179"/>
      <c r="FC67" s="2179"/>
      <c r="FD67" s="2179"/>
      <c r="FE67" s="2179"/>
      <c r="FF67" s="2179"/>
      <c r="FG67" s="2179"/>
      <c r="FH67" s="2179"/>
      <c r="FI67" s="2179"/>
      <c r="FJ67" s="2179"/>
      <c r="FK67" s="2179"/>
      <c r="FL67" s="2179"/>
      <c r="FM67" s="2179"/>
      <c r="FN67" s="2179"/>
      <c r="FO67" s="2179"/>
      <c r="FP67" s="2179"/>
      <c r="FQ67" s="2179"/>
      <c r="FR67" s="2179">
        <v>6</v>
      </c>
      <c r="FS67" s="2179"/>
      <c r="FT67" s="2179"/>
      <c r="FU67" s="2179"/>
      <c r="FV67" s="2179"/>
      <c r="FW67" s="2179"/>
      <c r="FX67" s="2179"/>
      <c r="FY67" s="2179"/>
      <c r="FZ67" s="2179"/>
      <c r="GA67" s="2179">
        <v>30</v>
      </c>
      <c r="GB67" s="2179">
        <f t="shared" si="3"/>
        <v>30</v>
      </c>
    </row>
    <row r="68" spans="2:184" ht="16.8" hidden="1">
      <c r="B68" s="2313" t="str">
        <f t="shared" si="2"/>
        <v>Tháo sứ treo Polymer</v>
      </c>
      <c r="C68" s="2179"/>
      <c r="D68" s="2179" t="s">
        <v>5155</v>
      </c>
      <c r="E68" s="2179">
        <f t="shared" ref="E68:E102" si="4">SUM(F68:FZ68)</f>
        <v>6</v>
      </c>
      <c r="F68" s="2179"/>
      <c r="G68" s="2179"/>
      <c r="H68" s="2179"/>
      <c r="I68" s="2179"/>
      <c r="J68" s="2179"/>
      <c r="K68" s="2179"/>
      <c r="L68" s="2179"/>
      <c r="M68" s="2179"/>
      <c r="N68" s="2179"/>
      <c r="O68" s="2179"/>
      <c r="P68" s="2179"/>
      <c r="Q68" s="2179"/>
      <c r="R68" s="2179"/>
      <c r="S68" s="2179"/>
      <c r="T68" s="2179"/>
      <c r="U68" s="2179"/>
      <c r="V68" s="2179"/>
      <c r="W68" s="2179"/>
      <c r="X68" s="2179"/>
      <c r="Y68" s="2179"/>
      <c r="Z68" s="2179"/>
      <c r="AA68" s="2179"/>
      <c r="AB68" s="2179"/>
      <c r="AC68" s="2179"/>
      <c r="AD68" s="2179"/>
      <c r="AE68" s="2179"/>
      <c r="AF68" s="2179"/>
      <c r="AG68" s="2179"/>
      <c r="AH68" s="2179"/>
      <c r="AI68" s="2179"/>
      <c r="AJ68" s="2179"/>
      <c r="AK68" s="2179"/>
      <c r="AL68" s="2179"/>
      <c r="AM68" s="2179"/>
      <c r="AN68" s="2179"/>
      <c r="AO68" s="2179"/>
      <c r="AP68" s="2179"/>
      <c r="AQ68" s="2179"/>
      <c r="AR68" s="2179"/>
      <c r="AS68" s="2179"/>
      <c r="AT68" s="2179"/>
      <c r="AU68" s="2179"/>
      <c r="AV68" s="2179"/>
      <c r="AW68" s="2179"/>
      <c r="AX68" s="2179"/>
      <c r="AY68" s="2179"/>
      <c r="AZ68" s="2179"/>
      <c r="BA68" s="2179"/>
      <c r="BB68" s="2179"/>
      <c r="BC68" s="2179"/>
      <c r="BD68" s="2179"/>
      <c r="BE68" s="2179"/>
      <c r="BF68" s="2179"/>
      <c r="BG68" s="2179"/>
      <c r="BH68" s="2179"/>
      <c r="BI68" s="2179"/>
      <c r="BJ68" s="2179"/>
      <c r="BK68" s="2179"/>
      <c r="BL68" s="2179"/>
      <c r="BM68" s="2179"/>
      <c r="BN68" s="2179"/>
      <c r="BO68" s="2179"/>
      <c r="BP68" s="2179"/>
      <c r="BQ68" s="2179"/>
      <c r="BR68" s="2179"/>
      <c r="BS68" s="2179"/>
      <c r="BT68" s="2179"/>
      <c r="BU68" s="2179"/>
      <c r="BV68" s="2179"/>
      <c r="BW68" s="2179"/>
      <c r="BX68" s="2179"/>
      <c r="BY68" s="2179"/>
      <c r="BZ68" s="2179"/>
      <c r="CA68" s="2179"/>
      <c r="CB68" s="2179"/>
      <c r="CC68" s="2179"/>
      <c r="CD68" s="2179"/>
      <c r="CE68" s="2179"/>
      <c r="CF68" s="2179"/>
      <c r="CG68" s="2179"/>
      <c r="CH68" s="2179"/>
      <c r="CI68" s="2179"/>
      <c r="CJ68" s="2179"/>
      <c r="CK68" s="2179"/>
      <c r="CL68" s="2179"/>
      <c r="CM68" s="2179"/>
      <c r="CN68" s="2179"/>
      <c r="CO68" s="2179"/>
      <c r="CP68" s="2179"/>
      <c r="CQ68" s="2179"/>
      <c r="CR68" s="2179"/>
      <c r="CS68" s="2179"/>
      <c r="CT68" s="2179"/>
      <c r="CU68" s="2179"/>
      <c r="CV68" s="2179"/>
      <c r="CW68" s="2179"/>
      <c r="CX68" s="2179"/>
      <c r="CY68" s="2179"/>
      <c r="CZ68" s="2179"/>
      <c r="DA68" s="2179"/>
      <c r="DB68" s="2179"/>
      <c r="DC68" s="2179"/>
      <c r="DD68" s="2179"/>
      <c r="DE68" s="2179"/>
      <c r="DF68" s="2179"/>
      <c r="DG68" s="2179"/>
      <c r="DH68" s="2179"/>
      <c r="DI68" s="2179"/>
      <c r="DJ68" s="2179"/>
      <c r="DK68" s="2179"/>
      <c r="DL68" s="2179"/>
      <c r="DM68" s="2179"/>
      <c r="DN68" s="2179"/>
      <c r="DO68" s="2179"/>
      <c r="DP68" s="2179"/>
      <c r="DQ68" s="2179"/>
      <c r="DR68" s="2179"/>
      <c r="DS68" s="2179"/>
      <c r="DT68" s="2179"/>
      <c r="DU68" s="2179"/>
      <c r="DV68" s="2179"/>
      <c r="DW68" s="2179"/>
      <c r="DX68" s="2179">
        <v>3</v>
      </c>
      <c r="DY68" s="2179"/>
      <c r="DZ68" s="2179"/>
      <c r="EA68" s="2179"/>
      <c r="EB68" s="2179">
        <v>3</v>
      </c>
      <c r="EC68" s="2179"/>
      <c r="ED68" s="2179"/>
      <c r="EE68" s="2179"/>
      <c r="EF68" s="2179"/>
      <c r="EG68" s="2179"/>
      <c r="EH68" s="2179"/>
      <c r="EI68" s="2179"/>
      <c r="EJ68" s="2179"/>
      <c r="EK68" s="2179"/>
      <c r="EL68" s="2179"/>
      <c r="EM68" s="2179"/>
      <c r="EN68" s="2179"/>
      <c r="EO68" s="2179"/>
      <c r="EP68" s="2179"/>
      <c r="EQ68" s="2179"/>
      <c r="ER68" s="2179"/>
      <c r="ES68" s="2179"/>
      <c r="ET68" s="2179"/>
      <c r="EU68" s="2179"/>
      <c r="EV68" s="2179"/>
      <c r="EW68" s="2179"/>
      <c r="EX68" s="2179"/>
      <c r="EY68" s="2179"/>
      <c r="EZ68" s="2179"/>
      <c r="FA68" s="2179"/>
      <c r="FB68" s="2179"/>
      <c r="FC68" s="2179"/>
      <c r="FD68" s="2179"/>
      <c r="FE68" s="2179"/>
      <c r="FF68" s="2179"/>
      <c r="FG68" s="2179"/>
      <c r="FH68" s="2179"/>
      <c r="FI68" s="2179"/>
      <c r="FJ68" s="2179"/>
      <c r="FK68" s="2179"/>
      <c r="FL68" s="2179"/>
      <c r="FM68" s="2179"/>
      <c r="FN68" s="2179"/>
      <c r="FO68" s="2179"/>
      <c r="FP68" s="2179"/>
      <c r="FQ68" s="2179"/>
      <c r="FR68" s="2179"/>
      <c r="FS68" s="2179"/>
      <c r="FT68" s="2179"/>
      <c r="FU68" s="2179"/>
      <c r="FV68" s="2179"/>
      <c r="FW68" s="2179"/>
      <c r="FX68" s="2179"/>
      <c r="FY68" s="2179"/>
      <c r="FZ68" s="2179"/>
      <c r="GA68" s="2179">
        <v>6</v>
      </c>
      <c r="GB68" s="2179">
        <f t="shared" si="3"/>
        <v>6</v>
      </c>
    </row>
    <row r="69" spans="2:184" ht="16.8" hidden="1">
      <c r="B69" s="2313" t="str">
        <f t="shared" ref="B69:B102" si="5">IF(LEN(D69)&gt;0,D69,C69)</f>
        <v>Tháo sứ đứng</v>
      </c>
      <c r="C69" s="2179"/>
      <c r="D69" s="2179" t="s">
        <v>2612</v>
      </c>
      <c r="E69" s="2179">
        <f t="shared" si="4"/>
        <v>190</v>
      </c>
      <c r="F69" s="2179"/>
      <c r="G69" s="2179"/>
      <c r="H69" s="2179">
        <v>4</v>
      </c>
      <c r="I69" s="2179"/>
      <c r="J69" s="2179">
        <v>2</v>
      </c>
      <c r="K69" s="2179"/>
      <c r="L69" s="2179">
        <v>2</v>
      </c>
      <c r="M69" s="2179"/>
      <c r="N69" s="2179">
        <v>2</v>
      </c>
      <c r="O69" s="2179"/>
      <c r="P69" s="2179">
        <v>2</v>
      </c>
      <c r="Q69" s="2179"/>
      <c r="R69" s="2179">
        <v>2</v>
      </c>
      <c r="S69" s="2179"/>
      <c r="T69" s="2179">
        <v>2</v>
      </c>
      <c r="U69" s="2179"/>
      <c r="V69" s="2179">
        <v>2</v>
      </c>
      <c r="W69" s="2179"/>
      <c r="X69" s="2179">
        <v>2</v>
      </c>
      <c r="Y69" s="2179"/>
      <c r="Z69" s="2179">
        <v>2</v>
      </c>
      <c r="AA69" s="2179"/>
      <c r="AB69" s="2179">
        <v>2</v>
      </c>
      <c r="AC69" s="2179"/>
      <c r="AD69" s="2179">
        <v>2</v>
      </c>
      <c r="AE69" s="2179"/>
      <c r="AF69" s="2179">
        <v>4</v>
      </c>
      <c r="AG69" s="2179"/>
      <c r="AH69" s="2179">
        <v>2</v>
      </c>
      <c r="AI69" s="2179"/>
      <c r="AJ69" s="2179">
        <v>2</v>
      </c>
      <c r="AK69" s="2179"/>
      <c r="AL69" s="2179">
        <v>2</v>
      </c>
      <c r="AM69" s="2179"/>
      <c r="AN69" s="2179">
        <v>2</v>
      </c>
      <c r="AO69" s="2179"/>
      <c r="AP69" s="2179">
        <v>1</v>
      </c>
      <c r="AQ69" s="2179"/>
      <c r="AR69" s="2179">
        <v>2</v>
      </c>
      <c r="AS69" s="2179"/>
      <c r="AT69" s="2179">
        <v>2</v>
      </c>
      <c r="AU69" s="2179"/>
      <c r="AV69" s="2179">
        <v>4</v>
      </c>
      <c r="AW69" s="2179"/>
      <c r="AX69" s="2179">
        <v>2</v>
      </c>
      <c r="AY69" s="2179"/>
      <c r="AZ69" s="2179"/>
      <c r="BA69" s="2179">
        <v>2</v>
      </c>
      <c r="BB69" s="2179"/>
      <c r="BC69" s="2179">
        <v>2</v>
      </c>
      <c r="BD69" s="2179"/>
      <c r="BE69" s="2179">
        <v>2</v>
      </c>
      <c r="BF69" s="2179"/>
      <c r="BG69" s="2179">
        <v>2</v>
      </c>
      <c r="BH69" s="2179"/>
      <c r="BI69" s="2179">
        <v>2</v>
      </c>
      <c r="BJ69" s="2179"/>
      <c r="BK69" s="2179">
        <v>2</v>
      </c>
      <c r="BL69" s="2179"/>
      <c r="BM69" s="2179">
        <v>2</v>
      </c>
      <c r="BN69" s="2179"/>
      <c r="BO69" s="2179">
        <v>2</v>
      </c>
      <c r="BP69" s="2179"/>
      <c r="BQ69" s="2179">
        <v>2</v>
      </c>
      <c r="BR69" s="2179"/>
      <c r="BS69" s="2179">
        <v>2</v>
      </c>
      <c r="BT69" s="2179"/>
      <c r="BU69" s="2179">
        <v>2</v>
      </c>
      <c r="BV69" s="2179"/>
      <c r="BW69" s="2179">
        <v>2</v>
      </c>
      <c r="BX69" s="2179"/>
      <c r="BY69" s="2179">
        <v>2</v>
      </c>
      <c r="BZ69" s="2179"/>
      <c r="CA69" s="2179">
        <v>2</v>
      </c>
      <c r="CB69" s="2179"/>
      <c r="CC69" s="2179">
        <v>2</v>
      </c>
      <c r="CD69" s="2179"/>
      <c r="CE69" s="2179">
        <v>2</v>
      </c>
      <c r="CF69" s="2179"/>
      <c r="CG69" s="2179">
        <v>1</v>
      </c>
      <c r="CH69" s="2179"/>
      <c r="CI69" s="2179"/>
      <c r="CJ69" s="2179"/>
      <c r="CK69" s="2179">
        <v>2</v>
      </c>
      <c r="CL69" s="2179"/>
      <c r="CM69" s="2179">
        <v>2</v>
      </c>
      <c r="CN69" s="2179"/>
      <c r="CO69" s="2179">
        <v>2</v>
      </c>
      <c r="CP69" s="2179">
        <v>2</v>
      </c>
      <c r="CQ69" s="2179">
        <v>2</v>
      </c>
      <c r="CR69" s="2179">
        <v>2</v>
      </c>
      <c r="CS69" s="2179"/>
      <c r="CT69" s="2179">
        <v>4</v>
      </c>
      <c r="CU69" s="2179"/>
      <c r="CV69" s="2179">
        <v>2</v>
      </c>
      <c r="CW69" s="2179"/>
      <c r="CX69" s="2179">
        <v>2</v>
      </c>
      <c r="CY69" s="2179"/>
      <c r="CZ69" s="2179">
        <v>2</v>
      </c>
      <c r="DA69" s="2179"/>
      <c r="DB69" s="2179">
        <v>2</v>
      </c>
      <c r="DC69" s="2179"/>
      <c r="DD69" s="2179">
        <v>2</v>
      </c>
      <c r="DE69" s="2179"/>
      <c r="DF69" s="2179">
        <v>2</v>
      </c>
      <c r="DG69" s="2179">
        <v>2</v>
      </c>
      <c r="DH69" s="2179"/>
      <c r="DI69" s="2179">
        <v>2</v>
      </c>
      <c r="DJ69" s="2179"/>
      <c r="DK69" s="2179">
        <v>2</v>
      </c>
      <c r="DL69" s="2179"/>
      <c r="DM69" s="2179">
        <v>2</v>
      </c>
      <c r="DN69" s="2179"/>
      <c r="DO69" s="2179">
        <v>2</v>
      </c>
      <c r="DP69" s="2179"/>
      <c r="DQ69" s="2179">
        <v>4</v>
      </c>
      <c r="DR69" s="2179"/>
      <c r="DS69" s="2179">
        <v>2</v>
      </c>
      <c r="DT69" s="2179">
        <v>2</v>
      </c>
      <c r="DU69" s="2179"/>
      <c r="DV69" s="2179">
        <v>2</v>
      </c>
      <c r="DW69" s="2179"/>
      <c r="DX69" s="2179">
        <v>2</v>
      </c>
      <c r="DY69" s="2179"/>
      <c r="DZ69" s="2179">
        <v>2</v>
      </c>
      <c r="EA69" s="2179"/>
      <c r="EB69" s="2179">
        <v>1</v>
      </c>
      <c r="EC69" s="2179"/>
      <c r="ED69" s="2179">
        <v>2</v>
      </c>
      <c r="EE69" s="2179"/>
      <c r="EF69" s="2179">
        <v>2</v>
      </c>
      <c r="EG69" s="2179"/>
      <c r="EH69" s="2179">
        <v>4</v>
      </c>
      <c r="EI69" s="2179"/>
      <c r="EJ69" s="2179">
        <v>2</v>
      </c>
      <c r="EK69" s="2179"/>
      <c r="EL69" s="2179">
        <v>2</v>
      </c>
      <c r="EM69" s="2179"/>
      <c r="EN69" s="2179">
        <v>2</v>
      </c>
      <c r="EO69" s="2179"/>
      <c r="EP69" s="2179">
        <v>2</v>
      </c>
      <c r="EQ69" s="2179"/>
      <c r="ER69" s="2179">
        <v>2</v>
      </c>
      <c r="ES69" s="2179"/>
      <c r="ET69" s="2179">
        <v>2</v>
      </c>
      <c r="EU69" s="2179"/>
      <c r="EV69" s="2179">
        <v>2</v>
      </c>
      <c r="EW69" s="2179"/>
      <c r="EX69" s="2179">
        <v>2</v>
      </c>
      <c r="EY69" s="2179">
        <v>2</v>
      </c>
      <c r="EZ69" s="2179">
        <v>2</v>
      </c>
      <c r="FA69" s="2179"/>
      <c r="FB69" s="2179">
        <v>2</v>
      </c>
      <c r="FC69" s="2179"/>
      <c r="FD69" s="2179">
        <v>2</v>
      </c>
      <c r="FE69" s="2179"/>
      <c r="FF69" s="2179">
        <v>2</v>
      </c>
      <c r="FG69" s="2179"/>
      <c r="FH69" s="2179">
        <v>2</v>
      </c>
      <c r="FI69" s="2179">
        <v>2</v>
      </c>
      <c r="FJ69" s="2179">
        <v>4</v>
      </c>
      <c r="FK69" s="2179"/>
      <c r="FL69" s="2179">
        <v>2</v>
      </c>
      <c r="FM69" s="2179"/>
      <c r="FN69" s="2179">
        <v>2</v>
      </c>
      <c r="FO69" s="2179"/>
      <c r="FP69" s="2179">
        <v>2</v>
      </c>
      <c r="FQ69" s="2179"/>
      <c r="FR69" s="2179">
        <v>1</v>
      </c>
      <c r="FS69" s="2179"/>
      <c r="FT69" s="2179">
        <v>4</v>
      </c>
      <c r="FU69" s="2179"/>
      <c r="FV69" s="2179">
        <v>2</v>
      </c>
      <c r="FW69" s="2179"/>
      <c r="FX69" s="2179"/>
      <c r="FY69" s="2179"/>
      <c r="FZ69" s="2179"/>
      <c r="GA69" s="2179">
        <v>190</v>
      </c>
      <c r="GB69" s="2179">
        <f t="shared" ref="GB69:GB102" si="6">SUM(F69:FY69)</f>
        <v>190</v>
      </c>
    </row>
    <row r="70" spans="2:184" ht="16.8" hidden="1">
      <c r="B70" s="2313" t="str">
        <f t="shared" si="5"/>
        <v>Tháo sứ đỉnh</v>
      </c>
      <c r="C70" s="2179"/>
      <c r="D70" s="2179" t="s">
        <v>5156</v>
      </c>
      <c r="E70" s="2179">
        <f t="shared" si="4"/>
        <v>93</v>
      </c>
      <c r="F70" s="2179"/>
      <c r="G70" s="2179"/>
      <c r="H70" s="2179">
        <v>2</v>
      </c>
      <c r="I70" s="2179"/>
      <c r="J70" s="2179">
        <v>1</v>
      </c>
      <c r="K70" s="2179"/>
      <c r="L70" s="2179">
        <v>1</v>
      </c>
      <c r="M70" s="2179"/>
      <c r="N70" s="2179">
        <v>1</v>
      </c>
      <c r="O70" s="2179"/>
      <c r="P70" s="2179">
        <v>1</v>
      </c>
      <c r="Q70" s="2179"/>
      <c r="R70" s="2179">
        <v>1</v>
      </c>
      <c r="S70" s="2179"/>
      <c r="T70" s="2179">
        <v>1</v>
      </c>
      <c r="U70" s="2179"/>
      <c r="V70" s="2179">
        <v>1</v>
      </c>
      <c r="W70" s="2179"/>
      <c r="X70" s="2179">
        <v>1</v>
      </c>
      <c r="Y70" s="2179"/>
      <c r="Z70" s="2179">
        <v>1</v>
      </c>
      <c r="AA70" s="2179"/>
      <c r="AB70" s="2179">
        <v>1</v>
      </c>
      <c r="AC70" s="2179"/>
      <c r="AD70" s="2179">
        <v>1</v>
      </c>
      <c r="AE70" s="2179"/>
      <c r="AF70" s="2179">
        <v>2</v>
      </c>
      <c r="AG70" s="2179"/>
      <c r="AH70" s="2179">
        <v>1</v>
      </c>
      <c r="AI70" s="2179"/>
      <c r="AJ70" s="2179">
        <v>1</v>
      </c>
      <c r="AK70" s="2179"/>
      <c r="AL70" s="2179">
        <v>1</v>
      </c>
      <c r="AM70" s="2179"/>
      <c r="AN70" s="2179">
        <v>1</v>
      </c>
      <c r="AO70" s="2179"/>
      <c r="AP70" s="2179"/>
      <c r="AQ70" s="2179"/>
      <c r="AR70" s="2179">
        <v>1</v>
      </c>
      <c r="AS70" s="2179"/>
      <c r="AT70" s="2179">
        <v>1</v>
      </c>
      <c r="AU70" s="2179"/>
      <c r="AV70" s="2179">
        <v>2</v>
      </c>
      <c r="AW70" s="2179"/>
      <c r="AX70" s="2179">
        <v>1</v>
      </c>
      <c r="AY70" s="2179"/>
      <c r="AZ70" s="2179"/>
      <c r="BA70" s="2179">
        <v>1</v>
      </c>
      <c r="BB70" s="2179"/>
      <c r="BC70" s="2179">
        <v>1</v>
      </c>
      <c r="BD70" s="2179"/>
      <c r="BE70" s="2179">
        <v>1</v>
      </c>
      <c r="BF70" s="2179"/>
      <c r="BG70" s="2179">
        <v>1</v>
      </c>
      <c r="BH70" s="2179"/>
      <c r="BI70" s="2179">
        <v>1</v>
      </c>
      <c r="BJ70" s="2179"/>
      <c r="BK70" s="2179">
        <v>1</v>
      </c>
      <c r="BL70" s="2179"/>
      <c r="BM70" s="2179">
        <v>1</v>
      </c>
      <c r="BN70" s="2179"/>
      <c r="BO70" s="2179">
        <v>1</v>
      </c>
      <c r="BP70" s="2179"/>
      <c r="BQ70" s="2179">
        <v>1</v>
      </c>
      <c r="BR70" s="2179"/>
      <c r="BS70" s="2179">
        <v>1</v>
      </c>
      <c r="BT70" s="2179"/>
      <c r="BU70" s="2179">
        <v>1</v>
      </c>
      <c r="BV70" s="2179"/>
      <c r="BW70" s="2179">
        <v>1</v>
      </c>
      <c r="BX70" s="2179"/>
      <c r="BY70" s="2179">
        <v>1</v>
      </c>
      <c r="BZ70" s="2179"/>
      <c r="CA70" s="2179">
        <v>1</v>
      </c>
      <c r="CB70" s="2179"/>
      <c r="CC70" s="2179">
        <v>1</v>
      </c>
      <c r="CD70" s="2179"/>
      <c r="CE70" s="2179">
        <v>1</v>
      </c>
      <c r="CF70" s="2179"/>
      <c r="CG70" s="2179"/>
      <c r="CH70" s="2179"/>
      <c r="CI70" s="2179"/>
      <c r="CJ70" s="2179"/>
      <c r="CK70" s="2179">
        <v>1</v>
      </c>
      <c r="CL70" s="2179"/>
      <c r="CM70" s="2179">
        <v>1</v>
      </c>
      <c r="CN70" s="2179"/>
      <c r="CO70" s="2179">
        <v>1</v>
      </c>
      <c r="CP70" s="2179">
        <v>1</v>
      </c>
      <c r="CQ70" s="2179">
        <v>1</v>
      </c>
      <c r="CR70" s="2179">
        <v>1</v>
      </c>
      <c r="CS70" s="2179"/>
      <c r="CT70" s="2179">
        <v>2</v>
      </c>
      <c r="CU70" s="2179"/>
      <c r="CV70" s="2179">
        <v>1</v>
      </c>
      <c r="CW70" s="2179"/>
      <c r="CX70" s="2179">
        <v>1</v>
      </c>
      <c r="CY70" s="2179"/>
      <c r="CZ70" s="2179">
        <v>1</v>
      </c>
      <c r="DA70" s="2179"/>
      <c r="DB70" s="2179">
        <v>1</v>
      </c>
      <c r="DC70" s="2179"/>
      <c r="DD70" s="2179">
        <v>1</v>
      </c>
      <c r="DE70" s="2179"/>
      <c r="DF70" s="2179">
        <v>1</v>
      </c>
      <c r="DG70" s="2179">
        <v>1</v>
      </c>
      <c r="DH70" s="2179"/>
      <c r="DI70" s="2179">
        <v>1</v>
      </c>
      <c r="DJ70" s="2179"/>
      <c r="DK70" s="2179">
        <v>1</v>
      </c>
      <c r="DL70" s="2179"/>
      <c r="DM70" s="2179">
        <v>1</v>
      </c>
      <c r="DN70" s="2179"/>
      <c r="DO70" s="2179">
        <v>1</v>
      </c>
      <c r="DP70" s="2179"/>
      <c r="DQ70" s="2179">
        <v>2</v>
      </c>
      <c r="DR70" s="2179"/>
      <c r="DS70" s="2179">
        <v>1</v>
      </c>
      <c r="DT70" s="2179">
        <v>1</v>
      </c>
      <c r="DU70" s="2179"/>
      <c r="DV70" s="2179">
        <v>1</v>
      </c>
      <c r="DW70" s="2179"/>
      <c r="DX70" s="2179">
        <v>1</v>
      </c>
      <c r="DY70" s="2179"/>
      <c r="DZ70" s="2179">
        <v>1</v>
      </c>
      <c r="EA70" s="2179"/>
      <c r="EB70" s="2179"/>
      <c r="EC70" s="2179"/>
      <c r="ED70" s="2179">
        <v>1</v>
      </c>
      <c r="EE70" s="2179"/>
      <c r="EF70" s="2179">
        <v>1</v>
      </c>
      <c r="EG70" s="2179"/>
      <c r="EH70" s="2179">
        <v>2</v>
      </c>
      <c r="EI70" s="2179"/>
      <c r="EJ70" s="2179">
        <v>1</v>
      </c>
      <c r="EK70" s="2179"/>
      <c r="EL70" s="2179">
        <v>1</v>
      </c>
      <c r="EM70" s="2179"/>
      <c r="EN70" s="2179">
        <v>1</v>
      </c>
      <c r="EO70" s="2179"/>
      <c r="EP70" s="2179">
        <v>1</v>
      </c>
      <c r="EQ70" s="2179"/>
      <c r="ER70" s="2179">
        <v>1</v>
      </c>
      <c r="ES70" s="2179"/>
      <c r="ET70" s="2179">
        <v>1</v>
      </c>
      <c r="EU70" s="2179"/>
      <c r="EV70" s="2179">
        <v>1</v>
      </c>
      <c r="EW70" s="2179"/>
      <c r="EX70" s="2179">
        <v>1</v>
      </c>
      <c r="EY70" s="2179">
        <v>1</v>
      </c>
      <c r="EZ70" s="2179">
        <v>1</v>
      </c>
      <c r="FA70" s="2179"/>
      <c r="FB70" s="2179">
        <v>1</v>
      </c>
      <c r="FC70" s="2179"/>
      <c r="FD70" s="2179">
        <v>1</v>
      </c>
      <c r="FE70" s="2179"/>
      <c r="FF70" s="2179">
        <v>1</v>
      </c>
      <c r="FG70" s="2179"/>
      <c r="FH70" s="2179">
        <v>1</v>
      </c>
      <c r="FI70" s="2179">
        <v>1</v>
      </c>
      <c r="FJ70" s="2179">
        <v>2</v>
      </c>
      <c r="FK70" s="2179"/>
      <c r="FL70" s="2179">
        <v>1</v>
      </c>
      <c r="FM70" s="2179"/>
      <c r="FN70" s="2179">
        <v>1</v>
      </c>
      <c r="FO70" s="2179"/>
      <c r="FP70" s="2179">
        <v>1</v>
      </c>
      <c r="FQ70" s="2179"/>
      <c r="FR70" s="2179"/>
      <c r="FS70" s="2179"/>
      <c r="FT70" s="2179">
        <v>2</v>
      </c>
      <c r="FU70" s="2179"/>
      <c r="FV70" s="2179">
        <v>1</v>
      </c>
      <c r="FW70" s="2179"/>
      <c r="FX70" s="2179"/>
      <c r="FY70" s="2179"/>
      <c r="FZ70" s="2179"/>
      <c r="GA70" s="2179">
        <v>93</v>
      </c>
      <c r="GB70" s="2179">
        <f t="shared" si="6"/>
        <v>93</v>
      </c>
    </row>
    <row r="71" spans="2:184" ht="16.8" hidden="1">
      <c r="B71" s="2313" t="str">
        <f t="shared" si="5"/>
        <v>Tháo R3 sứ</v>
      </c>
      <c r="C71" s="2179"/>
      <c r="D71" s="2179" t="s">
        <v>5157</v>
      </c>
      <c r="E71" s="2179">
        <f t="shared" si="4"/>
        <v>36</v>
      </c>
      <c r="F71" s="2179"/>
      <c r="G71" s="2179"/>
      <c r="H71" s="2179"/>
      <c r="I71" s="2179"/>
      <c r="J71" s="2179"/>
      <c r="K71" s="2179"/>
      <c r="L71" s="2179"/>
      <c r="M71" s="2179"/>
      <c r="N71" s="2179"/>
      <c r="O71" s="2179"/>
      <c r="P71" s="2179"/>
      <c r="Q71" s="2179"/>
      <c r="R71" s="2179"/>
      <c r="S71" s="2179"/>
      <c r="T71" s="2179"/>
      <c r="U71" s="2179"/>
      <c r="V71" s="2179"/>
      <c r="W71" s="2179"/>
      <c r="X71" s="2179"/>
      <c r="Y71" s="2179"/>
      <c r="Z71" s="2179"/>
      <c r="AA71" s="2179"/>
      <c r="AB71" s="2179"/>
      <c r="AC71" s="2179"/>
      <c r="AD71" s="2179"/>
      <c r="AE71" s="2179"/>
      <c r="AF71" s="2179"/>
      <c r="AG71" s="2179"/>
      <c r="AH71" s="2179"/>
      <c r="AI71" s="2179"/>
      <c r="AJ71" s="2179"/>
      <c r="AK71" s="2179"/>
      <c r="AL71" s="2179"/>
      <c r="AM71" s="2179"/>
      <c r="AN71" s="2179"/>
      <c r="AO71" s="2179"/>
      <c r="AP71" s="2179"/>
      <c r="AQ71" s="2179"/>
      <c r="AR71" s="2179"/>
      <c r="AS71" s="2179"/>
      <c r="AT71" s="2179"/>
      <c r="AU71" s="2179"/>
      <c r="AV71" s="2179"/>
      <c r="AW71" s="2179"/>
      <c r="AX71" s="2179"/>
      <c r="AY71" s="2179"/>
      <c r="AZ71" s="2179"/>
      <c r="BA71" s="2179"/>
      <c r="BB71" s="2179"/>
      <c r="BC71" s="2179"/>
      <c r="BD71" s="2179"/>
      <c r="BE71" s="2179"/>
      <c r="BF71" s="2179"/>
      <c r="BG71" s="2179"/>
      <c r="BH71" s="2179"/>
      <c r="BI71" s="2179"/>
      <c r="BJ71" s="2179"/>
      <c r="BK71" s="2179"/>
      <c r="BL71" s="2179"/>
      <c r="BM71" s="2179"/>
      <c r="BN71" s="2179"/>
      <c r="BO71" s="2179"/>
      <c r="BP71" s="2179"/>
      <c r="BQ71" s="2179"/>
      <c r="BR71" s="2179"/>
      <c r="BS71" s="2179"/>
      <c r="BT71" s="2179"/>
      <c r="BU71" s="2179"/>
      <c r="BV71" s="2179"/>
      <c r="BW71" s="2179"/>
      <c r="BX71" s="2179"/>
      <c r="BY71" s="2179"/>
      <c r="BZ71" s="2179">
        <v>1</v>
      </c>
      <c r="CA71" s="2179"/>
      <c r="CB71" s="2179"/>
      <c r="CC71" s="2179"/>
      <c r="CD71" s="2179">
        <v>1</v>
      </c>
      <c r="CE71" s="2179"/>
      <c r="CF71" s="2179">
        <v>1</v>
      </c>
      <c r="CG71" s="2179"/>
      <c r="CH71" s="2179">
        <v>1</v>
      </c>
      <c r="CI71" s="2179">
        <v>1</v>
      </c>
      <c r="CJ71" s="2179">
        <v>1</v>
      </c>
      <c r="CK71" s="2179"/>
      <c r="CL71" s="2179">
        <v>1</v>
      </c>
      <c r="CM71" s="2179"/>
      <c r="CN71" s="2179">
        <v>1</v>
      </c>
      <c r="CO71" s="2179"/>
      <c r="CP71" s="2179"/>
      <c r="CQ71" s="2179"/>
      <c r="CR71" s="2179"/>
      <c r="CS71" s="2179">
        <v>2</v>
      </c>
      <c r="CT71" s="2179"/>
      <c r="CU71" s="2179">
        <v>1</v>
      </c>
      <c r="CV71" s="2179"/>
      <c r="CW71" s="2179">
        <v>1</v>
      </c>
      <c r="CX71" s="2179"/>
      <c r="CY71" s="2179">
        <v>1</v>
      </c>
      <c r="CZ71" s="2179"/>
      <c r="DA71" s="2179">
        <v>1</v>
      </c>
      <c r="DB71" s="2179"/>
      <c r="DC71" s="2179">
        <v>1</v>
      </c>
      <c r="DD71" s="2179"/>
      <c r="DE71" s="2179">
        <v>1</v>
      </c>
      <c r="DF71" s="2179"/>
      <c r="DG71" s="2179"/>
      <c r="DH71" s="2179"/>
      <c r="DI71" s="2179"/>
      <c r="DJ71" s="2179"/>
      <c r="DK71" s="2179"/>
      <c r="DL71" s="2179"/>
      <c r="DM71" s="2179"/>
      <c r="DN71" s="2179"/>
      <c r="DO71" s="2179"/>
      <c r="DP71" s="2179"/>
      <c r="DQ71" s="2179"/>
      <c r="DR71" s="2179"/>
      <c r="DS71" s="2179"/>
      <c r="DT71" s="2179"/>
      <c r="DU71" s="2179"/>
      <c r="DV71" s="2179"/>
      <c r="DW71" s="2179"/>
      <c r="DX71" s="2179">
        <v>1</v>
      </c>
      <c r="DY71" s="2179"/>
      <c r="DZ71" s="2179"/>
      <c r="EA71" s="2179"/>
      <c r="EB71" s="2179"/>
      <c r="EC71" s="2179"/>
      <c r="ED71" s="2179"/>
      <c r="EE71" s="2179"/>
      <c r="EF71" s="2179"/>
      <c r="EG71" s="2179"/>
      <c r="EH71" s="2179"/>
      <c r="EI71" s="2179"/>
      <c r="EJ71" s="2179"/>
      <c r="EK71" s="2179"/>
      <c r="EL71" s="2179"/>
      <c r="EM71" s="2179">
        <v>1</v>
      </c>
      <c r="EN71" s="2179"/>
      <c r="EO71" s="2179">
        <v>1</v>
      </c>
      <c r="EP71" s="2179"/>
      <c r="EQ71" s="2179">
        <v>1</v>
      </c>
      <c r="ER71" s="2179"/>
      <c r="ES71" s="2179">
        <v>1</v>
      </c>
      <c r="ET71" s="2179"/>
      <c r="EU71" s="2179">
        <v>1</v>
      </c>
      <c r="EV71" s="2179"/>
      <c r="EW71" s="2179">
        <v>1</v>
      </c>
      <c r="EX71" s="2179"/>
      <c r="EY71" s="2179"/>
      <c r="EZ71" s="2179"/>
      <c r="FA71" s="2179">
        <v>1</v>
      </c>
      <c r="FB71" s="2179"/>
      <c r="FC71" s="2179">
        <v>1</v>
      </c>
      <c r="FD71" s="2179"/>
      <c r="FE71" s="2179">
        <v>1</v>
      </c>
      <c r="FF71" s="2179"/>
      <c r="FG71" s="2179">
        <v>1</v>
      </c>
      <c r="FH71" s="2179"/>
      <c r="FI71" s="2179"/>
      <c r="FJ71" s="2179"/>
      <c r="FK71" s="2179">
        <v>2</v>
      </c>
      <c r="FL71" s="2179"/>
      <c r="FM71" s="2179">
        <v>1</v>
      </c>
      <c r="FN71" s="2179"/>
      <c r="FO71" s="2179">
        <v>1</v>
      </c>
      <c r="FP71" s="2179"/>
      <c r="FQ71" s="2179">
        <v>1</v>
      </c>
      <c r="FR71" s="2179">
        <v>1</v>
      </c>
      <c r="FS71" s="2179"/>
      <c r="FT71" s="2179"/>
      <c r="FU71" s="2179">
        <v>2</v>
      </c>
      <c r="FV71" s="2179"/>
      <c r="FW71" s="2179">
        <v>1</v>
      </c>
      <c r="FX71" s="2179"/>
      <c r="FY71" s="2179"/>
      <c r="FZ71" s="2179"/>
      <c r="GA71" s="2179">
        <v>36</v>
      </c>
      <c r="GB71" s="2179">
        <f t="shared" si="6"/>
        <v>36</v>
      </c>
    </row>
    <row r="72" spans="2:184" ht="16.8" hidden="1">
      <c r="B72" s="2313" t="str">
        <f t="shared" si="5"/>
        <v>Tháo R4 sứ</v>
      </c>
      <c r="C72" s="2179"/>
      <c r="D72" s="2179" t="s">
        <v>5158</v>
      </c>
      <c r="E72" s="2179">
        <f t="shared" si="4"/>
        <v>9</v>
      </c>
      <c r="F72" s="2179"/>
      <c r="G72" s="2179">
        <v>1</v>
      </c>
      <c r="H72" s="2179"/>
      <c r="I72" s="2179">
        <v>1</v>
      </c>
      <c r="J72" s="2179"/>
      <c r="K72" s="2179">
        <v>1</v>
      </c>
      <c r="L72" s="2179"/>
      <c r="M72" s="2179">
        <v>1</v>
      </c>
      <c r="N72" s="2179"/>
      <c r="O72" s="2179">
        <v>1</v>
      </c>
      <c r="P72" s="2179"/>
      <c r="Q72" s="2179">
        <v>1</v>
      </c>
      <c r="R72" s="2179"/>
      <c r="S72" s="2179">
        <v>1</v>
      </c>
      <c r="T72" s="2179"/>
      <c r="U72" s="2179">
        <v>1</v>
      </c>
      <c r="V72" s="2179"/>
      <c r="W72" s="2179"/>
      <c r="X72" s="2179"/>
      <c r="Y72" s="2179"/>
      <c r="Z72" s="2179"/>
      <c r="AA72" s="2179"/>
      <c r="AB72" s="2179"/>
      <c r="AC72" s="2179"/>
      <c r="AD72" s="2179"/>
      <c r="AE72" s="2179"/>
      <c r="AF72" s="2179"/>
      <c r="AG72" s="2179"/>
      <c r="AH72" s="2179"/>
      <c r="AI72" s="2179"/>
      <c r="AJ72" s="2179"/>
      <c r="AK72" s="2179"/>
      <c r="AL72" s="2179"/>
      <c r="AM72" s="2179"/>
      <c r="AN72" s="2179"/>
      <c r="AO72" s="2179"/>
      <c r="AP72" s="2179"/>
      <c r="AQ72" s="2179"/>
      <c r="AR72" s="2179"/>
      <c r="AS72" s="2179"/>
      <c r="AT72" s="2179"/>
      <c r="AU72" s="2179"/>
      <c r="AV72" s="2179"/>
      <c r="AW72" s="2179"/>
      <c r="AX72" s="2179"/>
      <c r="AY72" s="2179"/>
      <c r="AZ72" s="2179"/>
      <c r="BA72" s="2179"/>
      <c r="BB72" s="2179"/>
      <c r="BC72" s="2179"/>
      <c r="BD72" s="2179"/>
      <c r="BE72" s="2179"/>
      <c r="BF72" s="2179"/>
      <c r="BG72" s="2179"/>
      <c r="BH72" s="2179"/>
      <c r="BI72" s="2179"/>
      <c r="BJ72" s="2179"/>
      <c r="BK72" s="2179"/>
      <c r="BL72" s="2179"/>
      <c r="BM72" s="2179"/>
      <c r="BN72" s="2179"/>
      <c r="BO72" s="2179"/>
      <c r="BP72" s="2179"/>
      <c r="BQ72" s="2179"/>
      <c r="BR72" s="2179"/>
      <c r="BS72" s="2179"/>
      <c r="BT72" s="2179"/>
      <c r="BU72" s="2179"/>
      <c r="BV72" s="2179"/>
      <c r="BW72" s="2179"/>
      <c r="BX72" s="2179"/>
      <c r="BY72" s="2179"/>
      <c r="BZ72" s="2179">
        <v>1</v>
      </c>
      <c r="CA72" s="2179"/>
      <c r="CB72" s="2179"/>
      <c r="CC72" s="2179"/>
      <c r="CD72" s="2179"/>
      <c r="CE72" s="2179"/>
      <c r="CF72" s="2179"/>
      <c r="CG72" s="2179"/>
      <c r="CH72" s="2179"/>
      <c r="CI72" s="2179"/>
      <c r="CJ72" s="2179"/>
      <c r="CK72" s="2179"/>
      <c r="CL72" s="2179"/>
      <c r="CM72" s="2179"/>
      <c r="CN72" s="2179"/>
      <c r="CO72" s="2179"/>
      <c r="CP72" s="2179"/>
      <c r="CQ72" s="2179"/>
      <c r="CR72" s="2179"/>
      <c r="CS72" s="2179"/>
      <c r="CT72" s="2179"/>
      <c r="CU72" s="2179"/>
      <c r="CV72" s="2179"/>
      <c r="CW72" s="2179"/>
      <c r="CX72" s="2179"/>
      <c r="CY72" s="2179"/>
      <c r="CZ72" s="2179"/>
      <c r="DA72" s="2179"/>
      <c r="DB72" s="2179"/>
      <c r="DC72" s="2179"/>
      <c r="DD72" s="2179"/>
      <c r="DE72" s="2179"/>
      <c r="DF72" s="2179"/>
      <c r="DG72" s="2179"/>
      <c r="DH72" s="2179"/>
      <c r="DI72" s="2179"/>
      <c r="DJ72" s="2179"/>
      <c r="DK72" s="2179"/>
      <c r="DL72" s="2179"/>
      <c r="DM72" s="2179"/>
      <c r="DN72" s="2179"/>
      <c r="DO72" s="2179"/>
      <c r="DP72" s="2179"/>
      <c r="DQ72" s="2179"/>
      <c r="DR72" s="2179"/>
      <c r="DS72" s="2179"/>
      <c r="DT72" s="2179"/>
      <c r="DU72" s="2179"/>
      <c r="DV72" s="2179"/>
      <c r="DW72" s="2179"/>
      <c r="DX72" s="2179"/>
      <c r="DY72" s="2179"/>
      <c r="DZ72" s="2179"/>
      <c r="EA72" s="2179"/>
      <c r="EB72" s="2179"/>
      <c r="EC72" s="2179"/>
      <c r="ED72" s="2179"/>
      <c r="EE72" s="2179"/>
      <c r="EF72" s="2179"/>
      <c r="EG72" s="2179"/>
      <c r="EH72" s="2179"/>
      <c r="EI72" s="2179"/>
      <c r="EJ72" s="2179"/>
      <c r="EK72" s="2179"/>
      <c r="EL72" s="2179"/>
      <c r="EM72" s="2179"/>
      <c r="EN72" s="2179"/>
      <c r="EO72" s="2179"/>
      <c r="EP72" s="2179"/>
      <c r="EQ72" s="2179"/>
      <c r="ER72" s="2179"/>
      <c r="ES72" s="2179"/>
      <c r="ET72" s="2179"/>
      <c r="EU72" s="2179"/>
      <c r="EV72" s="2179"/>
      <c r="EW72" s="2179"/>
      <c r="EX72" s="2179"/>
      <c r="EY72" s="2179"/>
      <c r="EZ72" s="2179"/>
      <c r="FA72" s="2179"/>
      <c r="FB72" s="2179"/>
      <c r="FC72" s="2179"/>
      <c r="FD72" s="2179"/>
      <c r="FE72" s="2179"/>
      <c r="FF72" s="2179"/>
      <c r="FG72" s="2179"/>
      <c r="FH72" s="2179"/>
      <c r="FI72" s="2179"/>
      <c r="FJ72" s="2179"/>
      <c r="FK72" s="2179"/>
      <c r="FL72" s="2179"/>
      <c r="FM72" s="2179"/>
      <c r="FN72" s="2179"/>
      <c r="FO72" s="2179"/>
      <c r="FP72" s="2179"/>
      <c r="FQ72" s="2179"/>
      <c r="FR72" s="2179"/>
      <c r="FS72" s="2179"/>
      <c r="FT72" s="2179"/>
      <c r="FU72" s="2179"/>
      <c r="FV72" s="2179"/>
      <c r="FW72" s="2179"/>
      <c r="FX72" s="2179"/>
      <c r="FY72" s="2179"/>
      <c r="FZ72" s="2179"/>
      <c r="GA72" s="2179">
        <v>9</v>
      </c>
      <c r="GB72" s="2179">
        <f t="shared" si="6"/>
        <v>9</v>
      </c>
    </row>
    <row r="73" spans="2:184" ht="16.8" hidden="1">
      <c r="B73" s="2313" t="str">
        <f t="shared" si="5"/>
        <v>Tháo hộp Domino</v>
      </c>
      <c r="C73" s="2179"/>
      <c r="D73" s="2179" t="s">
        <v>5159</v>
      </c>
      <c r="E73" s="2179">
        <f t="shared" si="4"/>
        <v>81</v>
      </c>
      <c r="F73" s="2179"/>
      <c r="G73" s="2179">
        <v>1</v>
      </c>
      <c r="H73" s="2179"/>
      <c r="I73" s="2179">
        <v>2</v>
      </c>
      <c r="J73" s="2179"/>
      <c r="K73" s="2179">
        <v>3</v>
      </c>
      <c r="L73" s="2179"/>
      <c r="M73" s="2179">
        <v>1</v>
      </c>
      <c r="N73" s="2179"/>
      <c r="O73" s="2179">
        <v>1</v>
      </c>
      <c r="P73" s="2179"/>
      <c r="Q73" s="2179">
        <v>1</v>
      </c>
      <c r="R73" s="2179"/>
      <c r="S73" s="2179"/>
      <c r="T73" s="2179"/>
      <c r="U73" s="2179">
        <v>1</v>
      </c>
      <c r="V73" s="2179"/>
      <c r="W73" s="2179">
        <v>1</v>
      </c>
      <c r="X73" s="2179"/>
      <c r="Y73" s="2179">
        <v>1</v>
      </c>
      <c r="Z73" s="2179"/>
      <c r="AA73" s="2179">
        <v>1</v>
      </c>
      <c r="AB73" s="2179"/>
      <c r="AC73" s="2179">
        <v>1</v>
      </c>
      <c r="AD73" s="2179"/>
      <c r="AE73" s="2179">
        <v>1</v>
      </c>
      <c r="AF73" s="2179">
        <v>1</v>
      </c>
      <c r="AG73" s="2179">
        <v>1</v>
      </c>
      <c r="AH73" s="2179"/>
      <c r="AI73" s="2179">
        <v>1</v>
      </c>
      <c r="AJ73" s="2179"/>
      <c r="AK73" s="2179">
        <v>1</v>
      </c>
      <c r="AL73" s="2179"/>
      <c r="AM73" s="2179">
        <v>1</v>
      </c>
      <c r="AN73" s="2179"/>
      <c r="AO73" s="2179">
        <v>1</v>
      </c>
      <c r="AP73" s="2179"/>
      <c r="AQ73" s="2179">
        <v>1</v>
      </c>
      <c r="AR73" s="2179"/>
      <c r="AS73" s="2179">
        <v>1</v>
      </c>
      <c r="AT73" s="2179"/>
      <c r="AU73" s="2179">
        <v>1</v>
      </c>
      <c r="AV73" s="2179"/>
      <c r="AW73" s="2179">
        <v>1</v>
      </c>
      <c r="AX73" s="2179"/>
      <c r="AY73" s="2179"/>
      <c r="AZ73" s="2179"/>
      <c r="BA73" s="2179"/>
      <c r="BB73" s="2179">
        <v>1</v>
      </c>
      <c r="BC73" s="2179"/>
      <c r="BD73" s="2179">
        <v>1</v>
      </c>
      <c r="BE73" s="2179"/>
      <c r="BF73" s="2179">
        <v>1</v>
      </c>
      <c r="BG73" s="2179"/>
      <c r="BH73" s="2179">
        <v>1</v>
      </c>
      <c r="BI73" s="2179"/>
      <c r="BJ73" s="2179">
        <v>1</v>
      </c>
      <c r="BK73" s="2179"/>
      <c r="BL73" s="2179">
        <v>1</v>
      </c>
      <c r="BM73" s="2179"/>
      <c r="BN73" s="2179">
        <v>1</v>
      </c>
      <c r="BO73" s="2179"/>
      <c r="BP73" s="2179">
        <v>1</v>
      </c>
      <c r="BQ73" s="2179"/>
      <c r="BR73" s="2179">
        <v>1</v>
      </c>
      <c r="BS73" s="2179"/>
      <c r="BT73" s="2179">
        <v>1</v>
      </c>
      <c r="BU73" s="2179"/>
      <c r="BV73" s="2179">
        <v>1</v>
      </c>
      <c r="BW73" s="2179"/>
      <c r="BX73" s="2179">
        <v>1</v>
      </c>
      <c r="BY73" s="2179"/>
      <c r="BZ73" s="2179"/>
      <c r="CA73" s="2179"/>
      <c r="CB73" s="2179"/>
      <c r="CC73" s="2179"/>
      <c r="CD73" s="2179">
        <v>1</v>
      </c>
      <c r="CE73" s="2179"/>
      <c r="CF73" s="2179">
        <v>1</v>
      </c>
      <c r="CG73" s="2179"/>
      <c r="CH73" s="2179">
        <v>1</v>
      </c>
      <c r="CI73" s="2179">
        <v>1</v>
      </c>
      <c r="CJ73" s="2179">
        <v>1</v>
      </c>
      <c r="CK73" s="2179"/>
      <c r="CL73" s="2179">
        <v>1</v>
      </c>
      <c r="CM73" s="2179"/>
      <c r="CN73" s="2179">
        <v>2</v>
      </c>
      <c r="CO73" s="2179"/>
      <c r="CP73" s="2179"/>
      <c r="CQ73" s="2179"/>
      <c r="CR73" s="2179"/>
      <c r="CS73" s="2179">
        <v>1</v>
      </c>
      <c r="CT73" s="2179"/>
      <c r="CU73" s="2179">
        <v>1</v>
      </c>
      <c r="CV73" s="2179"/>
      <c r="CW73" s="2179">
        <v>1</v>
      </c>
      <c r="CX73" s="2179"/>
      <c r="CY73" s="2179">
        <v>2</v>
      </c>
      <c r="CZ73" s="2179"/>
      <c r="DA73" s="2179">
        <v>1</v>
      </c>
      <c r="DB73" s="2179"/>
      <c r="DC73" s="2179">
        <v>1</v>
      </c>
      <c r="DD73" s="2179"/>
      <c r="DE73" s="2179">
        <v>1</v>
      </c>
      <c r="DF73" s="2179"/>
      <c r="DG73" s="2179"/>
      <c r="DH73" s="2179"/>
      <c r="DI73" s="2179"/>
      <c r="DJ73" s="2179">
        <v>1</v>
      </c>
      <c r="DK73" s="2179"/>
      <c r="DL73" s="2179">
        <v>1</v>
      </c>
      <c r="DM73" s="2179"/>
      <c r="DN73" s="2179">
        <v>1</v>
      </c>
      <c r="DO73" s="2179"/>
      <c r="DP73" s="2179">
        <v>1</v>
      </c>
      <c r="DQ73" s="2179"/>
      <c r="DR73" s="2179">
        <v>1</v>
      </c>
      <c r="DS73" s="2179"/>
      <c r="DT73" s="2179"/>
      <c r="DU73" s="2179">
        <v>1</v>
      </c>
      <c r="DV73" s="2179"/>
      <c r="DW73" s="2179"/>
      <c r="DX73" s="2179">
        <v>1</v>
      </c>
      <c r="DY73" s="2179"/>
      <c r="DZ73" s="2179"/>
      <c r="EA73" s="2179">
        <v>1</v>
      </c>
      <c r="EB73" s="2179">
        <v>1</v>
      </c>
      <c r="EC73" s="2179">
        <v>1</v>
      </c>
      <c r="ED73" s="2179"/>
      <c r="EE73" s="2179"/>
      <c r="EF73" s="2179"/>
      <c r="EG73" s="2179">
        <v>1</v>
      </c>
      <c r="EH73" s="2179"/>
      <c r="EI73" s="2179">
        <v>1</v>
      </c>
      <c r="EJ73" s="2179"/>
      <c r="EK73" s="2179"/>
      <c r="EL73" s="2179"/>
      <c r="EM73" s="2179">
        <v>1</v>
      </c>
      <c r="EN73" s="2179"/>
      <c r="EO73" s="2179">
        <v>1</v>
      </c>
      <c r="EP73" s="2179"/>
      <c r="EQ73" s="2179">
        <v>1</v>
      </c>
      <c r="ER73" s="2179"/>
      <c r="ES73" s="2179">
        <v>1</v>
      </c>
      <c r="ET73" s="2179"/>
      <c r="EU73" s="2179">
        <v>1</v>
      </c>
      <c r="EV73" s="2179"/>
      <c r="EW73" s="2179">
        <v>1</v>
      </c>
      <c r="EX73" s="2179"/>
      <c r="EY73" s="2179"/>
      <c r="EZ73" s="2179"/>
      <c r="FA73" s="2179">
        <v>1</v>
      </c>
      <c r="FB73" s="2179"/>
      <c r="FC73" s="2179">
        <v>1</v>
      </c>
      <c r="FD73" s="2179"/>
      <c r="FE73" s="2179">
        <v>2</v>
      </c>
      <c r="FF73" s="2179"/>
      <c r="FG73" s="2179">
        <v>1</v>
      </c>
      <c r="FH73" s="2179"/>
      <c r="FI73" s="2179"/>
      <c r="FJ73" s="2179"/>
      <c r="FK73" s="2179">
        <v>1</v>
      </c>
      <c r="FL73" s="2179"/>
      <c r="FM73" s="2179">
        <v>1</v>
      </c>
      <c r="FN73" s="2179"/>
      <c r="FO73" s="2179"/>
      <c r="FP73" s="2179"/>
      <c r="FQ73" s="2179">
        <v>1</v>
      </c>
      <c r="FR73" s="2179"/>
      <c r="FS73" s="2179"/>
      <c r="FT73" s="2179"/>
      <c r="FU73" s="2179">
        <v>1</v>
      </c>
      <c r="FV73" s="2179"/>
      <c r="FW73" s="2179">
        <v>1</v>
      </c>
      <c r="FX73" s="2179"/>
      <c r="FY73" s="2179"/>
      <c r="FZ73" s="2179"/>
      <c r="GA73" s="2179">
        <v>81</v>
      </c>
      <c r="GB73" s="2179">
        <f t="shared" si="6"/>
        <v>81</v>
      </c>
    </row>
    <row r="74" spans="2:184" ht="16.8" hidden="1">
      <c r="B74" s="2313" t="str">
        <f t="shared" si="5"/>
        <v>Tháo kẹp dừng ABC</v>
      </c>
      <c r="C74" s="2179"/>
      <c r="D74" s="2179" t="s">
        <v>5160</v>
      </c>
      <c r="E74" s="2179">
        <f t="shared" si="4"/>
        <v>5</v>
      </c>
      <c r="F74" s="2179"/>
      <c r="G74" s="2179"/>
      <c r="H74" s="2179"/>
      <c r="I74" s="2179"/>
      <c r="J74" s="2179"/>
      <c r="K74" s="2179"/>
      <c r="L74" s="2179"/>
      <c r="M74" s="2179"/>
      <c r="N74" s="2179"/>
      <c r="O74" s="2179"/>
      <c r="P74" s="2179"/>
      <c r="Q74" s="2179"/>
      <c r="R74" s="2179"/>
      <c r="S74" s="2179"/>
      <c r="T74" s="2179"/>
      <c r="U74" s="2179">
        <v>1</v>
      </c>
      <c r="V74" s="2179"/>
      <c r="W74" s="2179"/>
      <c r="X74" s="2179"/>
      <c r="Y74" s="2179"/>
      <c r="Z74" s="2179"/>
      <c r="AA74" s="2179"/>
      <c r="AB74" s="2179"/>
      <c r="AC74" s="2179"/>
      <c r="AD74" s="2179"/>
      <c r="AE74" s="2179"/>
      <c r="AF74" s="2179"/>
      <c r="AG74" s="2179"/>
      <c r="AH74" s="2179"/>
      <c r="AI74" s="2179">
        <v>2</v>
      </c>
      <c r="AJ74" s="2179"/>
      <c r="AK74" s="2179"/>
      <c r="AL74" s="2179"/>
      <c r="AM74" s="2179"/>
      <c r="AN74" s="2179"/>
      <c r="AO74" s="2179"/>
      <c r="AP74" s="2179"/>
      <c r="AQ74" s="2179"/>
      <c r="AR74" s="2179"/>
      <c r="AS74" s="2179"/>
      <c r="AT74" s="2179"/>
      <c r="AU74" s="2179"/>
      <c r="AV74" s="2179"/>
      <c r="AW74" s="2179"/>
      <c r="AX74" s="2179"/>
      <c r="AY74" s="2179"/>
      <c r="AZ74" s="2179"/>
      <c r="BA74" s="2179"/>
      <c r="BB74" s="2179"/>
      <c r="BC74" s="2179"/>
      <c r="BD74" s="2179"/>
      <c r="BE74" s="2179"/>
      <c r="BF74" s="2179"/>
      <c r="BG74" s="2179"/>
      <c r="BH74" s="2179"/>
      <c r="BI74" s="2179"/>
      <c r="BJ74" s="2179"/>
      <c r="BK74" s="2179"/>
      <c r="BL74" s="2179"/>
      <c r="BM74" s="2179"/>
      <c r="BN74" s="2179">
        <v>2</v>
      </c>
      <c r="BO74" s="2179"/>
      <c r="BP74" s="2179"/>
      <c r="BQ74" s="2179"/>
      <c r="BR74" s="2179"/>
      <c r="BS74" s="2179"/>
      <c r="BT74" s="2179"/>
      <c r="BU74" s="2179"/>
      <c r="BV74" s="2179"/>
      <c r="BW74" s="2179"/>
      <c r="BX74" s="2179"/>
      <c r="BY74" s="2179"/>
      <c r="BZ74" s="2179"/>
      <c r="CA74" s="2179"/>
      <c r="CB74" s="2179"/>
      <c r="CC74" s="2179"/>
      <c r="CD74" s="2179"/>
      <c r="CE74" s="2179"/>
      <c r="CF74" s="2179"/>
      <c r="CG74" s="2179"/>
      <c r="CH74" s="2179"/>
      <c r="CI74" s="2179"/>
      <c r="CJ74" s="2179"/>
      <c r="CK74" s="2179"/>
      <c r="CL74" s="2179"/>
      <c r="CM74" s="2179"/>
      <c r="CN74" s="2179"/>
      <c r="CO74" s="2179"/>
      <c r="CP74" s="2179"/>
      <c r="CQ74" s="2179"/>
      <c r="CR74" s="2179"/>
      <c r="CS74" s="2179"/>
      <c r="CT74" s="2179"/>
      <c r="CU74" s="2179"/>
      <c r="CV74" s="2179"/>
      <c r="CW74" s="2179"/>
      <c r="CX74" s="2179"/>
      <c r="CY74" s="2179"/>
      <c r="CZ74" s="2179"/>
      <c r="DA74" s="2179"/>
      <c r="DB74" s="2179"/>
      <c r="DC74" s="2179"/>
      <c r="DD74" s="2179"/>
      <c r="DE74" s="2179"/>
      <c r="DF74" s="2179"/>
      <c r="DG74" s="2179"/>
      <c r="DH74" s="2179"/>
      <c r="DI74" s="2179"/>
      <c r="DJ74" s="2179"/>
      <c r="DK74" s="2179"/>
      <c r="DL74" s="2179"/>
      <c r="DM74" s="2179"/>
      <c r="DN74" s="2179"/>
      <c r="DO74" s="2179"/>
      <c r="DP74" s="2179"/>
      <c r="DQ74" s="2179"/>
      <c r="DR74" s="2179"/>
      <c r="DS74" s="2179"/>
      <c r="DT74" s="2179"/>
      <c r="DU74" s="2179"/>
      <c r="DV74" s="2179"/>
      <c r="DW74" s="2179"/>
      <c r="DX74" s="2179"/>
      <c r="DY74" s="2179"/>
      <c r="DZ74" s="2179"/>
      <c r="EA74" s="2179"/>
      <c r="EB74" s="2179"/>
      <c r="EC74" s="2179"/>
      <c r="ED74" s="2179"/>
      <c r="EE74" s="2179"/>
      <c r="EF74" s="2179"/>
      <c r="EG74" s="2179"/>
      <c r="EH74" s="2179"/>
      <c r="EI74" s="2179"/>
      <c r="EJ74" s="2179"/>
      <c r="EK74" s="2179"/>
      <c r="EL74" s="2179"/>
      <c r="EM74" s="2179"/>
      <c r="EN74" s="2179"/>
      <c r="EO74" s="2179"/>
      <c r="EP74" s="2179"/>
      <c r="EQ74" s="2179"/>
      <c r="ER74" s="2179"/>
      <c r="ES74" s="2179"/>
      <c r="ET74" s="2179"/>
      <c r="EU74" s="2179"/>
      <c r="EV74" s="2179"/>
      <c r="EW74" s="2179"/>
      <c r="EX74" s="2179"/>
      <c r="EY74" s="2179"/>
      <c r="EZ74" s="2179"/>
      <c r="FA74" s="2179"/>
      <c r="FB74" s="2179"/>
      <c r="FC74" s="2179"/>
      <c r="FD74" s="2179"/>
      <c r="FE74" s="2179"/>
      <c r="FF74" s="2179"/>
      <c r="FG74" s="2179"/>
      <c r="FH74" s="2179"/>
      <c r="FI74" s="2179"/>
      <c r="FJ74" s="2179"/>
      <c r="FK74" s="2179"/>
      <c r="FL74" s="2179"/>
      <c r="FM74" s="2179"/>
      <c r="FN74" s="2179"/>
      <c r="FO74" s="2179"/>
      <c r="FP74" s="2179"/>
      <c r="FQ74" s="2179"/>
      <c r="FR74" s="2179"/>
      <c r="FS74" s="2179"/>
      <c r="FT74" s="2179"/>
      <c r="FU74" s="2179"/>
      <c r="FV74" s="2179"/>
      <c r="FW74" s="2179"/>
      <c r="FX74" s="2179"/>
      <c r="FY74" s="2179"/>
      <c r="FZ74" s="2179"/>
      <c r="GA74" s="2179">
        <v>5</v>
      </c>
      <c r="GB74" s="2179">
        <f t="shared" si="6"/>
        <v>5</v>
      </c>
    </row>
    <row r="75" spans="2:184" ht="16.8" hidden="1">
      <c r="B75" s="2313" t="str">
        <f t="shared" si="5"/>
        <v>Tháo hộp Kẹp treo ABC</v>
      </c>
      <c r="C75" s="2179"/>
      <c r="D75" s="2179" t="s">
        <v>5161</v>
      </c>
      <c r="E75" s="2179">
        <f t="shared" si="4"/>
        <v>37</v>
      </c>
      <c r="F75" s="2179"/>
      <c r="G75" s="2179"/>
      <c r="H75" s="2179"/>
      <c r="I75" s="2179"/>
      <c r="J75" s="2179"/>
      <c r="K75" s="2179"/>
      <c r="L75" s="2179"/>
      <c r="M75" s="2179"/>
      <c r="N75" s="2179"/>
      <c r="O75" s="2179"/>
      <c r="P75" s="2179"/>
      <c r="Q75" s="2179"/>
      <c r="R75" s="2179"/>
      <c r="S75" s="2179"/>
      <c r="T75" s="2179"/>
      <c r="U75" s="2179"/>
      <c r="V75" s="2179"/>
      <c r="W75" s="2179">
        <v>1</v>
      </c>
      <c r="X75" s="2179"/>
      <c r="Y75" s="2179">
        <v>1</v>
      </c>
      <c r="Z75" s="2179"/>
      <c r="AA75" s="2179">
        <v>1</v>
      </c>
      <c r="AB75" s="2179"/>
      <c r="AC75" s="2179">
        <v>1</v>
      </c>
      <c r="AD75" s="2179"/>
      <c r="AE75" s="2179">
        <v>1</v>
      </c>
      <c r="AF75" s="2179">
        <v>1</v>
      </c>
      <c r="AG75" s="2179">
        <v>1</v>
      </c>
      <c r="AH75" s="2179"/>
      <c r="AI75" s="2179"/>
      <c r="AJ75" s="2179"/>
      <c r="AK75" s="2179">
        <v>1</v>
      </c>
      <c r="AL75" s="2179"/>
      <c r="AM75" s="2179">
        <v>1</v>
      </c>
      <c r="AN75" s="2179"/>
      <c r="AO75" s="2179">
        <v>1</v>
      </c>
      <c r="AP75" s="2179"/>
      <c r="AQ75" s="2179">
        <v>1</v>
      </c>
      <c r="AR75" s="2179"/>
      <c r="AS75" s="2179">
        <v>1</v>
      </c>
      <c r="AT75" s="2179"/>
      <c r="AU75" s="2179">
        <v>1</v>
      </c>
      <c r="AV75" s="2179"/>
      <c r="AW75" s="2179">
        <v>1</v>
      </c>
      <c r="AX75" s="2179"/>
      <c r="AY75" s="2179"/>
      <c r="AZ75" s="2179"/>
      <c r="BA75" s="2179"/>
      <c r="BB75" s="2179">
        <v>1</v>
      </c>
      <c r="BC75" s="2179"/>
      <c r="BD75" s="2179">
        <v>1</v>
      </c>
      <c r="BE75" s="2179"/>
      <c r="BF75" s="2179">
        <v>1</v>
      </c>
      <c r="BG75" s="2179"/>
      <c r="BH75" s="2179">
        <v>1</v>
      </c>
      <c r="BI75" s="2179"/>
      <c r="BJ75" s="2179">
        <v>1</v>
      </c>
      <c r="BK75" s="2179"/>
      <c r="BL75" s="2179">
        <v>1</v>
      </c>
      <c r="BM75" s="2179"/>
      <c r="BN75" s="2179"/>
      <c r="BO75" s="2179"/>
      <c r="BP75" s="2179">
        <v>1</v>
      </c>
      <c r="BQ75" s="2179"/>
      <c r="BR75" s="2179">
        <v>1</v>
      </c>
      <c r="BS75" s="2179"/>
      <c r="BT75" s="2179">
        <v>1</v>
      </c>
      <c r="BU75" s="2179"/>
      <c r="BV75" s="2179">
        <v>1</v>
      </c>
      <c r="BW75" s="2179"/>
      <c r="BX75" s="2179">
        <v>1</v>
      </c>
      <c r="BY75" s="2179"/>
      <c r="BZ75" s="2179"/>
      <c r="CA75" s="2179"/>
      <c r="CB75" s="2179"/>
      <c r="CC75" s="2179"/>
      <c r="CD75" s="2179"/>
      <c r="CE75" s="2179"/>
      <c r="CF75" s="2179"/>
      <c r="CG75" s="2179"/>
      <c r="CH75" s="2179"/>
      <c r="CI75" s="2179"/>
      <c r="CJ75" s="2179"/>
      <c r="CK75" s="2179"/>
      <c r="CL75" s="2179"/>
      <c r="CM75" s="2179"/>
      <c r="CN75" s="2179"/>
      <c r="CO75" s="2179"/>
      <c r="CP75" s="2179"/>
      <c r="CQ75" s="2179"/>
      <c r="CR75" s="2179"/>
      <c r="CS75" s="2179"/>
      <c r="CT75" s="2179"/>
      <c r="CU75" s="2179"/>
      <c r="CV75" s="2179"/>
      <c r="CW75" s="2179"/>
      <c r="CX75" s="2179"/>
      <c r="CY75" s="2179"/>
      <c r="CZ75" s="2179"/>
      <c r="DA75" s="2179"/>
      <c r="DB75" s="2179"/>
      <c r="DC75" s="2179"/>
      <c r="DD75" s="2179"/>
      <c r="DE75" s="2179"/>
      <c r="DF75" s="2179"/>
      <c r="DG75" s="2179"/>
      <c r="DH75" s="2179"/>
      <c r="DI75" s="2179"/>
      <c r="DJ75" s="2179">
        <v>1</v>
      </c>
      <c r="DK75" s="2179"/>
      <c r="DL75" s="2179">
        <v>1</v>
      </c>
      <c r="DM75" s="2179"/>
      <c r="DN75" s="2179">
        <v>1</v>
      </c>
      <c r="DO75" s="2179"/>
      <c r="DP75" s="2179">
        <v>1</v>
      </c>
      <c r="DQ75" s="2179"/>
      <c r="DR75" s="2179">
        <v>1</v>
      </c>
      <c r="DS75" s="2179"/>
      <c r="DT75" s="2179"/>
      <c r="DU75" s="2179">
        <v>1</v>
      </c>
      <c r="DV75" s="2179"/>
      <c r="DW75" s="2179"/>
      <c r="DX75" s="2179">
        <v>1</v>
      </c>
      <c r="DY75" s="2179"/>
      <c r="DZ75" s="2179"/>
      <c r="EA75" s="2179">
        <v>1</v>
      </c>
      <c r="EB75" s="2179">
        <v>1</v>
      </c>
      <c r="EC75" s="2179">
        <v>1</v>
      </c>
      <c r="ED75" s="2179"/>
      <c r="EE75" s="2179"/>
      <c r="EF75" s="2179"/>
      <c r="EG75" s="2179">
        <v>1</v>
      </c>
      <c r="EH75" s="2179"/>
      <c r="EI75" s="2179">
        <v>1</v>
      </c>
      <c r="EJ75" s="2179"/>
      <c r="EK75" s="2179"/>
      <c r="EL75" s="2179"/>
      <c r="EM75" s="2179"/>
      <c r="EN75" s="2179"/>
      <c r="EO75" s="2179"/>
      <c r="EP75" s="2179"/>
      <c r="EQ75" s="2179"/>
      <c r="ER75" s="2179"/>
      <c r="ES75" s="2179"/>
      <c r="ET75" s="2179"/>
      <c r="EU75" s="2179"/>
      <c r="EV75" s="2179"/>
      <c r="EW75" s="2179"/>
      <c r="EX75" s="2179"/>
      <c r="EY75" s="2179"/>
      <c r="EZ75" s="2179"/>
      <c r="FA75" s="2179"/>
      <c r="FB75" s="2179"/>
      <c r="FC75" s="2179"/>
      <c r="FD75" s="2179"/>
      <c r="FE75" s="2179"/>
      <c r="FF75" s="2179"/>
      <c r="FG75" s="2179"/>
      <c r="FH75" s="2179"/>
      <c r="FI75" s="2179"/>
      <c r="FJ75" s="2179"/>
      <c r="FK75" s="2179"/>
      <c r="FL75" s="2179"/>
      <c r="FM75" s="2179"/>
      <c r="FN75" s="2179"/>
      <c r="FO75" s="2179"/>
      <c r="FP75" s="2179"/>
      <c r="FQ75" s="2179"/>
      <c r="FR75" s="2179"/>
      <c r="FS75" s="2179"/>
      <c r="FT75" s="2179"/>
      <c r="FU75" s="2179"/>
      <c r="FV75" s="2179"/>
      <c r="FW75" s="2179"/>
      <c r="FX75" s="2179"/>
      <c r="FY75" s="2179"/>
      <c r="FZ75" s="2179"/>
      <c r="GA75" s="2179">
        <v>37</v>
      </c>
      <c r="GB75" s="2179">
        <f t="shared" si="6"/>
        <v>37</v>
      </c>
    </row>
    <row r="76" spans="2:184" ht="16.8" hidden="1">
      <c r="B76" s="2313" t="str">
        <f t="shared" si="5"/>
        <v>Tháo tủ hạ thế</v>
      </c>
      <c r="C76" s="2179"/>
      <c r="D76" s="2179" t="s">
        <v>5162</v>
      </c>
      <c r="E76" s="2179">
        <f t="shared" si="4"/>
        <v>8</v>
      </c>
      <c r="F76" s="2179"/>
      <c r="G76" s="2179"/>
      <c r="H76" s="2179"/>
      <c r="I76" s="2179"/>
      <c r="J76" s="2179"/>
      <c r="K76" s="2179"/>
      <c r="L76" s="2179"/>
      <c r="M76" s="2179"/>
      <c r="N76" s="2179"/>
      <c r="O76" s="2179"/>
      <c r="P76" s="2179"/>
      <c r="Q76" s="2179"/>
      <c r="R76" s="2179"/>
      <c r="S76" s="2179"/>
      <c r="T76" s="2179"/>
      <c r="U76" s="2179"/>
      <c r="V76" s="2179"/>
      <c r="W76" s="2179"/>
      <c r="X76" s="2179"/>
      <c r="Y76" s="2179"/>
      <c r="Z76" s="2179"/>
      <c r="AA76" s="2179"/>
      <c r="AB76" s="2179"/>
      <c r="AC76" s="2179"/>
      <c r="AD76" s="2179">
        <v>1</v>
      </c>
      <c r="AE76" s="2179"/>
      <c r="AF76" s="2179"/>
      <c r="AG76" s="2179"/>
      <c r="AH76" s="2179"/>
      <c r="AI76" s="2179"/>
      <c r="AJ76" s="2179"/>
      <c r="AK76" s="2179"/>
      <c r="AL76" s="2179"/>
      <c r="AM76" s="2179"/>
      <c r="AN76" s="2179">
        <v>1</v>
      </c>
      <c r="AO76" s="2179"/>
      <c r="AP76" s="2179"/>
      <c r="AQ76" s="2179"/>
      <c r="AR76" s="2179"/>
      <c r="AS76" s="2179"/>
      <c r="AT76" s="2179"/>
      <c r="AU76" s="2179"/>
      <c r="AV76" s="2179"/>
      <c r="AW76" s="2179"/>
      <c r="AX76" s="2179"/>
      <c r="AY76" s="2179"/>
      <c r="AZ76" s="2179"/>
      <c r="BA76" s="2179"/>
      <c r="BB76" s="2179"/>
      <c r="BC76" s="2179"/>
      <c r="BD76" s="2179"/>
      <c r="BE76" s="2179"/>
      <c r="BF76" s="2179"/>
      <c r="BG76" s="2179"/>
      <c r="BH76" s="2179"/>
      <c r="BI76" s="2179">
        <v>1</v>
      </c>
      <c r="BJ76" s="2179"/>
      <c r="BK76" s="2179"/>
      <c r="BL76" s="2179"/>
      <c r="BM76" s="2179"/>
      <c r="BN76" s="2179"/>
      <c r="BO76" s="2179"/>
      <c r="BP76" s="2179"/>
      <c r="BQ76" s="2179"/>
      <c r="BR76" s="2179"/>
      <c r="BS76" s="2179"/>
      <c r="BT76" s="2179"/>
      <c r="BU76" s="2179"/>
      <c r="BV76" s="2179"/>
      <c r="BW76" s="2179">
        <v>1</v>
      </c>
      <c r="BX76" s="2179"/>
      <c r="BY76" s="2179"/>
      <c r="BZ76" s="2179"/>
      <c r="CA76" s="2179"/>
      <c r="CB76" s="2179"/>
      <c r="CC76" s="2179"/>
      <c r="CD76" s="2179"/>
      <c r="CE76" s="2179"/>
      <c r="CF76" s="2179"/>
      <c r="CG76" s="2179"/>
      <c r="CH76" s="2179"/>
      <c r="CI76" s="2179"/>
      <c r="CJ76" s="2179"/>
      <c r="CK76" s="2179"/>
      <c r="CL76" s="2179"/>
      <c r="CM76" s="2179"/>
      <c r="CN76" s="2179"/>
      <c r="CO76" s="2179"/>
      <c r="CP76" s="2179"/>
      <c r="CQ76" s="2179"/>
      <c r="CR76" s="2179"/>
      <c r="CS76" s="2179"/>
      <c r="CT76" s="2179"/>
      <c r="CU76" s="2179"/>
      <c r="CV76" s="2179"/>
      <c r="CW76" s="2179"/>
      <c r="CX76" s="2179"/>
      <c r="CY76" s="2179"/>
      <c r="CZ76" s="2179">
        <v>1</v>
      </c>
      <c r="DA76" s="2179"/>
      <c r="DB76" s="2179"/>
      <c r="DC76" s="2179"/>
      <c r="DD76" s="2179"/>
      <c r="DE76" s="2179"/>
      <c r="DF76" s="2179"/>
      <c r="DG76" s="2179"/>
      <c r="DH76" s="2179"/>
      <c r="DI76" s="2179"/>
      <c r="DJ76" s="2179"/>
      <c r="DK76" s="2179"/>
      <c r="DL76" s="2179"/>
      <c r="DM76" s="2179"/>
      <c r="DN76" s="2179"/>
      <c r="DO76" s="2179"/>
      <c r="DP76" s="2179"/>
      <c r="DQ76" s="2179"/>
      <c r="DR76" s="2179"/>
      <c r="DS76" s="2179"/>
      <c r="DT76" s="2179"/>
      <c r="DU76" s="2179"/>
      <c r="DV76" s="2179">
        <v>1</v>
      </c>
      <c r="DW76" s="2179"/>
      <c r="DX76" s="2179"/>
      <c r="DY76" s="2179"/>
      <c r="DZ76" s="2179"/>
      <c r="EA76" s="2179"/>
      <c r="EB76" s="2179"/>
      <c r="EC76" s="2179"/>
      <c r="ED76" s="2179"/>
      <c r="EE76" s="2179"/>
      <c r="EF76" s="2179"/>
      <c r="EG76" s="2179"/>
      <c r="EH76" s="2179"/>
      <c r="EI76" s="2179"/>
      <c r="EJ76" s="2179"/>
      <c r="EK76" s="2179"/>
      <c r="EL76" s="2179"/>
      <c r="EM76" s="2179"/>
      <c r="EN76" s="2179"/>
      <c r="EO76" s="2179"/>
      <c r="EP76" s="2179"/>
      <c r="EQ76" s="2179"/>
      <c r="ER76" s="2179"/>
      <c r="ES76" s="2179"/>
      <c r="ET76" s="2179"/>
      <c r="EU76" s="2179"/>
      <c r="EV76" s="2179"/>
      <c r="EW76" s="2179"/>
      <c r="EX76" s="2179">
        <v>1</v>
      </c>
      <c r="EY76" s="2179"/>
      <c r="EZ76" s="2179"/>
      <c r="FA76" s="2179"/>
      <c r="FB76" s="2179"/>
      <c r="FC76" s="2179"/>
      <c r="FD76" s="2179"/>
      <c r="FE76" s="2179"/>
      <c r="FF76" s="2179"/>
      <c r="FG76" s="2179"/>
      <c r="FH76" s="2179"/>
      <c r="FI76" s="2179"/>
      <c r="FJ76" s="2179"/>
      <c r="FK76" s="2179"/>
      <c r="FL76" s="2179"/>
      <c r="FM76" s="2179"/>
      <c r="FN76" s="2179">
        <v>1</v>
      </c>
      <c r="FO76" s="2179"/>
      <c r="FP76" s="2179"/>
      <c r="FQ76" s="2179"/>
      <c r="FR76" s="2179"/>
      <c r="FS76" s="2179"/>
      <c r="FT76" s="2179"/>
      <c r="FU76" s="2179"/>
      <c r="FV76" s="2179"/>
      <c r="FW76" s="2179"/>
      <c r="FX76" s="2179"/>
      <c r="FY76" s="2179"/>
      <c r="FZ76" s="2179"/>
      <c r="GA76" s="2179">
        <v>8</v>
      </c>
      <c r="GB76" s="2179">
        <f t="shared" si="6"/>
        <v>8</v>
      </c>
    </row>
    <row r="77" spans="2:184" ht="16.8" hidden="1">
      <c r="B77" s="2313" t="str">
        <f t="shared" si="5"/>
        <v>Tháo FCO</v>
      </c>
      <c r="C77" s="2179"/>
      <c r="D77" s="2179" t="s">
        <v>4214</v>
      </c>
      <c r="E77" s="2179">
        <f t="shared" si="4"/>
        <v>13</v>
      </c>
      <c r="F77" s="2179"/>
      <c r="G77" s="2179"/>
      <c r="H77" s="2179"/>
      <c r="I77" s="2179"/>
      <c r="J77" s="2179"/>
      <c r="K77" s="2179"/>
      <c r="L77" s="2179"/>
      <c r="M77" s="2179"/>
      <c r="N77" s="2179"/>
      <c r="O77" s="2179"/>
      <c r="P77" s="2179"/>
      <c r="Q77" s="2179"/>
      <c r="R77" s="2179"/>
      <c r="S77" s="2179"/>
      <c r="T77" s="2179"/>
      <c r="U77" s="2179"/>
      <c r="V77" s="2179"/>
      <c r="W77" s="2179"/>
      <c r="X77" s="2179"/>
      <c r="Y77" s="2179"/>
      <c r="Z77" s="2179"/>
      <c r="AA77" s="2179"/>
      <c r="AB77" s="2179"/>
      <c r="AC77" s="2179"/>
      <c r="AD77" s="2179">
        <v>1</v>
      </c>
      <c r="AE77" s="2179"/>
      <c r="AF77" s="2179"/>
      <c r="AG77" s="2179"/>
      <c r="AH77" s="2179"/>
      <c r="AI77" s="2179"/>
      <c r="AJ77" s="2179"/>
      <c r="AK77" s="2179"/>
      <c r="AL77" s="2179"/>
      <c r="AM77" s="2179"/>
      <c r="AN77" s="2179">
        <v>1</v>
      </c>
      <c r="AO77" s="2179"/>
      <c r="AP77" s="2179"/>
      <c r="AQ77" s="2179"/>
      <c r="AR77" s="2179"/>
      <c r="AS77" s="2179"/>
      <c r="AT77" s="2179"/>
      <c r="AU77" s="2179"/>
      <c r="AV77" s="2179"/>
      <c r="AW77" s="2179"/>
      <c r="AX77" s="2179"/>
      <c r="AY77" s="2179"/>
      <c r="AZ77" s="2179"/>
      <c r="BA77" s="2179"/>
      <c r="BB77" s="2179"/>
      <c r="BC77" s="2179"/>
      <c r="BD77" s="2179"/>
      <c r="BE77" s="2179"/>
      <c r="BF77" s="2179"/>
      <c r="BG77" s="2179"/>
      <c r="BH77" s="2179"/>
      <c r="BI77" s="2179">
        <v>1</v>
      </c>
      <c r="BJ77" s="2179"/>
      <c r="BK77" s="2179"/>
      <c r="BL77" s="2179"/>
      <c r="BM77" s="2179"/>
      <c r="BN77" s="2179"/>
      <c r="BO77" s="2179"/>
      <c r="BP77" s="2179"/>
      <c r="BQ77" s="2179"/>
      <c r="BR77" s="2179"/>
      <c r="BS77" s="2179"/>
      <c r="BT77" s="2179"/>
      <c r="BU77" s="2179"/>
      <c r="BV77" s="2179"/>
      <c r="BW77" s="2179">
        <v>1</v>
      </c>
      <c r="BX77" s="2179"/>
      <c r="BY77" s="2179"/>
      <c r="BZ77" s="2179"/>
      <c r="CA77" s="2179"/>
      <c r="CB77" s="2179"/>
      <c r="CC77" s="2179"/>
      <c r="CD77" s="2179"/>
      <c r="CE77" s="2179">
        <v>1</v>
      </c>
      <c r="CF77" s="2179"/>
      <c r="CG77" s="2179"/>
      <c r="CH77" s="2179"/>
      <c r="CI77" s="2179"/>
      <c r="CJ77" s="2179"/>
      <c r="CK77" s="2179"/>
      <c r="CL77" s="2179"/>
      <c r="CM77" s="2179"/>
      <c r="CN77" s="2179"/>
      <c r="CO77" s="2179"/>
      <c r="CP77" s="2179"/>
      <c r="CQ77" s="2179"/>
      <c r="CR77" s="2179"/>
      <c r="CS77" s="2179"/>
      <c r="CT77" s="2179"/>
      <c r="CU77" s="2179"/>
      <c r="CV77" s="2179"/>
      <c r="CW77" s="2179"/>
      <c r="CX77" s="2179"/>
      <c r="CY77" s="2179"/>
      <c r="CZ77" s="2179">
        <v>1</v>
      </c>
      <c r="DA77" s="2179"/>
      <c r="DB77" s="2179"/>
      <c r="DC77" s="2179"/>
      <c r="DD77" s="2179"/>
      <c r="DE77" s="2179"/>
      <c r="DF77" s="2179"/>
      <c r="DG77" s="2179"/>
      <c r="DH77" s="2179"/>
      <c r="DI77" s="2179"/>
      <c r="DJ77" s="2179"/>
      <c r="DK77" s="2179"/>
      <c r="DL77" s="2179"/>
      <c r="DM77" s="2179"/>
      <c r="DN77" s="2179"/>
      <c r="DO77" s="2179"/>
      <c r="DP77" s="2179"/>
      <c r="DQ77" s="2179"/>
      <c r="DR77" s="2179"/>
      <c r="DS77" s="2179"/>
      <c r="DT77" s="2179"/>
      <c r="DU77" s="2179"/>
      <c r="DV77" s="2179">
        <v>1</v>
      </c>
      <c r="DW77" s="2179"/>
      <c r="DX77" s="2179"/>
      <c r="DY77" s="2179"/>
      <c r="DZ77" s="2179"/>
      <c r="EA77" s="2179"/>
      <c r="EB77" s="2179">
        <v>3</v>
      </c>
      <c r="EC77" s="2179"/>
      <c r="ED77" s="2179"/>
      <c r="EE77" s="2179"/>
      <c r="EF77" s="2179"/>
      <c r="EG77" s="2179"/>
      <c r="EH77" s="2179"/>
      <c r="EI77" s="2179"/>
      <c r="EJ77" s="2179"/>
      <c r="EK77" s="2179"/>
      <c r="EL77" s="2179"/>
      <c r="EM77" s="2179"/>
      <c r="EN77" s="2179"/>
      <c r="EO77" s="2179"/>
      <c r="EP77" s="2179"/>
      <c r="EQ77" s="2179"/>
      <c r="ER77" s="2179"/>
      <c r="ES77" s="2179"/>
      <c r="ET77" s="2179"/>
      <c r="EU77" s="2179"/>
      <c r="EV77" s="2179"/>
      <c r="EW77" s="2179"/>
      <c r="EX77" s="2179">
        <v>1</v>
      </c>
      <c r="EY77" s="2179"/>
      <c r="EZ77" s="2179"/>
      <c r="FA77" s="2179"/>
      <c r="FB77" s="2179"/>
      <c r="FC77" s="2179"/>
      <c r="FD77" s="2179">
        <v>1</v>
      </c>
      <c r="FE77" s="2179"/>
      <c r="FF77" s="2179"/>
      <c r="FG77" s="2179"/>
      <c r="FH77" s="2179"/>
      <c r="FI77" s="2179"/>
      <c r="FJ77" s="2179"/>
      <c r="FK77" s="2179"/>
      <c r="FL77" s="2179"/>
      <c r="FM77" s="2179"/>
      <c r="FN77" s="2179">
        <v>1</v>
      </c>
      <c r="FO77" s="2179"/>
      <c r="FP77" s="2179"/>
      <c r="FQ77" s="2179"/>
      <c r="FR77" s="2179"/>
      <c r="FS77" s="2179"/>
      <c r="FT77" s="2179"/>
      <c r="FU77" s="2179"/>
      <c r="FV77" s="2179"/>
      <c r="FW77" s="2179"/>
      <c r="FX77" s="2179"/>
      <c r="FY77" s="2179"/>
      <c r="FZ77" s="2179"/>
      <c r="GA77" s="2179">
        <v>13</v>
      </c>
      <c r="GB77" s="2179">
        <f t="shared" si="6"/>
        <v>13</v>
      </c>
    </row>
    <row r="78" spans="2:184" ht="16.8">
      <c r="B78" s="2313" t="str">
        <f t="shared" si="5"/>
        <v>Tháo LTD</v>
      </c>
      <c r="C78" s="2179"/>
      <c r="D78" s="2179" t="s">
        <v>5163</v>
      </c>
      <c r="E78" s="2179">
        <f t="shared" si="4"/>
        <v>3</v>
      </c>
      <c r="F78" s="2179">
        <v>3</v>
      </c>
      <c r="G78" s="2179"/>
      <c r="H78" s="2179"/>
      <c r="I78" s="2179"/>
      <c r="J78" s="2179"/>
      <c r="K78" s="2179"/>
      <c r="L78" s="2179"/>
      <c r="M78" s="2179"/>
      <c r="N78" s="2179"/>
      <c r="O78" s="2179"/>
      <c r="P78" s="2179"/>
      <c r="Q78" s="2179"/>
      <c r="R78" s="2179"/>
      <c r="S78" s="2179"/>
      <c r="T78" s="2179"/>
      <c r="U78" s="2179"/>
      <c r="V78" s="2179"/>
      <c r="W78" s="2179"/>
      <c r="X78" s="2179"/>
      <c r="Y78" s="2179"/>
      <c r="Z78" s="2179"/>
      <c r="AA78" s="2179"/>
      <c r="AB78" s="2179"/>
      <c r="AC78" s="2179"/>
      <c r="AD78" s="2179"/>
      <c r="AE78" s="2179"/>
      <c r="AF78" s="2179"/>
      <c r="AG78" s="2179"/>
      <c r="AH78" s="2179"/>
      <c r="AI78" s="2179"/>
      <c r="AJ78" s="2179"/>
      <c r="AK78" s="2179"/>
      <c r="AL78" s="2179"/>
      <c r="AM78" s="2179"/>
      <c r="AN78" s="2179"/>
      <c r="AO78" s="2179"/>
      <c r="AP78" s="2179"/>
      <c r="AQ78" s="2179"/>
      <c r="AR78" s="2179"/>
      <c r="AS78" s="2179"/>
      <c r="AT78" s="2179"/>
      <c r="AU78" s="2179"/>
      <c r="AV78" s="2179"/>
      <c r="AW78" s="2179"/>
      <c r="AX78" s="2179"/>
      <c r="AY78" s="2179"/>
      <c r="AZ78" s="2179"/>
      <c r="BA78" s="2179"/>
      <c r="BB78" s="2179"/>
      <c r="BC78" s="2179"/>
      <c r="BD78" s="2179"/>
      <c r="BE78" s="2179"/>
      <c r="BF78" s="2179"/>
      <c r="BG78" s="2179"/>
      <c r="BH78" s="2179"/>
      <c r="BI78" s="2179"/>
      <c r="BJ78" s="2179"/>
      <c r="BK78" s="2179"/>
      <c r="BL78" s="2179"/>
      <c r="BM78" s="2179"/>
      <c r="BN78" s="2179"/>
      <c r="BO78" s="2179"/>
      <c r="BP78" s="2179"/>
      <c r="BQ78" s="2179"/>
      <c r="BR78" s="2179"/>
      <c r="BS78" s="2179"/>
      <c r="BT78" s="2179"/>
      <c r="BU78" s="2179"/>
      <c r="BV78" s="2179"/>
      <c r="BW78" s="2179"/>
      <c r="BX78" s="2179"/>
      <c r="BY78" s="2179"/>
      <c r="BZ78" s="2179"/>
      <c r="CA78" s="2179"/>
      <c r="CB78" s="2179"/>
      <c r="CC78" s="2179"/>
      <c r="CD78" s="2179"/>
      <c r="CE78" s="2179"/>
      <c r="CF78" s="2179"/>
      <c r="CG78" s="2179"/>
      <c r="CH78" s="2179"/>
      <c r="CI78" s="2179"/>
      <c r="CJ78" s="2179"/>
      <c r="CK78" s="2179"/>
      <c r="CL78" s="2179"/>
      <c r="CM78" s="2179"/>
      <c r="CN78" s="2179"/>
      <c r="CO78" s="2179"/>
      <c r="CP78" s="2179"/>
      <c r="CQ78" s="2179"/>
      <c r="CR78" s="2179"/>
      <c r="CS78" s="2179"/>
      <c r="CT78" s="2179"/>
      <c r="CU78" s="2179"/>
      <c r="CV78" s="2179"/>
      <c r="CW78" s="2179"/>
      <c r="CX78" s="2179"/>
      <c r="CY78" s="2179"/>
      <c r="CZ78" s="2179"/>
      <c r="DA78" s="2179"/>
      <c r="DB78" s="2179"/>
      <c r="DC78" s="2179"/>
      <c r="DD78" s="2179"/>
      <c r="DE78" s="2179"/>
      <c r="DF78" s="2179"/>
      <c r="DG78" s="2179"/>
      <c r="DH78" s="2179"/>
      <c r="DI78" s="2179"/>
      <c r="DJ78" s="2179"/>
      <c r="DK78" s="2179"/>
      <c r="DL78" s="2179"/>
      <c r="DM78" s="2179"/>
      <c r="DN78" s="2179"/>
      <c r="DO78" s="2179"/>
      <c r="DP78" s="2179"/>
      <c r="DQ78" s="2179"/>
      <c r="DR78" s="2179"/>
      <c r="DS78" s="2179"/>
      <c r="DT78" s="2179"/>
      <c r="DU78" s="2179"/>
      <c r="DV78" s="2179"/>
      <c r="DW78" s="2179"/>
      <c r="DX78" s="2179"/>
      <c r="DY78" s="2179"/>
      <c r="DZ78" s="2179"/>
      <c r="EA78" s="2179"/>
      <c r="EB78" s="2179"/>
      <c r="EC78" s="2179"/>
      <c r="ED78" s="2179"/>
      <c r="EE78" s="2179"/>
      <c r="EF78" s="2179"/>
      <c r="EG78" s="2179"/>
      <c r="EH78" s="2179"/>
      <c r="EI78" s="2179"/>
      <c r="EJ78" s="2179"/>
      <c r="EK78" s="2179"/>
      <c r="EL78" s="2179"/>
      <c r="EM78" s="2179"/>
      <c r="EN78" s="2179"/>
      <c r="EO78" s="2179"/>
      <c r="EP78" s="2179"/>
      <c r="EQ78" s="2179"/>
      <c r="ER78" s="2179"/>
      <c r="ES78" s="2179"/>
      <c r="ET78" s="2179"/>
      <c r="EU78" s="2179"/>
      <c r="EV78" s="2179"/>
      <c r="EW78" s="2179"/>
      <c r="EX78" s="2179"/>
      <c r="EY78" s="2179"/>
      <c r="EZ78" s="2179"/>
      <c r="FA78" s="2179"/>
      <c r="FB78" s="2179"/>
      <c r="FC78" s="2179"/>
      <c r="FD78" s="2179"/>
      <c r="FE78" s="2179"/>
      <c r="FF78" s="2179"/>
      <c r="FG78" s="2179"/>
      <c r="FH78" s="2179"/>
      <c r="FI78" s="2179"/>
      <c r="FJ78" s="2179"/>
      <c r="FK78" s="2179"/>
      <c r="FL78" s="2179"/>
      <c r="FM78" s="2179"/>
      <c r="FN78" s="2179"/>
      <c r="FO78" s="2179"/>
      <c r="FP78" s="2179"/>
      <c r="FQ78" s="2179"/>
      <c r="FR78" s="2179"/>
      <c r="FS78" s="2179"/>
      <c r="FT78" s="2179"/>
      <c r="FU78" s="2179"/>
      <c r="FV78" s="2179"/>
      <c r="FW78" s="2179"/>
      <c r="FX78" s="2179"/>
      <c r="FY78" s="2179"/>
      <c r="FZ78" s="2179"/>
      <c r="GA78" s="2179">
        <v>3</v>
      </c>
      <c r="GB78" s="2179">
        <f t="shared" si="6"/>
        <v>3</v>
      </c>
    </row>
    <row r="79" spans="2:184" ht="16.8" hidden="1">
      <c r="B79" s="2313" t="str">
        <f t="shared" si="5"/>
        <v>Tháo LA</v>
      </c>
      <c r="C79" s="2179"/>
      <c r="D79" s="2179" t="s">
        <v>5164</v>
      </c>
      <c r="E79" s="2179">
        <f t="shared" si="4"/>
        <v>10</v>
      </c>
      <c r="F79" s="2179"/>
      <c r="G79" s="2179"/>
      <c r="H79" s="2179"/>
      <c r="I79" s="2179"/>
      <c r="J79" s="2179"/>
      <c r="K79" s="2179"/>
      <c r="L79" s="2179"/>
      <c r="M79" s="2179"/>
      <c r="N79" s="2179"/>
      <c r="O79" s="2179"/>
      <c r="P79" s="2179"/>
      <c r="Q79" s="2179"/>
      <c r="R79" s="2179"/>
      <c r="S79" s="2179"/>
      <c r="T79" s="2179"/>
      <c r="U79" s="2179"/>
      <c r="V79" s="2179"/>
      <c r="W79" s="2179"/>
      <c r="X79" s="2179"/>
      <c r="Y79" s="2179"/>
      <c r="Z79" s="2179"/>
      <c r="AA79" s="2179"/>
      <c r="AB79" s="2179"/>
      <c r="AC79" s="2179"/>
      <c r="AD79" s="2179">
        <v>1</v>
      </c>
      <c r="AE79" s="2179"/>
      <c r="AF79" s="2179"/>
      <c r="AG79" s="2179"/>
      <c r="AH79" s="2179"/>
      <c r="AI79" s="2179"/>
      <c r="AJ79" s="2179"/>
      <c r="AK79" s="2179"/>
      <c r="AL79" s="2179"/>
      <c r="AM79" s="2179"/>
      <c r="AN79" s="2179">
        <v>1</v>
      </c>
      <c r="AO79" s="2179"/>
      <c r="AP79" s="2179"/>
      <c r="AQ79" s="2179"/>
      <c r="AR79" s="2179"/>
      <c r="AS79" s="2179"/>
      <c r="AT79" s="2179"/>
      <c r="AU79" s="2179"/>
      <c r="AV79" s="2179"/>
      <c r="AW79" s="2179"/>
      <c r="AX79" s="2179"/>
      <c r="AY79" s="2179"/>
      <c r="AZ79" s="2179"/>
      <c r="BA79" s="2179"/>
      <c r="BB79" s="2179"/>
      <c r="BC79" s="2179"/>
      <c r="BD79" s="2179"/>
      <c r="BE79" s="2179"/>
      <c r="BF79" s="2179"/>
      <c r="BG79" s="2179"/>
      <c r="BH79" s="2179"/>
      <c r="BI79" s="2179">
        <v>1</v>
      </c>
      <c r="BJ79" s="2179"/>
      <c r="BK79" s="2179"/>
      <c r="BL79" s="2179"/>
      <c r="BM79" s="2179"/>
      <c r="BN79" s="2179"/>
      <c r="BO79" s="2179"/>
      <c r="BP79" s="2179"/>
      <c r="BQ79" s="2179"/>
      <c r="BR79" s="2179"/>
      <c r="BS79" s="2179"/>
      <c r="BT79" s="2179"/>
      <c r="BU79" s="2179"/>
      <c r="BV79" s="2179"/>
      <c r="BW79" s="2179">
        <v>1</v>
      </c>
      <c r="BX79" s="2179"/>
      <c r="BY79" s="2179"/>
      <c r="BZ79" s="2179"/>
      <c r="CA79" s="2179"/>
      <c r="CB79" s="2179"/>
      <c r="CC79" s="2179"/>
      <c r="CD79" s="2179"/>
      <c r="CE79" s="2179">
        <v>1</v>
      </c>
      <c r="CF79" s="2179"/>
      <c r="CG79" s="2179"/>
      <c r="CH79" s="2179"/>
      <c r="CI79" s="2179"/>
      <c r="CJ79" s="2179"/>
      <c r="CK79" s="2179"/>
      <c r="CL79" s="2179"/>
      <c r="CM79" s="2179"/>
      <c r="CN79" s="2179"/>
      <c r="CO79" s="2179"/>
      <c r="CP79" s="2179"/>
      <c r="CQ79" s="2179"/>
      <c r="CR79" s="2179"/>
      <c r="CS79" s="2179"/>
      <c r="CT79" s="2179"/>
      <c r="CU79" s="2179"/>
      <c r="CV79" s="2179"/>
      <c r="CW79" s="2179"/>
      <c r="CX79" s="2179"/>
      <c r="CY79" s="2179"/>
      <c r="CZ79" s="2179">
        <v>1</v>
      </c>
      <c r="DA79" s="2179"/>
      <c r="DB79" s="2179"/>
      <c r="DC79" s="2179"/>
      <c r="DD79" s="2179"/>
      <c r="DE79" s="2179"/>
      <c r="DF79" s="2179"/>
      <c r="DG79" s="2179"/>
      <c r="DH79" s="2179"/>
      <c r="DI79" s="2179"/>
      <c r="DJ79" s="2179"/>
      <c r="DK79" s="2179"/>
      <c r="DL79" s="2179"/>
      <c r="DM79" s="2179"/>
      <c r="DN79" s="2179"/>
      <c r="DO79" s="2179"/>
      <c r="DP79" s="2179"/>
      <c r="DQ79" s="2179"/>
      <c r="DR79" s="2179"/>
      <c r="DS79" s="2179"/>
      <c r="DT79" s="2179"/>
      <c r="DU79" s="2179"/>
      <c r="DV79" s="2179">
        <v>1</v>
      </c>
      <c r="DW79" s="2179"/>
      <c r="DX79" s="2179"/>
      <c r="DY79" s="2179"/>
      <c r="DZ79" s="2179"/>
      <c r="EA79" s="2179"/>
      <c r="EB79" s="2179"/>
      <c r="EC79" s="2179"/>
      <c r="ED79" s="2179"/>
      <c r="EE79" s="2179"/>
      <c r="EF79" s="2179"/>
      <c r="EG79" s="2179"/>
      <c r="EH79" s="2179"/>
      <c r="EI79" s="2179"/>
      <c r="EJ79" s="2179"/>
      <c r="EK79" s="2179"/>
      <c r="EL79" s="2179"/>
      <c r="EM79" s="2179"/>
      <c r="EN79" s="2179"/>
      <c r="EO79" s="2179"/>
      <c r="EP79" s="2179"/>
      <c r="EQ79" s="2179"/>
      <c r="ER79" s="2179"/>
      <c r="ES79" s="2179"/>
      <c r="ET79" s="2179"/>
      <c r="EU79" s="2179"/>
      <c r="EV79" s="2179"/>
      <c r="EW79" s="2179"/>
      <c r="EX79" s="2179">
        <v>1</v>
      </c>
      <c r="EY79" s="2179"/>
      <c r="EZ79" s="2179"/>
      <c r="FA79" s="2179"/>
      <c r="FB79" s="2179"/>
      <c r="FC79" s="2179"/>
      <c r="FD79" s="2179">
        <v>1</v>
      </c>
      <c r="FE79" s="2179"/>
      <c r="FF79" s="2179"/>
      <c r="FG79" s="2179"/>
      <c r="FH79" s="2179"/>
      <c r="FI79" s="2179"/>
      <c r="FJ79" s="2179"/>
      <c r="FK79" s="2179"/>
      <c r="FL79" s="2179"/>
      <c r="FM79" s="2179"/>
      <c r="FN79" s="2179">
        <v>1</v>
      </c>
      <c r="FO79" s="2179"/>
      <c r="FP79" s="2179"/>
      <c r="FQ79" s="2179"/>
      <c r="FR79" s="2179"/>
      <c r="FS79" s="2179"/>
      <c r="FT79" s="2179"/>
      <c r="FU79" s="2179"/>
      <c r="FV79" s="2179"/>
      <c r="FW79" s="2179"/>
      <c r="FX79" s="2179"/>
      <c r="FY79" s="2179"/>
      <c r="FZ79" s="2179"/>
      <c r="GA79" s="2179">
        <v>10</v>
      </c>
      <c r="GB79" s="2179">
        <f t="shared" si="6"/>
        <v>10</v>
      </c>
    </row>
    <row r="80" spans="2:184" ht="16.8" hidden="1">
      <c r="B80" s="2313" t="str">
        <f t="shared" si="5"/>
        <v>Tháo TBA 1P 75KVA</v>
      </c>
      <c r="C80" s="2179"/>
      <c r="D80" s="2179" t="s">
        <v>5165</v>
      </c>
      <c r="E80" s="2179">
        <f t="shared" si="4"/>
        <v>2</v>
      </c>
      <c r="F80" s="2179"/>
      <c r="G80" s="2179"/>
      <c r="H80" s="2179"/>
      <c r="I80" s="2179"/>
      <c r="J80" s="2179"/>
      <c r="K80" s="2179"/>
      <c r="L80" s="2179"/>
      <c r="M80" s="2179"/>
      <c r="N80" s="2179"/>
      <c r="O80" s="2179"/>
      <c r="P80" s="2179"/>
      <c r="Q80" s="2179"/>
      <c r="R80" s="2179"/>
      <c r="S80" s="2179"/>
      <c r="T80" s="2179"/>
      <c r="U80" s="2179"/>
      <c r="V80" s="2179"/>
      <c r="W80" s="2179"/>
      <c r="X80" s="2179"/>
      <c r="Y80" s="2179"/>
      <c r="Z80" s="2179"/>
      <c r="AA80" s="2179"/>
      <c r="AB80" s="2179"/>
      <c r="AC80" s="2179"/>
      <c r="AD80" s="2179"/>
      <c r="AE80" s="2179"/>
      <c r="AF80" s="2179"/>
      <c r="AG80" s="2179"/>
      <c r="AH80" s="2179"/>
      <c r="AI80" s="2179"/>
      <c r="AJ80" s="2179"/>
      <c r="AK80" s="2179"/>
      <c r="AL80" s="2179"/>
      <c r="AM80" s="2179"/>
      <c r="AN80" s="2179"/>
      <c r="AO80" s="2179"/>
      <c r="AP80" s="2179"/>
      <c r="AQ80" s="2179"/>
      <c r="AR80" s="2179"/>
      <c r="AS80" s="2179"/>
      <c r="AT80" s="2179"/>
      <c r="AU80" s="2179"/>
      <c r="AV80" s="2179"/>
      <c r="AW80" s="2179"/>
      <c r="AX80" s="2179"/>
      <c r="AY80" s="2179"/>
      <c r="AZ80" s="2179"/>
      <c r="BA80" s="2179"/>
      <c r="BB80" s="2179"/>
      <c r="BC80" s="2179"/>
      <c r="BD80" s="2179"/>
      <c r="BE80" s="2179"/>
      <c r="BF80" s="2179"/>
      <c r="BG80" s="2179"/>
      <c r="BH80" s="2179"/>
      <c r="BI80" s="2179"/>
      <c r="BJ80" s="2179"/>
      <c r="BK80" s="2179"/>
      <c r="BL80" s="2179"/>
      <c r="BM80" s="2179"/>
      <c r="BN80" s="2179"/>
      <c r="BO80" s="2179"/>
      <c r="BP80" s="2179"/>
      <c r="BQ80" s="2179"/>
      <c r="BR80" s="2179"/>
      <c r="BS80" s="2179"/>
      <c r="BT80" s="2179"/>
      <c r="BU80" s="2179"/>
      <c r="BV80" s="2179"/>
      <c r="BW80" s="2179">
        <v>1</v>
      </c>
      <c r="BX80" s="2179"/>
      <c r="BY80" s="2179"/>
      <c r="BZ80" s="2179"/>
      <c r="CA80" s="2179"/>
      <c r="CB80" s="2179"/>
      <c r="CC80" s="2179"/>
      <c r="CD80" s="2179"/>
      <c r="CE80" s="2179"/>
      <c r="CF80" s="2179"/>
      <c r="CG80" s="2179"/>
      <c r="CH80" s="2179"/>
      <c r="CI80" s="2179"/>
      <c r="CJ80" s="2179"/>
      <c r="CK80" s="2179"/>
      <c r="CL80" s="2179"/>
      <c r="CM80" s="2179"/>
      <c r="CN80" s="2179"/>
      <c r="CO80" s="2179"/>
      <c r="CP80" s="2179"/>
      <c r="CQ80" s="2179"/>
      <c r="CR80" s="2179"/>
      <c r="CS80" s="2179"/>
      <c r="CT80" s="2179"/>
      <c r="CU80" s="2179"/>
      <c r="CV80" s="2179"/>
      <c r="CW80" s="2179"/>
      <c r="CX80" s="2179"/>
      <c r="CY80" s="2179"/>
      <c r="CZ80" s="2179">
        <v>1</v>
      </c>
      <c r="DA80" s="2179"/>
      <c r="DB80" s="2179"/>
      <c r="DC80" s="2179"/>
      <c r="DD80" s="2179"/>
      <c r="DE80" s="2179"/>
      <c r="DF80" s="2179"/>
      <c r="DG80" s="2179"/>
      <c r="DH80" s="2179"/>
      <c r="DI80" s="2179"/>
      <c r="DJ80" s="2179"/>
      <c r="DK80" s="2179"/>
      <c r="DL80" s="2179"/>
      <c r="DM80" s="2179"/>
      <c r="DN80" s="2179"/>
      <c r="DO80" s="2179"/>
      <c r="DP80" s="2179"/>
      <c r="DQ80" s="2179"/>
      <c r="DR80" s="2179"/>
      <c r="DS80" s="2179"/>
      <c r="DT80" s="2179"/>
      <c r="DU80" s="2179"/>
      <c r="DV80" s="2179"/>
      <c r="DW80" s="2179"/>
      <c r="DX80" s="2179"/>
      <c r="DY80" s="2179"/>
      <c r="DZ80" s="2179"/>
      <c r="EA80" s="2179"/>
      <c r="EB80" s="2179"/>
      <c r="EC80" s="2179"/>
      <c r="ED80" s="2179"/>
      <c r="EE80" s="2179"/>
      <c r="EF80" s="2179"/>
      <c r="EG80" s="2179"/>
      <c r="EH80" s="2179"/>
      <c r="EI80" s="2179"/>
      <c r="EJ80" s="2179"/>
      <c r="EK80" s="2179"/>
      <c r="EL80" s="2179"/>
      <c r="EM80" s="2179"/>
      <c r="EN80" s="2179"/>
      <c r="EO80" s="2179"/>
      <c r="EP80" s="2179"/>
      <c r="EQ80" s="2179"/>
      <c r="ER80" s="2179"/>
      <c r="ES80" s="2179"/>
      <c r="ET80" s="2179"/>
      <c r="EU80" s="2179"/>
      <c r="EV80" s="2179"/>
      <c r="EW80" s="2179"/>
      <c r="EX80" s="2179"/>
      <c r="EY80" s="2179"/>
      <c r="EZ80" s="2179"/>
      <c r="FA80" s="2179"/>
      <c r="FB80" s="2179"/>
      <c r="FC80" s="2179"/>
      <c r="FD80" s="2179"/>
      <c r="FE80" s="2179"/>
      <c r="FF80" s="2179"/>
      <c r="FG80" s="2179"/>
      <c r="FH80" s="2179"/>
      <c r="FI80" s="2179"/>
      <c r="FJ80" s="2179"/>
      <c r="FK80" s="2179"/>
      <c r="FL80" s="2179"/>
      <c r="FM80" s="2179"/>
      <c r="FN80" s="2179"/>
      <c r="FO80" s="2179"/>
      <c r="FP80" s="2179"/>
      <c r="FQ80" s="2179"/>
      <c r="FR80" s="2179"/>
      <c r="FS80" s="2179"/>
      <c r="FT80" s="2179"/>
      <c r="FU80" s="2179"/>
      <c r="FV80" s="2179"/>
      <c r="FW80" s="2179"/>
      <c r="FX80" s="2179"/>
      <c r="FY80" s="2179"/>
      <c r="FZ80" s="2179"/>
      <c r="GA80" s="2179">
        <v>2</v>
      </c>
      <c r="GB80" s="2179">
        <f t="shared" si="6"/>
        <v>2</v>
      </c>
    </row>
    <row r="81" spans="2:184" ht="16.8" hidden="1">
      <c r="B81" s="2313" t="str">
        <f t="shared" si="5"/>
        <v>Tháo TBA 1P: 100KVA</v>
      </c>
      <c r="C81" s="2179"/>
      <c r="D81" s="2179" t="s">
        <v>5166</v>
      </c>
      <c r="E81" s="2179">
        <f t="shared" si="4"/>
        <v>9</v>
      </c>
      <c r="F81" s="2179"/>
      <c r="G81" s="2179"/>
      <c r="H81" s="2179"/>
      <c r="I81" s="2179"/>
      <c r="J81" s="2179"/>
      <c r="K81" s="2179"/>
      <c r="L81" s="2179"/>
      <c r="M81" s="2179"/>
      <c r="N81" s="2179"/>
      <c r="O81" s="2179"/>
      <c r="P81" s="2179"/>
      <c r="Q81" s="2179"/>
      <c r="R81" s="2179"/>
      <c r="S81" s="2179"/>
      <c r="T81" s="2179"/>
      <c r="U81" s="2179"/>
      <c r="V81" s="2179"/>
      <c r="W81" s="2179"/>
      <c r="X81" s="2179"/>
      <c r="Y81" s="2179"/>
      <c r="Z81" s="2179"/>
      <c r="AA81" s="2179"/>
      <c r="AB81" s="2179"/>
      <c r="AC81" s="2179"/>
      <c r="AD81" s="2179">
        <v>1</v>
      </c>
      <c r="AE81" s="2179"/>
      <c r="AF81" s="2179"/>
      <c r="AG81" s="2179"/>
      <c r="AH81" s="2179"/>
      <c r="AI81" s="2179"/>
      <c r="AJ81" s="2179"/>
      <c r="AK81" s="2179"/>
      <c r="AL81" s="2179"/>
      <c r="AM81" s="2179"/>
      <c r="AN81" s="2179">
        <v>1</v>
      </c>
      <c r="AO81" s="2179"/>
      <c r="AP81" s="2179"/>
      <c r="AQ81" s="2179"/>
      <c r="AR81" s="2179"/>
      <c r="AS81" s="2179"/>
      <c r="AT81" s="2179"/>
      <c r="AU81" s="2179"/>
      <c r="AV81" s="2179"/>
      <c r="AW81" s="2179"/>
      <c r="AX81" s="2179"/>
      <c r="AY81" s="2179"/>
      <c r="AZ81" s="2179"/>
      <c r="BA81" s="2179"/>
      <c r="BB81" s="2179"/>
      <c r="BC81" s="2179"/>
      <c r="BD81" s="2179"/>
      <c r="BE81" s="2179"/>
      <c r="BF81" s="2179"/>
      <c r="BG81" s="2179"/>
      <c r="BH81" s="2179"/>
      <c r="BI81" s="2179">
        <v>1</v>
      </c>
      <c r="BJ81" s="2179"/>
      <c r="BK81" s="2179"/>
      <c r="BL81" s="2179"/>
      <c r="BM81" s="2179"/>
      <c r="BN81" s="2179"/>
      <c r="BO81" s="2179"/>
      <c r="BP81" s="2179"/>
      <c r="BQ81" s="2179"/>
      <c r="BR81" s="2179"/>
      <c r="BS81" s="2179"/>
      <c r="BT81" s="2179"/>
      <c r="BU81" s="2179"/>
      <c r="BV81" s="2179"/>
      <c r="BW81" s="2179"/>
      <c r="BX81" s="2179"/>
      <c r="BY81" s="2179"/>
      <c r="BZ81" s="2179"/>
      <c r="CA81" s="2179"/>
      <c r="CB81" s="2179"/>
      <c r="CC81" s="2179"/>
      <c r="CD81" s="2179"/>
      <c r="CE81" s="2179">
        <v>1</v>
      </c>
      <c r="CF81" s="2179"/>
      <c r="CG81" s="2179"/>
      <c r="CH81" s="2179"/>
      <c r="CI81" s="2179"/>
      <c r="CJ81" s="2179"/>
      <c r="CK81" s="2179"/>
      <c r="CL81" s="2179"/>
      <c r="CM81" s="2179"/>
      <c r="CN81" s="2179"/>
      <c r="CO81" s="2179"/>
      <c r="CP81" s="2179"/>
      <c r="CQ81" s="2179"/>
      <c r="CR81" s="2179"/>
      <c r="CS81" s="2179"/>
      <c r="CT81" s="2179"/>
      <c r="CU81" s="2179"/>
      <c r="CV81" s="2179"/>
      <c r="CW81" s="2179"/>
      <c r="CX81" s="2179"/>
      <c r="CY81" s="2179"/>
      <c r="CZ81" s="2179"/>
      <c r="DA81" s="2179"/>
      <c r="DB81" s="2179"/>
      <c r="DC81" s="2179"/>
      <c r="DD81" s="2179"/>
      <c r="DE81" s="2179"/>
      <c r="DF81" s="2179"/>
      <c r="DG81" s="2179"/>
      <c r="DH81" s="2179"/>
      <c r="DI81" s="2179"/>
      <c r="DJ81" s="2179"/>
      <c r="DK81" s="2179"/>
      <c r="DL81" s="2179"/>
      <c r="DM81" s="2179"/>
      <c r="DN81" s="2179"/>
      <c r="DO81" s="2179"/>
      <c r="DP81" s="2179"/>
      <c r="DQ81" s="2179"/>
      <c r="DR81" s="2179"/>
      <c r="DS81" s="2179"/>
      <c r="DT81" s="2179"/>
      <c r="DU81" s="2179"/>
      <c r="DV81" s="2179">
        <v>1</v>
      </c>
      <c r="DW81" s="2179"/>
      <c r="DX81" s="2179"/>
      <c r="DY81" s="2179"/>
      <c r="DZ81" s="2179"/>
      <c r="EA81" s="2179"/>
      <c r="EB81" s="2179"/>
      <c r="EC81" s="2179"/>
      <c r="ED81" s="2179"/>
      <c r="EE81" s="2179"/>
      <c r="EF81" s="2179"/>
      <c r="EG81" s="2179"/>
      <c r="EH81" s="2179"/>
      <c r="EI81" s="2179"/>
      <c r="EJ81" s="2179"/>
      <c r="EK81" s="2179"/>
      <c r="EL81" s="2179"/>
      <c r="EM81" s="2179"/>
      <c r="EN81" s="2179"/>
      <c r="EO81" s="2179"/>
      <c r="EP81" s="2179"/>
      <c r="EQ81" s="2179"/>
      <c r="ER81" s="2179"/>
      <c r="ES81" s="2179"/>
      <c r="ET81" s="2179"/>
      <c r="EU81" s="2179"/>
      <c r="EV81" s="2179"/>
      <c r="EW81" s="2179"/>
      <c r="EX81" s="2179">
        <v>2</v>
      </c>
      <c r="EY81" s="2179"/>
      <c r="EZ81" s="2179"/>
      <c r="FA81" s="2179"/>
      <c r="FB81" s="2179"/>
      <c r="FC81" s="2179"/>
      <c r="FD81" s="2179">
        <v>1</v>
      </c>
      <c r="FE81" s="2179"/>
      <c r="FF81" s="2179"/>
      <c r="FG81" s="2179"/>
      <c r="FH81" s="2179"/>
      <c r="FI81" s="2179"/>
      <c r="FJ81" s="2179"/>
      <c r="FK81" s="2179"/>
      <c r="FL81" s="2179"/>
      <c r="FM81" s="2179"/>
      <c r="FN81" s="2179">
        <v>1</v>
      </c>
      <c r="FO81" s="2179"/>
      <c r="FP81" s="2179"/>
      <c r="FQ81" s="2179"/>
      <c r="FR81" s="2179"/>
      <c r="FS81" s="2179"/>
      <c r="FT81" s="2179"/>
      <c r="FU81" s="2179"/>
      <c r="FV81" s="2179"/>
      <c r="FW81" s="2179"/>
      <c r="FX81" s="2179"/>
      <c r="FY81" s="2179"/>
      <c r="FZ81" s="2179"/>
      <c r="GA81" s="2179">
        <v>9</v>
      </c>
      <c r="GB81" s="2179">
        <f t="shared" si="6"/>
        <v>9</v>
      </c>
    </row>
    <row r="82" spans="2:184" ht="16.8" hidden="1">
      <c r="B82" s="2313" t="str">
        <f t="shared" si="5"/>
        <v>Tháo bộ đỡ trung hòa</v>
      </c>
      <c r="C82" s="2179"/>
      <c r="D82" s="2179" t="s">
        <v>5167</v>
      </c>
      <c r="E82" s="2179">
        <f t="shared" si="4"/>
        <v>87</v>
      </c>
      <c r="F82" s="2179"/>
      <c r="G82" s="2179"/>
      <c r="H82" s="2179">
        <v>1</v>
      </c>
      <c r="I82" s="2179"/>
      <c r="J82" s="2179">
        <v>1</v>
      </c>
      <c r="K82" s="2179"/>
      <c r="L82" s="2179">
        <v>1</v>
      </c>
      <c r="M82" s="2179"/>
      <c r="N82" s="2179">
        <v>1</v>
      </c>
      <c r="O82" s="2179"/>
      <c r="P82" s="2179">
        <v>1</v>
      </c>
      <c r="Q82" s="2179"/>
      <c r="R82" s="2179">
        <v>1</v>
      </c>
      <c r="S82" s="2179"/>
      <c r="T82" s="2179">
        <v>1</v>
      </c>
      <c r="U82" s="2179"/>
      <c r="V82" s="2179">
        <v>1</v>
      </c>
      <c r="W82" s="2179"/>
      <c r="X82" s="2179">
        <v>1</v>
      </c>
      <c r="Y82" s="2179"/>
      <c r="Z82" s="2179">
        <v>1</v>
      </c>
      <c r="AA82" s="2179"/>
      <c r="AB82" s="2179">
        <v>1</v>
      </c>
      <c r="AC82" s="2179"/>
      <c r="AD82" s="2179">
        <v>1</v>
      </c>
      <c r="AE82" s="2179"/>
      <c r="AF82" s="2179">
        <v>1</v>
      </c>
      <c r="AG82" s="2179"/>
      <c r="AH82" s="2179">
        <v>1</v>
      </c>
      <c r="AI82" s="2179"/>
      <c r="AJ82" s="2179">
        <v>1</v>
      </c>
      <c r="AK82" s="2179"/>
      <c r="AL82" s="2179">
        <v>1</v>
      </c>
      <c r="AM82" s="2179"/>
      <c r="AN82" s="2179">
        <v>1</v>
      </c>
      <c r="AO82" s="2179"/>
      <c r="AP82" s="2179"/>
      <c r="AQ82" s="2179"/>
      <c r="AR82" s="2179">
        <v>1</v>
      </c>
      <c r="AS82" s="2179"/>
      <c r="AT82" s="2179">
        <v>1</v>
      </c>
      <c r="AU82" s="2179"/>
      <c r="AV82" s="2179">
        <v>1</v>
      </c>
      <c r="AW82" s="2179"/>
      <c r="AX82" s="2179">
        <v>1</v>
      </c>
      <c r="AY82" s="2179"/>
      <c r="AZ82" s="2179"/>
      <c r="BA82" s="2179">
        <v>1</v>
      </c>
      <c r="BB82" s="2179"/>
      <c r="BC82" s="2179">
        <v>1</v>
      </c>
      <c r="BD82" s="2179"/>
      <c r="BE82" s="2179">
        <v>1</v>
      </c>
      <c r="BF82" s="2179"/>
      <c r="BG82" s="2179">
        <v>1</v>
      </c>
      <c r="BH82" s="2179"/>
      <c r="BI82" s="2179">
        <v>1</v>
      </c>
      <c r="BJ82" s="2179"/>
      <c r="BK82" s="2179">
        <v>1</v>
      </c>
      <c r="BL82" s="2179"/>
      <c r="BM82" s="2179">
        <v>1</v>
      </c>
      <c r="BN82" s="2179"/>
      <c r="BO82" s="2179">
        <v>1</v>
      </c>
      <c r="BP82" s="2179"/>
      <c r="BQ82" s="2179">
        <v>1</v>
      </c>
      <c r="BR82" s="2179"/>
      <c r="BS82" s="2179">
        <v>1</v>
      </c>
      <c r="BT82" s="2179"/>
      <c r="BU82" s="2179">
        <v>1</v>
      </c>
      <c r="BV82" s="2179"/>
      <c r="BW82" s="2179">
        <v>1</v>
      </c>
      <c r="BX82" s="2179"/>
      <c r="BY82" s="2179">
        <v>1</v>
      </c>
      <c r="BZ82" s="2179"/>
      <c r="CA82" s="2179">
        <v>1</v>
      </c>
      <c r="CB82" s="2179"/>
      <c r="CC82" s="2179">
        <v>1</v>
      </c>
      <c r="CD82" s="2179"/>
      <c r="CE82" s="2179">
        <v>1</v>
      </c>
      <c r="CF82" s="2179"/>
      <c r="CG82" s="2179"/>
      <c r="CH82" s="2179"/>
      <c r="CI82" s="2179">
        <v>1</v>
      </c>
      <c r="CJ82" s="2179"/>
      <c r="CK82" s="2179">
        <v>1</v>
      </c>
      <c r="CL82" s="2179"/>
      <c r="CM82" s="2179">
        <v>1</v>
      </c>
      <c r="CN82" s="2179"/>
      <c r="CO82" s="2179">
        <v>1</v>
      </c>
      <c r="CP82" s="2179">
        <v>1</v>
      </c>
      <c r="CQ82" s="2179">
        <v>1</v>
      </c>
      <c r="CR82" s="2179">
        <v>1</v>
      </c>
      <c r="CS82" s="2179"/>
      <c r="CT82" s="2179">
        <v>1</v>
      </c>
      <c r="CU82" s="2179"/>
      <c r="CV82" s="2179">
        <v>1</v>
      </c>
      <c r="CW82" s="2179"/>
      <c r="CX82" s="2179">
        <v>1</v>
      </c>
      <c r="CY82" s="2179"/>
      <c r="CZ82" s="2179">
        <v>1</v>
      </c>
      <c r="DA82" s="2179"/>
      <c r="DB82" s="2179"/>
      <c r="DC82" s="2179"/>
      <c r="DD82" s="2179">
        <v>1</v>
      </c>
      <c r="DE82" s="2179"/>
      <c r="DF82" s="2179">
        <v>1</v>
      </c>
      <c r="DG82" s="2179">
        <v>1</v>
      </c>
      <c r="DH82" s="2179"/>
      <c r="DI82" s="2179">
        <v>1</v>
      </c>
      <c r="DJ82" s="2179"/>
      <c r="DK82" s="2179">
        <v>1</v>
      </c>
      <c r="DL82" s="2179"/>
      <c r="DM82" s="2179">
        <v>1</v>
      </c>
      <c r="DN82" s="2179"/>
      <c r="DO82" s="2179">
        <v>1</v>
      </c>
      <c r="DP82" s="2179"/>
      <c r="DQ82" s="2179">
        <v>1</v>
      </c>
      <c r="DR82" s="2179"/>
      <c r="DS82" s="2179">
        <v>1</v>
      </c>
      <c r="DT82" s="2179">
        <v>1</v>
      </c>
      <c r="DU82" s="2179"/>
      <c r="DV82" s="2179">
        <v>1</v>
      </c>
      <c r="DW82" s="2179"/>
      <c r="DX82" s="2179">
        <v>1</v>
      </c>
      <c r="DY82" s="2179"/>
      <c r="DZ82" s="2179">
        <v>1</v>
      </c>
      <c r="EA82" s="2179"/>
      <c r="EB82" s="2179">
        <v>1</v>
      </c>
      <c r="EC82" s="2179"/>
      <c r="ED82" s="2179">
        <v>1</v>
      </c>
      <c r="EE82" s="2179"/>
      <c r="EF82" s="2179">
        <v>1</v>
      </c>
      <c r="EG82" s="2179"/>
      <c r="EH82" s="2179">
        <v>1</v>
      </c>
      <c r="EI82" s="2179"/>
      <c r="EJ82" s="2179">
        <v>1</v>
      </c>
      <c r="EK82" s="2179"/>
      <c r="EL82" s="2179">
        <v>1</v>
      </c>
      <c r="EM82" s="2179"/>
      <c r="EN82" s="2179">
        <v>1</v>
      </c>
      <c r="EO82" s="2179"/>
      <c r="EP82" s="2179">
        <v>1</v>
      </c>
      <c r="EQ82" s="2179"/>
      <c r="ER82" s="2179">
        <v>1</v>
      </c>
      <c r="ES82" s="2179"/>
      <c r="ET82" s="2179">
        <v>1</v>
      </c>
      <c r="EU82" s="2179"/>
      <c r="EV82" s="2179">
        <v>1</v>
      </c>
      <c r="EW82" s="2179"/>
      <c r="EX82" s="2179">
        <v>1</v>
      </c>
      <c r="EY82" s="2179">
        <v>1</v>
      </c>
      <c r="EZ82" s="2179">
        <v>1</v>
      </c>
      <c r="FA82" s="2179"/>
      <c r="FB82" s="2179">
        <v>1</v>
      </c>
      <c r="FC82" s="2179"/>
      <c r="FD82" s="2179">
        <v>1</v>
      </c>
      <c r="FE82" s="2179"/>
      <c r="FF82" s="2179">
        <v>1</v>
      </c>
      <c r="FG82" s="2179"/>
      <c r="FH82" s="2179">
        <v>1</v>
      </c>
      <c r="FI82" s="2179">
        <v>1</v>
      </c>
      <c r="FJ82" s="2179">
        <v>1</v>
      </c>
      <c r="FK82" s="2179"/>
      <c r="FL82" s="2179">
        <v>1</v>
      </c>
      <c r="FM82" s="2179"/>
      <c r="FN82" s="2179">
        <v>1</v>
      </c>
      <c r="FO82" s="2179"/>
      <c r="FP82" s="2179">
        <v>1</v>
      </c>
      <c r="FQ82" s="2179"/>
      <c r="FR82" s="2179"/>
      <c r="FS82" s="2179"/>
      <c r="FT82" s="2179">
        <v>1</v>
      </c>
      <c r="FU82" s="2179"/>
      <c r="FV82" s="2179">
        <v>1</v>
      </c>
      <c r="FW82" s="2179"/>
      <c r="FX82" s="2179">
        <v>1</v>
      </c>
      <c r="FY82" s="2179"/>
      <c r="FZ82" s="2179"/>
      <c r="GA82" s="2179">
        <v>87</v>
      </c>
      <c r="GB82" s="2179">
        <f t="shared" si="6"/>
        <v>87</v>
      </c>
    </row>
    <row r="83" spans="2:184" ht="16.8" hidden="1">
      <c r="B83" s="2313" t="str">
        <f t="shared" si="5"/>
        <v>Tháo bộ dừng trung hòa</v>
      </c>
      <c r="C83" s="2179"/>
      <c r="D83" s="2179" t="s">
        <v>5168</v>
      </c>
      <c r="E83" s="2179">
        <f t="shared" si="4"/>
        <v>5</v>
      </c>
      <c r="F83" s="2179"/>
      <c r="G83" s="2179"/>
      <c r="H83" s="2179"/>
      <c r="I83" s="2179"/>
      <c r="J83" s="2179"/>
      <c r="K83" s="2179"/>
      <c r="L83" s="2179"/>
      <c r="M83" s="2179"/>
      <c r="N83" s="2179"/>
      <c r="O83" s="2179"/>
      <c r="P83" s="2179"/>
      <c r="Q83" s="2179"/>
      <c r="R83" s="2179"/>
      <c r="S83" s="2179"/>
      <c r="T83" s="2179"/>
      <c r="U83" s="2179"/>
      <c r="V83" s="2179"/>
      <c r="W83" s="2179"/>
      <c r="X83" s="2179"/>
      <c r="Y83" s="2179"/>
      <c r="Z83" s="2179"/>
      <c r="AA83" s="2179"/>
      <c r="AB83" s="2179"/>
      <c r="AC83" s="2179"/>
      <c r="AD83" s="2179"/>
      <c r="AE83" s="2179"/>
      <c r="AF83" s="2179"/>
      <c r="AG83" s="2179"/>
      <c r="AH83" s="2179"/>
      <c r="AI83" s="2179"/>
      <c r="AJ83" s="2179"/>
      <c r="AK83" s="2179"/>
      <c r="AL83" s="2179"/>
      <c r="AM83" s="2179"/>
      <c r="AN83" s="2179"/>
      <c r="AO83" s="2179"/>
      <c r="AP83" s="2179">
        <v>2</v>
      </c>
      <c r="AQ83" s="2179"/>
      <c r="AR83" s="2179"/>
      <c r="AS83" s="2179"/>
      <c r="AT83" s="2179"/>
      <c r="AU83" s="2179"/>
      <c r="AV83" s="2179"/>
      <c r="AW83" s="2179"/>
      <c r="AX83" s="2179"/>
      <c r="AY83" s="2179"/>
      <c r="AZ83" s="2179"/>
      <c r="BA83" s="2179"/>
      <c r="BB83" s="2179"/>
      <c r="BC83" s="2179"/>
      <c r="BD83" s="2179"/>
      <c r="BE83" s="2179"/>
      <c r="BF83" s="2179"/>
      <c r="BG83" s="2179"/>
      <c r="BH83" s="2179"/>
      <c r="BI83" s="2179"/>
      <c r="BJ83" s="2179"/>
      <c r="BK83" s="2179"/>
      <c r="BL83" s="2179"/>
      <c r="BM83" s="2179"/>
      <c r="BN83" s="2179"/>
      <c r="BO83" s="2179"/>
      <c r="BP83" s="2179"/>
      <c r="BQ83" s="2179"/>
      <c r="BR83" s="2179"/>
      <c r="BS83" s="2179"/>
      <c r="BT83" s="2179"/>
      <c r="BU83" s="2179"/>
      <c r="BV83" s="2179"/>
      <c r="BW83" s="2179"/>
      <c r="BX83" s="2179"/>
      <c r="BY83" s="2179"/>
      <c r="BZ83" s="2179"/>
      <c r="CA83" s="2179"/>
      <c r="CB83" s="2179"/>
      <c r="CC83" s="2179"/>
      <c r="CD83" s="2179"/>
      <c r="CE83" s="2179"/>
      <c r="CF83" s="2179"/>
      <c r="CG83" s="2179">
        <v>1</v>
      </c>
      <c r="CH83" s="2179"/>
      <c r="CI83" s="2179"/>
      <c r="CJ83" s="2179"/>
      <c r="CK83" s="2179"/>
      <c r="CL83" s="2179"/>
      <c r="CM83" s="2179"/>
      <c r="CN83" s="2179"/>
      <c r="CO83" s="2179"/>
      <c r="CP83" s="2179"/>
      <c r="CQ83" s="2179"/>
      <c r="CR83" s="2179"/>
      <c r="CS83" s="2179"/>
      <c r="CT83" s="2179"/>
      <c r="CU83" s="2179"/>
      <c r="CV83" s="2179"/>
      <c r="CW83" s="2179"/>
      <c r="CX83" s="2179"/>
      <c r="CY83" s="2179"/>
      <c r="CZ83" s="2179"/>
      <c r="DA83" s="2179"/>
      <c r="DB83" s="2179"/>
      <c r="DC83" s="2179"/>
      <c r="DD83" s="2179"/>
      <c r="DE83" s="2179"/>
      <c r="DF83" s="2179"/>
      <c r="DG83" s="2179"/>
      <c r="DH83" s="2179"/>
      <c r="DI83" s="2179"/>
      <c r="DJ83" s="2179"/>
      <c r="DK83" s="2179"/>
      <c r="DL83" s="2179"/>
      <c r="DM83" s="2179"/>
      <c r="DN83" s="2179"/>
      <c r="DO83" s="2179"/>
      <c r="DP83" s="2179"/>
      <c r="DQ83" s="2179"/>
      <c r="DR83" s="2179"/>
      <c r="DS83" s="2179"/>
      <c r="DT83" s="2179"/>
      <c r="DU83" s="2179"/>
      <c r="DV83" s="2179"/>
      <c r="DW83" s="2179"/>
      <c r="DX83" s="2179"/>
      <c r="DY83" s="2179"/>
      <c r="DZ83" s="2179"/>
      <c r="EA83" s="2179"/>
      <c r="EB83" s="2179"/>
      <c r="EC83" s="2179"/>
      <c r="ED83" s="2179"/>
      <c r="EE83" s="2179"/>
      <c r="EF83" s="2179"/>
      <c r="EG83" s="2179"/>
      <c r="EH83" s="2179"/>
      <c r="EI83" s="2179"/>
      <c r="EJ83" s="2179"/>
      <c r="EK83" s="2179"/>
      <c r="EL83" s="2179"/>
      <c r="EM83" s="2179"/>
      <c r="EN83" s="2179"/>
      <c r="EO83" s="2179"/>
      <c r="EP83" s="2179"/>
      <c r="EQ83" s="2179"/>
      <c r="ER83" s="2179"/>
      <c r="ES83" s="2179"/>
      <c r="ET83" s="2179"/>
      <c r="EU83" s="2179"/>
      <c r="EV83" s="2179"/>
      <c r="EW83" s="2179"/>
      <c r="EX83" s="2179"/>
      <c r="EY83" s="2179"/>
      <c r="EZ83" s="2179"/>
      <c r="FA83" s="2179"/>
      <c r="FB83" s="2179"/>
      <c r="FC83" s="2179"/>
      <c r="FD83" s="2179"/>
      <c r="FE83" s="2179"/>
      <c r="FF83" s="2179"/>
      <c r="FG83" s="2179"/>
      <c r="FH83" s="2179"/>
      <c r="FI83" s="2179"/>
      <c r="FJ83" s="2179"/>
      <c r="FK83" s="2179"/>
      <c r="FL83" s="2179"/>
      <c r="FM83" s="2179"/>
      <c r="FN83" s="2179"/>
      <c r="FO83" s="2179"/>
      <c r="FP83" s="2179"/>
      <c r="FQ83" s="2179"/>
      <c r="FR83" s="2179">
        <v>2</v>
      </c>
      <c r="FS83" s="2179"/>
      <c r="FT83" s="2179"/>
      <c r="FU83" s="2179"/>
      <c r="FV83" s="2179"/>
      <c r="FW83" s="2179"/>
      <c r="FX83" s="2179"/>
      <c r="FY83" s="2179"/>
      <c r="FZ83" s="2179"/>
      <c r="GA83" s="2179">
        <v>5</v>
      </c>
      <c r="GB83" s="2179">
        <f t="shared" si="6"/>
        <v>5</v>
      </c>
    </row>
    <row r="84" spans="2:184" ht="16.8" hidden="1">
      <c r="B84" s="2313" t="str">
        <f t="shared" si="5"/>
        <v>Lắp X-2,2K</v>
      </c>
      <c r="C84" s="2179" t="s">
        <v>5169</v>
      </c>
      <c r="D84" s="2179" t="s">
        <v>5170</v>
      </c>
      <c r="E84" s="2179">
        <f t="shared" si="4"/>
        <v>2</v>
      </c>
      <c r="F84" s="2179"/>
      <c r="G84" s="2179"/>
      <c r="H84" s="2179"/>
      <c r="I84" s="2179"/>
      <c r="J84" s="2179"/>
      <c r="K84" s="2179"/>
      <c r="L84" s="2179"/>
      <c r="M84" s="2179"/>
      <c r="N84" s="2179"/>
      <c r="O84" s="2179"/>
      <c r="P84" s="2179"/>
      <c r="Q84" s="2179"/>
      <c r="R84" s="2179"/>
      <c r="S84" s="2179"/>
      <c r="T84" s="2179"/>
      <c r="U84" s="2179"/>
      <c r="V84" s="2179"/>
      <c r="W84" s="2179"/>
      <c r="X84" s="2179"/>
      <c r="Y84" s="2179"/>
      <c r="Z84" s="2179"/>
      <c r="AA84" s="2179"/>
      <c r="AB84" s="2179"/>
      <c r="AC84" s="2179"/>
      <c r="AD84" s="2179"/>
      <c r="AE84" s="2179"/>
      <c r="AF84" s="2179"/>
      <c r="AG84" s="2179"/>
      <c r="AH84" s="2179"/>
      <c r="AI84" s="2179"/>
      <c r="AJ84" s="2179"/>
      <c r="AK84" s="2179"/>
      <c r="AL84" s="2179"/>
      <c r="AM84" s="2179"/>
      <c r="AN84" s="2179"/>
      <c r="AO84" s="2179"/>
      <c r="AP84" s="2179"/>
      <c r="AQ84" s="2179"/>
      <c r="AR84" s="2179"/>
      <c r="AS84" s="2179"/>
      <c r="AT84" s="2179"/>
      <c r="AU84" s="2179"/>
      <c r="AV84" s="2179"/>
      <c r="AW84" s="2179"/>
      <c r="AX84" s="2179"/>
      <c r="AY84" s="2179"/>
      <c r="AZ84" s="2179"/>
      <c r="BA84" s="2179"/>
      <c r="BB84" s="2179"/>
      <c r="BC84" s="2179"/>
      <c r="BD84" s="2179"/>
      <c r="BE84" s="2179"/>
      <c r="BF84" s="2179"/>
      <c r="BG84" s="2179"/>
      <c r="BH84" s="2179"/>
      <c r="BI84" s="2179"/>
      <c r="BJ84" s="2179"/>
      <c r="BK84" s="2179"/>
      <c r="BL84" s="2179"/>
      <c r="BM84" s="2179"/>
      <c r="BN84" s="2179"/>
      <c r="BO84" s="2179"/>
      <c r="BP84" s="2179"/>
      <c r="BQ84" s="2179"/>
      <c r="BR84" s="2179"/>
      <c r="BS84" s="2179"/>
      <c r="BT84" s="2179"/>
      <c r="BU84" s="2179"/>
      <c r="BV84" s="2179"/>
      <c r="BW84" s="2179"/>
      <c r="BX84" s="2179"/>
      <c r="BY84" s="2179"/>
      <c r="BZ84" s="2179"/>
      <c r="CA84" s="2179"/>
      <c r="CB84" s="2179"/>
      <c r="CC84" s="2179"/>
      <c r="CD84" s="2179"/>
      <c r="CE84" s="2179"/>
      <c r="CF84" s="2179"/>
      <c r="CG84" s="2179"/>
      <c r="CH84" s="2179"/>
      <c r="CI84" s="2179"/>
      <c r="CJ84" s="2179"/>
      <c r="CK84" s="2179"/>
      <c r="CL84" s="2179"/>
      <c r="CM84" s="2179"/>
      <c r="CN84" s="2179"/>
      <c r="CO84" s="2179"/>
      <c r="CP84" s="2179"/>
      <c r="CQ84" s="2179"/>
      <c r="CR84" s="2179"/>
      <c r="CS84" s="2179"/>
      <c r="CT84" s="2179"/>
      <c r="CU84" s="2179"/>
      <c r="CV84" s="2179"/>
      <c r="CW84" s="2179"/>
      <c r="CX84" s="2179"/>
      <c r="CY84" s="2179"/>
      <c r="CZ84" s="2179"/>
      <c r="DA84" s="2179"/>
      <c r="DB84" s="2179"/>
      <c r="DC84" s="2179"/>
      <c r="DD84" s="2179"/>
      <c r="DE84" s="2179"/>
      <c r="DF84" s="2179"/>
      <c r="DG84" s="2179"/>
      <c r="DH84" s="2179"/>
      <c r="DI84" s="2179"/>
      <c r="DJ84" s="2179"/>
      <c r="DK84" s="2179"/>
      <c r="DL84" s="2179"/>
      <c r="DM84" s="2179"/>
      <c r="DN84" s="2179"/>
      <c r="DO84" s="2179"/>
      <c r="DP84" s="2179"/>
      <c r="DQ84" s="2179"/>
      <c r="DR84" s="2179"/>
      <c r="DS84" s="2179"/>
      <c r="DT84" s="2179"/>
      <c r="DU84" s="2179"/>
      <c r="DV84" s="2179"/>
      <c r="DW84" s="2179"/>
      <c r="DX84" s="2179">
        <v>1</v>
      </c>
      <c r="DY84" s="2179"/>
      <c r="DZ84" s="2179"/>
      <c r="EA84" s="2179"/>
      <c r="EB84" s="2179">
        <v>1</v>
      </c>
      <c r="EC84" s="2179"/>
      <c r="ED84" s="2179"/>
      <c r="EE84" s="2179"/>
      <c r="EF84" s="2179"/>
      <c r="EG84" s="2179"/>
      <c r="EH84" s="2179"/>
      <c r="EI84" s="2179"/>
      <c r="EJ84" s="2179"/>
      <c r="EK84" s="2179"/>
      <c r="EL84" s="2179"/>
      <c r="EM84" s="2179"/>
      <c r="EN84" s="2179"/>
      <c r="EO84" s="2179"/>
      <c r="EP84" s="2179"/>
      <c r="EQ84" s="2179"/>
      <c r="ER84" s="2179"/>
      <c r="ES84" s="2179"/>
      <c r="ET84" s="2179"/>
      <c r="EU84" s="2179"/>
      <c r="EV84" s="2179"/>
      <c r="EW84" s="2179"/>
      <c r="EX84" s="2179"/>
      <c r="EY84" s="2179"/>
      <c r="EZ84" s="2179"/>
      <c r="FA84" s="2179"/>
      <c r="FB84" s="2179"/>
      <c r="FC84" s="2179"/>
      <c r="FD84" s="2179"/>
      <c r="FE84" s="2179"/>
      <c r="FF84" s="2179"/>
      <c r="FG84" s="2179"/>
      <c r="FH84" s="2179"/>
      <c r="FI84" s="2179"/>
      <c r="FJ84" s="2179"/>
      <c r="FK84" s="2179"/>
      <c r="FL84" s="2179"/>
      <c r="FM84" s="2179"/>
      <c r="FN84" s="2179"/>
      <c r="FO84" s="2179"/>
      <c r="FP84" s="2179"/>
      <c r="FQ84" s="2179"/>
      <c r="FR84" s="2179"/>
      <c r="FS84" s="2179"/>
      <c r="FT84" s="2179"/>
      <c r="FU84" s="2179"/>
      <c r="FV84" s="2179"/>
      <c r="FW84" s="2179"/>
      <c r="FX84" s="2179"/>
      <c r="FY84" s="2179"/>
      <c r="FZ84" s="2179"/>
      <c r="GA84" s="2179">
        <v>2</v>
      </c>
      <c r="GB84" s="2179">
        <f t="shared" si="6"/>
        <v>2</v>
      </c>
    </row>
    <row r="85" spans="2:184" ht="16.8" hidden="1">
      <c r="B85" s="2313" t="str">
        <f t="shared" si="5"/>
        <v xml:space="preserve"> Lắp X-composite 0,8m</v>
      </c>
      <c r="C85" s="2179"/>
      <c r="D85" s="2179" t="s">
        <v>5171</v>
      </c>
      <c r="E85" s="2179">
        <f t="shared" si="4"/>
        <v>8</v>
      </c>
      <c r="F85" s="2179"/>
      <c r="G85" s="2179"/>
      <c r="H85" s="2179"/>
      <c r="I85" s="2179"/>
      <c r="J85" s="2179"/>
      <c r="K85" s="2179"/>
      <c r="L85" s="2179"/>
      <c r="M85" s="2179"/>
      <c r="N85" s="2179"/>
      <c r="O85" s="2179"/>
      <c r="P85" s="2179"/>
      <c r="Q85" s="2179"/>
      <c r="R85" s="2179"/>
      <c r="S85" s="2179"/>
      <c r="T85" s="2179"/>
      <c r="U85" s="2179"/>
      <c r="V85" s="2179"/>
      <c r="W85" s="2179"/>
      <c r="X85" s="2179"/>
      <c r="Y85" s="2179"/>
      <c r="Z85" s="2179"/>
      <c r="AA85" s="2179"/>
      <c r="AB85" s="2179"/>
      <c r="AC85" s="2179"/>
      <c r="AD85" s="2179">
        <v>1</v>
      </c>
      <c r="AE85" s="2179"/>
      <c r="AF85" s="2179"/>
      <c r="AG85" s="2179"/>
      <c r="AH85" s="2179"/>
      <c r="AI85" s="2179"/>
      <c r="AJ85" s="2179"/>
      <c r="AK85" s="2179"/>
      <c r="AL85" s="2179"/>
      <c r="AM85" s="2179"/>
      <c r="AN85" s="2179">
        <v>1</v>
      </c>
      <c r="AO85" s="2179"/>
      <c r="AP85" s="2179"/>
      <c r="AQ85" s="2179"/>
      <c r="AR85" s="2179"/>
      <c r="AS85" s="2179"/>
      <c r="AT85" s="2179"/>
      <c r="AU85" s="2179"/>
      <c r="AV85" s="2179"/>
      <c r="AW85" s="2179"/>
      <c r="AX85" s="2179"/>
      <c r="AY85" s="2179"/>
      <c r="AZ85" s="2179"/>
      <c r="BA85" s="2179"/>
      <c r="BB85" s="2179"/>
      <c r="BC85" s="2179"/>
      <c r="BD85" s="2179"/>
      <c r="BE85" s="2179"/>
      <c r="BF85" s="2179"/>
      <c r="BG85" s="2179"/>
      <c r="BH85" s="2179"/>
      <c r="BI85" s="2179">
        <v>1</v>
      </c>
      <c r="BJ85" s="2179"/>
      <c r="BK85" s="2179"/>
      <c r="BL85" s="2179"/>
      <c r="BM85" s="2179"/>
      <c r="BN85" s="2179"/>
      <c r="BO85" s="2179"/>
      <c r="BP85" s="2179"/>
      <c r="BQ85" s="2179"/>
      <c r="BR85" s="2179"/>
      <c r="BS85" s="2179"/>
      <c r="BT85" s="2179"/>
      <c r="BU85" s="2179"/>
      <c r="BV85" s="2179"/>
      <c r="BW85" s="2179">
        <v>1</v>
      </c>
      <c r="BX85" s="2179"/>
      <c r="BY85" s="2179"/>
      <c r="BZ85" s="2179"/>
      <c r="CA85" s="2179"/>
      <c r="CB85" s="2179"/>
      <c r="CC85" s="2179"/>
      <c r="CD85" s="2179"/>
      <c r="CE85" s="2179">
        <v>1</v>
      </c>
      <c r="CF85" s="2179"/>
      <c r="CG85" s="2179"/>
      <c r="CH85" s="2179"/>
      <c r="CI85" s="2179"/>
      <c r="CJ85" s="2179"/>
      <c r="CK85" s="2179"/>
      <c r="CL85" s="2179"/>
      <c r="CM85" s="2179"/>
      <c r="CN85" s="2179"/>
      <c r="CO85" s="2179"/>
      <c r="CP85" s="2179"/>
      <c r="CQ85" s="2179"/>
      <c r="CR85" s="2179"/>
      <c r="CS85" s="2179"/>
      <c r="CT85" s="2179"/>
      <c r="CU85" s="2179"/>
      <c r="CV85" s="2179"/>
      <c r="CW85" s="2179"/>
      <c r="CX85" s="2179"/>
      <c r="CY85" s="2179"/>
      <c r="CZ85" s="2179">
        <v>1</v>
      </c>
      <c r="DA85" s="2179"/>
      <c r="DB85" s="2179"/>
      <c r="DC85" s="2179"/>
      <c r="DD85" s="2179"/>
      <c r="DE85" s="2179"/>
      <c r="DF85" s="2179"/>
      <c r="DG85" s="2179"/>
      <c r="DH85" s="2179"/>
      <c r="DI85" s="2179"/>
      <c r="DJ85" s="2179"/>
      <c r="DK85" s="2179"/>
      <c r="DL85" s="2179"/>
      <c r="DM85" s="2179"/>
      <c r="DN85" s="2179"/>
      <c r="DO85" s="2179"/>
      <c r="DP85" s="2179"/>
      <c r="DQ85" s="2179"/>
      <c r="DR85" s="2179"/>
      <c r="DS85" s="2179"/>
      <c r="DT85" s="2179"/>
      <c r="DU85" s="2179"/>
      <c r="DV85" s="2179"/>
      <c r="DW85" s="2179"/>
      <c r="DX85" s="2179"/>
      <c r="DY85" s="2179"/>
      <c r="DZ85" s="2179"/>
      <c r="EA85" s="2179"/>
      <c r="EB85" s="2179"/>
      <c r="EC85" s="2179"/>
      <c r="ED85" s="2179"/>
      <c r="EE85" s="2179"/>
      <c r="EF85" s="2179"/>
      <c r="EG85" s="2179"/>
      <c r="EH85" s="2179"/>
      <c r="EI85" s="2179"/>
      <c r="EJ85" s="2179"/>
      <c r="EK85" s="2179"/>
      <c r="EL85" s="2179"/>
      <c r="EM85" s="2179"/>
      <c r="EN85" s="2179"/>
      <c r="EO85" s="2179"/>
      <c r="EP85" s="2179"/>
      <c r="EQ85" s="2179"/>
      <c r="ER85" s="2179"/>
      <c r="ES85" s="2179"/>
      <c r="ET85" s="2179"/>
      <c r="EU85" s="2179"/>
      <c r="EV85" s="2179"/>
      <c r="EW85" s="2179"/>
      <c r="EX85" s="2179"/>
      <c r="EY85" s="2179"/>
      <c r="EZ85" s="2179"/>
      <c r="FA85" s="2179"/>
      <c r="FB85" s="2179"/>
      <c r="FC85" s="2179"/>
      <c r="FD85" s="2179">
        <v>1</v>
      </c>
      <c r="FE85" s="2179"/>
      <c r="FF85" s="2179"/>
      <c r="FG85" s="2179"/>
      <c r="FH85" s="2179"/>
      <c r="FI85" s="2179"/>
      <c r="FJ85" s="2179"/>
      <c r="FK85" s="2179"/>
      <c r="FL85" s="2179"/>
      <c r="FM85" s="2179"/>
      <c r="FN85" s="2179">
        <v>1</v>
      </c>
      <c r="FO85" s="2179"/>
      <c r="FP85" s="2179"/>
      <c r="FQ85" s="2179"/>
      <c r="FR85" s="2179"/>
      <c r="FS85" s="2179"/>
      <c r="FT85" s="2179"/>
      <c r="FU85" s="2179"/>
      <c r="FV85" s="2179"/>
      <c r="FW85" s="2179"/>
      <c r="FX85" s="2179"/>
      <c r="FY85" s="2179"/>
      <c r="FZ85" s="2179"/>
      <c r="GA85" s="2179">
        <v>8</v>
      </c>
      <c r="GB85" s="2179">
        <f t="shared" si="6"/>
        <v>8</v>
      </c>
    </row>
    <row r="86" spans="2:184" ht="16.8" hidden="1">
      <c r="B86" s="2313" t="str">
        <f t="shared" si="5"/>
        <v>Lắp sứ treo Polymer</v>
      </c>
      <c r="C86" s="2179"/>
      <c r="D86" s="2179" t="s">
        <v>5172</v>
      </c>
      <c r="E86" s="2179">
        <f t="shared" si="4"/>
        <v>5</v>
      </c>
      <c r="F86" s="2179"/>
      <c r="G86" s="2179"/>
      <c r="H86" s="2179"/>
      <c r="I86" s="2179"/>
      <c r="J86" s="2179"/>
      <c r="K86" s="2179"/>
      <c r="L86" s="2179"/>
      <c r="M86" s="2179"/>
      <c r="N86" s="2179"/>
      <c r="O86" s="2179"/>
      <c r="P86" s="2179"/>
      <c r="Q86" s="2179"/>
      <c r="R86" s="2179"/>
      <c r="S86" s="2179"/>
      <c r="T86" s="2179"/>
      <c r="U86" s="2179"/>
      <c r="V86" s="2179"/>
      <c r="W86" s="2179"/>
      <c r="X86" s="2179"/>
      <c r="Y86" s="2179"/>
      <c r="Z86" s="2179"/>
      <c r="AA86" s="2179"/>
      <c r="AB86" s="2179"/>
      <c r="AC86" s="2179"/>
      <c r="AD86" s="2179"/>
      <c r="AE86" s="2179"/>
      <c r="AF86" s="2179"/>
      <c r="AG86" s="2179"/>
      <c r="AH86" s="2179"/>
      <c r="AI86" s="2179"/>
      <c r="AJ86" s="2179"/>
      <c r="AK86" s="2179"/>
      <c r="AL86" s="2179"/>
      <c r="AM86" s="2179"/>
      <c r="AN86" s="2179"/>
      <c r="AO86" s="2179"/>
      <c r="AP86" s="2179"/>
      <c r="AQ86" s="2179"/>
      <c r="AR86" s="2179"/>
      <c r="AS86" s="2179"/>
      <c r="AT86" s="2179"/>
      <c r="AU86" s="2179"/>
      <c r="AV86" s="2179"/>
      <c r="AW86" s="2179"/>
      <c r="AX86" s="2179"/>
      <c r="AY86" s="2179"/>
      <c r="AZ86" s="2179"/>
      <c r="BA86" s="2179"/>
      <c r="BB86" s="2179"/>
      <c r="BC86" s="2179"/>
      <c r="BD86" s="2179"/>
      <c r="BE86" s="2179"/>
      <c r="BF86" s="2179"/>
      <c r="BG86" s="2179"/>
      <c r="BH86" s="2179"/>
      <c r="BI86" s="2179"/>
      <c r="BJ86" s="2179"/>
      <c r="BK86" s="2179"/>
      <c r="BL86" s="2179"/>
      <c r="BM86" s="2179"/>
      <c r="BN86" s="2179"/>
      <c r="BO86" s="2179"/>
      <c r="BP86" s="2179"/>
      <c r="BQ86" s="2179"/>
      <c r="BR86" s="2179"/>
      <c r="BS86" s="2179"/>
      <c r="BT86" s="2179"/>
      <c r="BU86" s="2179"/>
      <c r="BV86" s="2179"/>
      <c r="BW86" s="2179"/>
      <c r="BX86" s="2179"/>
      <c r="BY86" s="2179"/>
      <c r="BZ86" s="2179"/>
      <c r="CA86" s="2179"/>
      <c r="CB86" s="2179"/>
      <c r="CC86" s="2179"/>
      <c r="CD86" s="2179"/>
      <c r="CE86" s="2179"/>
      <c r="CF86" s="2179"/>
      <c r="CG86" s="2179"/>
      <c r="CH86" s="2179"/>
      <c r="CI86" s="2179"/>
      <c r="CJ86" s="2179"/>
      <c r="CK86" s="2179"/>
      <c r="CL86" s="2179"/>
      <c r="CM86" s="2179"/>
      <c r="CN86" s="2179"/>
      <c r="CO86" s="2179"/>
      <c r="CP86" s="2179"/>
      <c r="CQ86" s="2179"/>
      <c r="CR86" s="2179"/>
      <c r="CS86" s="2179"/>
      <c r="CT86" s="2179"/>
      <c r="CU86" s="2179"/>
      <c r="CV86" s="2179"/>
      <c r="CW86" s="2179"/>
      <c r="CX86" s="2179"/>
      <c r="CY86" s="2179"/>
      <c r="CZ86" s="2179"/>
      <c r="DA86" s="2179"/>
      <c r="DB86" s="2179"/>
      <c r="DC86" s="2179"/>
      <c r="DD86" s="2179"/>
      <c r="DE86" s="2179"/>
      <c r="DF86" s="2179"/>
      <c r="DG86" s="2179"/>
      <c r="DH86" s="2179"/>
      <c r="DI86" s="2179"/>
      <c r="DJ86" s="2179"/>
      <c r="DK86" s="2179"/>
      <c r="DL86" s="2179"/>
      <c r="DM86" s="2179"/>
      <c r="DN86" s="2179"/>
      <c r="DO86" s="2179"/>
      <c r="DP86" s="2179"/>
      <c r="DQ86" s="2179"/>
      <c r="DR86" s="2179"/>
      <c r="DS86" s="2179"/>
      <c r="DT86" s="2179"/>
      <c r="DU86" s="2179"/>
      <c r="DV86" s="2179"/>
      <c r="DW86" s="2179"/>
      <c r="DX86" s="2179">
        <v>2</v>
      </c>
      <c r="DY86" s="2179"/>
      <c r="DZ86" s="2179"/>
      <c r="EA86" s="2179"/>
      <c r="EB86" s="2179">
        <v>3</v>
      </c>
      <c r="EC86" s="2179"/>
      <c r="ED86" s="2179"/>
      <c r="EE86" s="2179"/>
      <c r="EF86" s="2179"/>
      <c r="EG86" s="2179"/>
      <c r="EH86" s="2179"/>
      <c r="EI86" s="2179"/>
      <c r="EJ86" s="2179"/>
      <c r="EK86" s="2179"/>
      <c r="EL86" s="2179"/>
      <c r="EM86" s="2179"/>
      <c r="EN86" s="2179"/>
      <c r="EO86" s="2179"/>
      <c r="EP86" s="2179"/>
      <c r="EQ86" s="2179"/>
      <c r="ER86" s="2179"/>
      <c r="ES86" s="2179"/>
      <c r="ET86" s="2179"/>
      <c r="EU86" s="2179"/>
      <c r="EV86" s="2179"/>
      <c r="EW86" s="2179"/>
      <c r="EX86" s="2179"/>
      <c r="EY86" s="2179"/>
      <c r="EZ86" s="2179"/>
      <c r="FA86" s="2179"/>
      <c r="FB86" s="2179"/>
      <c r="FC86" s="2179"/>
      <c r="FD86" s="2179"/>
      <c r="FE86" s="2179"/>
      <c r="FF86" s="2179"/>
      <c r="FG86" s="2179"/>
      <c r="FH86" s="2179"/>
      <c r="FI86" s="2179"/>
      <c r="FJ86" s="2179"/>
      <c r="FK86" s="2179"/>
      <c r="FL86" s="2179"/>
      <c r="FM86" s="2179"/>
      <c r="FN86" s="2179"/>
      <c r="FO86" s="2179"/>
      <c r="FP86" s="2179"/>
      <c r="FQ86" s="2179"/>
      <c r="FR86" s="2179"/>
      <c r="FS86" s="2179"/>
      <c r="FT86" s="2179"/>
      <c r="FU86" s="2179"/>
      <c r="FV86" s="2179"/>
      <c r="FW86" s="2179"/>
      <c r="FX86" s="2179"/>
      <c r="FY86" s="2179"/>
      <c r="FZ86" s="2179"/>
      <c r="GA86" s="2179">
        <v>5</v>
      </c>
      <c r="GB86" s="2179">
        <f t="shared" si="6"/>
        <v>5</v>
      </c>
    </row>
    <row r="87" spans="2:184" ht="16.8" hidden="1">
      <c r="B87" s="2313" t="str">
        <f t="shared" si="5"/>
        <v>Lắp sứ đỉnh</v>
      </c>
      <c r="C87" s="2179"/>
      <c r="D87" s="2179" t="s">
        <v>5173</v>
      </c>
      <c r="E87" s="2179">
        <f t="shared" si="4"/>
        <v>1</v>
      </c>
      <c r="F87" s="2179"/>
      <c r="G87" s="2179"/>
      <c r="H87" s="2179"/>
      <c r="I87" s="2179"/>
      <c r="J87" s="2179"/>
      <c r="K87" s="2179"/>
      <c r="L87" s="2179"/>
      <c r="M87" s="2179"/>
      <c r="N87" s="2179"/>
      <c r="O87" s="2179"/>
      <c r="P87" s="2179"/>
      <c r="Q87" s="2179"/>
      <c r="R87" s="2179"/>
      <c r="S87" s="2179"/>
      <c r="T87" s="2179"/>
      <c r="U87" s="2179"/>
      <c r="V87" s="2179"/>
      <c r="W87" s="2179"/>
      <c r="X87" s="2179"/>
      <c r="Y87" s="2179"/>
      <c r="Z87" s="2179"/>
      <c r="AA87" s="2179"/>
      <c r="AB87" s="2179"/>
      <c r="AC87" s="2179"/>
      <c r="AD87" s="2179"/>
      <c r="AE87" s="2179"/>
      <c r="AF87" s="2179"/>
      <c r="AG87" s="2179"/>
      <c r="AH87" s="2179"/>
      <c r="AI87" s="2179"/>
      <c r="AJ87" s="2179"/>
      <c r="AK87" s="2179"/>
      <c r="AL87" s="2179"/>
      <c r="AM87" s="2179"/>
      <c r="AN87" s="2179"/>
      <c r="AO87" s="2179"/>
      <c r="AP87" s="2179"/>
      <c r="AQ87" s="2179"/>
      <c r="AR87" s="2179"/>
      <c r="AS87" s="2179"/>
      <c r="AT87" s="2179"/>
      <c r="AU87" s="2179"/>
      <c r="AV87" s="2179"/>
      <c r="AW87" s="2179"/>
      <c r="AX87" s="2179"/>
      <c r="AY87" s="2179"/>
      <c r="AZ87" s="2179"/>
      <c r="BA87" s="2179"/>
      <c r="BB87" s="2179"/>
      <c r="BC87" s="2179"/>
      <c r="BD87" s="2179"/>
      <c r="BE87" s="2179"/>
      <c r="BF87" s="2179"/>
      <c r="BG87" s="2179"/>
      <c r="BH87" s="2179"/>
      <c r="BI87" s="2179"/>
      <c r="BJ87" s="2179"/>
      <c r="BK87" s="2179"/>
      <c r="BL87" s="2179"/>
      <c r="BM87" s="2179"/>
      <c r="BN87" s="2179"/>
      <c r="BO87" s="2179"/>
      <c r="BP87" s="2179"/>
      <c r="BQ87" s="2179"/>
      <c r="BR87" s="2179"/>
      <c r="BS87" s="2179"/>
      <c r="BT87" s="2179"/>
      <c r="BU87" s="2179"/>
      <c r="BV87" s="2179"/>
      <c r="BW87" s="2179"/>
      <c r="BX87" s="2179"/>
      <c r="BY87" s="2179"/>
      <c r="BZ87" s="2179">
        <v>0</v>
      </c>
      <c r="CA87" s="2179"/>
      <c r="CB87" s="2179"/>
      <c r="CC87" s="2179"/>
      <c r="CD87" s="2179"/>
      <c r="CE87" s="2179"/>
      <c r="CF87" s="2179"/>
      <c r="CG87" s="2179"/>
      <c r="CH87" s="2179"/>
      <c r="CI87" s="2179"/>
      <c r="CJ87" s="2179"/>
      <c r="CK87" s="2179"/>
      <c r="CL87" s="2179"/>
      <c r="CM87" s="2179"/>
      <c r="CN87" s="2179"/>
      <c r="CO87" s="2179"/>
      <c r="CP87" s="2179"/>
      <c r="CQ87" s="2179"/>
      <c r="CR87" s="2179"/>
      <c r="CS87" s="2179"/>
      <c r="CT87" s="2179"/>
      <c r="CU87" s="2179"/>
      <c r="CV87" s="2179"/>
      <c r="CW87" s="2179"/>
      <c r="CX87" s="2179"/>
      <c r="CY87" s="2179"/>
      <c r="CZ87" s="2179"/>
      <c r="DA87" s="2179"/>
      <c r="DB87" s="2179">
        <v>1</v>
      </c>
      <c r="DC87" s="2179"/>
      <c r="DD87" s="2179"/>
      <c r="DE87" s="2179"/>
      <c r="DF87" s="2179"/>
      <c r="DG87" s="2179"/>
      <c r="DH87" s="2179"/>
      <c r="DI87" s="2179"/>
      <c r="DJ87" s="2179"/>
      <c r="DK87" s="2179"/>
      <c r="DL87" s="2179"/>
      <c r="DM87" s="2179"/>
      <c r="DN87" s="2179"/>
      <c r="DO87" s="2179"/>
      <c r="DP87" s="2179"/>
      <c r="DQ87" s="2179"/>
      <c r="DR87" s="2179"/>
      <c r="DS87" s="2179"/>
      <c r="DT87" s="2179"/>
      <c r="DU87" s="2179"/>
      <c r="DV87" s="2179"/>
      <c r="DW87" s="2179"/>
      <c r="DX87" s="2179"/>
      <c r="DY87" s="2179"/>
      <c r="DZ87" s="2179"/>
      <c r="EA87" s="2179"/>
      <c r="EB87" s="2179"/>
      <c r="EC87" s="2179"/>
      <c r="ED87" s="2179"/>
      <c r="EE87" s="2179"/>
      <c r="EF87" s="2179"/>
      <c r="EG87" s="2179"/>
      <c r="EH87" s="2179"/>
      <c r="EI87" s="2179"/>
      <c r="EJ87" s="2179"/>
      <c r="EK87" s="2179"/>
      <c r="EL87" s="2179"/>
      <c r="EM87" s="2179"/>
      <c r="EN87" s="2179"/>
      <c r="EO87" s="2179"/>
      <c r="EP87" s="2179"/>
      <c r="EQ87" s="2179"/>
      <c r="ER87" s="2179"/>
      <c r="ES87" s="2179"/>
      <c r="ET87" s="2179"/>
      <c r="EU87" s="2179"/>
      <c r="EV87" s="2179"/>
      <c r="EW87" s="2179"/>
      <c r="EX87" s="2179"/>
      <c r="EY87" s="2179"/>
      <c r="EZ87" s="2179"/>
      <c r="FA87" s="2179"/>
      <c r="FB87" s="2179"/>
      <c r="FC87" s="2179"/>
      <c r="FD87" s="2179"/>
      <c r="FE87" s="2179"/>
      <c r="FF87" s="2179"/>
      <c r="FG87" s="2179"/>
      <c r="FH87" s="2179"/>
      <c r="FI87" s="2179"/>
      <c r="FJ87" s="2179"/>
      <c r="FK87" s="2179"/>
      <c r="FL87" s="2179"/>
      <c r="FM87" s="2179"/>
      <c r="FN87" s="2179"/>
      <c r="FO87" s="2179"/>
      <c r="FP87" s="2179"/>
      <c r="FQ87" s="2179"/>
      <c r="FR87" s="2179"/>
      <c r="FS87" s="2179"/>
      <c r="FT87" s="2179"/>
      <c r="FU87" s="2179"/>
      <c r="FV87" s="2179"/>
      <c r="FW87" s="2179"/>
      <c r="FX87" s="2179"/>
      <c r="FY87" s="2179"/>
      <c r="FZ87" s="2179"/>
      <c r="GA87" s="2179">
        <v>1</v>
      </c>
      <c r="GB87" s="2179">
        <f t="shared" si="6"/>
        <v>1</v>
      </c>
    </row>
    <row r="88" spans="2:184" ht="16.8" hidden="1">
      <c r="B88" s="2313" t="str">
        <f t="shared" si="5"/>
        <v>Lắp R3 sứ</v>
      </c>
      <c r="C88" s="2179"/>
      <c r="D88" s="2179" t="s">
        <v>5174</v>
      </c>
      <c r="E88" s="2179">
        <f t="shared" si="4"/>
        <v>36</v>
      </c>
      <c r="F88" s="2179"/>
      <c r="G88" s="2179">
        <v>0</v>
      </c>
      <c r="H88" s="2179"/>
      <c r="I88" s="2179">
        <v>0</v>
      </c>
      <c r="J88" s="2179"/>
      <c r="K88" s="2179">
        <v>0</v>
      </c>
      <c r="L88" s="2179"/>
      <c r="M88" s="2179">
        <v>0</v>
      </c>
      <c r="N88" s="2179"/>
      <c r="O88" s="2179">
        <v>0</v>
      </c>
      <c r="P88" s="2179"/>
      <c r="Q88" s="2179">
        <v>0</v>
      </c>
      <c r="R88" s="2179"/>
      <c r="S88" s="2179">
        <v>0</v>
      </c>
      <c r="T88" s="2179"/>
      <c r="U88" s="2179"/>
      <c r="V88" s="2179"/>
      <c r="W88" s="2179"/>
      <c r="X88" s="2179"/>
      <c r="Y88" s="2179"/>
      <c r="Z88" s="2179"/>
      <c r="AA88" s="2179"/>
      <c r="AB88" s="2179"/>
      <c r="AC88" s="2179"/>
      <c r="AD88" s="2179"/>
      <c r="AE88" s="2179"/>
      <c r="AF88" s="2179"/>
      <c r="AG88" s="2179"/>
      <c r="AH88" s="2179"/>
      <c r="AI88" s="2179"/>
      <c r="AJ88" s="2179"/>
      <c r="AK88" s="2179"/>
      <c r="AL88" s="2179"/>
      <c r="AM88" s="2179"/>
      <c r="AN88" s="2179"/>
      <c r="AO88" s="2179"/>
      <c r="AP88" s="2179"/>
      <c r="AQ88" s="2179"/>
      <c r="AR88" s="2179"/>
      <c r="AS88" s="2179"/>
      <c r="AT88" s="2179"/>
      <c r="AU88" s="2179"/>
      <c r="AV88" s="2179"/>
      <c r="AW88" s="2179"/>
      <c r="AX88" s="2179"/>
      <c r="AY88" s="2179"/>
      <c r="AZ88" s="2179"/>
      <c r="BA88" s="2179"/>
      <c r="BB88" s="2179"/>
      <c r="BC88" s="2179"/>
      <c r="BD88" s="2179"/>
      <c r="BE88" s="2179"/>
      <c r="BF88" s="2179"/>
      <c r="BG88" s="2179"/>
      <c r="BH88" s="2179"/>
      <c r="BI88" s="2179"/>
      <c r="BJ88" s="2179"/>
      <c r="BK88" s="2179"/>
      <c r="BL88" s="2179"/>
      <c r="BM88" s="2179"/>
      <c r="BN88" s="2179"/>
      <c r="BO88" s="2179"/>
      <c r="BP88" s="2179"/>
      <c r="BQ88" s="2179"/>
      <c r="BR88" s="2179"/>
      <c r="BS88" s="2179"/>
      <c r="BT88" s="2179"/>
      <c r="BU88" s="2179"/>
      <c r="BV88" s="2179"/>
      <c r="BW88" s="2179"/>
      <c r="BX88" s="2179"/>
      <c r="BY88" s="2179"/>
      <c r="BZ88" s="2179">
        <v>1</v>
      </c>
      <c r="CA88" s="2179"/>
      <c r="CB88" s="2179"/>
      <c r="CC88" s="2179"/>
      <c r="CD88" s="2179">
        <v>1</v>
      </c>
      <c r="CE88" s="2179"/>
      <c r="CF88" s="2179">
        <v>1</v>
      </c>
      <c r="CG88" s="2179"/>
      <c r="CH88" s="2179">
        <v>1</v>
      </c>
      <c r="CI88" s="2179">
        <v>1</v>
      </c>
      <c r="CJ88" s="2179">
        <v>1</v>
      </c>
      <c r="CK88" s="2179"/>
      <c r="CL88" s="2179">
        <v>1</v>
      </c>
      <c r="CM88" s="2179"/>
      <c r="CN88" s="2179">
        <v>1</v>
      </c>
      <c r="CO88" s="2179"/>
      <c r="CP88" s="2179"/>
      <c r="CQ88" s="2179"/>
      <c r="CR88" s="2179"/>
      <c r="CS88" s="2179">
        <v>2</v>
      </c>
      <c r="CT88" s="2179"/>
      <c r="CU88" s="2179">
        <v>1</v>
      </c>
      <c r="CV88" s="2179"/>
      <c r="CW88" s="2179">
        <v>1</v>
      </c>
      <c r="CX88" s="2179"/>
      <c r="CY88" s="2179">
        <v>1</v>
      </c>
      <c r="CZ88" s="2179"/>
      <c r="DA88" s="2179">
        <v>1</v>
      </c>
      <c r="DB88" s="2179"/>
      <c r="DC88" s="2179">
        <v>1</v>
      </c>
      <c r="DD88" s="2179"/>
      <c r="DE88" s="2179">
        <v>1</v>
      </c>
      <c r="DF88" s="2179"/>
      <c r="DG88" s="2179"/>
      <c r="DH88" s="2179"/>
      <c r="DI88" s="2179"/>
      <c r="DJ88" s="2179"/>
      <c r="DK88" s="2179"/>
      <c r="DL88" s="2179"/>
      <c r="DM88" s="2179"/>
      <c r="DN88" s="2179"/>
      <c r="DO88" s="2179"/>
      <c r="DP88" s="2179"/>
      <c r="DQ88" s="2179"/>
      <c r="DR88" s="2179"/>
      <c r="DS88" s="2179"/>
      <c r="DT88" s="2179"/>
      <c r="DU88" s="2179"/>
      <c r="DV88" s="2179"/>
      <c r="DW88" s="2179"/>
      <c r="DX88" s="2179">
        <v>1</v>
      </c>
      <c r="DY88" s="2179"/>
      <c r="DZ88" s="2179"/>
      <c r="EA88" s="2179"/>
      <c r="EB88" s="2179"/>
      <c r="EC88" s="2179"/>
      <c r="ED88" s="2179"/>
      <c r="EE88" s="2179"/>
      <c r="EF88" s="2179"/>
      <c r="EG88" s="2179"/>
      <c r="EH88" s="2179"/>
      <c r="EI88" s="2179"/>
      <c r="EJ88" s="2179"/>
      <c r="EK88" s="2179"/>
      <c r="EL88" s="2179"/>
      <c r="EM88" s="2179">
        <v>1</v>
      </c>
      <c r="EN88" s="2179"/>
      <c r="EO88" s="2179">
        <v>1</v>
      </c>
      <c r="EP88" s="2179"/>
      <c r="EQ88" s="2179">
        <v>1</v>
      </c>
      <c r="ER88" s="2179"/>
      <c r="ES88" s="2179">
        <v>1</v>
      </c>
      <c r="ET88" s="2179"/>
      <c r="EU88" s="2179">
        <v>1</v>
      </c>
      <c r="EV88" s="2179"/>
      <c r="EW88" s="2179">
        <v>1</v>
      </c>
      <c r="EX88" s="2179"/>
      <c r="EY88" s="2179"/>
      <c r="EZ88" s="2179"/>
      <c r="FA88" s="2179">
        <v>1</v>
      </c>
      <c r="FB88" s="2179"/>
      <c r="FC88" s="2179">
        <v>1</v>
      </c>
      <c r="FD88" s="2179"/>
      <c r="FE88" s="2179">
        <v>1</v>
      </c>
      <c r="FF88" s="2179"/>
      <c r="FG88" s="2179">
        <v>1</v>
      </c>
      <c r="FH88" s="2179"/>
      <c r="FI88" s="2179"/>
      <c r="FJ88" s="2179"/>
      <c r="FK88" s="2179">
        <v>2</v>
      </c>
      <c r="FL88" s="2179"/>
      <c r="FM88" s="2179">
        <v>1</v>
      </c>
      <c r="FN88" s="2179"/>
      <c r="FO88" s="2179">
        <v>1</v>
      </c>
      <c r="FP88" s="2179"/>
      <c r="FQ88" s="2179">
        <v>1</v>
      </c>
      <c r="FR88" s="2179">
        <v>1</v>
      </c>
      <c r="FS88" s="2179">
        <v>0</v>
      </c>
      <c r="FT88" s="2179"/>
      <c r="FU88" s="2179">
        <v>2</v>
      </c>
      <c r="FV88" s="2179"/>
      <c r="FW88" s="2179">
        <v>1</v>
      </c>
      <c r="FX88" s="2179"/>
      <c r="FY88" s="2179"/>
      <c r="FZ88" s="2179"/>
      <c r="GA88" s="2179">
        <v>36</v>
      </c>
      <c r="GB88" s="2179">
        <f t="shared" si="6"/>
        <v>36</v>
      </c>
    </row>
    <row r="89" spans="2:184" ht="16.8" hidden="1">
      <c r="B89" s="2313" t="str">
        <f t="shared" si="5"/>
        <v>Lắp R4 sứ</v>
      </c>
      <c r="C89" s="2179"/>
      <c r="D89" s="2179" t="s">
        <v>5175</v>
      </c>
      <c r="E89" s="2179">
        <f t="shared" si="4"/>
        <v>9</v>
      </c>
      <c r="F89" s="2179"/>
      <c r="G89" s="2179">
        <v>1</v>
      </c>
      <c r="H89" s="2179"/>
      <c r="I89" s="2179">
        <v>1</v>
      </c>
      <c r="J89" s="2179"/>
      <c r="K89" s="2179">
        <v>1</v>
      </c>
      <c r="L89" s="2179"/>
      <c r="M89" s="2179">
        <v>1</v>
      </c>
      <c r="N89" s="2179"/>
      <c r="O89" s="2179">
        <v>1</v>
      </c>
      <c r="P89" s="2179"/>
      <c r="Q89" s="2179">
        <v>1</v>
      </c>
      <c r="R89" s="2179"/>
      <c r="S89" s="2179">
        <v>1</v>
      </c>
      <c r="T89" s="2179"/>
      <c r="U89" s="2179">
        <v>1</v>
      </c>
      <c r="V89" s="2179"/>
      <c r="W89" s="2179"/>
      <c r="X89" s="2179"/>
      <c r="Y89" s="2179"/>
      <c r="Z89" s="2179"/>
      <c r="AA89" s="2179"/>
      <c r="AB89" s="2179"/>
      <c r="AC89" s="2179"/>
      <c r="AD89" s="2179"/>
      <c r="AE89" s="2179"/>
      <c r="AF89" s="2179"/>
      <c r="AG89" s="2179"/>
      <c r="AH89" s="2179"/>
      <c r="AI89" s="2179"/>
      <c r="AJ89" s="2179"/>
      <c r="AK89" s="2179"/>
      <c r="AL89" s="2179"/>
      <c r="AM89" s="2179"/>
      <c r="AN89" s="2179"/>
      <c r="AO89" s="2179"/>
      <c r="AP89" s="2179"/>
      <c r="AQ89" s="2179"/>
      <c r="AR89" s="2179"/>
      <c r="AS89" s="2179"/>
      <c r="AT89" s="2179"/>
      <c r="AU89" s="2179"/>
      <c r="AV89" s="2179"/>
      <c r="AW89" s="2179"/>
      <c r="AX89" s="2179"/>
      <c r="AY89" s="2179"/>
      <c r="AZ89" s="2179"/>
      <c r="BA89" s="2179"/>
      <c r="BB89" s="2179"/>
      <c r="BC89" s="2179"/>
      <c r="BD89" s="2179"/>
      <c r="BE89" s="2179"/>
      <c r="BF89" s="2179"/>
      <c r="BG89" s="2179"/>
      <c r="BH89" s="2179"/>
      <c r="BI89" s="2179"/>
      <c r="BJ89" s="2179"/>
      <c r="BK89" s="2179"/>
      <c r="BL89" s="2179"/>
      <c r="BM89" s="2179"/>
      <c r="BN89" s="2179"/>
      <c r="BO89" s="2179"/>
      <c r="BP89" s="2179"/>
      <c r="BQ89" s="2179"/>
      <c r="BR89" s="2179"/>
      <c r="BS89" s="2179"/>
      <c r="BT89" s="2179"/>
      <c r="BU89" s="2179"/>
      <c r="BV89" s="2179"/>
      <c r="BW89" s="2179"/>
      <c r="BX89" s="2179"/>
      <c r="BY89" s="2179"/>
      <c r="BZ89" s="2179">
        <v>1</v>
      </c>
      <c r="CA89" s="2179"/>
      <c r="CB89" s="2179"/>
      <c r="CC89" s="2179"/>
      <c r="CD89" s="2179">
        <v>0</v>
      </c>
      <c r="CE89" s="2179"/>
      <c r="CF89" s="2179">
        <v>0</v>
      </c>
      <c r="CG89" s="2179"/>
      <c r="CH89" s="2179">
        <v>0</v>
      </c>
      <c r="CI89" s="2179">
        <v>0</v>
      </c>
      <c r="CJ89" s="2179">
        <v>0</v>
      </c>
      <c r="CK89" s="2179"/>
      <c r="CL89" s="2179">
        <v>0</v>
      </c>
      <c r="CM89" s="2179"/>
      <c r="CN89" s="2179">
        <v>0</v>
      </c>
      <c r="CO89" s="2179"/>
      <c r="CP89" s="2179"/>
      <c r="CQ89" s="2179"/>
      <c r="CR89" s="2179"/>
      <c r="CS89" s="2179">
        <v>0</v>
      </c>
      <c r="CT89" s="2179"/>
      <c r="CU89" s="2179">
        <v>0</v>
      </c>
      <c r="CV89" s="2179"/>
      <c r="CW89" s="2179">
        <v>0</v>
      </c>
      <c r="CX89" s="2179"/>
      <c r="CY89" s="2179">
        <v>0</v>
      </c>
      <c r="CZ89" s="2179"/>
      <c r="DA89" s="2179">
        <v>0</v>
      </c>
      <c r="DB89" s="2179"/>
      <c r="DC89" s="2179">
        <v>0</v>
      </c>
      <c r="DD89" s="2179"/>
      <c r="DE89" s="2179">
        <v>0</v>
      </c>
      <c r="DF89" s="2179"/>
      <c r="DG89" s="2179"/>
      <c r="DH89" s="2179"/>
      <c r="DI89" s="2179"/>
      <c r="DJ89" s="2179"/>
      <c r="DK89" s="2179"/>
      <c r="DL89" s="2179"/>
      <c r="DM89" s="2179"/>
      <c r="DN89" s="2179"/>
      <c r="DO89" s="2179"/>
      <c r="DP89" s="2179"/>
      <c r="DQ89" s="2179"/>
      <c r="DR89" s="2179"/>
      <c r="DS89" s="2179"/>
      <c r="DT89" s="2179"/>
      <c r="DU89" s="2179"/>
      <c r="DV89" s="2179"/>
      <c r="DW89" s="2179"/>
      <c r="DX89" s="2179"/>
      <c r="DY89" s="2179"/>
      <c r="DZ89" s="2179"/>
      <c r="EA89" s="2179"/>
      <c r="EB89" s="2179"/>
      <c r="EC89" s="2179"/>
      <c r="ED89" s="2179"/>
      <c r="EE89" s="2179"/>
      <c r="EF89" s="2179"/>
      <c r="EG89" s="2179"/>
      <c r="EH89" s="2179"/>
      <c r="EI89" s="2179"/>
      <c r="EJ89" s="2179"/>
      <c r="EK89" s="2179"/>
      <c r="EL89" s="2179"/>
      <c r="EM89" s="2179">
        <v>0</v>
      </c>
      <c r="EN89" s="2179"/>
      <c r="EO89" s="2179">
        <v>0</v>
      </c>
      <c r="EP89" s="2179"/>
      <c r="EQ89" s="2179">
        <v>0</v>
      </c>
      <c r="ER89" s="2179"/>
      <c r="ES89" s="2179">
        <v>0</v>
      </c>
      <c r="ET89" s="2179"/>
      <c r="EU89" s="2179">
        <v>0</v>
      </c>
      <c r="EV89" s="2179"/>
      <c r="EW89" s="2179">
        <v>0</v>
      </c>
      <c r="EX89" s="2179"/>
      <c r="EY89" s="2179"/>
      <c r="EZ89" s="2179"/>
      <c r="FA89" s="2179">
        <v>0</v>
      </c>
      <c r="FB89" s="2179"/>
      <c r="FC89" s="2179">
        <v>0</v>
      </c>
      <c r="FD89" s="2179"/>
      <c r="FE89" s="2179">
        <v>0</v>
      </c>
      <c r="FF89" s="2179"/>
      <c r="FG89" s="2179">
        <v>0</v>
      </c>
      <c r="FH89" s="2179"/>
      <c r="FI89" s="2179"/>
      <c r="FJ89" s="2179"/>
      <c r="FK89" s="2179">
        <v>0</v>
      </c>
      <c r="FL89" s="2179"/>
      <c r="FM89" s="2179">
        <v>0</v>
      </c>
      <c r="FN89" s="2179"/>
      <c r="FO89" s="2179">
        <v>0</v>
      </c>
      <c r="FP89" s="2179"/>
      <c r="FQ89" s="2179">
        <v>0</v>
      </c>
      <c r="FR89" s="2179"/>
      <c r="FS89" s="2179">
        <v>0</v>
      </c>
      <c r="FT89" s="2179"/>
      <c r="FU89" s="2179">
        <v>0</v>
      </c>
      <c r="FV89" s="2179"/>
      <c r="FW89" s="2179">
        <v>0</v>
      </c>
      <c r="FX89" s="2179"/>
      <c r="FY89" s="2179"/>
      <c r="FZ89" s="2179"/>
      <c r="GA89" s="2179">
        <v>9</v>
      </c>
      <c r="GB89" s="2179">
        <f t="shared" si="6"/>
        <v>9</v>
      </c>
    </row>
    <row r="90" spans="2:184" ht="16.8" hidden="1">
      <c r="B90" s="2313" t="str">
        <f t="shared" si="5"/>
        <v>Lắp hộp Domino</v>
      </c>
      <c r="C90" s="2179"/>
      <c r="D90" s="2179" t="s">
        <v>5176</v>
      </c>
      <c r="E90" s="2179">
        <f t="shared" si="4"/>
        <v>81</v>
      </c>
      <c r="F90" s="2179"/>
      <c r="G90" s="2179">
        <v>1</v>
      </c>
      <c r="H90" s="2179">
        <v>0</v>
      </c>
      <c r="I90" s="2179">
        <v>2</v>
      </c>
      <c r="J90" s="2179">
        <v>0</v>
      </c>
      <c r="K90" s="2179">
        <v>3</v>
      </c>
      <c r="L90" s="2179">
        <v>0</v>
      </c>
      <c r="M90" s="2179">
        <v>1</v>
      </c>
      <c r="N90" s="2179">
        <v>0</v>
      </c>
      <c r="O90" s="2179">
        <v>1</v>
      </c>
      <c r="P90" s="2179">
        <v>0</v>
      </c>
      <c r="Q90" s="2179">
        <v>1</v>
      </c>
      <c r="R90" s="2179">
        <v>0</v>
      </c>
      <c r="S90" s="2179">
        <v>0</v>
      </c>
      <c r="T90" s="2179">
        <v>0</v>
      </c>
      <c r="U90" s="2179">
        <v>1</v>
      </c>
      <c r="V90" s="2179">
        <v>0</v>
      </c>
      <c r="W90" s="2179">
        <v>1</v>
      </c>
      <c r="X90" s="2179">
        <v>0</v>
      </c>
      <c r="Y90" s="2179">
        <v>1</v>
      </c>
      <c r="Z90" s="2179">
        <v>0</v>
      </c>
      <c r="AA90" s="2179">
        <v>1</v>
      </c>
      <c r="AB90" s="2179">
        <v>0</v>
      </c>
      <c r="AC90" s="2179">
        <v>1</v>
      </c>
      <c r="AD90" s="2179">
        <v>0</v>
      </c>
      <c r="AE90" s="2179">
        <v>1</v>
      </c>
      <c r="AF90" s="2179">
        <v>1</v>
      </c>
      <c r="AG90" s="2179">
        <v>1</v>
      </c>
      <c r="AH90" s="2179">
        <v>0</v>
      </c>
      <c r="AI90" s="2179">
        <v>1</v>
      </c>
      <c r="AJ90" s="2179">
        <v>0</v>
      </c>
      <c r="AK90" s="2179">
        <v>1</v>
      </c>
      <c r="AL90" s="2179">
        <v>0</v>
      </c>
      <c r="AM90" s="2179">
        <v>1</v>
      </c>
      <c r="AN90" s="2179">
        <v>0</v>
      </c>
      <c r="AO90" s="2179">
        <v>1</v>
      </c>
      <c r="AP90" s="2179">
        <v>0</v>
      </c>
      <c r="AQ90" s="2179">
        <v>1</v>
      </c>
      <c r="AR90" s="2179">
        <v>0</v>
      </c>
      <c r="AS90" s="2179">
        <v>1</v>
      </c>
      <c r="AT90" s="2179">
        <v>0</v>
      </c>
      <c r="AU90" s="2179">
        <v>1</v>
      </c>
      <c r="AV90" s="2179">
        <v>0</v>
      </c>
      <c r="AW90" s="2179">
        <v>1</v>
      </c>
      <c r="AX90" s="2179">
        <v>0</v>
      </c>
      <c r="AY90" s="2179">
        <v>0</v>
      </c>
      <c r="AZ90" s="2179">
        <v>0</v>
      </c>
      <c r="BA90" s="2179">
        <v>0</v>
      </c>
      <c r="BB90" s="2179">
        <v>1</v>
      </c>
      <c r="BC90" s="2179">
        <v>0</v>
      </c>
      <c r="BD90" s="2179">
        <v>1</v>
      </c>
      <c r="BE90" s="2179">
        <v>0</v>
      </c>
      <c r="BF90" s="2179">
        <v>1</v>
      </c>
      <c r="BG90" s="2179">
        <v>0</v>
      </c>
      <c r="BH90" s="2179">
        <v>1</v>
      </c>
      <c r="BI90" s="2179">
        <v>0</v>
      </c>
      <c r="BJ90" s="2179">
        <v>1</v>
      </c>
      <c r="BK90" s="2179">
        <v>0</v>
      </c>
      <c r="BL90" s="2179">
        <v>1</v>
      </c>
      <c r="BM90" s="2179">
        <v>0</v>
      </c>
      <c r="BN90" s="2179">
        <v>1</v>
      </c>
      <c r="BO90" s="2179">
        <v>0</v>
      </c>
      <c r="BP90" s="2179">
        <v>1</v>
      </c>
      <c r="BQ90" s="2179">
        <v>0</v>
      </c>
      <c r="BR90" s="2179">
        <v>1</v>
      </c>
      <c r="BS90" s="2179">
        <v>0</v>
      </c>
      <c r="BT90" s="2179">
        <v>1</v>
      </c>
      <c r="BU90" s="2179">
        <v>0</v>
      </c>
      <c r="BV90" s="2179">
        <v>1</v>
      </c>
      <c r="BW90" s="2179">
        <v>0</v>
      </c>
      <c r="BX90" s="2179">
        <v>1</v>
      </c>
      <c r="BY90" s="2179">
        <v>0</v>
      </c>
      <c r="BZ90" s="2179">
        <v>0</v>
      </c>
      <c r="CA90" s="2179">
        <v>0</v>
      </c>
      <c r="CB90" s="2179">
        <v>0</v>
      </c>
      <c r="CC90" s="2179">
        <v>0</v>
      </c>
      <c r="CD90" s="2179">
        <v>1</v>
      </c>
      <c r="CE90" s="2179">
        <v>0</v>
      </c>
      <c r="CF90" s="2179">
        <v>1</v>
      </c>
      <c r="CG90" s="2179">
        <v>0</v>
      </c>
      <c r="CH90" s="2179">
        <v>1</v>
      </c>
      <c r="CI90" s="2179">
        <v>1</v>
      </c>
      <c r="CJ90" s="2179">
        <v>1</v>
      </c>
      <c r="CK90" s="2179">
        <v>0</v>
      </c>
      <c r="CL90" s="2179">
        <v>1</v>
      </c>
      <c r="CM90" s="2179">
        <v>0</v>
      </c>
      <c r="CN90" s="2179">
        <v>2</v>
      </c>
      <c r="CO90" s="2179">
        <v>0</v>
      </c>
      <c r="CP90" s="2179">
        <v>0</v>
      </c>
      <c r="CQ90" s="2179">
        <v>0</v>
      </c>
      <c r="CR90" s="2179">
        <v>0</v>
      </c>
      <c r="CS90" s="2179">
        <v>1</v>
      </c>
      <c r="CT90" s="2179">
        <v>0</v>
      </c>
      <c r="CU90" s="2179">
        <v>1</v>
      </c>
      <c r="CV90" s="2179">
        <v>0</v>
      </c>
      <c r="CW90" s="2179">
        <v>1</v>
      </c>
      <c r="CX90" s="2179">
        <v>0</v>
      </c>
      <c r="CY90" s="2179">
        <v>2</v>
      </c>
      <c r="CZ90" s="2179">
        <v>0</v>
      </c>
      <c r="DA90" s="2179">
        <v>1</v>
      </c>
      <c r="DB90" s="2179">
        <v>0</v>
      </c>
      <c r="DC90" s="2179">
        <v>1</v>
      </c>
      <c r="DD90" s="2179">
        <v>0</v>
      </c>
      <c r="DE90" s="2179">
        <v>1</v>
      </c>
      <c r="DF90" s="2179">
        <v>0</v>
      </c>
      <c r="DG90" s="2179">
        <v>0</v>
      </c>
      <c r="DH90" s="2179">
        <v>0</v>
      </c>
      <c r="DI90" s="2179">
        <v>0</v>
      </c>
      <c r="DJ90" s="2179">
        <v>1</v>
      </c>
      <c r="DK90" s="2179">
        <v>0</v>
      </c>
      <c r="DL90" s="2179">
        <v>1</v>
      </c>
      <c r="DM90" s="2179">
        <v>0</v>
      </c>
      <c r="DN90" s="2179">
        <v>1</v>
      </c>
      <c r="DO90" s="2179">
        <v>0</v>
      </c>
      <c r="DP90" s="2179">
        <v>1</v>
      </c>
      <c r="DQ90" s="2179">
        <v>0</v>
      </c>
      <c r="DR90" s="2179">
        <v>1</v>
      </c>
      <c r="DS90" s="2179">
        <v>0</v>
      </c>
      <c r="DT90" s="2179">
        <v>0</v>
      </c>
      <c r="DU90" s="2179">
        <v>1</v>
      </c>
      <c r="DV90" s="2179">
        <v>0</v>
      </c>
      <c r="DW90" s="2179">
        <v>0</v>
      </c>
      <c r="DX90" s="2179">
        <v>1</v>
      </c>
      <c r="DY90" s="2179">
        <v>0</v>
      </c>
      <c r="DZ90" s="2179">
        <v>0</v>
      </c>
      <c r="EA90" s="2179">
        <v>1</v>
      </c>
      <c r="EB90" s="2179">
        <v>1</v>
      </c>
      <c r="EC90" s="2179">
        <v>1</v>
      </c>
      <c r="ED90" s="2179">
        <v>0</v>
      </c>
      <c r="EE90" s="2179">
        <v>0</v>
      </c>
      <c r="EF90" s="2179">
        <v>0</v>
      </c>
      <c r="EG90" s="2179">
        <v>1</v>
      </c>
      <c r="EH90" s="2179">
        <v>0</v>
      </c>
      <c r="EI90" s="2179">
        <v>1</v>
      </c>
      <c r="EJ90" s="2179">
        <v>0</v>
      </c>
      <c r="EK90" s="2179">
        <v>0</v>
      </c>
      <c r="EL90" s="2179">
        <v>0</v>
      </c>
      <c r="EM90" s="2179">
        <v>1</v>
      </c>
      <c r="EN90" s="2179">
        <v>0</v>
      </c>
      <c r="EO90" s="2179">
        <v>1</v>
      </c>
      <c r="EP90" s="2179">
        <v>0</v>
      </c>
      <c r="EQ90" s="2179">
        <v>1</v>
      </c>
      <c r="ER90" s="2179">
        <v>0</v>
      </c>
      <c r="ES90" s="2179">
        <v>1</v>
      </c>
      <c r="ET90" s="2179">
        <v>0</v>
      </c>
      <c r="EU90" s="2179">
        <v>1</v>
      </c>
      <c r="EV90" s="2179">
        <v>0</v>
      </c>
      <c r="EW90" s="2179">
        <v>1</v>
      </c>
      <c r="EX90" s="2179">
        <v>0</v>
      </c>
      <c r="EY90" s="2179">
        <v>0</v>
      </c>
      <c r="EZ90" s="2179">
        <v>0</v>
      </c>
      <c r="FA90" s="2179">
        <v>1</v>
      </c>
      <c r="FB90" s="2179">
        <v>0</v>
      </c>
      <c r="FC90" s="2179">
        <v>1</v>
      </c>
      <c r="FD90" s="2179">
        <v>0</v>
      </c>
      <c r="FE90" s="2179">
        <v>2</v>
      </c>
      <c r="FF90" s="2179">
        <v>0</v>
      </c>
      <c r="FG90" s="2179">
        <v>1</v>
      </c>
      <c r="FH90" s="2179">
        <v>0</v>
      </c>
      <c r="FI90" s="2179">
        <v>0</v>
      </c>
      <c r="FJ90" s="2179">
        <v>0</v>
      </c>
      <c r="FK90" s="2179">
        <v>1</v>
      </c>
      <c r="FL90" s="2179">
        <v>0</v>
      </c>
      <c r="FM90" s="2179">
        <v>1</v>
      </c>
      <c r="FN90" s="2179">
        <v>0</v>
      </c>
      <c r="FO90" s="2179">
        <v>0</v>
      </c>
      <c r="FP90" s="2179">
        <v>0</v>
      </c>
      <c r="FQ90" s="2179">
        <v>1</v>
      </c>
      <c r="FR90" s="2179">
        <v>0</v>
      </c>
      <c r="FS90" s="2179">
        <v>0</v>
      </c>
      <c r="FT90" s="2179">
        <v>0</v>
      </c>
      <c r="FU90" s="2179">
        <v>1</v>
      </c>
      <c r="FV90" s="2179">
        <v>0</v>
      </c>
      <c r="FW90" s="2179">
        <v>1</v>
      </c>
      <c r="FX90" s="2179"/>
      <c r="FY90" s="2179"/>
      <c r="FZ90" s="2179"/>
      <c r="GA90" s="2179">
        <v>81</v>
      </c>
      <c r="GB90" s="2179">
        <f t="shared" si="6"/>
        <v>81</v>
      </c>
    </row>
    <row r="91" spans="2:184" ht="16.8" hidden="1">
      <c r="B91" s="2313" t="str">
        <f t="shared" si="5"/>
        <v>Lắp kẹp dừng ABC</v>
      </c>
      <c r="C91" s="2179"/>
      <c r="D91" s="2179" t="s">
        <v>5177</v>
      </c>
      <c r="E91" s="2179">
        <f t="shared" si="4"/>
        <v>5</v>
      </c>
      <c r="F91" s="2179"/>
      <c r="G91" s="2179">
        <v>0</v>
      </c>
      <c r="H91" s="2179"/>
      <c r="I91" s="2179">
        <v>0</v>
      </c>
      <c r="J91" s="2179"/>
      <c r="K91" s="2179">
        <v>0</v>
      </c>
      <c r="L91" s="2179"/>
      <c r="M91" s="2179">
        <v>0</v>
      </c>
      <c r="N91" s="2179"/>
      <c r="O91" s="2179">
        <v>0</v>
      </c>
      <c r="P91" s="2179"/>
      <c r="Q91" s="2179">
        <v>0</v>
      </c>
      <c r="R91" s="2179"/>
      <c r="S91" s="2179">
        <v>0</v>
      </c>
      <c r="T91" s="2179"/>
      <c r="U91" s="2179">
        <v>1</v>
      </c>
      <c r="V91" s="2179"/>
      <c r="W91" s="2179">
        <v>0</v>
      </c>
      <c r="X91" s="2179"/>
      <c r="Y91" s="2179">
        <v>0</v>
      </c>
      <c r="Z91" s="2179"/>
      <c r="AA91" s="2179">
        <v>0</v>
      </c>
      <c r="AB91" s="2179"/>
      <c r="AC91" s="2179">
        <v>0</v>
      </c>
      <c r="AD91" s="2179"/>
      <c r="AE91" s="2179">
        <v>0</v>
      </c>
      <c r="AF91" s="2179"/>
      <c r="AG91" s="2179">
        <v>0</v>
      </c>
      <c r="AH91" s="2179"/>
      <c r="AI91" s="2179">
        <v>2</v>
      </c>
      <c r="AJ91" s="2179"/>
      <c r="AK91" s="2179">
        <v>0</v>
      </c>
      <c r="AL91" s="2179"/>
      <c r="AM91" s="2179">
        <v>0</v>
      </c>
      <c r="AN91" s="2179"/>
      <c r="AO91" s="2179">
        <v>0</v>
      </c>
      <c r="AP91" s="2179"/>
      <c r="AQ91" s="2179">
        <v>0</v>
      </c>
      <c r="AR91" s="2179"/>
      <c r="AS91" s="2179">
        <v>0</v>
      </c>
      <c r="AT91" s="2179"/>
      <c r="AU91" s="2179">
        <v>0</v>
      </c>
      <c r="AV91" s="2179"/>
      <c r="AW91" s="2179">
        <v>0</v>
      </c>
      <c r="AX91" s="2179"/>
      <c r="AY91" s="2179"/>
      <c r="AZ91" s="2179"/>
      <c r="BA91" s="2179"/>
      <c r="BB91" s="2179">
        <v>0</v>
      </c>
      <c r="BC91" s="2179"/>
      <c r="BD91" s="2179">
        <v>0</v>
      </c>
      <c r="BE91" s="2179"/>
      <c r="BF91" s="2179">
        <v>0</v>
      </c>
      <c r="BG91" s="2179"/>
      <c r="BH91" s="2179">
        <v>0</v>
      </c>
      <c r="BI91" s="2179"/>
      <c r="BJ91" s="2179">
        <v>0</v>
      </c>
      <c r="BK91" s="2179"/>
      <c r="BL91" s="2179">
        <v>0</v>
      </c>
      <c r="BM91" s="2179"/>
      <c r="BN91" s="2179">
        <v>2</v>
      </c>
      <c r="BO91" s="2179"/>
      <c r="BP91" s="2179">
        <v>0</v>
      </c>
      <c r="BQ91" s="2179"/>
      <c r="BR91" s="2179">
        <v>0</v>
      </c>
      <c r="BS91" s="2179"/>
      <c r="BT91" s="2179">
        <v>0</v>
      </c>
      <c r="BU91" s="2179"/>
      <c r="BV91" s="2179">
        <v>0</v>
      </c>
      <c r="BW91" s="2179"/>
      <c r="BX91" s="2179">
        <v>0</v>
      </c>
      <c r="BY91" s="2179"/>
      <c r="BZ91" s="2179">
        <v>0</v>
      </c>
      <c r="CA91" s="2179"/>
      <c r="CB91" s="2179"/>
      <c r="CC91" s="2179"/>
      <c r="CD91" s="2179">
        <v>0</v>
      </c>
      <c r="CE91" s="2179"/>
      <c r="CF91" s="2179">
        <v>0</v>
      </c>
      <c r="CG91" s="2179"/>
      <c r="CH91" s="2179">
        <v>0</v>
      </c>
      <c r="CI91" s="2179"/>
      <c r="CJ91" s="2179">
        <v>0</v>
      </c>
      <c r="CK91" s="2179"/>
      <c r="CL91" s="2179">
        <v>0</v>
      </c>
      <c r="CM91" s="2179"/>
      <c r="CN91" s="2179">
        <v>0</v>
      </c>
      <c r="CO91" s="2179"/>
      <c r="CP91" s="2179"/>
      <c r="CQ91" s="2179"/>
      <c r="CR91" s="2179"/>
      <c r="CS91" s="2179">
        <v>0</v>
      </c>
      <c r="CT91" s="2179"/>
      <c r="CU91" s="2179">
        <v>0</v>
      </c>
      <c r="CV91" s="2179"/>
      <c r="CW91" s="2179">
        <v>0</v>
      </c>
      <c r="CX91" s="2179"/>
      <c r="CY91" s="2179">
        <v>0</v>
      </c>
      <c r="CZ91" s="2179"/>
      <c r="DA91" s="2179">
        <v>0</v>
      </c>
      <c r="DB91" s="2179"/>
      <c r="DC91" s="2179">
        <v>0</v>
      </c>
      <c r="DD91" s="2179"/>
      <c r="DE91" s="2179">
        <v>0</v>
      </c>
      <c r="DF91" s="2179"/>
      <c r="DG91" s="2179"/>
      <c r="DH91" s="2179"/>
      <c r="DI91" s="2179"/>
      <c r="DJ91" s="2179">
        <v>0</v>
      </c>
      <c r="DK91" s="2179"/>
      <c r="DL91" s="2179">
        <v>0</v>
      </c>
      <c r="DM91" s="2179"/>
      <c r="DN91" s="2179">
        <v>0</v>
      </c>
      <c r="DO91" s="2179"/>
      <c r="DP91" s="2179">
        <v>0</v>
      </c>
      <c r="DQ91" s="2179"/>
      <c r="DR91" s="2179">
        <v>0</v>
      </c>
      <c r="DS91" s="2179"/>
      <c r="DT91" s="2179"/>
      <c r="DU91" s="2179">
        <v>0</v>
      </c>
      <c r="DV91" s="2179"/>
      <c r="DW91" s="2179">
        <v>0</v>
      </c>
      <c r="DX91" s="2179"/>
      <c r="DY91" s="2179">
        <v>0</v>
      </c>
      <c r="DZ91" s="2179"/>
      <c r="EA91" s="2179">
        <v>0</v>
      </c>
      <c r="EB91" s="2179"/>
      <c r="EC91" s="2179">
        <v>0</v>
      </c>
      <c r="ED91" s="2179"/>
      <c r="EE91" s="2179">
        <v>0</v>
      </c>
      <c r="EF91" s="2179"/>
      <c r="EG91" s="2179">
        <v>0</v>
      </c>
      <c r="EH91" s="2179"/>
      <c r="EI91" s="2179">
        <v>0</v>
      </c>
      <c r="EJ91" s="2179"/>
      <c r="EK91" s="2179"/>
      <c r="EL91" s="2179"/>
      <c r="EM91" s="2179">
        <v>0</v>
      </c>
      <c r="EN91" s="2179"/>
      <c r="EO91" s="2179">
        <v>0</v>
      </c>
      <c r="EP91" s="2179"/>
      <c r="EQ91" s="2179">
        <v>0</v>
      </c>
      <c r="ER91" s="2179"/>
      <c r="ES91" s="2179">
        <v>0</v>
      </c>
      <c r="ET91" s="2179"/>
      <c r="EU91" s="2179">
        <v>0</v>
      </c>
      <c r="EV91" s="2179"/>
      <c r="EW91" s="2179">
        <v>0</v>
      </c>
      <c r="EX91" s="2179"/>
      <c r="EY91" s="2179"/>
      <c r="EZ91" s="2179"/>
      <c r="FA91" s="2179">
        <v>0</v>
      </c>
      <c r="FB91" s="2179"/>
      <c r="FC91" s="2179">
        <v>0</v>
      </c>
      <c r="FD91" s="2179"/>
      <c r="FE91" s="2179">
        <v>0</v>
      </c>
      <c r="FF91" s="2179"/>
      <c r="FG91" s="2179">
        <v>0</v>
      </c>
      <c r="FH91" s="2179"/>
      <c r="FI91" s="2179"/>
      <c r="FJ91" s="2179"/>
      <c r="FK91" s="2179">
        <v>0</v>
      </c>
      <c r="FL91" s="2179"/>
      <c r="FM91" s="2179">
        <v>0</v>
      </c>
      <c r="FN91" s="2179"/>
      <c r="FO91" s="2179">
        <v>0</v>
      </c>
      <c r="FP91" s="2179"/>
      <c r="FQ91" s="2179">
        <v>0</v>
      </c>
      <c r="FR91" s="2179"/>
      <c r="FS91" s="2179">
        <v>0</v>
      </c>
      <c r="FT91" s="2179"/>
      <c r="FU91" s="2179">
        <v>0</v>
      </c>
      <c r="FV91" s="2179"/>
      <c r="FW91" s="2179">
        <v>0</v>
      </c>
      <c r="FX91" s="2179"/>
      <c r="FY91" s="2179"/>
      <c r="FZ91" s="2179"/>
      <c r="GA91" s="2179">
        <v>5</v>
      </c>
      <c r="GB91" s="2179">
        <f t="shared" si="6"/>
        <v>5</v>
      </c>
    </row>
    <row r="92" spans="2:184" ht="16.8" hidden="1">
      <c r="B92" s="2313" t="str">
        <f t="shared" si="5"/>
        <v>Lắp Kẹp treo ABC</v>
      </c>
      <c r="C92" s="2179"/>
      <c r="D92" s="2179" t="s">
        <v>5178</v>
      </c>
      <c r="E92" s="2179">
        <f t="shared" si="4"/>
        <v>37</v>
      </c>
      <c r="F92" s="2179"/>
      <c r="G92" s="2179">
        <v>0</v>
      </c>
      <c r="H92" s="2179"/>
      <c r="I92" s="2179">
        <v>0</v>
      </c>
      <c r="J92" s="2179"/>
      <c r="K92" s="2179">
        <v>0</v>
      </c>
      <c r="L92" s="2179"/>
      <c r="M92" s="2179">
        <v>0</v>
      </c>
      <c r="N92" s="2179"/>
      <c r="O92" s="2179">
        <v>0</v>
      </c>
      <c r="P92" s="2179"/>
      <c r="Q92" s="2179">
        <v>0</v>
      </c>
      <c r="R92" s="2179"/>
      <c r="S92" s="2179">
        <v>0</v>
      </c>
      <c r="T92" s="2179"/>
      <c r="U92" s="2179">
        <v>0</v>
      </c>
      <c r="V92" s="2179"/>
      <c r="W92" s="2179">
        <v>1</v>
      </c>
      <c r="X92" s="2179"/>
      <c r="Y92" s="2179">
        <v>1</v>
      </c>
      <c r="Z92" s="2179"/>
      <c r="AA92" s="2179">
        <v>1</v>
      </c>
      <c r="AB92" s="2179"/>
      <c r="AC92" s="2179">
        <v>1</v>
      </c>
      <c r="AD92" s="2179"/>
      <c r="AE92" s="2179">
        <v>1</v>
      </c>
      <c r="AF92" s="2179">
        <v>1</v>
      </c>
      <c r="AG92" s="2179">
        <v>1</v>
      </c>
      <c r="AH92" s="2179"/>
      <c r="AI92" s="2179">
        <v>0</v>
      </c>
      <c r="AJ92" s="2179"/>
      <c r="AK92" s="2179">
        <v>1</v>
      </c>
      <c r="AL92" s="2179"/>
      <c r="AM92" s="2179">
        <v>1</v>
      </c>
      <c r="AN92" s="2179"/>
      <c r="AO92" s="2179">
        <v>1</v>
      </c>
      <c r="AP92" s="2179"/>
      <c r="AQ92" s="2179">
        <v>1</v>
      </c>
      <c r="AR92" s="2179"/>
      <c r="AS92" s="2179">
        <v>1</v>
      </c>
      <c r="AT92" s="2179"/>
      <c r="AU92" s="2179">
        <v>1</v>
      </c>
      <c r="AV92" s="2179"/>
      <c r="AW92" s="2179">
        <v>1</v>
      </c>
      <c r="AX92" s="2179"/>
      <c r="AY92" s="2179"/>
      <c r="AZ92" s="2179"/>
      <c r="BA92" s="2179"/>
      <c r="BB92" s="2179">
        <v>1</v>
      </c>
      <c r="BC92" s="2179"/>
      <c r="BD92" s="2179">
        <v>1</v>
      </c>
      <c r="BE92" s="2179"/>
      <c r="BF92" s="2179">
        <v>1</v>
      </c>
      <c r="BG92" s="2179"/>
      <c r="BH92" s="2179">
        <v>1</v>
      </c>
      <c r="BI92" s="2179"/>
      <c r="BJ92" s="2179">
        <v>1</v>
      </c>
      <c r="BK92" s="2179"/>
      <c r="BL92" s="2179">
        <v>1</v>
      </c>
      <c r="BM92" s="2179"/>
      <c r="BN92" s="2179">
        <v>0</v>
      </c>
      <c r="BO92" s="2179"/>
      <c r="BP92" s="2179">
        <v>1</v>
      </c>
      <c r="BQ92" s="2179"/>
      <c r="BR92" s="2179">
        <v>1</v>
      </c>
      <c r="BS92" s="2179"/>
      <c r="BT92" s="2179">
        <v>1</v>
      </c>
      <c r="BU92" s="2179"/>
      <c r="BV92" s="2179">
        <v>1</v>
      </c>
      <c r="BW92" s="2179"/>
      <c r="BX92" s="2179">
        <v>1</v>
      </c>
      <c r="BY92" s="2179"/>
      <c r="BZ92" s="2179"/>
      <c r="CA92" s="2179"/>
      <c r="CB92" s="2179"/>
      <c r="CC92" s="2179"/>
      <c r="CD92" s="2179">
        <v>0</v>
      </c>
      <c r="CE92" s="2179"/>
      <c r="CF92" s="2179">
        <v>0</v>
      </c>
      <c r="CG92" s="2179"/>
      <c r="CH92" s="2179">
        <v>0</v>
      </c>
      <c r="CI92" s="2179"/>
      <c r="CJ92" s="2179">
        <v>0</v>
      </c>
      <c r="CK92" s="2179"/>
      <c r="CL92" s="2179">
        <v>0</v>
      </c>
      <c r="CM92" s="2179"/>
      <c r="CN92" s="2179">
        <v>0</v>
      </c>
      <c r="CO92" s="2179"/>
      <c r="CP92" s="2179"/>
      <c r="CQ92" s="2179"/>
      <c r="CR92" s="2179"/>
      <c r="CS92" s="2179">
        <v>0</v>
      </c>
      <c r="CT92" s="2179"/>
      <c r="CU92" s="2179">
        <v>0</v>
      </c>
      <c r="CV92" s="2179"/>
      <c r="CW92" s="2179">
        <v>0</v>
      </c>
      <c r="CX92" s="2179"/>
      <c r="CY92" s="2179">
        <v>0</v>
      </c>
      <c r="CZ92" s="2179"/>
      <c r="DA92" s="2179">
        <v>0</v>
      </c>
      <c r="DB92" s="2179"/>
      <c r="DC92" s="2179">
        <v>0</v>
      </c>
      <c r="DD92" s="2179"/>
      <c r="DE92" s="2179">
        <v>0</v>
      </c>
      <c r="DF92" s="2179"/>
      <c r="DG92" s="2179"/>
      <c r="DH92" s="2179"/>
      <c r="DI92" s="2179"/>
      <c r="DJ92" s="2179">
        <v>1</v>
      </c>
      <c r="DK92" s="2179"/>
      <c r="DL92" s="2179">
        <v>1</v>
      </c>
      <c r="DM92" s="2179"/>
      <c r="DN92" s="2179">
        <v>1</v>
      </c>
      <c r="DO92" s="2179"/>
      <c r="DP92" s="2179">
        <v>1</v>
      </c>
      <c r="DQ92" s="2179"/>
      <c r="DR92" s="2179">
        <v>1</v>
      </c>
      <c r="DS92" s="2179"/>
      <c r="DT92" s="2179"/>
      <c r="DU92" s="2179">
        <v>1</v>
      </c>
      <c r="DV92" s="2179"/>
      <c r="DW92" s="2179">
        <v>0</v>
      </c>
      <c r="DX92" s="2179">
        <v>1</v>
      </c>
      <c r="DY92" s="2179">
        <v>0</v>
      </c>
      <c r="DZ92" s="2179"/>
      <c r="EA92" s="2179">
        <v>1</v>
      </c>
      <c r="EB92" s="2179">
        <v>1</v>
      </c>
      <c r="EC92" s="2179">
        <v>1</v>
      </c>
      <c r="ED92" s="2179"/>
      <c r="EE92" s="2179">
        <v>0</v>
      </c>
      <c r="EF92" s="2179"/>
      <c r="EG92" s="2179">
        <v>1</v>
      </c>
      <c r="EH92" s="2179"/>
      <c r="EI92" s="2179">
        <v>1</v>
      </c>
      <c r="EJ92" s="2179"/>
      <c r="EK92" s="2179"/>
      <c r="EL92" s="2179"/>
      <c r="EM92" s="2179">
        <v>0</v>
      </c>
      <c r="EN92" s="2179"/>
      <c r="EO92" s="2179">
        <v>0</v>
      </c>
      <c r="EP92" s="2179"/>
      <c r="EQ92" s="2179">
        <v>0</v>
      </c>
      <c r="ER92" s="2179"/>
      <c r="ES92" s="2179">
        <v>0</v>
      </c>
      <c r="ET92" s="2179"/>
      <c r="EU92" s="2179">
        <v>0</v>
      </c>
      <c r="EV92" s="2179"/>
      <c r="EW92" s="2179">
        <v>0</v>
      </c>
      <c r="EX92" s="2179"/>
      <c r="EY92" s="2179"/>
      <c r="EZ92" s="2179"/>
      <c r="FA92" s="2179">
        <v>0</v>
      </c>
      <c r="FB92" s="2179"/>
      <c r="FC92" s="2179">
        <v>0</v>
      </c>
      <c r="FD92" s="2179"/>
      <c r="FE92" s="2179">
        <v>0</v>
      </c>
      <c r="FF92" s="2179"/>
      <c r="FG92" s="2179">
        <v>0</v>
      </c>
      <c r="FH92" s="2179"/>
      <c r="FI92" s="2179"/>
      <c r="FJ92" s="2179"/>
      <c r="FK92" s="2179">
        <v>0</v>
      </c>
      <c r="FL92" s="2179"/>
      <c r="FM92" s="2179">
        <v>0</v>
      </c>
      <c r="FN92" s="2179"/>
      <c r="FO92" s="2179">
        <v>0</v>
      </c>
      <c r="FP92" s="2179"/>
      <c r="FQ92" s="2179">
        <v>0</v>
      </c>
      <c r="FR92" s="2179"/>
      <c r="FS92" s="2179">
        <v>0</v>
      </c>
      <c r="FT92" s="2179"/>
      <c r="FU92" s="2179">
        <v>0</v>
      </c>
      <c r="FV92" s="2179"/>
      <c r="FW92" s="2179">
        <v>0</v>
      </c>
      <c r="FX92" s="2179"/>
      <c r="FY92" s="2179"/>
      <c r="FZ92" s="2179"/>
      <c r="GA92" s="2179">
        <v>37</v>
      </c>
      <c r="GB92" s="2179">
        <f t="shared" si="6"/>
        <v>37</v>
      </c>
    </row>
    <row r="93" spans="2:184" ht="16.8" hidden="1">
      <c r="B93" s="2313" t="str">
        <f t="shared" si="5"/>
        <v>Lắp FCO</v>
      </c>
      <c r="C93" s="2179"/>
      <c r="D93" s="2179" t="s">
        <v>5179</v>
      </c>
      <c r="E93" s="2179">
        <f t="shared" si="4"/>
        <v>13</v>
      </c>
      <c r="F93" s="2179"/>
      <c r="G93" s="2179"/>
      <c r="H93" s="2179"/>
      <c r="I93" s="2179"/>
      <c r="J93" s="2179"/>
      <c r="K93" s="2179"/>
      <c r="L93" s="2179"/>
      <c r="M93" s="2179"/>
      <c r="N93" s="2179"/>
      <c r="O93" s="2179"/>
      <c r="P93" s="2179"/>
      <c r="Q93" s="2179"/>
      <c r="R93" s="2179"/>
      <c r="S93" s="2179"/>
      <c r="T93" s="2179"/>
      <c r="U93" s="2179"/>
      <c r="V93" s="2179"/>
      <c r="W93" s="2179"/>
      <c r="X93" s="2179"/>
      <c r="Y93" s="2179"/>
      <c r="Z93" s="2179"/>
      <c r="AA93" s="2179"/>
      <c r="AB93" s="2179"/>
      <c r="AC93" s="2179"/>
      <c r="AD93" s="2179">
        <v>1</v>
      </c>
      <c r="AE93" s="2179"/>
      <c r="AF93" s="2179"/>
      <c r="AG93" s="2179"/>
      <c r="AH93" s="2179"/>
      <c r="AI93" s="2179"/>
      <c r="AJ93" s="2179"/>
      <c r="AK93" s="2179"/>
      <c r="AL93" s="2179"/>
      <c r="AM93" s="2179"/>
      <c r="AN93" s="2179">
        <v>1</v>
      </c>
      <c r="AO93" s="2179"/>
      <c r="AP93" s="2179"/>
      <c r="AQ93" s="2179"/>
      <c r="AR93" s="2179"/>
      <c r="AS93" s="2179"/>
      <c r="AT93" s="2179"/>
      <c r="AU93" s="2179"/>
      <c r="AV93" s="2179"/>
      <c r="AW93" s="2179"/>
      <c r="AX93" s="2179"/>
      <c r="AY93" s="2179"/>
      <c r="AZ93" s="2179"/>
      <c r="BA93" s="2179"/>
      <c r="BB93" s="2179"/>
      <c r="BC93" s="2179"/>
      <c r="BD93" s="2179"/>
      <c r="BE93" s="2179"/>
      <c r="BF93" s="2179"/>
      <c r="BG93" s="2179"/>
      <c r="BH93" s="2179"/>
      <c r="BI93" s="2179">
        <v>1</v>
      </c>
      <c r="BJ93" s="2179"/>
      <c r="BK93" s="2179"/>
      <c r="BL93" s="2179"/>
      <c r="BM93" s="2179"/>
      <c r="BN93" s="2179"/>
      <c r="BO93" s="2179"/>
      <c r="BP93" s="2179"/>
      <c r="BQ93" s="2179"/>
      <c r="BR93" s="2179"/>
      <c r="BS93" s="2179"/>
      <c r="BT93" s="2179"/>
      <c r="BU93" s="2179"/>
      <c r="BV93" s="2179"/>
      <c r="BW93" s="2179">
        <v>1</v>
      </c>
      <c r="BX93" s="2179"/>
      <c r="BY93" s="2179"/>
      <c r="BZ93" s="2179"/>
      <c r="CA93" s="2179"/>
      <c r="CB93" s="2179"/>
      <c r="CC93" s="2179"/>
      <c r="CD93" s="2179"/>
      <c r="CE93" s="2179">
        <v>1</v>
      </c>
      <c r="CF93" s="2179"/>
      <c r="CG93" s="2179"/>
      <c r="CH93" s="2179"/>
      <c r="CI93" s="2179"/>
      <c r="CJ93" s="2179"/>
      <c r="CK93" s="2179"/>
      <c r="CL93" s="2179"/>
      <c r="CM93" s="2179"/>
      <c r="CN93" s="2179"/>
      <c r="CO93" s="2179"/>
      <c r="CP93" s="2179"/>
      <c r="CQ93" s="2179"/>
      <c r="CR93" s="2179"/>
      <c r="CS93" s="2179"/>
      <c r="CT93" s="2179"/>
      <c r="CU93" s="2179"/>
      <c r="CV93" s="2179"/>
      <c r="CW93" s="2179"/>
      <c r="CX93" s="2179"/>
      <c r="CY93" s="2179"/>
      <c r="CZ93" s="2179">
        <v>1</v>
      </c>
      <c r="DA93" s="2179"/>
      <c r="DB93" s="2179"/>
      <c r="DC93" s="2179"/>
      <c r="DD93" s="2179"/>
      <c r="DE93" s="2179"/>
      <c r="DF93" s="2179"/>
      <c r="DG93" s="2179"/>
      <c r="DH93" s="2179"/>
      <c r="DI93" s="2179"/>
      <c r="DJ93" s="2179"/>
      <c r="DK93" s="2179"/>
      <c r="DL93" s="2179"/>
      <c r="DM93" s="2179"/>
      <c r="DN93" s="2179"/>
      <c r="DO93" s="2179"/>
      <c r="DP93" s="2179"/>
      <c r="DQ93" s="2179"/>
      <c r="DR93" s="2179"/>
      <c r="DS93" s="2179"/>
      <c r="DT93" s="2179"/>
      <c r="DU93" s="2179"/>
      <c r="DV93" s="2179">
        <v>1</v>
      </c>
      <c r="DW93" s="2179"/>
      <c r="DX93" s="2179"/>
      <c r="DY93" s="2179"/>
      <c r="DZ93" s="2179"/>
      <c r="EA93" s="2179"/>
      <c r="EB93" s="2179">
        <v>3</v>
      </c>
      <c r="EC93" s="2179"/>
      <c r="ED93" s="2179"/>
      <c r="EE93" s="2179"/>
      <c r="EF93" s="2179"/>
      <c r="EG93" s="2179"/>
      <c r="EH93" s="2179"/>
      <c r="EI93" s="2179"/>
      <c r="EJ93" s="2179"/>
      <c r="EK93" s="2179"/>
      <c r="EL93" s="2179"/>
      <c r="EM93" s="2179"/>
      <c r="EN93" s="2179"/>
      <c r="EO93" s="2179"/>
      <c r="EP93" s="2179"/>
      <c r="EQ93" s="2179"/>
      <c r="ER93" s="2179"/>
      <c r="ES93" s="2179"/>
      <c r="ET93" s="2179"/>
      <c r="EU93" s="2179"/>
      <c r="EV93" s="2179"/>
      <c r="EW93" s="2179"/>
      <c r="EX93" s="2179">
        <v>1</v>
      </c>
      <c r="EY93" s="2179"/>
      <c r="EZ93" s="2179"/>
      <c r="FA93" s="2179"/>
      <c r="FB93" s="2179"/>
      <c r="FC93" s="2179"/>
      <c r="FD93" s="2179">
        <v>1</v>
      </c>
      <c r="FE93" s="2179"/>
      <c r="FF93" s="2179"/>
      <c r="FG93" s="2179"/>
      <c r="FH93" s="2179"/>
      <c r="FI93" s="2179"/>
      <c r="FJ93" s="2179"/>
      <c r="FK93" s="2179"/>
      <c r="FL93" s="2179"/>
      <c r="FM93" s="2179"/>
      <c r="FN93" s="2179">
        <v>1</v>
      </c>
      <c r="FO93" s="2179"/>
      <c r="FP93" s="2179"/>
      <c r="FQ93" s="2179"/>
      <c r="FR93" s="2179"/>
      <c r="FS93" s="2179"/>
      <c r="FT93" s="2179"/>
      <c r="FU93" s="2179"/>
      <c r="FV93" s="2179"/>
      <c r="FW93" s="2179"/>
      <c r="FX93" s="2179"/>
      <c r="FY93" s="2179"/>
      <c r="FZ93" s="2179"/>
      <c r="GA93" s="2179">
        <v>13</v>
      </c>
      <c r="GB93" s="2179">
        <f t="shared" si="6"/>
        <v>13</v>
      </c>
    </row>
    <row r="94" spans="2:184" ht="16.8" hidden="1">
      <c r="B94" s="2313" t="str">
        <f t="shared" si="5"/>
        <v>Lắp LTD</v>
      </c>
      <c r="C94" s="2179"/>
      <c r="D94" s="2179" t="s">
        <v>5180</v>
      </c>
      <c r="E94" s="2179">
        <f t="shared" si="4"/>
        <v>3</v>
      </c>
      <c r="F94" s="2179"/>
      <c r="G94" s="2179">
        <v>3</v>
      </c>
      <c r="H94" s="2179"/>
      <c r="I94" s="2179"/>
      <c r="J94" s="2179"/>
      <c r="K94" s="2179"/>
      <c r="L94" s="2179"/>
      <c r="M94" s="2179"/>
      <c r="N94" s="2179"/>
      <c r="O94" s="2179"/>
      <c r="P94" s="2179"/>
      <c r="Q94" s="2179"/>
      <c r="R94" s="2179"/>
      <c r="S94" s="2179"/>
      <c r="T94" s="2179"/>
      <c r="U94" s="2179"/>
      <c r="V94" s="2179"/>
      <c r="W94" s="2179"/>
      <c r="X94" s="2179"/>
      <c r="Y94" s="2179"/>
      <c r="Z94" s="2179"/>
      <c r="AA94" s="2179"/>
      <c r="AB94" s="2179"/>
      <c r="AC94" s="2179"/>
      <c r="AD94" s="2179"/>
      <c r="AE94" s="2179"/>
      <c r="AF94" s="2179"/>
      <c r="AG94" s="2179"/>
      <c r="AH94" s="2179"/>
      <c r="AI94" s="2179"/>
      <c r="AJ94" s="2179"/>
      <c r="AK94" s="2179"/>
      <c r="AL94" s="2179"/>
      <c r="AM94" s="2179"/>
      <c r="AN94" s="2179"/>
      <c r="AO94" s="2179"/>
      <c r="AP94" s="2179"/>
      <c r="AQ94" s="2179"/>
      <c r="AR94" s="2179"/>
      <c r="AS94" s="2179"/>
      <c r="AT94" s="2179"/>
      <c r="AU94" s="2179"/>
      <c r="AV94" s="2179"/>
      <c r="AW94" s="2179"/>
      <c r="AX94" s="2179"/>
      <c r="AY94" s="2179"/>
      <c r="AZ94" s="2179"/>
      <c r="BA94" s="2179"/>
      <c r="BB94" s="2179"/>
      <c r="BC94" s="2179"/>
      <c r="BD94" s="2179"/>
      <c r="BE94" s="2179"/>
      <c r="BF94" s="2179"/>
      <c r="BG94" s="2179"/>
      <c r="BH94" s="2179"/>
      <c r="BI94" s="2179"/>
      <c r="BJ94" s="2179"/>
      <c r="BK94" s="2179"/>
      <c r="BL94" s="2179"/>
      <c r="BM94" s="2179"/>
      <c r="BN94" s="2179"/>
      <c r="BO94" s="2179"/>
      <c r="BP94" s="2179"/>
      <c r="BQ94" s="2179"/>
      <c r="BR94" s="2179"/>
      <c r="BS94" s="2179"/>
      <c r="BT94" s="2179"/>
      <c r="BU94" s="2179"/>
      <c r="BV94" s="2179"/>
      <c r="BW94" s="2179"/>
      <c r="BX94" s="2179"/>
      <c r="BY94" s="2179"/>
      <c r="BZ94" s="2179"/>
      <c r="CA94" s="2179"/>
      <c r="CB94" s="2179"/>
      <c r="CC94" s="2179"/>
      <c r="CD94" s="2179"/>
      <c r="CE94" s="2179"/>
      <c r="CF94" s="2179"/>
      <c r="CG94" s="2179"/>
      <c r="CH94" s="2179"/>
      <c r="CI94" s="2179"/>
      <c r="CJ94" s="2179"/>
      <c r="CK94" s="2179"/>
      <c r="CL94" s="2179"/>
      <c r="CM94" s="2179"/>
      <c r="CN94" s="2179"/>
      <c r="CO94" s="2179"/>
      <c r="CP94" s="2179"/>
      <c r="CQ94" s="2179"/>
      <c r="CR94" s="2179"/>
      <c r="CS94" s="2179"/>
      <c r="CT94" s="2179"/>
      <c r="CU94" s="2179"/>
      <c r="CV94" s="2179"/>
      <c r="CW94" s="2179"/>
      <c r="CX94" s="2179"/>
      <c r="CY94" s="2179"/>
      <c r="CZ94" s="2179"/>
      <c r="DA94" s="2179"/>
      <c r="DB94" s="2179"/>
      <c r="DC94" s="2179"/>
      <c r="DD94" s="2179"/>
      <c r="DE94" s="2179"/>
      <c r="DF94" s="2179"/>
      <c r="DG94" s="2179"/>
      <c r="DH94" s="2179"/>
      <c r="DI94" s="2179"/>
      <c r="DJ94" s="2179"/>
      <c r="DK94" s="2179"/>
      <c r="DL94" s="2179"/>
      <c r="DM94" s="2179"/>
      <c r="DN94" s="2179"/>
      <c r="DO94" s="2179"/>
      <c r="DP94" s="2179"/>
      <c r="DQ94" s="2179"/>
      <c r="DR94" s="2179"/>
      <c r="DS94" s="2179"/>
      <c r="DT94" s="2179"/>
      <c r="DU94" s="2179"/>
      <c r="DV94" s="2179"/>
      <c r="DW94" s="2179"/>
      <c r="DX94" s="2179"/>
      <c r="DY94" s="2179"/>
      <c r="DZ94" s="2179"/>
      <c r="EA94" s="2179"/>
      <c r="EB94" s="2179"/>
      <c r="EC94" s="2179"/>
      <c r="ED94" s="2179"/>
      <c r="EE94" s="2179"/>
      <c r="EF94" s="2179"/>
      <c r="EG94" s="2179"/>
      <c r="EH94" s="2179"/>
      <c r="EI94" s="2179"/>
      <c r="EJ94" s="2179"/>
      <c r="EK94" s="2179"/>
      <c r="EL94" s="2179"/>
      <c r="EM94" s="2179"/>
      <c r="EN94" s="2179"/>
      <c r="EO94" s="2179"/>
      <c r="EP94" s="2179"/>
      <c r="EQ94" s="2179"/>
      <c r="ER94" s="2179"/>
      <c r="ES94" s="2179"/>
      <c r="ET94" s="2179"/>
      <c r="EU94" s="2179"/>
      <c r="EV94" s="2179"/>
      <c r="EW94" s="2179"/>
      <c r="EX94" s="2179"/>
      <c r="EY94" s="2179"/>
      <c r="EZ94" s="2179"/>
      <c r="FA94" s="2179"/>
      <c r="FB94" s="2179"/>
      <c r="FC94" s="2179"/>
      <c r="FD94" s="2179"/>
      <c r="FE94" s="2179"/>
      <c r="FF94" s="2179"/>
      <c r="FG94" s="2179"/>
      <c r="FH94" s="2179"/>
      <c r="FI94" s="2179"/>
      <c r="FJ94" s="2179"/>
      <c r="FK94" s="2179"/>
      <c r="FL94" s="2179"/>
      <c r="FM94" s="2179"/>
      <c r="FN94" s="2179"/>
      <c r="FO94" s="2179"/>
      <c r="FP94" s="2179"/>
      <c r="FQ94" s="2179"/>
      <c r="FR94" s="2179"/>
      <c r="FS94" s="2179"/>
      <c r="FT94" s="2179"/>
      <c r="FU94" s="2179"/>
      <c r="FV94" s="2179"/>
      <c r="FW94" s="2179"/>
      <c r="FX94" s="2179"/>
      <c r="FY94" s="2179"/>
      <c r="FZ94" s="2179"/>
      <c r="GA94" s="2179">
        <v>3</v>
      </c>
      <c r="GB94" s="2179">
        <f t="shared" si="6"/>
        <v>3</v>
      </c>
    </row>
    <row r="95" spans="2:184" ht="16.8" hidden="1">
      <c r="B95" s="2313" t="str">
        <f t="shared" si="5"/>
        <v>Lắp LA</v>
      </c>
      <c r="C95" s="2179"/>
      <c r="D95" s="2179" t="s">
        <v>3371</v>
      </c>
      <c r="E95" s="2179">
        <f t="shared" si="4"/>
        <v>10</v>
      </c>
      <c r="F95" s="2179"/>
      <c r="G95" s="2179"/>
      <c r="H95" s="2179"/>
      <c r="I95" s="2179"/>
      <c r="J95" s="2179"/>
      <c r="K95" s="2179"/>
      <c r="L95" s="2179"/>
      <c r="M95" s="2179"/>
      <c r="N95" s="2179"/>
      <c r="O95" s="2179"/>
      <c r="P95" s="2179"/>
      <c r="Q95" s="2179"/>
      <c r="R95" s="2179"/>
      <c r="S95" s="2179"/>
      <c r="T95" s="2179"/>
      <c r="U95" s="2179"/>
      <c r="V95" s="2179"/>
      <c r="W95" s="2179"/>
      <c r="X95" s="2179"/>
      <c r="Y95" s="2179"/>
      <c r="Z95" s="2179"/>
      <c r="AA95" s="2179"/>
      <c r="AB95" s="2179"/>
      <c r="AC95" s="2179"/>
      <c r="AD95" s="2179">
        <v>1</v>
      </c>
      <c r="AE95" s="2179"/>
      <c r="AF95" s="2179"/>
      <c r="AG95" s="2179"/>
      <c r="AH95" s="2179"/>
      <c r="AI95" s="2179"/>
      <c r="AJ95" s="2179"/>
      <c r="AK95" s="2179"/>
      <c r="AL95" s="2179"/>
      <c r="AM95" s="2179"/>
      <c r="AN95" s="2179">
        <v>1</v>
      </c>
      <c r="AO95" s="2179"/>
      <c r="AP95" s="2179"/>
      <c r="AQ95" s="2179"/>
      <c r="AR95" s="2179"/>
      <c r="AS95" s="2179"/>
      <c r="AT95" s="2179"/>
      <c r="AU95" s="2179"/>
      <c r="AV95" s="2179"/>
      <c r="AW95" s="2179"/>
      <c r="AX95" s="2179"/>
      <c r="AY95" s="2179"/>
      <c r="AZ95" s="2179"/>
      <c r="BA95" s="2179"/>
      <c r="BB95" s="2179"/>
      <c r="BC95" s="2179"/>
      <c r="BD95" s="2179"/>
      <c r="BE95" s="2179"/>
      <c r="BF95" s="2179"/>
      <c r="BG95" s="2179"/>
      <c r="BH95" s="2179"/>
      <c r="BI95" s="2179">
        <v>1</v>
      </c>
      <c r="BJ95" s="2179"/>
      <c r="BK95" s="2179"/>
      <c r="BL95" s="2179"/>
      <c r="BM95" s="2179"/>
      <c r="BN95" s="2179"/>
      <c r="BO95" s="2179"/>
      <c r="BP95" s="2179"/>
      <c r="BQ95" s="2179"/>
      <c r="BR95" s="2179"/>
      <c r="BS95" s="2179"/>
      <c r="BT95" s="2179"/>
      <c r="BU95" s="2179"/>
      <c r="BV95" s="2179"/>
      <c r="BW95" s="2179">
        <v>1</v>
      </c>
      <c r="BX95" s="2179"/>
      <c r="BY95" s="2179"/>
      <c r="BZ95" s="2179"/>
      <c r="CA95" s="2179"/>
      <c r="CB95" s="2179"/>
      <c r="CC95" s="2179"/>
      <c r="CD95" s="2179"/>
      <c r="CE95" s="2179">
        <v>1</v>
      </c>
      <c r="CF95" s="2179"/>
      <c r="CG95" s="2179"/>
      <c r="CH95" s="2179"/>
      <c r="CI95" s="2179"/>
      <c r="CJ95" s="2179"/>
      <c r="CK95" s="2179"/>
      <c r="CL95" s="2179"/>
      <c r="CM95" s="2179"/>
      <c r="CN95" s="2179"/>
      <c r="CO95" s="2179"/>
      <c r="CP95" s="2179"/>
      <c r="CQ95" s="2179"/>
      <c r="CR95" s="2179"/>
      <c r="CS95" s="2179"/>
      <c r="CT95" s="2179"/>
      <c r="CU95" s="2179"/>
      <c r="CV95" s="2179"/>
      <c r="CW95" s="2179"/>
      <c r="CX95" s="2179"/>
      <c r="CY95" s="2179"/>
      <c r="CZ95" s="2179">
        <v>1</v>
      </c>
      <c r="DA95" s="2179"/>
      <c r="DB95" s="2179"/>
      <c r="DC95" s="2179"/>
      <c r="DD95" s="2179"/>
      <c r="DE95" s="2179"/>
      <c r="DF95" s="2179"/>
      <c r="DG95" s="2179"/>
      <c r="DH95" s="2179"/>
      <c r="DI95" s="2179"/>
      <c r="DJ95" s="2179"/>
      <c r="DK95" s="2179"/>
      <c r="DL95" s="2179"/>
      <c r="DM95" s="2179"/>
      <c r="DN95" s="2179"/>
      <c r="DO95" s="2179"/>
      <c r="DP95" s="2179"/>
      <c r="DQ95" s="2179"/>
      <c r="DR95" s="2179"/>
      <c r="DS95" s="2179"/>
      <c r="DT95" s="2179"/>
      <c r="DU95" s="2179"/>
      <c r="DV95" s="2179">
        <v>1</v>
      </c>
      <c r="DW95" s="2179"/>
      <c r="DX95" s="2179"/>
      <c r="DY95" s="2179"/>
      <c r="DZ95" s="2179"/>
      <c r="EA95" s="2179"/>
      <c r="EB95" s="2179"/>
      <c r="EC95" s="2179"/>
      <c r="ED95" s="2179"/>
      <c r="EE95" s="2179"/>
      <c r="EF95" s="2179"/>
      <c r="EG95" s="2179"/>
      <c r="EH95" s="2179"/>
      <c r="EI95" s="2179"/>
      <c r="EJ95" s="2179"/>
      <c r="EK95" s="2179"/>
      <c r="EL95" s="2179"/>
      <c r="EM95" s="2179"/>
      <c r="EN95" s="2179"/>
      <c r="EO95" s="2179"/>
      <c r="EP95" s="2179"/>
      <c r="EQ95" s="2179"/>
      <c r="ER95" s="2179"/>
      <c r="ES95" s="2179"/>
      <c r="ET95" s="2179"/>
      <c r="EU95" s="2179"/>
      <c r="EV95" s="2179"/>
      <c r="EW95" s="2179"/>
      <c r="EX95" s="2179">
        <v>1</v>
      </c>
      <c r="EY95" s="2179"/>
      <c r="EZ95" s="2179"/>
      <c r="FA95" s="2179"/>
      <c r="FB95" s="2179"/>
      <c r="FC95" s="2179"/>
      <c r="FD95" s="2179">
        <v>1</v>
      </c>
      <c r="FE95" s="2179"/>
      <c r="FF95" s="2179"/>
      <c r="FG95" s="2179"/>
      <c r="FH95" s="2179"/>
      <c r="FI95" s="2179"/>
      <c r="FJ95" s="2179"/>
      <c r="FK95" s="2179"/>
      <c r="FL95" s="2179"/>
      <c r="FM95" s="2179"/>
      <c r="FN95" s="2179">
        <v>1</v>
      </c>
      <c r="FO95" s="2179"/>
      <c r="FP95" s="2179"/>
      <c r="FQ95" s="2179"/>
      <c r="FR95" s="2179"/>
      <c r="FS95" s="2179"/>
      <c r="FT95" s="2179"/>
      <c r="FU95" s="2179"/>
      <c r="FV95" s="2179"/>
      <c r="FW95" s="2179"/>
      <c r="FX95" s="2179"/>
      <c r="FY95" s="2179"/>
      <c r="FZ95" s="2179"/>
      <c r="GA95" s="2179">
        <v>10</v>
      </c>
      <c r="GB95" s="2179">
        <f t="shared" si="6"/>
        <v>10</v>
      </c>
    </row>
    <row r="96" spans="2:184" ht="16.8" hidden="1">
      <c r="B96" s="2313" t="str">
        <f t="shared" si="5"/>
        <v>Lắp TBA 1P 75KVA</v>
      </c>
      <c r="C96" s="2179"/>
      <c r="D96" s="2179" t="s">
        <v>5181</v>
      </c>
      <c r="E96" s="2179">
        <f t="shared" si="4"/>
        <v>2</v>
      </c>
      <c r="F96" s="2179"/>
      <c r="G96" s="2179"/>
      <c r="H96" s="2179"/>
      <c r="I96" s="2179"/>
      <c r="J96" s="2179"/>
      <c r="K96" s="2179"/>
      <c r="L96" s="2179"/>
      <c r="M96" s="2179"/>
      <c r="N96" s="2179"/>
      <c r="O96" s="2179"/>
      <c r="P96" s="2179"/>
      <c r="Q96" s="2179"/>
      <c r="R96" s="2179"/>
      <c r="S96" s="2179"/>
      <c r="T96" s="2179"/>
      <c r="U96" s="2179"/>
      <c r="V96" s="2179"/>
      <c r="W96" s="2179"/>
      <c r="X96" s="2179"/>
      <c r="Y96" s="2179"/>
      <c r="Z96" s="2179"/>
      <c r="AA96" s="2179"/>
      <c r="AB96" s="2179"/>
      <c r="AC96" s="2179"/>
      <c r="AD96" s="2179"/>
      <c r="AE96" s="2179"/>
      <c r="AF96" s="2179"/>
      <c r="AG96" s="2179"/>
      <c r="AH96" s="2179"/>
      <c r="AI96" s="2179"/>
      <c r="AJ96" s="2179"/>
      <c r="AK96" s="2179"/>
      <c r="AL96" s="2179"/>
      <c r="AM96" s="2179"/>
      <c r="AN96" s="2179"/>
      <c r="AO96" s="2179"/>
      <c r="AP96" s="2179"/>
      <c r="AQ96" s="2179"/>
      <c r="AR96" s="2179"/>
      <c r="AS96" s="2179"/>
      <c r="AT96" s="2179"/>
      <c r="AU96" s="2179"/>
      <c r="AV96" s="2179"/>
      <c r="AW96" s="2179"/>
      <c r="AX96" s="2179"/>
      <c r="AY96" s="2179"/>
      <c r="AZ96" s="2179"/>
      <c r="BA96" s="2179"/>
      <c r="BB96" s="2179"/>
      <c r="BC96" s="2179"/>
      <c r="BD96" s="2179"/>
      <c r="BE96" s="2179"/>
      <c r="BF96" s="2179"/>
      <c r="BG96" s="2179"/>
      <c r="BH96" s="2179"/>
      <c r="BI96" s="2179"/>
      <c r="BJ96" s="2179"/>
      <c r="BK96" s="2179"/>
      <c r="BL96" s="2179"/>
      <c r="BM96" s="2179"/>
      <c r="BN96" s="2179"/>
      <c r="BO96" s="2179"/>
      <c r="BP96" s="2179"/>
      <c r="BQ96" s="2179"/>
      <c r="BR96" s="2179"/>
      <c r="BS96" s="2179"/>
      <c r="BT96" s="2179"/>
      <c r="BU96" s="2179"/>
      <c r="BV96" s="2179"/>
      <c r="BW96" s="2179">
        <v>1</v>
      </c>
      <c r="BX96" s="2179"/>
      <c r="BY96" s="2179"/>
      <c r="BZ96" s="2179"/>
      <c r="CA96" s="2179"/>
      <c r="CB96" s="2179"/>
      <c r="CC96" s="2179"/>
      <c r="CD96" s="2179"/>
      <c r="CE96" s="2179"/>
      <c r="CF96" s="2179"/>
      <c r="CG96" s="2179"/>
      <c r="CH96" s="2179"/>
      <c r="CI96" s="2179"/>
      <c r="CJ96" s="2179"/>
      <c r="CK96" s="2179"/>
      <c r="CL96" s="2179"/>
      <c r="CM96" s="2179"/>
      <c r="CN96" s="2179"/>
      <c r="CO96" s="2179"/>
      <c r="CP96" s="2179"/>
      <c r="CQ96" s="2179"/>
      <c r="CR96" s="2179"/>
      <c r="CS96" s="2179"/>
      <c r="CT96" s="2179"/>
      <c r="CU96" s="2179"/>
      <c r="CV96" s="2179"/>
      <c r="CW96" s="2179"/>
      <c r="CX96" s="2179"/>
      <c r="CY96" s="2179"/>
      <c r="CZ96" s="2179">
        <v>1</v>
      </c>
      <c r="DA96" s="2179"/>
      <c r="DB96" s="2179"/>
      <c r="DC96" s="2179"/>
      <c r="DD96" s="2179"/>
      <c r="DE96" s="2179"/>
      <c r="DF96" s="2179"/>
      <c r="DG96" s="2179"/>
      <c r="DH96" s="2179"/>
      <c r="DI96" s="2179"/>
      <c r="DJ96" s="2179"/>
      <c r="DK96" s="2179"/>
      <c r="DL96" s="2179"/>
      <c r="DM96" s="2179"/>
      <c r="DN96" s="2179"/>
      <c r="DO96" s="2179"/>
      <c r="DP96" s="2179"/>
      <c r="DQ96" s="2179"/>
      <c r="DR96" s="2179"/>
      <c r="DS96" s="2179"/>
      <c r="DT96" s="2179"/>
      <c r="DU96" s="2179"/>
      <c r="DV96" s="2179"/>
      <c r="DW96" s="2179"/>
      <c r="DX96" s="2179"/>
      <c r="DY96" s="2179"/>
      <c r="DZ96" s="2179"/>
      <c r="EA96" s="2179"/>
      <c r="EB96" s="2179"/>
      <c r="EC96" s="2179"/>
      <c r="ED96" s="2179"/>
      <c r="EE96" s="2179"/>
      <c r="EF96" s="2179"/>
      <c r="EG96" s="2179"/>
      <c r="EH96" s="2179"/>
      <c r="EI96" s="2179"/>
      <c r="EJ96" s="2179"/>
      <c r="EK96" s="2179"/>
      <c r="EL96" s="2179"/>
      <c r="EM96" s="2179"/>
      <c r="EN96" s="2179"/>
      <c r="EO96" s="2179"/>
      <c r="EP96" s="2179"/>
      <c r="EQ96" s="2179"/>
      <c r="ER96" s="2179"/>
      <c r="ES96" s="2179"/>
      <c r="ET96" s="2179"/>
      <c r="EU96" s="2179"/>
      <c r="EV96" s="2179"/>
      <c r="EW96" s="2179"/>
      <c r="EX96" s="2179"/>
      <c r="EY96" s="2179"/>
      <c r="EZ96" s="2179"/>
      <c r="FA96" s="2179"/>
      <c r="FB96" s="2179"/>
      <c r="FC96" s="2179"/>
      <c r="FD96" s="2179"/>
      <c r="FE96" s="2179"/>
      <c r="FF96" s="2179"/>
      <c r="FG96" s="2179"/>
      <c r="FH96" s="2179"/>
      <c r="FI96" s="2179"/>
      <c r="FJ96" s="2179"/>
      <c r="FK96" s="2179"/>
      <c r="FL96" s="2179"/>
      <c r="FM96" s="2179"/>
      <c r="FN96" s="2179"/>
      <c r="FO96" s="2179"/>
      <c r="FP96" s="2179"/>
      <c r="FQ96" s="2179"/>
      <c r="FR96" s="2179"/>
      <c r="FS96" s="2179"/>
      <c r="FT96" s="2179"/>
      <c r="FU96" s="2179"/>
      <c r="FV96" s="2179"/>
      <c r="FW96" s="2179"/>
      <c r="FX96" s="2179"/>
      <c r="FY96" s="2179"/>
      <c r="FZ96" s="2179"/>
      <c r="GA96" s="2179">
        <v>2</v>
      </c>
      <c r="GB96" s="2179">
        <f t="shared" si="6"/>
        <v>2</v>
      </c>
    </row>
    <row r="97" spans="2:184" ht="16.8" hidden="1">
      <c r="B97" s="2313" t="str">
        <f t="shared" si="5"/>
        <v>Lắp TBA 1P 100KVA</v>
      </c>
      <c r="C97" s="2179"/>
      <c r="D97" s="2179" t="s">
        <v>5182</v>
      </c>
      <c r="E97" s="2179">
        <f t="shared" si="4"/>
        <v>9</v>
      </c>
      <c r="F97" s="2179"/>
      <c r="G97" s="2179"/>
      <c r="H97" s="2179"/>
      <c r="I97" s="2179"/>
      <c r="J97" s="2179"/>
      <c r="K97" s="2179"/>
      <c r="L97" s="2179"/>
      <c r="M97" s="2179"/>
      <c r="N97" s="2179"/>
      <c r="O97" s="2179"/>
      <c r="P97" s="2179"/>
      <c r="Q97" s="2179"/>
      <c r="R97" s="2179"/>
      <c r="S97" s="2179"/>
      <c r="T97" s="2179"/>
      <c r="U97" s="2179"/>
      <c r="V97" s="2179"/>
      <c r="W97" s="2179"/>
      <c r="X97" s="2179"/>
      <c r="Y97" s="2179"/>
      <c r="Z97" s="2179"/>
      <c r="AA97" s="2179"/>
      <c r="AB97" s="2179"/>
      <c r="AC97" s="2179"/>
      <c r="AD97" s="2179">
        <v>1</v>
      </c>
      <c r="AE97" s="2179"/>
      <c r="AF97" s="2179"/>
      <c r="AG97" s="2179"/>
      <c r="AH97" s="2179"/>
      <c r="AI97" s="2179"/>
      <c r="AJ97" s="2179"/>
      <c r="AK97" s="2179"/>
      <c r="AL97" s="2179"/>
      <c r="AM97" s="2179"/>
      <c r="AN97" s="2179">
        <v>1</v>
      </c>
      <c r="AO97" s="2179"/>
      <c r="AP97" s="2179"/>
      <c r="AQ97" s="2179"/>
      <c r="AR97" s="2179"/>
      <c r="AS97" s="2179"/>
      <c r="AT97" s="2179"/>
      <c r="AU97" s="2179"/>
      <c r="AV97" s="2179"/>
      <c r="AW97" s="2179"/>
      <c r="AX97" s="2179"/>
      <c r="AY97" s="2179"/>
      <c r="AZ97" s="2179"/>
      <c r="BA97" s="2179"/>
      <c r="BB97" s="2179"/>
      <c r="BC97" s="2179"/>
      <c r="BD97" s="2179"/>
      <c r="BE97" s="2179"/>
      <c r="BF97" s="2179"/>
      <c r="BG97" s="2179"/>
      <c r="BH97" s="2179"/>
      <c r="BI97" s="2179">
        <v>1</v>
      </c>
      <c r="BJ97" s="2179"/>
      <c r="BK97" s="2179"/>
      <c r="BL97" s="2179"/>
      <c r="BM97" s="2179"/>
      <c r="BN97" s="2179"/>
      <c r="BO97" s="2179"/>
      <c r="BP97" s="2179"/>
      <c r="BQ97" s="2179"/>
      <c r="BR97" s="2179"/>
      <c r="BS97" s="2179"/>
      <c r="BT97" s="2179"/>
      <c r="BU97" s="2179"/>
      <c r="BV97" s="2179"/>
      <c r="BW97" s="2179"/>
      <c r="BX97" s="2179"/>
      <c r="BY97" s="2179"/>
      <c r="BZ97" s="2179"/>
      <c r="CA97" s="2179"/>
      <c r="CB97" s="2179"/>
      <c r="CC97" s="2179"/>
      <c r="CD97" s="2179"/>
      <c r="CE97" s="2179">
        <v>1</v>
      </c>
      <c r="CF97" s="2179"/>
      <c r="CG97" s="2179"/>
      <c r="CH97" s="2179"/>
      <c r="CI97" s="2179"/>
      <c r="CJ97" s="2179"/>
      <c r="CK97" s="2179"/>
      <c r="CL97" s="2179"/>
      <c r="CM97" s="2179"/>
      <c r="CN97" s="2179"/>
      <c r="CO97" s="2179"/>
      <c r="CP97" s="2179"/>
      <c r="CQ97" s="2179"/>
      <c r="CR97" s="2179"/>
      <c r="CS97" s="2179"/>
      <c r="CT97" s="2179"/>
      <c r="CU97" s="2179"/>
      <c r="CV97" s="2179"/>
      <c r="CW97" s="2179"/>
      <c r="CX97" s="2179"/>
      <c r="CY97" s="2179"/>
      <c r="CZ97" s="2179"/>
      <c r="DA97" s="2179"/>
      <c r="DB97" s="2179"/>
      <c r="DC97" s="2179"/>
      <c r="DD97" s="2179"/>
      <c r="DE97" s="2179"/>
      <c r="DF97" s="2179"/>
      <c r="DG97" s="2179"/>
      <c r="DH97" s="2179"/>
      <c r="DI97" s="2179"/>
      <c r="DJ97" s="2179"/>
      <c r="DK97" s="2179"/>
      <c r="DL97" s="2179"/>
      <c r="DM97" s="2179"/>
      <c r="DN97" s="2179"/>
      <c r="DO97" s="2179"/>
      <c r="DP97" s="2179"/>
      <c r="DQ97" s="2179"/>
      <c r="DR97" s="2179"/>
      <c r="DS97" s="2179"/>
      <c r="DT97" s="2179"/>
      <c r="DU97" s="2179"/>
      <c r="DV97" s="2179">
        <v>1</v>
      </c>
      <c r="DW97" s="2179"/>
      <c r="DX97" s="2179"/>
      <c r="DY97" s="2179"/>
      <c r="DZ97" s="2179"/>
      <c r="EA97" s="2179"/>
      <c r="EB97" s="2179"/>
      <c r="EC97" s="2179"/>
      <c r="ED97" s="2179"/>
      <c r="EE97" s="2179"/>
      <c r="EF97" s="2179"/>
      <c r="EG97" s="2179"/>
      <c r="EH97" s="2179"/>
      <c r="EI97" s="2179"/>
      <c r="EJ97" s="2179"/>
      <c r="EK97" s="2179"/>
      <c r="EL97" s="2179"/>
      <c r="EM97" s="2179"/>
      <c r="EN97" s="2179"/>
      <c r="EO97" s="2179"/>
      <c r="EP97" s="2179"/>
      <c r="EQ97" s="2179"/>
      <c r="ER97" s="2179"/>
      <c r="ES97" s="2179"/>
      <c r="ET97" s="2179"/>
      <c r="EU97" s="2179"/>
      <c r="EV97" s="2179"/>
      <c r="EW97" s="2179"/>
      <c r="EX97" s="2179">
        <v>2</v>
      </c>
      <c r="EY97" s="2179"/>
      <c r="EZ97" s="2179"/>
      <c r="FA97" s="2179"/>
      <c r="FB97" s="2179"/>
      <c r="FC97" s="2179"/>
      <c r="FD97" s="2179">
        <v>1</v>
      </c>
      <c r="FE97" s="2179"/>
      <c r="FF97" s="2179"/>
      <c r="FG97" s="2179"/>
      <c r="FH97" s="2179"/>
      <c r="FI97" s="2179"/>
      <c r="FJ97" s="2179"/>
      <c r="FK97" s="2179"/>
      <c r="FL97" s="2179"/>
      <c r="FM97" s="2179"/>
      <c r="FN97" s="2179">
        <v>1</v>
      </c>
      <c r="FO97" s="2179"/>
      <c r="FP97" s="2179"/>
      <c r="FQ97" s="2179"/>
      <c r="FR97" s="2179"/>
      <c r="FS97" s="2179"/>
      <c r="FT97" s="2179"/>
      <c r="FU97" s="2179"/>
      <c r="FV97" s="2179"/>
      <c r="FW97" s="2179"/>
      <c r="FX97" s="2179"/>
      <c r="FY97" s="2179"/>
      <c r="FZ97" s="2179"/>
      <c r="GA97" s="2179">
        <v>9</v>
      </c>
      <c r="GB97" s="2179">
        <f t="shared" si="6"/>
        <v>9</v>
      </c>
    </row>
    <row r="98" spans="2:184" ht="16.8" hidden="1">
      <c r="B98" s="2313" t="str">
        <f t="shared" si="5"/>
        <v>Lắp bộ dừng trung hòa</v>
      </c>
      <c r="C98" s="2179"/>
      <c r="D98" s="2179" t="s">
        <v>5183</v>
      </c>
      <c r="E98" s="2179">
        <f t="shared" si="4"/>
        <v>2</v>
      </c>
      <c r="F98" s="2179"/>
      <c r="G98" s="2179"/>
      <c r="H98" s="2179"/>
      <c r="I98" s="2179"/>
      <c r="J98" s="2179"/>
      <c r="K98" s="2179"/>
      <c r="L98" s="2179"/>
      <c r="M98" s="2179"/>
      <c r="N98" s="2179"/>
      <c r="O98" s="2179"/>
      <c r="P98" s="2179"/>
      <c r="Q98" s="2179"/>
      <c r="R98" s="2179"/>
      <c r="S98" s="2179"/>
      <c r="T98" s="2179"/>
      <c r="U98" s="2179"/>
      <c r="V98" s="2179"/>
      <c r="W98" s="2179"/>
      <c r="X98" s="2179"/>
      <c r="Y98" s="2179"/>
      <c r="Z98" s="2179"/>
      <c r="AA98" s="2179"/>
      <c r="AB98" s="2179"/>
      <c r="AC98" s="2179"/>
      <c r="AD98" s="2179"/>
      <c r="AE98" s="2179"/>
      <c r="AF98" s="2179"/>
      <c r="AG98" s="2179"/>
      <c r="AH98" s="2179"/>
      <c r="AI98" s="2179"/>
      <c r="AJ98" s="2179"/>
      <c r="AK98" s="2179"/>
      <c r="AL98" s="2179"/>
      <c r="AM98" s="2179"/>
      <c r="AN98" s="2179"/>
      <c r="AO98" s="2179"/>
      <c r="AP98" s="2179"/>
      <c r="AQ98" s="2179"/>
      <c r="AR98" s="2179"/>
      <c r="AS98" s="2179"/>
      <c r="AT98" s="2179"/>
      <c r="AU98" s="2179"/>
      <c r="AV98" s="2179"/>
      <c r="AW98" s="2179"/>
      <c r="AX98" s="2179"/>
      <c r="AY98" s="2179"/>
      <c r="AZ98" s="2179"/>
      <c r="BA98" s="2179"/>
      <c r="BB98" s="2179"/>
      <c r="BC98" s="2179"/>
      <c r="BD98" s="2179"/>
      <c r="BE98" s="2179"/>
      <c r="BF98" s="2179"/>
      <c r="BG98" s="2179"/>
      <c r="BH98" s="2179"/>
      <c r="BI98" s="2179"/>
      <c r="BJ98" s="2179"/>
      <c r="BK98" s="2179"/>
      <c r="BL98" s="2179"/>
      <c r="BM98" s="2179"/>
      <c r="BN98" s="2179"/>
      <c r="BO98" s="2179"/>
      <c r="BP98" s="2179"/>
      <c r="BQ98" s="2179"/>
      <c r="BR98" s="2179"/>
      <c r="BS98" s="2179"/>
      <c r="BT98" s="2179"/>
      <c r="BU98" s="2179"/>
      <c r="BV98" s="2179"/>
      <c r="BW98" s="2179"/>
      <c r="BX98" s="2179"/>
      <c r="BY98" s="2179"/>
      <c r="BZ98" s="2179">
        <v>2</v>
      </c>
      <c r="CA98" s="2179"/>
      <c r="CB98" s="2179"/>
      <c r="CC98" s="2179"/>
      <c r="CD98" s="2179"/>
      <c r="CE98" s="2179"/>
      <c r="CF98" s="2179"/>
      <c r="CG98" s="2179"/>
      <c r="CH98" s="2179"/>
      <c r="CI98" s="2179"/>
      <c r="CJ98" s="2179"/>
      <c r="CK98" s="2179"/>
      <c r="CL98" s="2179"/>
      <c r="CM98" s="2179"/>
      <c r="CN98" s="2179"/>
      <c r="CO98" s="2179"/>
      <c r="CP98" s="2179"/>
      <c r="CQ98" s="2179"/>
      <c r="CR98" s="2179"/>
      <c r="CS98" s="2179"/>
      <c r="CT98" s="2179"/>
      <c r="CU98" s="2179"/>
      <c r="CV98" s="2179"/>
      <c r="CW98" s="2179"/>
      <c r="CX98" s="2179"/>
      <c r="CY98" s="2179"/>
      <c r="CZ98" s="2179"/>
      <c r="DA98" s="2179"/>
      <c r="DB98" s="2179"/>
      <c r="DC98" s="2179"/>
      <c r="DD98" s="2179"/>
      <c r="DE98" s="2179"/>
      <c r="DF98" s="2179"/>
      <c r="DG98" s="2179"/>
      <c r="DH98" s="2179"/>
      <c r="DI98" s="2179"/>
      <c r="DJ98" s="2179"/>
      <c r="DK98" s="2179"/>
      <c r="DL98" s="2179"/>
      <c r="DM98" s="2179"/>
      <c r="DN98" s="2179"/>
      <c r="DO98" s="2179"/>
      <c r="DP98" s="2179"/>
      <c r="DQ98" s="2179"/>
      <c r="DR98" s="2179"/>
      <c r="DS98" s="2179"/>
      <c r="DT98" s="2179"/>
      <c r="DU98" s="2179"/>
      <c r="DV98" s="2179"/>
      <c r="DW98" s="2179"/>
      <c r="DX98" s="2179"/>
      <c r="DY98" s="2179"/>
      <c r="DZ98" s="2179"/>
      <c r="EA98" s="2179"/>
      <c r="EB98" s="2179"/>
      <c r="EC98" s="2179"/>
      <c r="ED98" s="2179"/>
      <c r="EE98" s="2179"/>
      <c r="EF98" s="2179"/>
      <c r="EG98" s="2179"/>
      <c r="EH98" s="2179"/>
      <c r="EI98" s="2179"/>
      <c r="EJ98" s="2179"/>
      <c r="EK98" s="2179"/>
      <c r="EL98" s="2179"/>
      <c r="EM98" s="2179"/>
      <c r="EN98" s="2179"/>
      <c r="EO98" s="2179"/>
      <c r="EP98" s="2179"/>
      <c r="EQ98" s="2179"/>
      <c r="ER98" s="2179"/>
      <c r="ES98" s="2179"/>
      <c r="ET98" s="2179"/>
      <c r="EU98" s="2179"/>
      <c r="EV98" s="2179"/>
      <c r="EW98" s="2179"/>
      <c r="EX98" s="2179"/>
      <c r="EY98" s="2179"/>
      <c r="EZ98" s="2179"/>
      <c r="FA98" s="2179"/>
      <c r="FB98" s="2179"/>
      <c r="FC98" s="2179"/>
      <c r="FD98" s="2179"/>
      <c r="FE98" s="2179"/>
      <c r="FF98" s="2179"/>
      <c r="FG98" s="2179"/>
      <c r="FH98" s="2179"/>
      <c r="FI98" s="2179"/>
      <c r="FJ98" s="2179"/>
      <c r="FK98" s="2179"/>
      <c r="FL98" s="2179"/>
      <c r="FM98" s="2179"/>
      <c r="FN98" s="2179"/>
      <c r="FO98" s="2179"/>
      <c r="FP98" s="2179"/>
      <c r="FQ98" s="2179"/>
      <c r="FR98" s="2179"/>
      <c r="FS98" s="2179"/>
      <c r="FT98" s="2179"/>
      <c r="FU98" s="2179"/>
      <c r="FV98" s="2179"/>
      <c r="FW98" s="2179"/>
      <c r="FX98" s="2179"/>
      <c r="FY98" s="2179"/>
      <c r="FZ98" s="2179"/>
      <c r="GA98" s="2179">
        <v>2</v>
      </c>
      <c r="GB98" s="2179">
        <f t="shared" si="6"/>
        <v>2</v>
      </c>
    </row>
    <row r="99" spans="2:184" ht="16.8" hidden="1">
      <c r="B99" s="2313" t="str">
        <f t="shared" si="5"/>
        <v>Bulon 16x200 thu hồi</v>
      </c>
      <c r="C99" s="2179" t="s">
        <v>5184</v>
      </c>
      <c r="D99" s="2179"/>
      <c r="E99" s="2179">
        <f t="shared" si="4"/>
        <v>76</v>
      </c>
      <c r="F99" s="2179"/>
      <c r="G99" s="2179">
        <v>2</v>
      </c>
      <c r="H99" s="2179"/>
      <c r="I99" s="2179">
        <v>2</v>
      </c>
      <c r="J99" s="2179"/>
      <c r="K99" s="2179">
        <v>2</v>
      </c>
      <c r="L99" s="2179"/>
      <c r="M99" s="2179">
        <v>2</v>
      </c>
      <c r="N99" s="2179"/>
      <c r="O99" s="2179">
        <v>2</v>
      </c>
      <c r="P99" s="2179"/>
      <c r="Q99" s="2179">
        <v>2</v>
      </c>
      <c r="R99" s="2179"/>
      <c r="S99" s="2179">
        <v>2</v>
      </c>
      <c r="T99" s="2179"/>
      <c r="U99" s="2179">
        <v>2</v>
      </c>
      <c r="V99" s="2179"/>
      <c r="W99" s="2179"/>
      <c r="X99" s="2179"/>
      <c r="Y99" s="2179"/>
      <c r="Z99" s="2179"/>
      <c r="AA99" s="2179"/>
      <c r="AB99" s="2179"/>
      <c r="AC99" s="2179"/>
      <c r="AD99" s="2179"/>
      <c r="AE99" s="2179"/>
      <c r="AF99" s="2179"/>
      <c r="AG99" s="2179"/>
      <c r="AH99" s="2179"/>
      <c r="AI99" s="2179"/>
      <c r="AJ99" s="2179"/>
      <c r="AK99" s="2179"/>
      <c r="AL99" s="2179"/>
      <c r="AM99" s="2179"/>
      <c r="AN99" s="2179"/>
      <c r="AO99" s="2179"/>
      <c r="AP99" s="2179"/>
      <c r="AQ99" s="2179"/>
      <c r="AR99" s="2179"/>
      <c r="AS99" s="2179"/>
      <c r="AT99" s="2179"/>
      <c r="AU99" s="2179"/>
      <c r="AV99" s="2179"/>
      <c r="AW99" s="2179"/>
      <c r="AX99" s="2179"/>
      <c r="AY99" s="2179"/>
      <c r="AZ99" s="2179"/>
      <c r="BA99" s="2179"/>
      <c r="BB99" s="2179"/>
      <c r="BC99" s="2179"/>
      <c r="BD99" s="2179"/>
      <c r="BE99" s="2179"/>
      <c r="BF99" s="2179"/>
      <c r="BG99" s="2179"/>
      <c r="BH99" s="2179"/>
      <c r="BI99" s="2179"/>
      <c r="BJ99" s="2179"/>
      <c r="BK99" s="2179"/>
      <c r="BL99" s="2179"/>
      <c r="BM99" s="2179"/>
      <c r="BN99" s="2179"/>
      <c r="BO99" s="2179"/>
      <c r="BP99" s="2179"/>
      <c r="BQ99" s="2179"/>
      <c r="BR99" s="2179"/>
      <c r="BS99" s="2179"/>
      <c r="BT99" s="2179"/>
      <c r="BU99" s="2179"/>
      <c r="BV99" s="2179"/>
      <c r="BW99" s="2179"/>
      <c r="BX99" s="2179"/>
      <c r="BY99" s="2179"/>
      <c r="BZ99" s="2179"/>
      <c r="CA99" s="2179"/>
      <c r="CB99" s="2179"/>
      <c r="CC99" s="2179"/>
      <c r="CD99" s="2179">
        <v>2</v>
      </c>
      <c r="CE99" s="2179"/>
      <c r="CF99" s="2179">
        <v>2</v>
      </c>
      <c r="CG99" s="2179"/>
      <c r="CH99" s="2179">
        <v>2</v>
      </c>
      <c r="CI99" s="2179"/>
      <c r="CJ99" s="2179">
        <v>2</v>
      </c>
      <c r="CK99" s="2179"/>
      <c r="CL99" s="2179">
        <v>2</v>
      </c>
      <c r="CM99" s="2179"/>
      <c r="CN99" s="2179">
        <v>2</v>
      </c>
      <c r="CO99" s="2179"/>
      <c r="CP99" s="2179"/>
      <c r="CQ99" s="2179"/>
      <c r="CR99" s="2179"/>
      <c r="CS99" s="2179">
        <v>2</v>
      </c>
      <c r="CT99" s="2179"/>
      <c r="CU99" s="2179">
        <v>2</v>
      </c>
      <c r="CV99" s="2179"/>
      <c r="CW99" s="2179">
        <v>2</v>
      </c>
      <c r="CX99" s="2179"/>
      <c r="CY99" s="2179">
        <v>2</v>
      </c>
      <c r="CZ99" s="2179"/>
      <c r="DA99" s="2179">
        <v>2</v>
      </c>
      <c r="DB99" s="2179"/>
      <c r="DC99" s="2179">
        <v>2</v>
      </c>
      <c r="DD99" s="2179"/>
      <c r="DE99" s="2179">
        <v>2</v>
      </c>
      <c r="DF99" s="2179"/>
      <c r="DG99" s="2179"/>
      <c r="DH99" s="2179"/>
      <c r="DI99" s="2179"/>
      <c r="DJ99" s="2179"/>
      <c r="DK99" s="2179"/>
      <c r="DL99" s="2179"/>
      <c r="DM99" s="2179"/>
      <c r="DN99" s="2179"/>
      <c r="DO99" s="2179"/>
      <c r="DP99" s="2179"/>
      <c r="DQ99" s="2179"/>
      <c r="DR99" s="2179"/>
      <c r="DS99" s="2179"/>
      <c r="DT99" s="2179"/>
      <c r="DU99" s="2179"/>
      <c r="DV99" s="2179"/>
      <c r="DW99" s="2179"/>
      <c r="DX99" s="2179"/>
      <c r="DY99" s="2179"/>
      <c r="DZ99" s="2179"/>
      <c r="EA99" s="2179"/>
      <c r="EB99" s="2179"/>
      <c r="EC99" s="2179"/>
      <c r="ED99" s="2179"/>
      <c r="EE99" s="2179"/>
      <c r="EF99" s="2179"/>
      <c r="EG99" s="2179"/>
      <c r="EH99" s="2179"/>
      <c r="EI99" s="2179"/>
      <c r="EJ99" s="2179"/>
      <c r="EK99" s="2179"/>
      <c r="EL99" s="2179"/>
      <c r="EM99" s="2179">
        <v>2</v>
      </c>
      <c r="EN99" s="2179"/>
      <c r="EO99" s="2179">
        <v>2</v>
      </c>
      <c r="EP99" s="2179"/>
      <c r="EQ99" s="2179">
        <v>2</v>
      </c>
      <c r="ER99" s="2179"/>
      <c r="ES99" s="2179">
        <v>2</v>
      </c>
      <c r="ET99" s="2179"/>
      <c r="EU99" s="2179">
        <v>2</v>
      </c>
      <c r="EV99" s="2179"/>
      <c r="EW99" s="2179">
        <v>2</v>
      </c>
      <c r="EX99" s="2179"/>
      <c r="EY99" s="2179"/>
      <c r="EZ99" s="2179"/>
      <c r="FA99" s="2179">
        <v>2</v>
      </c>
      <c r="FB99" s="2179"/>
      <c r="FC99" s="2179">
        <v>2</v>
      </c>
      <c r="FD99" s="2179"/>
      <c r="FE99" s="2179">
        <v>2</v>
      </c>
      <c r="FF99" s="2179"/>
      <c r="FG99" s="2179">
        <v>2</v>
      </c>
      <c r="FH99" s="2179"/>
      <c r="FI99" s="2179"/>
      <c r="FJ99" s="2179"/>
      <c r="FK99" s="2179">
        <v>2</v>
      </c>
      <c r="FL99" s="2179"/>
      <c r="FM99" s="2179">
        <v>2</v>
      </c>
      <c r="FN99" s="2179"/>
      <c r="FO99" s="2179">
        <v>2</v>
      </c>
      <c r="FP99" s="2179"/>
      <c r="FQ99" s="2179">
        <v>2</v>
      </c>
      <c r="FR99" s="2179"/>
      <c r="FS99" s="2179">
        <v>2</v>
      </c>
      <c r="FT99" s="2179"/>
      <c r="FU99" s="2179">
        <v>2</v>
      </c>
      <c r="FV99" s="2179"/>
      <c r="FW99" s="2179">
        <v>2</v>
      </c>
      <c r="FX99" s="2179"/>
      <c r="FY99" s="2179"/>
      <c r="FZ99" s="2179"/>
      <c r="GA99" s="2179">
        <v>76</v>
      </c>
      <c r="GB99" s="2179">
        <f t="shared" si="6"/>
        <v>76</v>
      </c>
    </row>
    <row r="100" spans="2:184" ht="16.8" hidden="1">
      <c r="B100" s="2313" t="str">
        <f t="shared" si="5"/>
        <v>Bulon móc 16x200 thu hồi</v>
      </c>
      <c r="C100" s="2179" t="s">
        <v>5185</v>
      </c>
      <c r="D100" s="2179"/>
      <c r="E100" s="2179">
        <f t="shared" si="4"/>
        <v>40</v>
      </c>
      <c r="F100" s="2179"/>
      <c r="G100" s="2179"/>
      <c r="H100" s="2179"/>
      <c r="I100" s="2179"/>
      <c r="J100" s="2179"/>
      <c r="K100" s="2179"/>
      <c r="L100" s="2179"/>
      <c r="M100" s="2179"/>
      <c r="N100" s="2179"/>
      <c r="O100" s="2179"/>
      <c r="P100" s="2179"/>
      <c r="Q100" s="2179"/>
      <c r="R100" s="2179"/>
      <c r="S100" s="2179"/>
      <c r="T100" s="2179"/>
      <c r="U100" s="2179">
        <v>1</v>
      </c>
      <c r="V100" s="2179"/>
      <c r="W100" s="2179">
        <v>1</v>
      </c>
      <c r="X100" s="2179"/>
      <c r="Y100" s="2179">
        <v>1</v>
      </c>
      <c r="Z100" s="2179"/>
      <c r="AA100" s="2179">
        <v>1</v>
      </c>
      <c r="AB100" s="2179"/>
      <c r="AC100" s="2179">
        <v>1</v>
      </c>
      <c r="AD100" s="2179"/>
      <c r="AE100" s="2179">
        <v>1</v>
      </c>
      <c r="AF100" s="2179"/>
      <c r="AG100" s="2179">
        <v>1</v>
      </c>
      <c r="AH100" s="2179"/>
      <c r="AI100" s="2179">
        <v>2</v>
      </c>
      <c r="AJ100" s="2179"/>
      <c r="AK100" s="2179">
        <v>1</v>
      </c>
      <c r="AL100" s="2179"/>
      <c r="AM100" s="2179">
        <v>1</v>
      </c>
      <c r="AN100" s="2179"/>
      <c r="AO100" s="2179">
        <v>1</v>
      </c>
      <c r="AP100" s="2179"/>
      <c r="AQ100" s="2179">
        <v>1</v>
      </c>
      <c r="AR100" s="2179"/>
      <c r="AS100" s="2179">
        <v>1</v>
      </c>
      <c r="AT100" s="2179"/>
      <c r="AU100" s="2179">
        <v>1</v>
      </c>
      <c r="AV100" s="2179"/>
      <c r="AW100" s="2179">
        <v>1</v>
      </c>
      <c r="AX100" s="2179"/>
      <c r="AY100" s="2179"/>
      <c r="AZ100" s="2179"/>
      <c r="BA100" s="2179"/>
      <c r="BB100" s="2179">
        <v>1</v>
      </c>
      <c r="BC100" s="2179"/>
      <c r="BD100" s="2179">
        <v>1</v>
      </c>
      <c r="BE100" s="2179"/>
      <c r="BF100" s="2179">
        <v>1</v>
      </c>
      <c r="BG100" s="2179"/>
      <c r="BH100" s="2179">
        <v>1</v>
      </c>
      <c r="BI100" s="2179"/>
      <c r="BJ100" s="2179">
        <v>1</v>
      </c>
      <c r="BK100" s="2179"/>
      <c r="BL100" s="2179">
        <v>1</v>
      </c>
      <c r="BM100" s="2179"/>
      <c r="BN100" s="2179">
        <v>2</v>
      </c>
      <c r="BO100" s="2179"/>
      <c r="BP100" s="2179">
        <v>1</v>
      </c>
      <c r="BQ100" s="2179"/>
      <c r="BR100" s="2179">
        <v>1</v>
      </c>
      <c r="BS100" s="2179"/>
      <c r="BT100" s="2179">
        <v>1</v>
      </c>
      <c r="BU100" s="2179"/>
      <c r="BV100" s="2179">
        <v>1</v>
      </c>
      <c r="BW100" s="2179"/>
      <c r="BX100" s="2179">
        <v>1</v>
      </c>
      <c r="BY100" s="2179"/>
      <c r="BZ100" s="2179">
        <v>1</v>
      </c>
      <c r="CA100" s="2179"/>
      <c r="CB100" s="2179"/>
      <c r="CC100" s="2179"/>
      <c r="CD100" s="2179"/>
      <c r="CE100" s="2179"/>
      <c r="CF100" s="2179"/>
      <c r="CG100" s="2179"/>
      <c r="CH100" s="2179"/>
      <c r="CI100" s="2179"/>
      <c r="CJ100" s="2179"/>
      <c r="CK100" s="2179"/>
      <c r="CL100" s="2179"/>
      <c r="CM100" s="2179"/>
      <c r="CN100" s="2179"/>
      <c r="CO100" s="2179"/>
      <c r="CP100" s="2179"/>
      <c r="CQ100" s="2179"/>
      <c r="CR100" s="2179"/>
      <c r="CS100" s="2179"/>
      <c r="CT100" s="2179"/>
      <c r="CU100" s="2179"/>
      <c r="CV100" s="2179"/>
      <c r="CW100" s="2179"/>
      <c r="CX100" s="2179"/>
      <c r="CY100" s="2179"/>
      <c r="CZ100" s="2179"/>
      <c r="DA100" s="2179"/>
      <c r="DB100" s="2179"/>
      <c r="DC100" s="2179"/>
      <c r="DD100" s="2179"/>
      <c r="DE100" s="2179"/>
      <c r="DF100" s="2179"/>
      <c r="DG100" s="2179"/>
      <c r="DH100" s="2179"/>
      <c r="DI100" s="2179"/>
      <c r="DJ100" s="2179">
        <v>1</v>
      </c>
      <c r="DK100" s="2179"/>
      <c r="DL100" s="2179">
        <v>1</v>
      </c>
      <c r="DM100" s="2179"/>
      <c r="DN100" s="2179">
        <v>1</v>
      </c>
      <c r="DO100" s="2179"/>
      <c r="DP100" s="2179">
        <v>1</v>
      </c>
      <c r="DQ100" s="2179"/>
      <c r="DR100" s="2179">
        <v>1</v>
      </c>
      <c r="DS100" s="2179"/>
      <c r="DT100" s="2179"/>
      <c r="DU100" s="2179">
        <v>1</v>
      </c>
      <c r="DV100" s="2179"/>
      <c r="DW100" s="2179"/>
      <c r="DX100" s="2179"/>
      <c r="DY100" s="2179"/>
      <c r="DZ100" s="2179"/>
      <c r="EA100" s="2179">
        <v>1</v>
      </c>
      <c r="EB100" s="2179"/>
      <c r="EC100" s="2179">
        <v>1</v>
      </c>
      <c r="ED100" s="2179"/>
      <c r="EE100" s="2179"/>
      <c r="EF100" s="2179"/>
      <c r="EG100" s="2179">
        <v>1</v>
      </c>
      <c r="EH100" s="2179"/>
      <c r="EI100" s="2179">
        <v>1</v>
      </c>
      <c r="EJ100" s="2179"/>
      <c r="EK100" s="2179"/>
      <c r="EL100" s="2179"/>
      <c r="EM100" s="2179"/>
      <c r="EN100" s="2179"/>
      <c r="EO100" s="2179"/>
      <c r="EP100" s="2179"/>
      <c r="EQ100" s="2179"/>
      <c r="ER100" s="2179"/>
      <c r="ES100" s="2179"/>
      <c r="ET100" s="2179"/>
      <c r="EU100" s="2179"/>
      <c r="EV100" s="2179"/>
      <c r="EW100" s="2179"/>
      <c r="EX100" s="2179"/>
      <c r="EY100" s="2179"/>
      <c r="EZ100" s="2179"/>
      <c r="FA100" s="2179"/>
      <c r="FB100" s="2179"/>
      <c r="FC100" s="2179"/>
      <c r="FD100" s="2179"/>
      <c r="FE100" s="2179"/>
      <c r="FF100" s="2179"/>
      <c r="FG100" s="2179"/>
      <c r="FH100" s="2179"/>
      <c r="FI100" s="2179"/>
      <c r="FJ100" s="2179"/>
      <c r="FK100" s="2179"/>
      <c r="FL100" s="2179"/>
      <c r="FM100" s="2179"/>
      <c r="FN100" s="2179"/>
      <c r="FO100" s="2179"/>
      <c r="FP100" s="2179"/>
      <c r="FQ100" s="2179"/>
      <c r="FR100" s="2179"/>
      <c r="FS100" s="2179"/>
      <c r="FT100" s="2179"/>
      <c r="FU100" s="2179"/>
      <c r="FV100" s="2179"/>
      <c r="FW100" s="2179"/>
      <c r="FX100" s="2179"/>
      <c r="FY100" s="2179"/>
      <c r="FZ100" s="2179"/>
      <c r="GA100" s="2179">
        <v>40</v>
      </c>
      <c r="GB100" s="2179">
        <f t="shared" si="6"/>
        <v>40</v>
      </c>
    </row>
    <row r="101" spans="2:184" ht="16.8" hidden="1">
      <c r="B101" s="2313" t="str">
        <f t="shared" si="5"/>
        <v>Kẹp dừng 3U thu hồi</v>
      </c>
      <c r="C101" s="2179" t="s">
        <v>5186</v>
      </c>
      <c r="D101" s="2179"/>
      <c r="E101" s="2179">
        <f t="shared" si="4"/>
        <v>19</v>
      </c>
      <c r="F101" s="2179"/>
      <c r="G101" s="2179"/>
      <c r="H101" s="2179">
        <v>0</v>
      </c>
      <c r="I101" s="2179">
        <v>0</v>
      </c>
      <c r="J101" s="2179">
        <v>0</v>
      </c>
      <c r="K101" s="2179">
        <v>0</v>
      </c>
      <c r="L101" s="2179">
        <v>0</v>
      </c>
      <c r="M101" s="2179">
        <v>0</v>
      </c>
      <c r="N101" s="2179">
        <v>0</v>
      </c>
      <c r="O101" s="2179">
        <v>0</v>
      </c>
      <c r="P101" s="2179">
        <v>0</v>
      </c>
      <c r="Q101" s="2179">
        <v>0</v>
      </c>
      <c r="R101" s="2179">
        <v>0</v>
      </c>
      <c r="S101" s="2179">
        <v>0</v>
      </c>
      <c r="T101" s="2179">
        <v>0</v>
      </c>
      <c r="U101" s="2179">
        <v>0</v>
      </c>
      <c r="V101" s="2179">
        <v>0</v>
      </c>
      <c r="W101" s="2179">
        <v>0</v>
      </c>
      <c r="X101" s="2179">
        <v>0</v>
      </c>
      <c r="Y101" s="2179">
        <v>0</v>
      </c>
      <c r="Z101" s="2179">
        <v>0</v>
      </c>
      <c r="AA101" s="2179">
        <v>0</v>
      </c>
      <c r="AB101" s="2179">
        <v>0</v>
      </c>
      <c r="AC101" s="2179">
        <v>0</v>
      </c>
      <c r="AD101" s="2179">
        <v>0</v>
      </c>
      <c r="AE101" s="2179">
        <v>0</v>
      </c>
      <c r="AF101" s="2179">
        <v>0</v>
      </c>
      <c r="AG101" s="2179">
        <v>0</v>
      </c>
      <c r="AH101" s="2179">
        <v>0</v>
      </c>
      <c r="AI101" s="2179">
        <v>0</v>
      </c>
      <c r="AJ101" s="2179">
        <v>0</v>
      </c>
      <c r="AK101" s="2179">
        <v>0</v>
      </c>
      <c r="AL101" s="2179">
        <v>2</v>
      </c>
      <c r="AM101" s="2179">
        <v>0</v>
      </c>
      <c r="AN101" s="2179">
        <v>0</v>
      </c>
      <c r="AO101" s="2179">
        <v>0</v>
      </c>
      <c r="AP101" s="2179">
        <v>0</v>
      </c>
      <c r="AQ101" s="2179">
        <v>0</v>
      </c>
      <c r="AR101" s="2179">
        <v>0</v>
      </c>
      <c r="AS101" s="2179">
        <v>0</v>
      </c>
      <c r="AT101" s="2179">
        <v>0</v>
      </c>
      <c r="AU101" s="2179">
        <v>0</v>
      </c>
      <c r="AV101" s="2179">
        <v>0</v>
      </c>
      <c r="AW101" s="2179">
        <v>0</v>
      </c>
      <c r="AX101" s="2179">
        <v>0</v>
      </c>
      <c r="AY101" s="2179">
        <v>0</v>
      </c>
      <c r="AZ101" s="2179">
        <v>0</v>
      </c>
      <c r="BA101" s="2179">
        <v>0</v>
      </c>
      <c r="BB101" s="2179">
        <v>0</v>
      </c>
      <c r="BC101" s="2179">
        <v>0</v>
      </c>
      <c r="BD101" s="2179">
        <v>0</v>
      </c>
      <c r="BE101" s="2179">
        <v>0</v>
      </c>
      <c r="BF101" s="2179">
        <v>0</v>
      </c>
      <c r="BG101" s="2179">
        <v>0</v>
      </c>
      <c r="BH101" s="2179">
        <v>0</v>
      </c>
      <c r="BI101" s="2179">
        <v>0</v>
      </c>
      <c r="BJ101" s="2179">
        <v>0</v>
      </c>
      <c r="BK101" s="2179">
        <v>0</v>
      </c>
      <c r="BL101" s="2179">
        <v>0</v>
      </c>
      <c r="BM101" s="2179">
        <v>0</v>
      </c>
      <c r="BN101" s="2179">
        <v>0</v>
      </c>
      <c r="BO101" s="2179">
        <v>0</v>
      </c>
      <c r="BP101" s="2179">
        <v>0</v>
      </c>
      <c r="BQ101" s="2179">
        <v>0</v>
      </c>
      <c r="BR101" s="2179">
        <v>0</v>
      </c>
      <c r="BS101" s="2179">
        <v>0</v>
      </c>
      <c r="BT101" s="2179">
        <v>0</v>
      </c>
      <c r="BU101" s="2179">
        <v>0</v>
      </c>
      <c r="BV101" s="2179">
        <v>0</v>
      </c>
      <c r="BW101" s="2179">
        <v>0</v>
      </c>
      <c r="BX101" s="2179">
        <v>0</v>
      </c>
      <c r="BY101" s="2179">
        <v>0</v>
      </c>
      <c r="BZ101" s="2179">
        <v>0</v>
      </c>
      <c r="CA101" s="2179">
        <v>0</v>
      </c>
      <c r="CB101" s="2179">
        <v>0</v>
      </c>
      <c r="CC101" s="2179">
        <v>0</v>
      </c>
      <c r="CD101" s="2179">
        <v>0</v>
      </c>
      <c r="CE101" s="2179">
        <v>2</v>
      </c>
      <c r="CF101" s="2179">
        <v>0</v>
      </c>
      <c r="CG101" s="2179">
        <v>0</v>
      </c>
      <c r="CH101" s="2179">
        <v>0</v>
      </c>
      <c r="CI101" s="2179">
        <v>0</v>
      </c>
      <c r="CJ101" s="2179">
        <v>0</v>
      </c>
      <c r="CK101" s="2179">
        <v>0</v>
      </c>
      <c r="CL101" s="2179">
        <v>0</v>
      </c>
      <c r="CM101" s="2179">
        <v>0</v>
      </c>
      <c r="CN101" s="2179">
        <v>0</v>
      </c>
      <c r="CO101" s="2179">
        <v>0</v>
      </c>
      <c r="CP101" s="2179">
        <v>1</v>
      </c>
      <c r="CQ101" s="2179">
        <v>3</v>
      </c>
      <c r="CR101" s="2179">
        <v>0</v>
      </c>
      <c r="CS101" s="2179">
        <v>0</v>
      </c>
      <c r="CT101" s="2179">
        <v>0</v>
      </c>
      <c r="CU101" s="2179">
        <v>0</v>
      </c>
      <c r="CV101" s="2179">
        <v>0</v>
      </c>
      <c r="CW101" s="2179">
        <v>0</v>
      </c>
      <c r="CX101" s="2179">
        <v>0</v>
      </c>
      <c r="CY101" s="2179">
        <v>0</v>
      </c>
      <c r="CZ101" s="2179">
        <v>0</v>
      </c>
      <c r="DA101" s="2179">
        <v>0</v>
      </c>
      <c r="DB101" s="2179">
        <v>0</v>
      </c>
      <c r="DC101" s="2179">
        <v>0</v>
      </c>
      <c r="DD101" s="2179">
        <v>0</v>
      </c>
      <c r="DE101" s="2179">
        <v>0</v>
      </c>
      <c r="DF101" s="2179">
        <v>3</v>
      </c>
      <c r="DG101" s="2179">
        <v>0</v>
      </c>
      <c r="DH101" s="2179">
        <v>0</v>
      </c>
      <c r="DI101" s="2179">
        <v>0</v>
      </c>
      <c r="DJ101" s="2179">
        <v>0</v>
      </c>
      <c r="DK101" s="2179">
        <v>0</v>
      </c>
      <c r="DL101" s="2179">
        <v>0</v>
      </c>
      <c r="DM101" s="2179">
        <v>0</v>
      </c>
      <c r="DN101" s="2179">
        <v>0</v>
      </c>
      <c r="DO101" s="2179">
        <v>0</v>
      </c>
      <c r="DP101" s="2179">
        <v>0</v>
      </c>
      <c r="DQ101" s="2179">
        <v>0</v>
      </c>
      <c r="DR101" s="2179">
        <v>0</v>
      </c>
      <c r="DS101" s="2179">
        <v>0</v>
      </c>
      <c r="DT101" s="2179">
        <v>2</v>
      </c>
      <c r="DU101" s="2179">
        <v>0</v>
      </c>
      <c r="DV101" s="2179">
        <v>0</v>
      </c>
      <c r="DW101" s="2179">
        <v>0</v>
      </c>
      <c r="DX101" s="2179">
        <v>0</v>
      </c>
      <c r="DY101" s="2179">
        <v>0</v>
      </c>
      <c r="DZ101" s="2179">
        <v>0</v>
      </c>
      <c r="EA101" s="2179">
        <v>0</v>
      </c>
      <c r="EB101" s="2179">
        <v>0</v>
      </c>
      <c r="EC101" s="2179">
        <v>0</v>
      </c>
      <c r="ED101" s="2179">
        <v>3</v>
      </c>
      <c r="EE101" s="2179">
        <v>0</v>
      </c>
      <c r="EF101" s="2179">
        <v>0</v>
      </c>
      <c r="EG101" s="2179">
        <v>0</v>
      </c>
      <c r="EH101" s="2179">
        <v>0</v>
      </c>
      <c r="EI101" s="2179">
        <v>0</v>
      </c>
      <c r="EJ101" s="2179">
        <v>0</v>
      </c>
      <c r="EK101" s="2179">
        <v>0</v>
      </c>
      <c r="EL101" s="2179">
        <v>0</v>
      </c>
      <c r="EM101" s="2179">
        <v>0</v>
      </c>
      <c r="EN101" s="2179">
        <v>0</v>
      </c>
      <c r="EO101" s="2179">
        <v>0</v>
      </c>
      <c r="EP101" s="2179">
        <v>0</v>
      </c>
      <c r="EQ101" s="2179">
        <v>0</v>
      </c>
      <c r="ER101" s="2179">
        <v>0</v>
      </c>
      <c r="ES101" s="2179">
        <v>0</v>
      </c>
      <c r="ET101" s="2179">
        <v>0</v>
      </c>
      <c r="EU101" s="2179">
        <v>0</v>
      </c>
      <c r="EV101" s="2179">
        <v>0</v>
      </c>
      <c r="EW101" s="2179">
        <v>0</v>
      </c>
      <c r="EX101" s="2179">
        <v>0</v>
      </c>
      <c r="EY101" s="2179">
        <v>1</v>
      </c>
      <c r="EZ101" s="2179">
        <v>0</v>
      </c>
      <c r="FA101" s="2179">
        <v>0</v>
      </c>
      <c r="FB101" s="2179">
        <v>0</v>
      </c>
      <c r="FC101" s="2179">
        <v>0</v>
      </c>
      <c r="FD101" s="2179">
        <v>0</v>
      </c>
      <c r="FE101" s="2179">
        <v>0</v>
      </c>
      <c r="FF101" s="2179">
        <v>0</v>
      </c>
      <c r="FG101" s="2179">
        <v>0</v>
      </c>
      <c r="FH101" s="2179">
        <v>0</v>
      </c>
      <c r="FI101" s="2179">
        <v>0</v>
      </c>
      <c r="FJ101" s="2179">
        <v>0</v>
      </c>
      <c r="FK101" s="2179">
        <v>0</v>
      </c>
      <c r="FL101" s="2179">
        <v>2</v>
      </c>
      <c r="FM101" s="2179">
        <v>0</v>
      </c>
      <c r="FN101" s="2179">
        <v>0</v>
      </c>
      <c r="FO101" s="2179">
        <v>0</v>
      </c>
      <c r="FP101" s="2179">
        <v>0</v>
      </c>
      <c r="FQ101" s="2179">
        <v>0</v>
      </c>
      <c r="FR101" s="2179">
        <v>0</v>
      </c>
      <c r="FS101" s="2179">
        <v>0</v>
      </c>
      <c r="FT101" s="2179">
        <v>0</v>
      </c>
      <c r="FU101" s="2179">
        <v>0</v>
      </c>
      <c r="FV101" s="2179">
        <v>0</v>
      </c>
      <c r="FW101" s="2179">
        <v>0</v>
      </c>
      <c r="FX101" s="2179">
        <v>0</v>
      </c>
      <c r="FY101" s="2179">
        <v>0</v>
      </c>
      <c r="FZ101" s="2179">
        <v>0</v>
      </c>
      <c r="GA101" s="2179">
        <v>19</v>
      </c>
      <c r="GB101" s="2179">
        <f t="shared" si="6"/>
        <v>19</v>
      </c>
    </row>
    <row r="102" spans="2:184" ht="16.8">
      <c r="B102" s="2313" t="str">
        <f t="shared" si="5"/>
        <v>GHI CHÚ</v>
      </c>
      <c r="C102" s="2179" t="s">
        <v>2664</v>
      </c>
      <c r="D102" s="2179"/>
      <c r="E102" s="2179">
        <f t="shared" si="4"/>
        <v>0</v>
      </c>
      <c r="F102" s="2179" t="s">
        <v>5205</v>
      </c>
      <c r="G102" s="2179"/>
      <c r="H102" s="2179"/>
      <c r="I102" s="2179"/>
      <c r="J102" s="2179"/>
      <c r="K102" s="2179"/>
      <c r="L102" s="2179"/>
      <c r="M102" s="2179"/>
      <c r="N102" s="2179"/>
      <c r="O102" s="2179"/>
      <c r="P102" s="2179"/>
      <c r="Q102" s="2179"/>
      <c r="R102" s="2179"/>
      <c r="S102" s="2179"/>
      <c r="T102" s="2179"/>
      <c r="U102" s="2179"/>
      <c r="V102" s="2179"/>
      <c r="W102" s="2179"/>
      <c r="X102" s="2179"/>
      <c r="Y102" s="2179"/>
      <c r="Z102" s="2179"/>
      <c r="AA102" s="2179"/>
      <c r="AB102" s="2179"/>
      <c r="AC102" s="2179" t="s">
        <v>5311</v>
      </c>
      <c r="AD102" s="2179" t="s">
        <v>5218</v>
      </c>
      <c r="AE102" s="2179"/>
      <c r="AF102" s="2179" t="s">
        <v>5220</v>
      </c>
      <c r="AG102" s="2179"/>
      <c r="AH102" s="2179"/>
      <c r="AI102" s="2179"/>
      <c r="AJ102" s="2179"/>
      <c r="AK102" s="2179"/>
      <c r="AL102" s="2179" t="s">
        <v>5224</v>
      </c>
      <c r="AM102" s="2179"/>
      <c r="AN102" s="2179" t="s">
        <v>5218</v>
      </c>
      <c r="AO102" s="2179"/>
      <c r="AP102" s="2179"/>
      <c r="AQ102" s="2179"/>
      <c r="AR102" s="2179"/>
      <c r="AS102" s="2179" t="s">
        <v>5311</v>
      </c>
      <c r="AT102" s="2179"/>
      <c r="AU102" s="2179"/>
      <c r="AV102" s="2179"/>
      <c r="AW102" s="2179"/>
      <c r="AX102" s="2179" t="s">
        <v>5231</v>
      </c>
      <c r="AY102" s="2179"/>
      <c r="AZ102" s="2179"/>
      <c r="BA102" s="2179"/>
      <c r="BB102" s="2179"/>
      <c r="BC102" s="2179"/>
      <c r="BD102" s="2179"/>
      <c r="BE102" s="2179"/>
      <c r="BF102" s="2179"/>
      <c r="BG102" s="2179" t="s">
        <v>5312</v>
      </c>
      <c r="BH102" s="2179"/>
      <c r="BI102" s="2179" t="s">
        <v>5218</v>
      </c>
      <c r="BJ102" s="2179"/>
      <c r="BK102" s="2179"/>
      <c r="BL102" s="2179"/>
      <c r="BM102" s="2179"/>
      <c r="BN102" s="2179"/>
      <c r="BO102" s="2179"/>
      <c r="BP102" s="2179" t="s">
        <v>5311</v>
      </c>
      <c r="BQ102" s="2179"/>
      <c r="BR102" s="2179"/>
      <c r="BS102" s="2179"/>
      <c r="BT102" s="2179"/>
      <c r="BU102" s="2179"/>
      <c r="BV102" s="2179"/>
      <c r="BW102" s="2179" t="s">
        <v>5218</v>
      </c>
      <c r="BX102" s="2179"/>
      <c r="BY102" s="2179"/>
      <c r="BZ102" s="2179"/>
      <c r="CA102" s="2179"/>
      <c r="CB102" s="2179"/>
      <c r="CC102" s="2179"/>
      <c r="CD102" s="2179"/>
      <c r="CE102" s="2179" t="s">
        <v>5250</v>
      </c>
      <c r="CF102" s="2179"/>
      <c r="CG102" s="2179"/>
      <c r="CH102" s="2179"/>
      <c r="CI102" s="2179"/>
      <c r="CJ102" s="2179"/>
      <c r="CK102" s="2179"/>
      <c r="CL102" s="2179"/>
      <c r="CM102" s="2179"/>
      <c r="CN102" s="2179"/>
      <c r="CO102" s="2179"/>
      <c r="CP102" s="2179" t="s">
        <v>5224</v>
      </c>
      <c r="CQ102" s="2179" t="s">
        <v>5231</v>
      </c>
      <c r="CR102" s="2179"/>
      <c r="CS102" s="2179"/>
      <c r="CT102" s="2179"/>
      <c r="CU102" s="2179"/>
      <c r="CV102" s="2179"/>
      <c r="CW102" s="2179"/>
      <c r="CX102" s="2179"/>
      <c r="CY102" s="2179"/>
      <c r="CZ102" s="2179" t="s">
        <v>5218</v>
      </c>
      <c r="DA102" s="2179"/>
      <c r="DB102" s="2179"/>
      <c r="DC102" s="2179"/>
      <c r="DD102" s="2179"/>
      <c r="DE102" s="2179"/>
      <c r="DF102" s="2179" t="s">
        <v>5266</v>
      </c>
      <c r="DG102" s="2179"/>
      <c r="DH102" s="2179"/>
      <c r="DI102" s="2179"/>
      <c r="DJ102" s="2179"/>
      <c r="DK102" s="2179" t="s">
        <v>5231</v>
      </c>
      <c r="DL102" s="2179"/>
      <c r="DM102" s="2179"/>
      <c r="DN102" s="2179"/>
      <c r="DO102" s="2179"/>
      <c r="DP102" s="2179"/>
      <c r="DQ102" s="2179"/>
      <c r="DR102" s="2179"/>
      <c r="DS102" s="2179" t="s">
        <v>5231</v>
      </c>
      <c r="DT102" s="2179" t="s">
        <v>5224</v>
      </c>
      <c r="DU102" s="2179"/>
      <c r="DV102" s="2179" t="s">
        <v>5218</v>
      </c>
      <c r="DW102" s="2179"/>
      <c r="DX102" s="2179" t="s">
        <v>5231</v>
      </c>
      <c r="DY102" s="2179"/>
      <c r="DZ102" s="2179"/>
      <c r="EA102" s="2179"/>
      <c r="EB102" s="2179"/>
      <c r="EC102" s="2179"/>
      <c r="ED102" s="2179" t="s">
        <v>5231</v>
      </c>
      <c r="EE102" s="2179"/>
      <c r="EF102" s="2179"/>
      <c r="EG102" s="2179"/>
      <c r="EH102" s="2179"/>
      <c r="EI102" s="2179"/>
      <c r="EJ102" s="2179"/>
      <c r="EK102" s="2179"/>
      <c r="EL102" s="2179"/>
      <c r="EM102" s="2179"/>
      <c r="EN102" s="2179"/>
      <c r="EO102" s="2179" t="s">
        <v>5311</v>
      </c>
      <c r="EP102" s="2179"/>
      <c r="EQ102" s="2179"/>
      <c r="ER102" s="2179"/>
      <c r="ES102" s="2179"/>
      <c r="ET102" s="2179"/>
      <c r="EU102" s="2179"/>
      <c r="EV102" s="2179" t="s">
        <v>5224</v>
      </c>
      <c r="EW102" s="2179"/>
      <c r="EX102" s="2179" t="s">
        <v>5218</v>
      </c>
      <c r="EY102" s="2179" t="s">
        <v>5224</v>
      </c>
      <c r="EZ102" s="2179"/>
      <c r="FA102" s="2179"/>
      <c r="FB102" s="2179"/>
      <c r="FC102" s="2179"/>
      <c r="FD102" s="2179" t="s">
        <v>5218</v>
      </c>
      <c r="FE102" s="2179"/>
      <c r="FF102" s="2179"/>
      <c r="FG102" s="2179"/>
      <c r="FH102" s="2179"/>
      <c r="FI102" s="2179" t="s">
        <v>5224</v>
      </c>
      <c r="FJ102" s="2179"/>
      <c r="FK102" s="2179"/>
      <c r="FL102" s="2179"/>
      <c r="FM102" s="2179"/>
      <c r="FN102" s="2179" t="s">
        <v>5218</v>
      </c>
      <c r="FO102" s="2179"/>
      <c r="FP102" s="2179" t="s">
        <v>5298</v>
      </c>
      <c r="FQ102" s="2179"/>
      <c r="FR102" s="2179"/>
      <c r="FS102" s="2179"/>
      <c r="FT102" s="2179"/>
      <c r="FU102" s="2179"/>
      <c r="FV102" s="2179" t="s">
        <v>5231</v>
      </c>
      <c r="FW102" s="2179"/>
      <c r="FX102" s="2179"/>
      <c r="FY102" s="2179"/>
      <c r="FZ102" s="2179"/>
      <c r="GA102" s="2179"/>
      <c r="GB102" s="2179">
        <f t="shared" si="6"/>
        <v>0</v>
      </c>
    </row>
  </sheetData>
  <autoFilter ref="A2:GB102">
    <filterColumn colId="5">
      <customFilters>
        <customFilter operator="notEqual" val=" "/>
      </customFilters>
    </filterColumn>
  </autoFilter>
  <conditionalFormatting sqref="GB2:GB102">
    <cfRule type="cellIs" dxfId="69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86"/>
  <sheetViews>
    <sheetView workbookViewId="0">
      <pane xSplit="2" ySplit="4" topLeftCell="Y5" activePane="bottomRight" state="frozen"/>
      <selection pane="topRight" activeCell="C1" sqref="C1"/>
      <selection pane="bottomLeft" activeCell="A4" sqref="A4"/>
      <selection pane="bottomRight" activeCell="AI1" sqref="AI1"/>
    </sheetView>
  </sheetViews>
  <sheetFormatPr defaultRowHeight="16.8" outlineLevelCol="1"/>
  <cols>
    <col min="1" max="1" width="5.1796875" customWidth="1"/>
    <col min="5" max="13" width="8.81640625" hidden="1" customWidth="1"/>
    <col min="14" max="14" width="8.81640625" customWidth="1"/>
    <col min="16" max="24" width="8.81640625" hidden="1" customWidth="1" outlineLevel="1"/>
    <col min="25" max="25" width="8.7265625" collapsed="1"/>
    <col min="26" max="36" width="8.81640625" customWidth="1" outlineLevel="1"/>
    <col min="37" max="37" width="8.90625"/>
    <col min="55" max="101" width="0" hidden="1" customWidth="1" outlineLevel="1"/>
    <col min="102" max="102" width="11.1796875" customWidth="1" collapsed="1"/>
    <col min="104" max="104" width="8.90625" style="1516"/>
    <col min="108" max="108" width="9.90625" bestFit="1" customWidth="1"/>
  </cols>
  <sheetData>
    <row r="1" spans="1:113" s="1152" customFormat="1" ht="47.4" customHeight="1">
      <c r="C1" s="2390" t="s">
        <v>543</v>
      </c>
      <c r="D1" s="2390" t="s">
        <v>1061</v>
      </c>
      <c r="E1" s="2390" t="s">
        <v>4964</v>
      </c>
      <c r="F1" s="2390" t="s">
        <v>1539</v>
      </c>
      <c r="G1" s="2390" t="s">
        <v>1520</v>
      </c>
      <c r="H1" s="2390" t="str">
        <f>IF(LEN(H4)&gt;0,H4,H3)</f>
        <v>Đầu Cosse 150 (2 bulon)</v>
      </c>
      <c r="I1" s="2390" t="s">
        <v>704</v>
      </c>
      <c r="J1" s="2390" t="str">
        <f t="shared" ref="J1:AE1" si="0">IF(LEN(J4)&gt;0,J4,J3)</f>
        <v>Hình thức trụ HH</v>
      </c>
      <c r="K1" s="2390" t="str">
        <f t="shared" si="0"/>
        <v>Hình thức trụ TK</v>
      </c>
      <c r="L1" s="2390" t="str">
        <f t="shared" si="0"/>
        <v>BTLT 12HH</v>
      </c>
      <c r="M1" s="2390" t="str">
        <f t="shared" si="0"/>
        <v>BTLT 12 F540</v>
      </c>
      <c r="N1" s="2390" t="str">
        <f t="shared" si="0"/>
        <v>BTLT 14 F650</v>
      </c>
      <c r="O1" s="2390" t="str">
        <f t="shared" si="0"/>
        <v>M12</v>
      </c>
      <c r="P1" s="2390" t="str">
        <f t="shared" si="0"/>
        <v>M12a</v>
      </c>
      <c r="Q1" s="2390" t="str">
        <f t="shared" si="0"/>
        <v>M12BT ĐÔI</v>
      </c>
      <c r="R1" s="2390" t="str">
        <f t="shared" si="0"/>
        <v>M14a</v>
      </c>
      <c r="S1" s="2390" t="str">
        <f t="shared" si="0"/>
        <v>CX12-B</v>
      </c>
      <c r="T1" s="2390" t="str">
        <f t="shared" si="0"/>
        <v>CL12-B</v>
      </c>
      <c r="U1" s="2390" t="str">
        <f t="shared" si="0"/>
        <v>CX14-B</v>
      </c>
      <c r="V1" s="2390" t="str">
        <f t="shared" si="0"/>
        <v>CXX14-B</v>
      </c>
      <c r="W1" s="2390" t="str">
        <f t="shared" si="0"/>
        <v>CK-B</v>
      </c>
      <c r="X1" s="2390" t="str">
        <f t="shared" si="0"/>
        <v>NXX</v>
      </c>
      <c r="Y1" s="2390" t="str">
        <f t="shared" si="0"/>
        <v>Tiếp địa lặp lại XDM (trụ 12m)</v>
      </c>
      <c r="Z1" s="2390" t="str">
        <f t="shared" si="0"/>
        <v>Tiếp địa lặp lại hiện hữu</v>
      </c>
      <c r="AA1" s="2390" t="str">
        <f t="shared" si="0"/>
        <v>Tiếp địa trụ LBS khí + TBA</v>
      </c>
      <c r="AB1" s="2390" t="str">
        <f t="shared" si="0"/>
        <v>X-22K-Đ</v>
      </c>
      <c r="AC1" s="2390" t="str">
        <f t="shared" si="0"/>
        <v>X-22K-K</v>
      </c>
      <c r="AD1" s="2390" t="str">
        <f t="shared" si="0"/>
        <v>X-20ĐL2/3</v>
      </c>
      <c r="AE1" s="2390" t="str">
        <f t="shared" si="0"/>
        <v>X-20KL2/3</v>
      </c>
      <c r="AF1" s="2390" t="s">
        <v>2568</v>
      </c>
      <c r="AG1" s="2390" t="s">
        <v>2579</v>
      </c>
      <c r="AH1" s="2390" t="str">
        <f t="shared" ref="AH1:BM1" si="1">IF(LEN(AH4)&gt;0,AH4,AH3)</f>
        <v xml:space="preserve">Chuỗi Polymer lắp vào trụ CĐT </v>
      </c>
      <c r="AI1" s="2390" t="str">
        <f t="shared" si="1"/>
        <v>Giáp níu cỡ dây50mm2</v>
      </c>
      <c r="AJ1" s="2390" t="str">
        <f t="shared" si="1"/>
        <v>Giáp níu cỡ dây 185mm2</v>
      </c>
      <c r="AK1" s="2390" t="str">
        <f t="shared" si="1"/>
        <v>Bộ dừng trung hoà</v>
      </c>
      <c r="AL1" s="2390" t="str">
        <f t="shared" si="1"/>
        <v>Bộ đỡ dây T.H : Đth-U</v>
      </c>
      <c r="AM1" s="2390" t="str">
        <f t="shared" si="1"/>
        <v xml:space="preserve">Kẹp quai 4/0 đấu nóng + Chụp </v>
      </c>
      <c r="AN1" s="2390" t="str">
        <f t="shared" si="1"/>
        <v>Hotline 4/0</v>
      </c>
      <c r="AO1" s="2390" t="str">
        <f t="shared" si="1"/>
        <v>Kẹp ép cỡ 50mm2</v>
      </c>
      <c r="AP1" s="2390" t="str">
        <f t="shared" si="1"/>
        <v>Kẹp ép cỡ 95mm2</v>
      </c>
      <c r="AQ1" s="2390" t="str">
        <f t="shared" si="1"/>
        <v>Kẹp ép cỡ 120mm2</v>
      </c>
      <c r="AR1" s="2390" t="str">
        <f t="shared" si="1"/>
        <v>Kẹp ép cỡ 185mm2</v>
      </c>
      <c r="AS1" s="2390" t="str">
        <f t="shared" si="1"/>
        <v>Dây cổ sứ dây 185</v>
      </c>
      <c r="AT1" s="2390" t="str">
        <f t="shared" si="1"/>
        <v>Dây đầu sứ dây 185</v>
      </c>
      <c r="AU1" s="2390" t="str">
        <f t="shared" si="1"/>
        <v>LTD</v>
      </c>
      <c r="AV1" s="2390" t="str">
        <f t="shared" si="1"/>
        <v xml:space="preserve">Bass LI </v>
      </c>
      <c r="AW1" s="2390" t="str">
        <f t="shared" si="1"/>
        <v xml:space="preserve">Bu long móc 16x300 </v>
      </c>
      <c r="AX1" s="2390" t="str">
        <f t="shared" si="1"/>
        <v>Bu long 16x300 bắt rack</v>
      </c>
      <c r="AY1" s="2390" t="str">
        <f t="shared" si="1"/>
        <v>Bảng độ cao băng đường</v>
      </c>
      <c r="AZ1" s="2390" t="str">
        <f t="shared" si="1"/>
        <v>Số dây Dupplex trên trụ</v>
      </c>
      <c r="BA1" s="2390" t="str">
        <f t="shared" si="1"/>
        <v>Ghip 95(70)/35 2 bulon</v>
      </c>
      <c r="BB1" s="2390" t="str">
        <f t="shared" si="1"/>
        <v>Ong co nhiệt F95/25 (m)</v>
      </c>
      <c r="BC1" s="2390" t="str">
        <f t="shared" si="1"/>
        <v>Tháo dây AC95</v>
      </c>
      <c r="BD1" s="2390" t="str">
        <f t="shared" si="1"/>
        <v>Tháo dây AC70</v>
      </c>
      <c r="BE1" s="2390" t="str">
        <f t="shared" si="1"/>
        <v>Tháo dây AC50</v>
      </c>
      <c r="BF1" s="2390" t="str">
        <f t="shared" si="1"/>
        <v>Nhổ trụ 12m</v>
      </c>
      <c r="BG1" s="2390" t="str">
        <f t="shared" si="1"/>
        <v>Nhổ trụ 7,5m</v>
      </c>
      <c r="BH1" s="2390" t="str">
        <f t="shared" si="1"/>
        <v>Nhổ trụ 8,4m</v>
      </c>
      <c r="BI1" s="2390" t="str">
        <f t="shared" si="1"/>
        <v>Tháo X-composite 0,8m</v>
      </c>
      <c r="BJ1" s="2390" t="str">
        <f t="shared" si="1"/>
        <v>Tháo X-1,66Đ</v>
      </c>
      <c r="BK1" s="2390" t="str">
        <f t="shared" si="1"/>
        <v>Tháo X-1,66K</v>
      </c>
      <c r="BL1" s="2390" t="str">
        <f t="shared" si="1"/>
        <v>Tháo X-2,2K</v>
      </c>
      <c r="BM1" s="2390" t="str">
        <f t="shared" si="1"/>
        <v>Tháo bộ chằng lệch</v>
      </c>
      <c r="BN1" s="2390" t="str">
        <f t="shared" ref="BN1:CS1" si="2">IF(LEN(BN4)&gt;0,BN4,BN3)</f>
        <v>Tháo bộ chằng xuống</v>
      </c>
      <c r="BO1" s="2390" t="str">
        <f t="shared" si="2"/>
        <v>Tháo sứ treo thủy tinh</v>
      </c>
      <c r="BP1" s="2390" t="str">
        <f t="shared" si="2"/>
        <v>Tháo sứ treo Polymer</v>
      </c>
      <c r="BQ1" s="2390" t="str">
        <f t="shared" si="2"/>
        <v>Tháo sứ đứng</v>
      </c>
      <c r="BR1" s="2390" t="str">
        <f t="shared" si="2"/>
        <v>Tháo sứ đỉnh</v>
      </c>
      <c r="BS1" s="2390" t="str">
        <f t="shared" si="2"/>
        <v>Tháo R3 sứ</v>
      </c>
      <c r="BT1" s="2390" t="str">
        <f t="shared" si="2"/>
        <v>Tháo R4 sứ</v>
      </c>
      <c r="BU1" s="2390" t="str">
        <f t="shared" si="2"/>
        <v>Tháo hộp Domino</v>
      </c>
      <c r="BV1" s="2390" t="str">
        <f t="shared" si="2"/>
        <v>Tháo kẹp dừng ABC</v>
      </c>
      <c r="BW1" s="2390" t="str">
        <f t="shared" si="2"/>
        <v>Tháo hộp Kẹp treo ABC</v>
      </c>
      <c r="BX1" s="2390" t="str">
        <f t="shared" si="2"/>
        <v>Tháo tủ hạ thế</v>
      </c>
      <c r="BY1" s="2390" t="str">
        <f t="shared" si="2"/>
        <v>Tháo FCO</v>
      </c>
      <c r="BZ1" s="2390" t="str">
        <f t="shared" si="2"/>
        <v>Tháo LTD</v>
      </c>
      <c r="CA1" s="2390" t="str">
        <f t="shared" si="2"/>
        <v>Tháo LA</v>
      </c>
      <c r="CB1" s="2390" t="str">
        <f t="shared" si="2"/>
        <v>Tháo TBA 1P 75KVA</v>
      </c>
      <c r="CC1" s="2390" t="str">
        <f t="shared" si="2"/>
        <v>Tháo TBA 1P: 100KVA</v>
      </c>
      <c r="CD1" s="2390" t="str">
        <f t="shared" si="2"/>
        <v>Tháo bộ đỡ trung hòa</v>
      </c>
      <c r="CE1" s="2390" t="str">
        <f t="shared" si="2"/>
        <v>Tháo bộ dừng trung hòa</v>
      </c>
      <c r="CF1" s="2390" t="str">
        <f t="shared" si="2"/>
        <v>Lắp X-2,2K</v>
      </c>
      <c r="CG1" s="2390" t="str">
        <f t="shared" si="2"/>
        <v xml:space="preserve"> Lắp X-composite 0,8m</v>
      </c>
      <c r="CH1" s="2390" t="str">
        <f t="shared" si="2"/>
        <v>Lắp sứ treo Polymer</v>
      </c>
      <c r="CI1" s="2390" t="str">
        <f t="shared" si="2"/>
        <v>Lắp sứ đỉnh</v>
      </c>
      <c r="CJ1" s="2390" t="str">
        <f t="shared" si="2"/>
        <v>Lắp R3 sứ</v>
      </c>
      <c r="CK1" s="2390" t="str">
        <f t="shared" si="2"/>
        <v>Lắp R4 sứ</v>
      </c>
      <c r="CL1" s="2390" t="str">
        <f t="shared" si="2"/>
        <v>Lắp hộp Domino</v>
      </c>
      <c r="CM1" s="2390" t="str">
        <f t="shared" si="2"/>
        <v>Lắp kẹp dừng ABC</v>
      </c>
      <c r="CN1" s="2390" t="str">
        <f t="shared" si="2"/>
        <v>Lắp Kẹp treo ABC</v>
      </c>
      <c r="CO1" s="2390" t="str">
        <f t="shared" si="2"/>
        <v>Lắp FCO</v>
      </c>
      <c r="CP1" s="2390" t="str">
        <f t="shared" si="2"/>
        <v>Lắp LTD</v>
      </c>
      <c r="CQ1" s="2390" t="str">
        <f t="shared" si="2"/>
        <v>Lắp LA</v>
      </c>
      <c r="CR1" s="2390" t="str">
        <f t="shared" si="2"/>
        <v>Lắp TBA 1P 75KVA</v>
      </c>
      <c r="CS1" s="2390" t="str">
        <f t="shared" si="2"/>
        <v>Lắp TBA 1P 100KVA</v>
      </c>
      <c r="CT1" s="2390" t="str">
        <f t="shared" ref="CT1:CX1" si="3">IF(LEN(CT4)&gt;0,CT4,CT3)</f>
        <v>Lắp bộ dừng trung hòa</v>
      </c>
      <c r="CU1" s="2390" t="str">
        <f t="shared" si="3"/>
        <v>Bulon 16x200 thu hồi</v>
      </c>
      <c r="CV1" s="2390" t="str">
        <f t="shared" si="3"/>
        <v>Bulon móc 16x200 thu hồi</v>
      </c>
      <c r="CW1" s="2390" t="str">
        <f t="shared" si="3"/>
        <v>Kẹp dừng 3U thu hồi</v>
      </c>
      <c r="CX1" s="2390" t="str">
        <f t="shared" si="3"/>
        <v>GHI CHÚ</v>
      </c>
    </row>
    <row r="2" spans="1:113" s="2296" customFormat="1" ht="30.75" customHeight="1">
      <c r="C2" s="2388">
        <f t="shared" ref="C2:K2" si="4">SUM(C6:C181)</f>
        <v>6338.0000000000018</v>
      </c>
      <c r="D2" s="2388">
        <f t="shared" si="4"/>
        <v>554664.90000000026</v>
      </c>
      <c r="E2" s="2388">
        <f t="shared" si="4"/>
        <v>159</v>
      </c>
      <c r="F2" s="2388">
        <f t="shared" si="4"/>
        <v>12</v>
      </c>
      <c r="G2" s="2388">
        <f t="shared" si="4"/>
        <v>24</v>
      </c>
      <c r="H2" s="2388">
        <f t="shared" si="4"/>
        <v>15</v>
      </c>
      <c r="I2" s="2388">
        <f t="shared" si="4"/>
        <v>59</v>
      </c>
      <c r="J2" s="2388">
        <f t="shared" si="4"/>
        <v>0</v>
      </c>
      <c r="K2" s="2388">
        <f t="shared" si="4"/>
        <v>0</v>
      </c>
      <c r="L2" s="2388">
        <f>SUM(L6:L181)</f>
        <v>94</v>
      </c>
      <c r="M2" s="2388">
        <f t="shared" ref="M2:BB2" si="5">SUM(M6:M181)</f>
        <v>97</v>
      </c>
      <c r="N2" s="2388">
        <f t="shared" si="5"/>
        <v>15</v>
      </c>
      <c r="O2" s="2388">
        <f t="shared" si="5"/>
        <v>37</v>
      </c>
      <c r="P2" s="2388">
        <f t="shared" si="5"/>
        <v>40</v>
      </c>
      <c r="Q2" s="2388">
        <f t="shared" si="5"/>
        <v>10</v>
      </c>
      <c r="R2" s="2388">
        <f t="shared" si="5"/>
        <v>15</v>
      </c>
      <c r="S2" s="2388">
        <f t="shared" si="5"/>
        <v>7</v>
      </c>
      <c r="T2" s="2388">
        <f t="shared" si="5"/>
        <v>3</v>
      </c>
      <c r="U2" s="2388">
        <f t="shared" si="5"/>
        <v>2</v>
      </c>
      <c r="V2" s="2388">
        <f t="shared" si="5"/>
        <v>2</v>
      </c>
      <c r="W2" s="2388">
        <f t="shared" si="5"/>
        <v>1</v>
      </c>
      <c r="X2" s="2388">
        <f t="shared" si="5"/>
        <v>2</v>
      </c>
      <c r="Y2" s="2388">
        <f t="shared" si="5"/>
        <v>15</v>
      </c>
      <c r="Z2" s="2388">
        <f t="shared" si="5"/>
        <v>14</v>
      </c>
      <c r="AA2" s="2388">
        <f t="shared" si="5"/>
        <v>10</v>
      </c>
      <c r="AB2" s="2388">
        <f t="shared" si="5"/>
        <v>5</v>
      </c>
      <c r="AC2" s="2388">
        <f t="shared" si="5"/>
        <v>10</v>
      </c>
      <c r="AD2" s="2388">
        <f t="shared" si="5"/>
        <v>151</v>
      </c>
      <c r="AE2" s="2388">
        <f t="shared" si="5"/>
        <v>8</v>
      </c>
      <c r="AF2" s="2388">
        <f t="shared" si="5"/>
        <v>591</v>
      </c>
      <c r="AG2" s="2388">
        <f t="shared" si="5"/>
        <v>93</v>
      </c>
      <c r="AH2" s="2388">
        <f t="shared" si="5"/>
        <v>0</v>
      </c>
      <c r="AI2" s="2388">
        <f t="shared" si="5"/>
        <v>19</v>
      </c>
      <c r="AJ2" s="2388">
        <f t="shared" si="5"/>
        <v>96</v>
      </c>
      <c r="AK2" s="2388">
        <f t="shared" si="5"/>
        <v>29</v>
      </c>
      <c r="AL2" s="2388">
        <f t="shared" si="5"/>
        <v>163</v>
      </c>
      <c r="AM2" s="2388">
        <f t="shared" si="5"/>
        <v>56</v>
      </c>
      <c r="AN2" s="2388">
        <f t="shared" si="5"/>
        <v>47</v>
      </c>
      <c r="AO2" s="2388">
        <f t="shared" si="5"/>
        <v>10</v>
      </c>
      <c r="AP2" s="2388">
        <f t="shared" si="5"/>
        <v>4</v>
      </c>
      <c r="AQ2" s="2388">
        <f t="shared" si="5"/>
        <v>70</v>
      </c>
      <c r="AR2" s="2388">
        <f t="shared" si="5"/>
        <v>100</v>
      </c>
      <c r="AS2" s="2388">
        <f t="shared" si="5"/>
        <v>48</v>
      </c>
      <c r="AT2" s="2388">
        <f t="shared" si="5"/>
        <v>543</v>
      </c>
      <c r="AU2" s="2388">
        <f t="shared" si="5"/>
        <v>3</v>
      </c>
      <c r="AV2" s="2388">
        <f t="shared" si="5"/>
        <v>6</v>
      </c>
      <c r="AW2" s="2388">
        <f t="shared" si="5"/>
        <v>42</v>
      </c>
      <c r="AX2" s="2388">
        <f t="shared" si="5"/>
        <v>74</v>
      </c>
      <c r="AY2" s="2388">
        <f t="shared" si="5"/>
        <v>3</v>
      </c>
      <c r="AZ2" s="2388">
        <f t="shared" si="5"/>
        <v>347</v>
      </c>
      <c r="BA2" s="2388">
        <f t="shared" si="5"/>
        <v>353</v>
      </c>
      <c r="BB2" s="2388">
        <f t="shared" si="5"/>
        <v>14.699999999999998</v>
      </c>
      <c r="BC2" s="2389"/>
      <c r="BD2" s="2389"/>
      <c r="BE2" s="2389"/>
      <c r="BF2" s="2389"/>
      <c r="BG2" s="2389"/>
      <c r="BH2" s="2389"/>
      <c r="BI2" s="2389"/>
      <c r="BJ2" s="2389"/>
      <c r="BK2" s="2389"/>
      <c r="BL2" s="2389"/>
      <c r="BM2" s="2389"/>
      <c r="BN2" s="2389"/>
      <c r="BO2" s="2389"/>
      <c r="BP2" s="2389"/>
      <c r="BQ2" s="2389"/>
      <c r="BR2" s="2389"/>
      <c r="BS2" s="2389"/>
      <c r="BT2" s="2389"/>
      <c r="BU2" s="2389"/>
      <c r="BV2" s="2389"/>
      <c r="BW2" s="2389"/>
      <c r="BX2" s="2389"/>
      <c r="BY2" s="2389"/>
      <c r="BZ2" s="2389"/>
      <c r="CA2" s="2389"/>
      <c r="CB2" s="2389"/>
      <c r="CC2" s="2389"/>
      <c r="CD2" s="2389"/>
      <c r="CE2" s="2389"/>
      <c r="CF2" s="2389"/>
      <c r="CG2" s="2389"/>
      <c r="CH2" s="2389"/>
      <c r="CI2" s="2389"/>
      <c r="CJ2" s="2389"/>
      <c r="CK2" s="2389"/>
      <c r="CL2" s="2389"/>
      <c r="CM2" s="2389"/>
      <c r="CN2" s="2389"/>
      <c r="CO2" s="2389"/>
      <c r="CP2" s="2389"/>
      <c r="CQ2" s="2389"/>
      <c r="CR2" s="2389"/>
      <c r="CS2" s="2389"/>
      <c r="CT2" s="2389"/>
      <c r="CU2" s="2389"/>
      <c r="CV2" s="2389"/>
      <c r="CW2" s="2389"/>
      <c r="CX2" s="2389"/>
    </row>
    <row r="3" spans="1:113" s="1152" customFormat="1" ht="79.2" customHeight="1">
      <c r="B3" s="2336" t="s">
        <v>3865</v>
      </c>
      <c r="C3" s="2336" t="s">
        <v>5304</v>
      </c>
      <c r="D3" s="2336" t="s">
        <v>5305</v>
      </c>
      <c r="E3" s="2336" t="s">
        <v>5119</v>
      </c>
      <c r="F3" s="2336" t="s">
        <v>5317</v>
      </c>
      <c r="G3" s="2336" t="s">
        <v>5120</v>
      </c>
      <c r="H3" s="2336" t="s">
        <v>5121</v>
      </c>
      <c r="I3" s="2336" t="s">
        <v>5122</v>
      </c>
      <c r="J3" s="2336" t="s">
        <v>5307</v>
      </c>
      <c r="K3" s="2336" t="s">
        <v>5308</v>
      </c>
      <c r="L3" s="2336"/>
      <c r="M3" s="2336"/>
      <c r="N3" s="2336"/>
      <c r="O3" s="2336"/>
      <c r="P3" s="2336"/>
      <c r="Q3" s="2336"/>
      <c r="R3" s="2336"/>
      <c r="S3" s="2336"/>
      <c r="T3" s="2336"/>
      <c r="U3" s="2336"/>
      <c r="V3" s="2336"/>
      <c r="W3" s="2336"/>
      <c r="X3" s="2336" t="s">
        <v>5125</v>
      </c>
      <c r="Y3" s="2336" t="s">
        <v>5126</v>
      </c>
      <c r="Z3" s="2336" t="s">
        <v>5127</v>
      </c>
      <c r="AA3" s="2336" t="s">
        <v>5128</v>
      </c>
      <c r="AB3" s="2336" t="s">
        <v>4175</v>
      </c>
      <c r="AC3" s="2336"/>
      <c r="AD3" s="2336"/>
      <c r="AE3" s="2336"/>
      <c r="AF3" s="2336" t="s">
        <v>3985</v>
      </c>
      <c r="AG3" s="2336" t="s">
        <v>4176</v>
      </c>
      <c r="AH3" s="2336" t="s">
        <v>4177</v>
      </c>
      <c r="AI3" s="2336" t="s">
        <v>5129</v>
      </c>
      <c r="AJ3" s="2336" t="s">
        <v>5130</v>
      </c>
      <c r="AK3" s="2336" t="s">
        <v>5131</v>
      </c>
      <c r="AL3" s="2336" t="s">
        <v>3886</v>
      </c>
      <c r="AM3" s="2336" t="s">
        <v>5132</v>
      </c>
      <c r="AN3" s="2336" t="s">
        <v>409</v>
      </c>
      <c r="AO3" s="2336" t="s">
        <v>3892</v>
      </c>
      <c r="AP3" s="2336" t="s">
        <v>4195</v>
      </c>
      <c r="AQ3" s="2336" t="s">
        <v>3894</v>
      </c>
      <c r="AR3" s="2336" t="s">
        <v>4196</v>
      </c>
      <c r="AS3" s="2336" t="s">
        <v>5133</v>
      </c>
      <c r="AT3" s="2336" t="s">
        <v>5134</v>
      </c>
      <c r="AU3" s="2336" t="s">
        <v>796</v>
      </c>
      <c r="AV3" s="2336" t="s">
        <v>5135</v>
      </c>
      <c r="AW3" s="2336" t="s">
        <v>5136</v>
      </c>
      <c r="AX3" s="2336" t="s">
        <v>5137</v>
      </c>
      <c r="AY3" s="2336" t="s">
        <v>5138</v>
      </c>
      <c r="AZ3" s="2336" t="s">
        <v>5139</v>
      </c>
      <c r="BA3" s="2336" t="s">
        <v>5140</v>
      </c>
      <c r="BB3" s="2336" t="s">
        <v>5141</v>
      </c>
      <c r="BC3" s="2336" t="s">
        <v>5142</v>
      </c>
      <c r="BD3" s="2336"/>
      <c r="BE3" s="2336"/>
      <c r="BF3" s="2336"/>
      <c r="BG3" s="2336"/>
      <c r="BH3" s="2336"/>
      <c r="BI3" s="2336"/>
      <c r="BJ3" s="2336"/>
      <c r="BK3" s="2336"/>
      <c r="BL3" s="2336"/>
      <c r="BM3" s="2336"/>
      <c r="BN3" s="2336"/>
      <c r="BO3" s="2336"/>
      <c r="BP3" s="2336"/>
      <c r="BQ3" s="2336"/>
      <c r="BR3" s="2336"/>
      <c r="BS3" s="2336"/>
      <c r="BT3" s="2336"/>
      <c r="BU3" s="2336"/>
      <c r="BV3" s="2336"/>
      <c r="BW3" s="2336"/>
      <c r="BX3" s="2336"/>
      <c r="BY3" s="2336"/>
      <c r="BZ3" s="2336"/>
      <c r="CA3" s="2336"/>
      <c r="CB3" s="2336"/>
      <c r="CC3" s="2336"/>
      <c r="CD3" s="2336"/>
      <c r="CE3" s="2336"/>
      <c r="CF3" s="2336" t="s">
        <v>5169</v>
      </c>
      <c r="CG3" s="2336"/>
      <c r="CH3" s="2336"/>
      <c r="CI3" s="2336"/>
      <c r="CJ3" s="2336"/>
      <c r="CK3" s="2336"/>
      <c r="CL3" s="2336"/>
      <c r="CM3" s="2336"/>
      <c r="CN3" s="2336"/>
      <c r="CO3" s="2336"/>
      <c r="CP3" s="2336"/>
      <c r="CQ3" s="2336"/>
      <c r="CR3" s="2336"/>
      <c r="CS3" s="2336"/>
      <c r="CT3" s="2336"/>
      <c r="CU3" s="2336" t="s">
        <v>5184</v>
      </c>
      <c r="CV3" s="2336" t="s">
        <v>5185</v>
      </c>
      <c r="CW3" s="2336" t="s">
        <v>5186</v>
      </c>
      <c r="CX3" s="2336" t="s">
        <v>2664</v>
      </c>
      <c r="CZ3" s="1152" t="s">
        <v>5378</v>
      </c>
      <c r="DA3" s="1152" t="s">
        <v>5379</v>
      </c>
      <c r="DB3" s="2386" t="s">
        <v>5409</v>
      </c>
      <c r="DC3" s="2385" t="s">
        <v>5410</v>
      </c>
      <c r="DD3" s="2385" t="s">
        <v>5371</v>
      </c>
    </row>
    <row r="4" spans="1:113" s="1152" customFormat="1" ht="31.2" customHeight="1">
      <c r="B4" s="2337"/>
      <c r="C4" s="2337"/>
      <c r="D4" s="2337"/>
      <c r="E4" s="2337"/>
      <c r="F4" s="2337"/>
      <c r="G4" s="2337"/>
      <c r="H4" s="2337"/>
      <c r="I4" s="2337"/>
      <c r="J4" s="2337"/>
      <c r="K4" s="2337"/>
      <c r="L4" s="2337" t="s">
        <v>4815</v>
      </c>
      <c r="M4" s="2337" t="s">
        <v>5123</v>
      </c>
      <c r="N4" s="2337" t="s">
        <v>5124</v>
      </c>
      <c r="O4" s="2337" t="s">
        <v>220</v>
      </c>
      <c r="P4" s="2337" t="s">
        <v>304</v>
      </c>
      <c r="Q4" s="2337" t="s">
        <v>2369</v>
      </c>
      <c r="R4" s="2337" t="s">
        <v>653</v>
      </c>
      <c r="S4" s="2337" t="s">
        <v>668</v>
      </c>
      <c r="T4" s="2337" t="s">
        <v>669</v>
      </c>
      <c r="U4" s="2337" t="s">
        <v>671</v>
      </c>
      <c r="V4" s="2337" t="s">
        <v>930</v>
      </c>
      <c r="W4" s="2337" t="s">
        <v>757</v>
      </c>
      <c r="X4" s="2337" t="s">
        <v>1544</v>
      </c>
      <c r="Y4" s="2337"/>
      <c r="Z4" s="2337"/>
      <c r="AA4" s="2337"/>
      <c r="AB4" s="2337" t="s">
        <v>2358</v>
      </c>
      <c r="AC4" s="2337" t="s">
        <v>536</v>
      </c>
      <c r="AD4" s="2337" t="s">
        <v>2356</v>
      </c>
      <c r="AE4" s="2337" t="s">
        <v>2181</v>
      </c>
      <c r="AF4" s="2337" t="s">
        <v>5309</v>
      </c>
      <c r="AG4" s="2337"/>
      <c r="AH4" s="2337"/>
      <c r="AI4" s="2337"/>
      <c r="AJ4" s="2337"/>
      <c r="AK4" s="2337"/>
      <c r="AL4" s="2337"/>
      <c r="AM4" s="2337"/>
      <c r="AN4" s="2337"/>
      <c r="AO4" s="2337"/>
      <c r="AP4" s="2337"/>
      <c r="AQ4" s="2337"/>
      <c r="AR4" s="2337"/>
      <c r="AS4" s="2337"/>
      <c r="AT4" s="2337"/>
      <c r="AU4" s="2337"/>
      <c r="AV4" s="2337"/>
      <c r="AW4" s="2337"/>
      <c r="AX4" s="2337"/>
      <c r="AY4" s="2337"/>
      <c r="AZ4" s="2337"/>
      <c r="BA4" s="2337"/>
      <c r="BB4" s="2337"/>
      <c r="BC4" s="2337" t="s">
        <v>5143</v>
      </c>
      <c r="BD4" s="2337" t="s">
        <v>5144</v>
      </c>
      <c r="BE4" s="2337" t="s">
        <v>5145</v>
      </c>
      <c r="BF4" s="2337" t="s">
        <v>5146</v>
      </c>
      <c r="BG4" s="2337" t="s">
        <v>5147</v>
      </c>
      <c r="BH4" s="2337" t="s">
        <v>2466</v>
      </c>
      <c r="BI4" s="2337" t="s">
        <v>5148</v>
      </c>
      <c r="BJ4" s="2337" t="s">
        <v>5149</v>
      </c>
      <c r="BK4" s="2337" t="s">
        <v>5150</v>
      </c>
      <c r="BL4" s="2337" t="s">
        <v>5151</v>
      </c>
      <c r="BM4" s="2337" t="s">
        <v>5152</v>
      </c>
      <c r="BN4" s="2337" t="s">
        <v>5153</v>
      </c>
      <c r="BO4" s="2337" t="s">
        <v>5154</v>
      </c>
      <c r="BP4" s="2337" t="s">
        <v>5155</v>
      </c>
      <c r="BQ4" s="2337" t="s">
        <v>2612</v>
      </c>
      <c r="BR4" s="2337" t="s">
        <v>5156</v>
      </c>
      <c r="BS4" s="2337" t="s">
        <v>5157</v>
      </c>
      <c r="BT4" s="2337" t="s">
        <v>5158</v>
      </c>
      <c r="BU4" s="2337" t="s">
        <v>5159</v>
      </c>
      <c r="BV4" s="2337" t="s">
        <v>5160</v>
      </c>
      <c r="BW4" s="2337" t="s">
        <v>5161</v>
      </c>
      <c r="BX4" s="2337" t="s">
        <v>5162</v>
      </c>
      <c r="BY4" s="2337" t="s">
        <v>4214</v>
      </c>
      <c r="BZ4" s="2337" t="s">
        <v>5163</v>
      </c>
      <c r="CA4" s="2337" t="s">
        <v>5164</v>
      </c>
      <c r="CB4" s="2337" t="s">
        <v>5165</v>
      </c>
      <c r="CC4" s="2337" t="s">
        <v>5166</v>
      </c>
      <c r="CD4" s="2337" t="s">
        <v>5167</v>
      </c>
      <c r="CE4" s="2337" t="s">
        <v>5168</v>
      </c>
      <c r="CF4" s="2337" t="s">
        <v>5170</v>
      </c>
      <c r="CG4" s="2337" t="s">
        <v>5171</v>
      </c>
      <c r="CH4" s="2337" t="s">
        <v>5172</v>
      </c>
      <c r="CI4" s="2337" t="s">
        <v>5173</v>
      </c>
      <c r="CJ4" s="2337" t="s">
        <v>5174</v>
      </c>
      <c r="CK4" s="2337" t="s">
        <v>5175</v>
      </c>
      <c r="CL4" s="2337" t="s">
        <v>5176</v>
      </c>
      <c r="CM4" s="2337" t="s">
        <v>5177</v>
      </c>
      <c r="CN4" s="2337" t="s">
        <v>5178</v>
      </c>
      <c r="CO4" s="2337" t="s">
        <v>5179</v>
      </c>
      <c r="CP4" s="2337" t="s">
        <v>5180</v>
      </c>
      <c r="CQ4" s="2337" t="s">
        <v>3371</v>
      </c>
      <c r="CR4" s="2337" t="s">
        <v>5181</v>
      </c>
      <c r="CS4" s="2337" t="s">
        <v>5182</v>
      </c>
      <c r="CT4" s="2337" t="s">
        <v>5183</v>
      </c>
      <c r="CU4" s="2337"/>
      <c r="CV4" s="2337"/>
      <c r="CW4" s="2337"/>
      <c r="CX4" s="2337"/>
      <c r="CY4" s="1152" t="s">
        <v>515</v>
      </c>
      <c r="DA4" s="1152" t="s">
        <v>515</v>
      </c>
      <c r="DB4" s="1152" t="s">
        <v>515</v>
      </c>
      <c r="DC4" s="1152" t="s">
        <v>515</v>
      </c>
      <c r="DD4" s="1152" t="s">
        <v>515</v>
      </c>
      <c r="DE4" s="1152" t="s">
        <v>515</v>
      </c>
      <c r="DF4" s="1152" t="s">
        <v>515</v>
      </c>
      <c r="DG4" s="1152" t="s">
        <v>515</v>
      </c>
      <c r="DH4" s="1152" t="s">
        <v>515</v>
      </c>
      <c r="DI4" s="1152" t="s">
        <v>515</v>
      </c>
    </row>
    <row r="5" spans="1:113">
      <c r="B5" s="2338" t="s">
        <v>5310</v>
      </c>
      <c r="C5" s="2339"/>
      <c r="D5" s="2339"/>
      <c r="E5" s="2339"/>
      <c r="F5" s="2339"/>
      <c r="G5" s="2339"/>
      <c r="H5" s="2339"/>
      <c r="I5" s="2339"/>
      <c r="J5" s="2339"/>
      <c r="K5" s="2339"/>
      <c r="L5" s="2339"/>
      <c r="M5" s="2339"/>
      <c r="N5" s="2339"/>
      <c r="O5" s="2339"/>
      <c r="P5" s="2339"/>
      <c r="Q5" s="2339"/>
      <c r="R5" s="2339"/>
      <c r="S5" s="2339"/>
      <c r="T5" s="2339"/>
      <c r="U5" s="2339"/>
      <c r="V5" s="2339"/>
      <c r="W5" s="2339"/>
      <c r="X5" s="2339"/>
      <c r="Y5" s="2339"/>
      <c r="Z5" s="2339"/>
      <c r="AA5" s="2339"/>
      <c r="AB5" s="2339"/>
      <c r="AC5" s="2339"/>
      <c r="AD5" s="2339"/>
      <c r="AE5" s="2339"/>
      <c r="AF5" s="2339"/>
      <c r="AG5" s="2339"/>
      <c r="AH5" s="2339"/>
      <c r="AI5" s="2339"/>
      <c r="AJ5" s="2339"/>
      <c r="AK5" s="2339"/>
      <c r="AL5" s="2339"/>
      <c r="AM5" s="2339"/>
      <c r="AN5" s="2339"/>
      <c r="AO5" s="2339"/>
      <c r="AP5" s="2339"/>
      <c r="AQ5" s="2339"/>
      <c r="AR5" s="2339"/>
      <c r="AS5" s="2339"/>
      <c r="AT5" s="2339"/>
      <c r="AU5" s="2339"/>
      <c r="AV5" s="2339"/>
      <c r="AW5" s="2339"/>
      <c r="AX5" s="2339"/>
      <c r="AY5" s="2339"/>
      <c r="AZ5" s="2339"/>
      <c r="BA5" s="2339"/>
      <c r="BB5" s="2339"/>
      <c r="BC5" s="2339"/>
      <c r="BD5" s="2339"/>
      <c r="BE5" s="2339"/>
      <c r="BF5" s="2339"/>
      <c r="BG5" s="2339"/>
      <c r="BH5" s="2339"/>
      <c r="BI5" s="2339"/>
      <c r="BJ5" s="2339"/>
      <c r="BK5" s="2339"/>
      <c r="BL5" s="2339"/>
      <c r="BM5" s="2339"/>
      <c r="BN5" s="2339"/>
      <c r="BO5" s="2339"/>
      <c r="BP5" s="2339"/>
      <c r="BQ5" s="2339"/>
      <c r="BR5" s="2339"/>
      <c r="BS5" s="2339"/>
      <c r="BT5" s="2339"/>
      <c r="BU5" s="2339"/>
      <c r="BV5" s="2339"/>
      <c r="BW5" s="2339"/>
      <c r="BX5" s="2339"/>
      <c r="BY5" s="2339"/>
      <c r="BZ5" s="2339"/>
      <c r="CA5" s="2339"/>
      <c r="CB5" s="2339"/>
      <c r="CC5" s="2339"/>
      <c r="CD5" s="2339"/>
      <c r="CE5" s="2339"/>
      <c r="CF5" s="2339"/>
      <c r="CG5" s="2339"/>
      <c r="CH5" s="2339"/>
      <c r="CI5" s="2339"/>
      <c r="CJ5" s="2339"/>
      <c r="CK5" s="2339"/>
      <c r="CL5" s="2339"/>
      <c r="CM5" s="2339"/>
      <c r="CN5" s="2339"/>
      <c r="CO5" s="2339"/>
      <c r="CP5" s="2339"/>
      <c r="CQ5" s="2339"/>
      <c r="CR5" s="2339"/>
      <c r="CS5" s="2339"/>
      <c r="CT5" s="2339"/>
      <c r="CU5" s="2339"/>
      <c r="CV5" s="2339"/>
      <c r="CW5" s="2339"/>
      <c r="CX5" s="2339"/>
    </row>
    <row r="6" spans="1:113">
      <c r="B6" s="2339">
        <v>89</v>
      </c>
      <c r="C6" s="2339"/>
      <c r="D6" s="2339"/>
      <c r="E6" s="2339"/>
      <c r="F6" s="2339"/>
      <c r="G6" s="2339"/>
      <c r="H6" s="2339"/>
      <c r="I6" s="2339"/>
      <c r="J6" s="2339" t="s">
        <v>550</v>
      </c>
      <c r="K6" s="2339" t="s">
        <v>550</v>
      </c>
      <c r="L6" s="2339">
        <v>2</v>
      </c>
      <c r="M6" s="2339"/>
      <c r="N6" s="2339"/>
      <c r="O6" s="2339"/>
      <c r="P6" s="2339"/>
      <c r="Q6" s="2339"/>
      <c r="R6" s="2339"/>
      <c r="S6" s="2339"/>
      <c r="T6" s="2339"/>
      <c r="U6" s="2339"/>
      <c r="V6" s="2339"/>
      <c r="W6" s="2339"/>
      <c r="X6" s="2339"/>
      <c r="Y6" s="2339"/>
      <c r="Z6" s="2339">
        <v>1</v>
      </c>
      <c r="AA6" s="2339"/>
      <c r="AB6" s="2339"/>
      <c r="AC6" s="2339"/>
      <c r="AD6" s="2339"/>
      <c r="AE6" s="2339"/>
      <c r="AF6" s="2339"/>
      <c r="AG6" s="2339">
        <v>3</v>
      </c>
      <c r="AH6" s="2339"/>
      <c r="AI6" s="2339"/>
      <c r="AJ6" s="2339">
        <v>3</v>
      </c>
      <c r="AK6" s="2339">
        <v>1</v>
      </c>
      <c r="AL6" s="2339"/>
      <c r="AM6" s="2339"/>
      <c r="AN6" s="2339"/>
      <c r="AO6" s="2339"/>
      <c r="AP6" s="2339"/>
      <c r="AQ6" s="2339">
        <v>2</v>
      </c>
      <c r="AR6" s="2339">
        <v>12</v>
      </c>
      <c r="AS6" s="2339"/>
      <c r="AT6" s="2339"/>
      <c r="AU6" s="2339"/>
      <c r="AV6" s="2339"/>
      <c r="AW6" s="2339"/>
      <c r="AX6" s="2339"/>
      <c r="AY6" s="2339"/>
      <c r="AZ6" s="2339"/>
      <c r="BA6" s="2339"/>
      <c r="BB6" s="2339"/>
      <c r="BC6" s="2339"/>
      <c r="BD6" s="2339"/>
      <c r="BE6" s="2339"/>
      <c r="BF6" s="2339"/>
      <c r="BG6" s="2339"/>
      <c r="BH6" s="2339"/>
      <c r="BI6" s="2339"/>
      <c r="BJ6" s="2339"/>
      <c r="BK6" s="2339"/>
      <c r="BL6" s="2339"/>
      <c r="BM6" s="2339"/>
      <c r="BN6" s="2339"/>
      <c r="BO6" s="2339">
        <v>3</v>
      </c>
      <c r="BP6" s="2339"/>
      <c r="BQ6" s="2339"/>
      <c r="BR6" s="2339"/>
      <c r="BS6" s="2339"/>
      <c r="BT6" s="2339"/>
      <c r="BU6" s="2339"/>
      <c r="BV6" s="2339"/>
      <c r="BW6" s="2339"/>
      <c r="BX6" s="2339"/>
      <c r="BY6" s="2339"/>
      <c r="BZ6" s="2339">
        <v>3</v>
      </c>
      <c r="CA6" s="2339"/>
      <c r="CB6" s="2339"/>
      <c r="CC6" s="2339"/>
      <c r="CD6" s="2339"/>
      <c r="CE6" s="2339"/>
      <c r="CF6" s="2339"/>
      <c r="CG6" s="2339"/>
      <c r="CH6" s="2339"/>
      <c r="CI6" s="2339"/>
      <c r="CJ6" s="2339"/>
      <c r="CK6" s="2339"/>
      <c r="CL6" s="2339"/>
      <c r="CM6" s="2339"/>
      <c r="CN6" s="2339"/>
      <c r="CO6" s="2339"/>
      <c r="CP6" s="2339"/>
      <c r="CQ6" s="2339"/>
      <c r="CR6" s="2339"/>
      <c r="CS6" s="2339"/>
      <c r="CT6" s="2339"/>
      <c r="CU6" s="2339"/>
      <c r="CV6" s="2339"/>
      <c r="CW6" s="2339"/>
      <c r="CX6" s="2339" t="s">
        <v>5205</v>
      </c>
      <c r="CZ6" s="1516">
        <v>1</v>
      </c>
      <c r="DB6">
        <v>1</v>
      </c>
      <c r="DD6">
        <v>1</v>
      </c>
    </row>
    <row r="7" spans="1:113">
      <c r="A7" s="1516"/>
      <c r="B7" s="2339" t="s">
        <v>5206</v>
      </c>
      <c r="C7" s="2339">
        <v>28</v>
      </c>
      <c r="D7" s="2339">
        <v>28</v>
      </c>
      <c r="E7" s="2339"/>
      <c r="F7" s="2339"/>
      <c r="G7" s="2339">
        <v>12</v>
      </c>
      <c r="H7" s="2339">
        <v>6</v>
      </c>
      <c r="I7" s="2339"/>
      <c r="J7" s="2339"/>
      <c r="K7" s="2339" t="s">
        <v>550</v>
      </c>
      <c r="L7" s="2339"/>
      <c r="M7" s="2339">
        <v>2</v>
      </c>
      <c r="N7" s="2339"/>
      <c r="O7" s="2339"/>
      <c r="P7" s="2339"/>
      <c r="Q7" s="2339">
        <v>1</v>
      </c>
      <c r="R7" s="2339"/>
      <c r="S7" s="2339"/>
      <c r="T7" s="2339"/>
      <c r="U7" s="2339"/>
      <c r="V7" s="2339"/>
      <c r="W7" s="2339"/>
      <c r="X7" s="2339"/>
      <c r="Y7" s="2339"/>
      <c r="Z7" s="2339"/>
      <c r="AA7" s="2339"/>
      <c r="AB7" s="2339"/>
      <c r="AC7" s="2339">
        <v>1</v>
      </c>
      <c r="AD7" s="2339"/>
      <c r="AE7" s="2339"/>
      <c r="AF7" s="2339">
        <v>6</v>
      </c>
      <c r="AG7" s="2339">
        <v>9</v>
      </c>
      <c r="AH7" s="2339"/>
      <c r="AI7" s="2339"/>
      <c r="AJ7" s="2339">
        <v>6</v>
      </c>
      <c r="AK7" s="2339"/>
      <c r="AL7" s="2339">
        <v>1</v>
      </c>
      <c r="AM7" s="2339"/>
      <c r="AN7" s="2339"/>
      <c r="AO7" s="2339"/>
      <c r="AP7" s="2339"/>
      <c r="AQ7" s="2339"/>
      <c r="AR7" s="2339">
        <v>6</v>
      </c>
      <c r="AS7" s="2339"/>
      <c r="AT7" s="2339">
        <v>6</v>
      </c>
      <c r="AU7" s="2339"/>
      <c r="AV7" s="2339"/>
      <c r="AW7" s="2339"/>
      <c r="AX7" s="2339">
        <v>2</v>
      </c>
      <c r="AY7" s="2339"/>
      <c r="AZ7" s="2339">
        <v>4</v>
      </c>
      <c r="BA7" s="2339">
        <v>5</v>
      </c>
      <c r="BB7" s="2339"/>
      <c r="BC7" s="2339">
        <v>84</v>
      </c>
      <c r="BD7" s="2339"/>
      <c r="BE7" s="2339">
        <v>0</v>
      </c>
      <c r="BF7" s="2339"/>
      <c r="BG7" s="2339"/>
      <c r="BH7" s="2339">
        <v>1</v>
      </c>
      <c r="BI7" s="2339"/>
      <c r="BJ7" s="2339"/>
      <c r="BK7" s="2339"/>
      <c r="BL7" s="2339"/>
      <c r="BM7" s="2339"/>
      <c r="BN7" s="2339"/>
      <c r="BO7" s="2339"/>
      <c r="BP7" s="2339"/>
      <c r="BQ7" s="2339"/>
      <c r="BR7" s="2339"/>
      <c r="BS7" s="2339"/>
      <c r="BT7" s="2339">
        <v>1</v>
      </c>
      <c r="BU7" s="2339">
        <v>1</v>
      </c>
      <c r="BV7" s="2339"/>
      <c r="BW7" s="2339"/>
      <c r="BX7" s="2339"/>
      <c r="BY7" s="2339"/>
      <c r="BZ7" s="2339"/>
      <c r="CA7" s="2339"/>
      <c r="CB7" s="2339"/>
      <c r="CC7" s="2339"/>
      <c r="CD7" s="2339"/>
      <c r="CE7" s="2339"/>
      <c r="CF7" s="2339"/>
      <c r="CG7" s="2339"/>
      <c r="CH7" s="2339"/>
      <c r="CI7" s="2339"/>
      <c r="CJ7" s="2339">
        <v>0</v>
      </c>
      <c r="CK7" s="2339">
        <v>1</v>
      </c>
      <c r="CL7" s="2339">
        <v>1</v>
      </c>
      <c r="CM7" s="2339">
        <v>0</v>
      </c>
      <c r="CN7" s="2339">
        <v>0</v>
      </c>
      <c r="CO7" s="2339"/>
      <c r="CP7" s="2339">
        <v>3</v>
      </c>
      <c r="CQ7" s="2339"/>
      <c r="CR7" s="2339"/>
      <c r="CS7" s="2339"/>
      <c r="CT7" s="2339"/>
      <c r="CU7" s="2339">
        <v>2</v>
      </c>
      <c r="CV7" s="2339"/>
      <c r="CW7" s="2339"/>
      <c r="CX7" s="2339"/>
      <c r="CZ7" s="1516">
        <v>1</v>
      </c>
      <c r="DB7" s="1516">
        <v>1</v>
      </c>
      <c r="DD7" s="1516">
        <v>1</v>
      </c>
    </row>
    <row r="8" spans="1:113">
      <c r="A8" s="1516"/>
      <c r="B8" s="2339">
        <v>90</v>
      </c>
      <c r="C8" s="2339">
        <v>28.9</v>
      </c>
      <c r="D8" s="2339">
        <v>56.9</v>
      </c>
      <c r="E8" s="2339"/>
      <c r="F8" s="2339"/>
      <c r="G8" s="2339"/>
      <c r="H8" s="2339"/>
      <c r="I8" s="2339"/>
      <c r="J8" s="2339" t="s">
        <v>4512</v>
      </c>
      <c r="K8" s="2339" t="s">
        <v>4512</v>
      </c>
      <c r="L8" s="2339">
        <v>1</v>
      </c>
      <c r="M8" s="2339"/>
      <c r="N8" s="2339"/>
      <c r="O8" s="2339"/>
      <c r="P8" s="2339"/>
      <c r="Q8" s="2339"/>
      <c r="R8" s="2339"/>
      <c r="S8" s="2339"/>
      <c r="T8" s="2339">
        <v>1</v>
      </c>
      <c r="U8" s="2339"/>
      <c r="V8" s="2339"/>
      <c r="W8" s="2339"/>
      <c r="X8" s="2339"/>
      <c r="Y8" s="2339"/>
      <c r="Z8" s="2339"/>
      <c r="AA8" s="2339"/>
      <c r="AB8" s="2339"/>
      <c r="AC8" s="2339"/>
      <c r="AD8" s="2339"/>
      <c r="AE8" s="2339">
        <v>1</v>
      </c>
      <c r="AF8" s="2339">
        <v>6</v>
      </c>
      <c r="AG8" s="2339"/>
      <c r="AH8" s="2339"/>
      <c r="AI8" s="2339"/>
      <c r="AJ8" s="2339"/>
      <c r="AK8" s="2339"/>
      <c r="AL8" s="2339">
        <v>1</v>
      </c>
      <c r="AM8" s="2339">
        <v>3</v>
      </c>
      <c r="AN8" s="2339"/>
      <c r="AO8" s="2339"/>
      <c r="AP8" s="2339"/>
      <c r="AQ8" s="2339"/>
      <c r="AR8" s="2339"/>
      <c r="AS8" s="2339">
        <v>6</v>
      </c>
      <c r="AT8" s="2339"/>
      <c r="AU8" s="2339"/>
      <c r="AV8" s="2339"/>
      <c r="AW8" s="2339"/>
      <c r="AX8" s="2339"/>
      <c r="AY8" s="2339"/>
      <c r="AZ8" s="2339"/>
      <c r="BA8" s="2339"/>
      <c r="BB8" s="2339"/>
      <c r="BC8" s="2339">
        <v>86.7</v>
      </c>
      <c r="BD8" s="2339"/>
      <c r="BE8" s="2339">
        <v>0</v>
      </c>
      <c r="BF8" s="2339"/>
      <c r="BG8" s="2339"/>
      <c r="BH8" s="2339"/>
      <c r="BI8" s="2339"/>
      <c r="BJ8" s="2339"/>
      <c r="BK8" s="2339">
        <v>1</v>
      </c>
      <c r="BL8" s="2339"/>
      <c r="BM8" s="2339">
        <v>1</v>
      </c>
      <c r="BN8" s="2339">
        <v>0</v>
      </c>
      <c r="BO8" s="2339"/>
      <c r="BP8" s="2339"/>
      <c r="BQ8" s="2339">
        <v>4</v>
      </c>
      <c r="BR8" s="2339">
        <v>2</v>
      </c>
      <c r="BS8" s="2339"/>
      <c r="BT8" s="2339"/>
      <c r="BU8" s="2339"/>
      <c r="BV8" s="2339"/>
      <c r="BW8" s="2339"/>
      <c r="BX8" s="2339"/>
      <c r="BY8" s="2339"/>
      <c r="BZ8" s="2339"/>
      <c r="CA8" s="2339"/>
      <c r="CB8" s="2339"/>
      <c r="CC8" s="2339"/>
      <c r="CD8" s="2339">
        <v>1</v>
      </c>
      <c r="CE8" s="2339"/>
      <c r="CF8" s="2339"/>
      <c r="CG8" s="2339"/>
      <c r="CH8" s="2339"/>
      <c r="CI8" s="2339"/>
      <c r="CJ8" s="2339"/>
      <c r="CK8" s="2339"/>
      <c r="CL8" s="2339">
        <v>0</v>
      </c>
      <c r="CM8" s="2339"/>
      <c r="CN8" s="2339"/>
      <c r="CO8" s="2339"/>
      <c r="CP8" s="2339"/>
      <c r="CQ8" s="2339"/>
      <c r="CR8" s="2339"/>
      <c r="CS8" s="2339"/>
      <c r="CT8" s="2339"/>
      <c r="CU8" s="2339"/>
      <c r="CV8" s="2339"/>
      <c r="CW8" s="2339">
        <v>0</v>
      </c>
      <c r="CX8" s="2339"/>
      <c r="CZ8" s="1516">
        <v>1</v>
      </c>
      <c r="DB8" s="1516">
        <v>1</v>
      </c>
      <c r="DD8" s="1516">
        <v>1</v>
      </c>
    </row>
    <row r="9" spans="1:113">
      <c r="A9" s="1516"/>
      <c r="B9" s="2339" t="s">
        <v>5207</v>
      </c>
      <c r="C9" s="2339">
        <v>35</v>
      </c>
      <c r="D9" s="2339">
        <v>91.9</v>
      </c>
      <c r="E9" s="2339"/>
      <c r="F9" s="2339"/>
      <c r="G9" s="2339"/>
      <c r="H9" s="2339"/>
      <c r="I9" s="2339"/>
      <c r="J9" s="2339"/>
      <c r="K9" s="2339" t="s">
        <v>504</v>
      </c>
      <c r="L9" s="2339"/>
      <c r="M9" s="2339">
        <v>1</v>
      </c>
      <c r="N9" s="2339"/>
      <c r="O9" s="2339">
        <v>1</v>
      </c>
      <c r="P9" s="2339"/>
      <c r="Q9" s="2339"/>
      <c r="R9" s="2339"/>
      <c r="S9" s="2339"/>
      <c r="T9" s="2339"/>
      <c r="U9" s="2339"/>
      <c r="V9" s="2339"/>
      <c r="W9" s="2339"/>
      <c r="X9" s="2339"/>
      <c r="Y9" s="2339"/>
      <c r="Z9" s="2339"/>
      <c r="AA9" s="2339"/>
      <c r="AB9" s="2339"/>
      <c r="AC9" s="2339"/>
      <c r="AD9" s="2339">
        <v>1</v>
      </c>
      <c r="AE9" s="2339"/>
      <c r="AF9" s="2339">
        <v>3</v>
      </c>
      <c r="AG9" s="2339"/>
      <c r="AH9" s="2339"/>
      <c r="AI9" s="2339"/>
      <c r="AJ9" s="2339"/>
      <c r="AK9" s="2339"/>
      <c r="AL9" s="2339">
        <v>1</v>
      </c>
      <c r="AM9" s="2339"/>
      <c r="AN9" s="2339"/>
      <c r="AO9" s="2339"/>
      <c r="AP9" s="2339"/>
      <c r="AQ9" s="2339"/>
      <c r="AR9" s="2339"/>
      <c r="AS9" s="2339"/>
      <c r="AT9" s="2339">
        <v>3</v>
      </c>
      <c r="AU9" s="2339"/>
      <c r="AV9" s="2339"/>
      <c r="AW9" s="2339"/>
      <c r="AX9" s="2339">
        <v>2</v>
      </c>
      <c r="AY9" s="2339"/>
      <c r="AZ9" s="2339">
        <v>10</v>
      </c>
      <c r="BA9" s="2339">
        <v>10</v>
      </c>
      <c r="BB9" s="2339"/>
      <c r="BC9" s="2339">
        <v>105</v>
      </c>
      <c r="BD9" s="2339"/>
      <c r="BE9" s="2339">
        <v>0</v>
      </c>
      <c r="BF9" s="2339"/>
      <c r="BG9" s="2339"/>
      <c r="BH9" s="2339">
        <v>1</v>
      </c>
      <c r="BI9" s="2339"/>
      <c r="BJ9" s="2339"/>
      <c r="BK9" s="2339"/>
      <c r="BL9" s="2339"/>
      <c r="BM9" s="2339">
        <v>0</v>
      </c>
      <c r="BN9" s="2339">
        <v>0</v>
      </c>
      <c r="BO9" s="2339"/>
      <c r="BP9" s="2339"/>
      <c r="BQ9" s="2339"/>
      <c r="BR9" s="2339"/>
      <c r="BS9" s="2339"/>
      <c r="BT9" s="2339">
        <v>1</v>
      </c>
      <c r="BU9" s="2339">
        <v>2</v>
      </c>
      <c r="BV9" s="2339"/>
      <c r="BW9" s="2339"/>
      <c r="BX9" s="2339"/>
      <c r="BY9" s="2339"/>
      <c r="BZ9" s="2339"/>
      <c r="CA9" s="2339"/>
      <c r="CB9" s="2339"/>
      <c r="CC9" s="2339"/>
      <c r="CD9" s="2339"/>
      <c r="CE9" s="2339"/>
      <c r="CF9" s="2339"/>
      <c r="CG9" s="2339"/>
      <c r="CH9" s="2339"/>
      <c r="CI9" s="2339"/>
      <c r="CJ9" s="2339">
        <v>0</v>
      </c>
      <c r="CK9" s="2339">
        <v>1</v>
      </c>
      <c r="CL9" s="2339">
        <v>2</v>
      </c>
      <c r="CM9" s="2339">
        <v>0</v>
      </c>
      <c r="CN9" s="2339">
        <v>0</v>
      </c>
      <c r="CO9" s="2339"/>
      <c r="CP9" s="2339"/>
      <c r="CQ9" s="2339"/>
      <c r="CR9" s="2339"/>
      <c r="CS9" s="2339"/>
      <c r="CT9" s="2339"/>
      <c r="CU9" s="2339">
        <v>2</v>
      </c>
      <c r="CV9" s="2339"/>
      <c r="CW9" s="2339">
        <v>0</v>
      </c>
      <c r="CX9" s="2339"/>
      <c r="CZ9" s="1516">
        <v>1</v>
      </c>
      <c r="DB9" s="1516">
        <v>1</v>
      </c>
      <c r="DD9" s="1516">
        <v>1</v>
      </c>
    </row>
    <row r="10" spans="1:113">
      <c r="A10" s="1516"/>
      <c r="B10" s="2339">
        <v>91</v>
      </c>
      <c r="C10" s="2339">
        <v>33.9</v>
      </c>
      <c r="D10" s="2339">
        <v>125.8</v>
      </c>
      <c r="E10" s="2339"/>
      <c r="F10" s="2339"/>
      <c r="G10" s="2339"/>
      <c r="H10" s="2339"/>
      <c r="I10" s="2339"/>
      <c r="J10" s="2339" t="s">
        <v>504</v>
      </c>
      <c r="K10" s="2339" t="s">
        <v>504</v>
      </c>
      <c r="L10" s="2339">
        <v>1</v>
      </c>
      <c r="M10" s="2339"/>
      <c r="N10" s="2339"/>
      <c r="O10" s="2339"/>
      <c r="P10" s="2339"/>
      <c r="Q10" s="2339"/>
      <c r="R10" s="2339"/>
      <c r="S10" s="2339"/>
      <c r="T10" s="2339"/>
      <c r="U10" s="2339"/>
      <c r="V10" s="2339"/>
      <c r="W10" s="2339"/>
      <c r="X10" s="2339"/>
      <c r="Y10" s="2339"/>
      <c r="Z10" s="2339">
        <v>1</v>
      </c>
      <c r="AA10" s="2339"/>
      <c r="AB10" s="2339"/>
      <c r="AC10" s="2339"/>
      <c r="AD10" s="2339">
        <v>1</v>
      </c>
      <c r="AE10" s="2339"/>
      <c r="AF10" s="2339">
        <v>3</v>
      </c>
      <c r="AG10" s="2339"/>
      <c r="AH10" s="2339"/>
      <c r="AI10" s="2339"/>
      <c r="AJ10" s="2339"/>
      <c r="AK10" s="2339"/>
      <c r="AL10" s="2339">
        <v>1</v>
      </c>
      <c r="AM10" s="2339"/>
      <c r="AN10" s="2339"/>
      <c r="AO10" s="2339"/>
      <c r="AP10" s="2339"/>
      <c r="AQ10" s="2339"/>
      <c r="AR10" s="2339"/>
      <c r="AS10" s="2339"/>
      <c r="AT10" s="2339">
        <v>3</v>
      </c>
      <c r="AU10" s="2339"/>
      <c r="AV10" s="2339"/>
      <c r="AW10" s="2339"/>
      <c r="AX10" s="2339"/>
      <c r="AY10" s="2339"/>
      <c r="AZ10" s="2339"/>
      <c r="BA10" s="2339"/>
      <c r="BB10" s="2339"/>
      <c r="BC10" s="2339">
        <v>101.7</v>
      </c>
      <c r="BD10" s="2339"/>
      <c r="BE10" s="2339">
        <v>0</v>
      </c>
      <c r="BF10" s="2339"/>
      <c r="BG10" s="2339"/>
      <c r="BH10" s="2339"/>
      <c r="BI10" s="2339"/>
      <c r="BJ10" s="2339">
        <v>1</v>
      </c>
      <c r="BK10" s="2339"/>
      <c r="BL10" s="2339"/>
      <c r="BM10" s="2339">
        <v>0</v>
      </c>
      <c r="BN10" s="2339">
        <v>0</v>
      </c>
      <c r="BO10" s="2339"/>
      <c r="BP10" s="2339"/>
      <c r="BQ10" s="2339">
        <v>2</v>
      </c>
      <c r="BR10" s="2339">
        <v>1</v>
      </c>
      <c r="BS10" s="2339"/>
      <c r="BT10" s="2339"/>
      <c r="BU10" s="2339"/>
      <c r="BV10" s="2339"/>
      <c r="BW10" s="2339"/>
      <c r="BX10" s="2339"/>
      <c r="BY10" s="2339"/>
      <c r="BZ10" s="2339"/>
      <c r="CA10" s="2339"/>
      <c r="CB10" s="2339"/>
      <c r="CC10" s="2339"/>
      <c r="CD10" s="2339">
        <v>1</v>
      </c>
      <c r="CE10" s="2339"/>
      <c r="CF10" s="2339"/>
      <c r="CG10" s="2339"/>
      <c r="CH10" s="2339"/>
      <c r="CI10" s="2339"/>
      <c r="CJ10" s="2339"/>
      <c r="CK10" s="2339"/>
      <c r="CL10" s="2339">
        <v>0</v>
      </c>
      <c r="CM10" s="2339"/>
      <c r="CN10" s="2339"/>
      <c r="CO10" s="2339"/>
      <c r="CP10" s="2339"/>
      <c r="CQ10" s="2339"/>
      <c r="CR10" s="2339"/>
      <c r="CS10" s="2339"/>
      <c r="CT10" s="2339"/>
      <c r="CU10" s="2339"/>
      <c r="CV10" s="2339"/>
      <c r="CW10" s="2339">
        <v>0</v>
      </c>
      <c r="CX10" s="2339"/>
      <c r="CZ10" s="1516">
        <v>1</v>
      </c>
      <c r="DB10" s="1516">
        <v>1</v>
      </c>
      <c r="DD10" s="1516">
        <v>1</v>
      </c>
    </row>
    <row r="11" spans="1:113">
      <c r="A11" s="1516"/>
      <c r="B11" s="2339" t="s">
        <v>5208</v>
      </c>
      <c r="C11" s="2339">
        <v>41</v>
      </c>
      <c r="D11" s="2339">
        <v>166.8</v>
      </c>
      <c r="E11" s="2339"/>
      <c r="F11" s="2339"/>
      <c r="G11" s="2339"/>
      <c r="H11" s="2339"/>
      <c r="I11" s="2339"/>
      <c r="J11" s="2339"/>
      <c r="K11" s="2339" t="s">
        <v>504</v>
      </c>
      <c r="L11" s="2339"/>
      <c r="M11" s="2339">
        <v>1</v>
      </c>
      <c r="N11" s="2339"/>
      <c r="O11" s="2339">
        <v>1</v>
      </c>
      <c r="P11" s="2339"/>
      <c r="Q11" s="2339"/>
      <c r="R11" s="2339"/>
      <c r="S11" s="2339"/>
      <c r="T11" s="2339"/>
      <c r="U11" s="2339"/>
      <c r="V11" s="2339"/>
      <c r="W11" s="2339"/>
      <c r="X11" s="2339"/>
      <c r="Y11" s="2339"/>
      <c r="Z11" s="2339"/>
      <c r="AA11" s="2339"/>
      <c r="AB11" s="2339"/>
      <c r="AC11" s="2339"/>
      <c r="AD11" s="2339">
        <v>1</v>
      </c>
      <c r="AE11" s="2339"/>
      <c r="AF11" s="2339">
        <v>3</v>
      </c>
      <c r="AG11" s="2339"/>
      <c r="AH11" s="2339"/>
      <c r="AI11" s="2339"/>
      <c r="AJ11" s="2339"/>
      <c r="AK11" s="2339"/>
      <c r="AL11" s="2339">
        <v>1</v>
      </c>
      <c r="AM11" s="2339"/>
      <c r="AN11" s="2339"/>
      <c r="AO11" s="2339"/>
      <c r="AP11" s="2339"/>
      <c r="AQ11" s="2339"/>
      <c r="AR11" s="2339"/>
      <c r="AS11" s="2339"/>
      <c r="AT11" s="2339">
        <v>3</v>
      </c>
      <c r="AU11" s="2339"/>
      <c r="AV11" s="2339"/>
      <c r="AW11" s="2339"/>
      <c r="AX11" s="2339">
        <v>2</v>
      </c>
      <c r="AY11" s="2339"/>
      <c r="AZ11" s="2339">
        <v>15</v>
      </c>
      <c r="BA11" s="2339">
        <v>15</v>
      </c>
      <c r="BB11" s="2339"/>
      <c r="BC11" s="2339">
        <v>123</v>
      </c>
      <c r="BD11" s="2339"/>
      <c r="BE11" s="2339">
        <v>0</v>
      </c>
      <c r="BF11" s="2339"/>
      <c r="BG11" s="2339"/>
      <c r="BH11" s="2339">
        <v>1</v>
      </c>
      <c r="BI11" s="2339"/>
      <c r="BJ11" s="2339"/>
      <c r="BK11" s="2339"/>
      <c r="BL11" s="2339"/>
      <c r="BM11" s="2339">
        <v>0</v>
      </c>
      <c r="BN11" s="2339">
        <v>0</v>
      </c>
      <c r="BO11" s="2339"/>
      <c r="BP11" s="2339"/>
      <c r="BQ11" s="2339"/>
      <c r="BR11" s="2339"/>
      <c r="BS11" s="2339"/>
      <c r="BT11" s="2339">
        <v>1</v>
      </c>
      <c r="BU11" s="2339">
        <v>3</v>
      </c>
      <c r="BV11" s="2339"/>
      <c r="BW11" s="2339"/>
      <c r="BX11" s="2339"/>
      <c r="BY11" s="2339"/>
      <c r="BZ11" s="2339"/>
      <c r="CA11" s="2339"/>
      <c r="CB11" s="2339"/>
      <c r="CC11" s="2339"/>
      <c r="CD11" s="2339"/>
      <c r="CE11" s="2339"/>
      <c r="CF11" s="2339"/>
      <c r="CG11" s="2339"/>
      <c r="CH11" s="2339"/>
      <c r="CI11" s="2339"/>
      <c r="CJ11" s="2339">
        <v>0</v>
      </c>
      <c r="CK11" s="2339">
        <v>1</v>
      </c>
      <c r="CL11" s="2339">
        <v>3</v>
      </c>
      <c r="CM11" s="2339">
        <v>0</v>
      </c>
      <c r="CN11" s="2339">
        <v>0</v>
      </c>
      <c r="CO11" s="2339"/>
      <c r="CP11" s="2339"/>
      <c r="CQ11" s="2339"/>
      <c r="CR11" s="2339"/>
      <c r="CS11" s="2339"/>
      <c r="CT11" s="2339"/>
      <c r="CU11" s="2339">
        <v>2</v>
      </c>
      <c r="CV11" s="2339"/>
      <c r="CW11" s="2339">
        <v>0</v>
      </c>
      <c r="CX11" s="2339"/>
      <c r="CZ11" s="1516">
        <v>1</v>
      </c>
      <c r="DB11" s="1516">
        <v>1</v>
      </c>
      <c r="DD11" s="1516">
        <v>1</v>
      </c>
    </row>
    <row r="12" spans="1:113">
      <c r="A12" s="1516"/>
      <c r="B12" s="2339">
        <v>92</v>
      </c>
      <c r="C12" s="2339">
        <v>40.1</v>
      </c>
      <c r="D12" s="2339">
        <v>206.9</v>
      </c>
      <c r="E12" s="2339"/>
      <c r="F12" s="2339"/>
      <c r="G12" s="2339"/>
      <c r="H12" s="2339"/>
      <c r="I12" s="2339"/>
      <c r="J12" s="2339" t="s">
        <v>504</v>
      </c>
      <c r="K12" s="2339" t="s">
        <v>504</v>
      </c>
      <c r="L12" s="2339">
        <v>1</v>
      </c>
      <c r="M12" s="2339"/>
      <c r="N12" s="2339"/>
      <c r="O12" s="2339"/>
      <c r="P12" s="2339"/>
      <c r="Q12" s="2339"/>
      <c r="R12" s="2339"/>
      <c r="S12" s="2339"/>
      <c r="T12" s="2339"/>
      <c r="U12" s="2339"/>
      <c r="V12" s="2339"/>
      <c r="W12" s="2339"/>
      <c r="X12" s="2339"/>
      <c r="Y12" s="2339"/>
      <c r="Z12" s="2339"/>
      <c r="AA12" s="2339"/>
      <c r="AB12" s="2339"/>
      <c r="AC12" s="2339"/>
      <c r="AD12" s="2339">
        <v>1</v>
      </c>
      <c r="AE12" s="2339"/>
      <c r="AF12" s="2339">
        <v>3</v>
      </c>
      <c r="AG12" s="2339"/>
      <c r="AH12" s="2339"/>
      <c r="AI12" s="2339"/>
      <c r="AJ12" s="2339"/>
      <c r="AK12" s="2339"/>
      <c r="AL12" s="2339">
        <v>1</v>
      </c>
      <c r="AM12" s="2339"/>
      <c r="AN12" s="2339"/>
      <c r="AO12" s="2339"/>
      <c r="AP12" s="2339"/>
      <c r="AQ12" s="2339"/>
      <c r="AR12" s="2339"/>
      <c r="AS12" s="2339"/>
      <c r="AT12" s="2339">
        <v>3</v>
      </c>
      <c r="AU12" s="2339"/>
      <c r="AV12" s="2339"/>
      <c r="AW12" s="2339"/>
      <c r="AX12" s="2339"/>
      <c r="AY12" s="2339"/>
      <c r="AZ12" s="2339"/>
      <c r="BA12" s="2339"/>
      <c r="BB12" s="2339"/>
      <c r="BC12" s="2339">
        <v>120.3</v>
      </c>
      <c r="BD12" s="2339"/>
      <c r="BE12" s="2339">
        <v>0</v>
      </c>
      <c r="BF12" s="2339"/>
      <c r="BG12" s="2339"/>
      <c r="BH12" s="2339"/>
      <c r="BI12" s="2339"/>
      <c r="BJ12" s="2339">
        <v>1</v>
      </c>
      <c r="BK12" s="2339"/>
      <c r="BL12" s="2339"/>
      <c r="BM12" s="2339">
        <v>0</v>
      </c>
      <c r="BN12" s="2339">
        <v>0</v>
      </c>
      <c r="BO12" s="2339"/>
      <c r="BP12" s="2339"/>
      <c r="BQ12" s="2339">
        <v>2</v>
      </c>
      <c r="BR12" s="2339">
        <v>1</v>
      </c>
      <c r="BS12" s="2339"/>
      <c r="BT12" s="2339"/>
      <c r="BU12" s="2339"/>
      <c r="BV12" s="2339"/>
      <c r="BW12" s="2339"/>
      <c r="BX12" s="2339"/>
      <c r="BY12" s="2339"/>
      <c r="BZ12" s="2339"/>
      <c r="CA12" s="2339"/>
      <c r="CB12" s="2339"/>
      <c r="CC12" s="2339"/>
      <c r="CD12" s="2339">
        <v>1</v>
      </c>
      <c r="CE12" s="2339"/>
      <c r="CF12" s="2339"/>
      <c r="CG12" s="2339"/>
      <c r="CH12" s="2339"/>
      <c r="CI12" s="2339"/>
      <c r="CJ12" s="2339"/>
      <c r="CK12" s="2339"/>
      <c r="CL12" s="2339">
        <v>0</v>
      </c>
      <c r="CM12" s="2339"/>
      <c r="CN12" s="2339"/>
      <c r="CO12" s="2339"/>
      <c r="CP12" s="2339"/>
      <c r="CQ12" s="2339"/>
      <c r="CR12" s="2339"/>
      <c r="CS12" s="2339"/>
      <c r="CT12" s="2339"/>
      <c r="CU12" s="2339"/>
      <c r="CV12" s="2339"/>
      <c r="CW12" s="2339">
        <v>0</v>
      </c>
      <c r="CX12" s="2339"/>
      <c r="CZ12" s="1516">
        <v>1</v>
      </c>
      <c r="DB12" s="1516">
        <v>1</v>
      </c>
      <c r="DD12" s="1516">
        <v>1</v>
      </c>
    </row>
    <row r="13" spans="1:113">
      <c r="A13" s="1516"/>
      <c r="B13" s="2339" t="s">
        <v>5209</v>
      </c>
      <c r="C13" s="2339">
        <v>40</v>
      </c>
      <c r="D13" s="2339">
        <v>246.9</v>
      </c>
      <c r="E13" s="2339"/>
      <c r="F13" s="2339"/>
      <c r="G13" s="2339"/>
      <c r="H13" s="2339"/>
      <c r="I13" s="2339"/>
      <c r="J13" s="2339"/>
      <c r="K13" s="2339" t="s">
        <v>504</v>
      </c>
      <c r="L13" s="2339"/>
      <c r="M13" s="2339">
        <v>1</v>
      </c>
      <c r="N13" s="2339"/>
      <c r="O13" s="2339"/>
      <c r="P13" s="2339">
        <v>1</v>
      </c>
      <c r="Q13" s="2339"/>
      <c r="R13" s="2339"/>
      <c r="S13" s="2339"/>
      <c r="T13" s="2339"/>
      <c r="U13" s="2339"/>
      <c r="V13" s="2339"/>
      <c r="W13" s="2339"/>
      <c r="X13" s="2339"/>
      <c r="Y13" s="2339"/>
      <c r="Z13" s="2339"/>
      <c r="AA13" s="2339"/>
      <c r="AB13" s="2339"/>
      <c r="AC13" s="2339"/>
      <c r="AD13" s="2339">
        <v>1</v>
      </c>
      <c r="AE13" s="2339"/>
      <c r="AF13" s="2339">
        <v>3</v>
      </c>
      <c r="AG13" s="2339"/>
      <c r="AH13" s="2339"/>
      <c r="AI13" s="2339"/>
      <c r="AJ13" s="2339"/>
      <c r="AK13" s="2339"/>
      <c r="AL13" s="2339">
        <v>1</v>
      </c>
      <c r="AM13" s="2339"/>
      <c r="AN13" s="2339"/>
      <c r="AO13" s="2339"/>
      <c r="AP13" s="2339"/>
      <c r="AQ13" s="2339"/>
      <c r="AR13" s="2339"/>
      <c r="AS13" s="2339"/>
      <c r="AT13" s="2339">
        <v>3</v>
      </c>
      <c r="AU13" s="2339"/>
      <c r="AV13" s="2339"/>
      <c r="AW13" s="2339"/>
      <c r="AX13" s="2339">
        <v>2</v>
      </c>
      <c r="AY13" s="2339"/>
      <c r="AZ13" s="2339">
        <v>2</v>
      </c>
      <c r="BA13" s="2339">
        <v>5</v>
      </c>
      <c r="BB13" s="2339"/>
      <c r="BC13" s="2339">
        <v>120</v>
      </c>
      <c r="BD13" s="2339"/>
      <c r="BE13" s="2339">
        <v>0</v>
      </c>
      <c r="BF13" s="2339"/>
      <c r="BG13" s="2339"/>
      <c r="BH13" s="2339">
        <v>1</v>
      </c>
      <c r="BI13" s="2339"/>
      <c r="BJ13" s="2339"/>
      <c r="BK13" s="2339"/>
      <c r="BL13" s="2339"/>
      <c r="BM13" s="2339">
        <v>0</v>
      </c>
      <c r="BN13" s="2339">
        <v>0</v>
      </c>
      <c r="BO13" s="2339"/>
      <c r="BP13" s="2339"/>
      <c r="BQ13" s="2339"/>
      <c r="BR13" s="2339"/>
      <c r="BS13" s="2339"/>
      <c r="BT13" s="2339">
        <v>1</v>
      </c>
      <c r="BU13" s="2339">
        <v>1</v>
      </c>
      <c r="BV13" s="2339"/>
      <c r="BW13" s="2339"/>
      <c r="BX13" s="2339"/>
      <c r="BY13" s="2339"/>
      <c r="BZ13" s="2339"/>
      <c r="CA13" s="2339"/>
      <c r="CB13" s="2339"/>
      <c r="CC13" s="2339"/>
      <c r="CD13" s="2339"/>
      <c r="CE13" s="2339"/>
      <c r="CF13" s="2339"/>
      <c r="CG13" s="2339"/>
      <c r="CH13" s="2339"/>
      <c r="CI13" s="2339"/>
      <c r="CJ13" s="2339">
        <v>0</v>
      </c>
      <c r="CK13" s="2339">
        <v>1</v>
      </c>
      <c r="CL13" s="2339">
        <v>1</v>
      </c>
      <c r="CM13" s="2339">
        <v>0</v>
      </c>
      <c r="CN13" s="2339">
        <v>0</v>
      </c>
      <c r="CO13" s="2339"/>
      <c r="CP13" s="2339"/>
      <c r="CQ13" s="2339"/>
      <c r="CR13" s="2339"/>
      <c r="CS13" s="2339"/>
      <c r="CT13" s="2339"/>
      <c r="CU13" s="2339">
        <v>2</v>
      </c>
      <c r="CV13" s="2339"/>
      <c r="CW13" s="2339">
        <v>0</v>
      </c>
      <c r="CX13" s="2339"/>
      <c r="CZ13" s="1516">
        <v>1</v>
      </c>
      <c r="DB13" s="1516">
        <v>1</v>
      </c>
      <c r="DD13" s="1516">
        <v>1</v>
      </c>
    </row>
    <row r="14" spans="1:113">
      <c r="A14" s="1516"/>
      <c r="B14" s="2339">
        <v>93</v>
      </c>
      <c r="C14" s="2339">
        <v>39.6</v>
      </c>
      <c r="D14" s="2339">
        <v>286.5</v>
      </c>
      <c r="E14" s="2339"/>
      <c r="F14" s="2339"/>
      <c r="G14" s="2339"/>
      <c r="H14" s="2339"/>
      <c r="I14" s="2339"/>
      <c r="J14" s="2339" t="s">
        <v>504</v>
      </c>
      <c r="K14" s="2339" t="s">
        <v>504</v>
      </c>
      <c r="L14" s="2339">
        <v>1</v>
      </c>
      <c r="M14" s="2339"/>
      <c r="N14" s="2339"/>
      <c r="O14" s="2339"/>
      <c r="P14" s="2339"/>
      <c r="Q14" s="2339"/>
      <c r="R14" s="2339"/>
      <c r="S14" s="2339"/>
      <c r="T14" s="2339"/>
      <c r="U14" s="2339"/>
      <c r="V14" s="2339"/>
      <c r="W14" s="2339"/>
      <c r="X14" s="2339"/>
      <c r="Y14" s="2339"/>
      <c r="Z14" s="2339"/>
      <c r="AA14" s="2339"/>
      <c r="AB14" s="2339"/>
      <c r="AC14" s="2339"/>
      <c r="AD14" s="2339">
        <v>1</v>
      </c>
      <c r="AE14" s="2339"/>
      <c r="AF14" s="2339">
        <v>3</v>
      </c>
      <c r="AG14" s="2339"/>
      <c r="AH14" s="2339"/>
      <c r="AI14" s="2339"/>
      <c r="AJ14" s="2339"/>
      <c r="AK14" s="2339"/>
      <c r="AL14" s="2339">
        <v>1</v>
      </c>
      <c r="AM14" s="2339"/>
      <c r="AN14" s="2339"/>
      <c r="AO14" s="2339"/>
      <c r="AP14" s="2339"/>
      <c r="AQ14" s="2339"/>
      <c r="AR14" s="2339"/>
      <c r="AS14" s="2339"/>
      <c r="AT14" s="2339">
        <v>3</v>
      </c>
      <c r="AU14" s="2339"/>
      <c r="AV14" s="2339"/>
      <c r="AW14" s="2339"/>
      <c r="AX14" s="2339"/>
      <c r="AY14" s="2339"/>
      <c r="AZ14" s="2339"/>
      <c r="BA14" s="2339"/>
      <c r="BB14" s="2339"/>
      <c r="BC14" s="2339">
        <v>118.8</v>
      </c>
      <c r="BD14" s="2339"/>
      <c r="BE14" s="2339">
        <v>0</v>
      </c>
      <c r="BF14" s="2339"/>
      <c r="BG14" s="2339"/>
      <c r="BH14" s="2339"/>
      <c r="BI14" s="2339"/>
      <c r="BJ14" s="2339">
        <v>1</v>
      </c>
      <c r="BK14" s="2339"/>
      <c r="BL14" s="2339"/>
      <c r="BM14" s="2339">
        <v>0</v>
      </c>
      <c r="BN14" s="2339">
        <v>0</v>
      </c>
      <c r="BO14" s="2339"/>
      <c r="BP14" s="2339"/>
      <c r="BQ14" s="2339">
        <v>2</v>
      </c>
      <c r="BR14" s="2339">
        <v>1</v>
      </c>
      <c r="BS14" s="2339"/>
      <c r="BT14" s="2339"/>
      <c r="BU14" s="2339"/>
      <c r="BV14" s="2339"/>
      <c r="BW14" s="2339"/>
      <c r="BX14" s="2339"/>
      <c r="BY14" s="2339"/>
      <c r="BZ14" s="2339"/>
      <c r="CA14" s="2339"/>
      <c r="CB14" s="2339"/>
      <c r="CC14" s="2339"/>
      <c r="CD14" s="2339">
        <v>1</v>
      </c>
      <c r="CE14" s="2339"/>
      <c r="CF14" s="2339"/>
      <c r="CG14" s="2339"/>
      <c r="CH14" s="2339"/>
      <c r="CI14" s="2339"/>
      <c r="CJ14" s="2339"/>
      <c r="CK14" s="2339"/>
      <c r="CL14" s="2339">
        <v>0</v>
      </c>
      <c r="CM14" s="2339"/>
      <c r="CN14" s="2339"/>
      <c r="CO14" s="2339"/>
      <c r="CP14" s="2339"/>
      <c r="CQ14" s="2339"/>
      <c r="CR14" s="2339"/>
      <c r="CS14" s="2339"/>
      <c r="CT14" s="2339"/>
      <c r="CU14" s="2339"/>
      <c r="CV14" s="2339"/>
      <c r="CW14" s="2339">
        <v>0</v>
      </c>
      <c r="CX14" s="2339"/>
      <c r="CZ14" s="1516">
        <v>1</v>
      </c>
      <c r="DB14" s="1516">
        <v>1</v>
      </c>
      <c r="DD14" s="1516">
        <v>1</v>
      </c>
    </row>
    <row r="15" spans="1:113">
      <c r="A15" s="1516"/>
      <c r="B15" s="2339" t="s">
        <v>5210</v>
      </c>
      <c r="C15" s="2339">
        <v>39</v>
      </c>
      <c r="D15" s="2339">
        <v>325.5</v>
      </c>
      <c r="E15" s="2339"/>
      <c r="F15" s="2339"/>
      <c r="G15" s="2339"/>
      <c r="H15" s="2339"/>
      <c r="I15" s="2339"/>
      <c r="J15" s="2339"/>
      <c r="K15" s="2339" t="s">
        <v>504</v>
      </c>
      <c r="L15" s="2339"/>
      <c r="M15" s="2339">
        <v>1</v>
      </c>
      <c r="N15" s="2339"/>
      <c r="O15" s="2339"/>
      <c r="P15" s="2339">
        <v>1</v>
      </c>
      <c r="Q15" s="2339"/>
      <c r="R15" s="2339"/>
      <c r="S15" s="2339"/>
      <c r="T15" s="2339"/>
      <c r="U15" s="2339"/>
      <c r="V15" s="2339"/>
      <c r="W15" s="2339"/>
      <c r="X15" s="2339"/>
      <c r="Y15" s="2339"/>
      <c r="Z15" s="2339"/>
      <c r="AA15" s="2339"/>
      <c r="AB15" s="2339"/>
      <c r="AC15" s="2339"/>
      <c r="AD15" s="2339">
        <v>1</v>
      </c>
      <c r="AE15" s="2339"/>
      <c r="AF15" s="2339">
        <v>3</v>
      </c>
      <c r="AG15" s="2339"/>
      <c r="AH15" s="2339"/>
      <c r="AI15" s="2339"/>
      <c r="AJ15" s="2339"/>
      <c r="AK15" s="2339"/>
      <c r="AL15" s="2339">
        <v>1</v>
      </c>
      <c r="AM15" s="2339"/>
      <c r="AN15" s="2339"/>
      <c r="AO15" s="2339"/>
      <c r="AP15" s="2339"/>
      <c r="AQ15" s="2339"/>
      <c r="AR15" s="2339"/>
      <c r="AS15" s="2339"/>
      <c r="AT15" s="2339">
        <v>3</v>
      </c>
      <c r="AU15" s="2339"/>
      <c r="AV15" s="2339"/>
      <c r="AW15" s="2339"/>
      <c r="AX15" s="2339">
        <v>2</v>
      </c>
      <c r="AY15" s="2339"/>
      <c r="AZ15" s="2339">
        <v>5</v>
      </c>
      <c r="BA15" s="2339">
        <v>5</v>
      </c>
      <c r="BB15" s="2339"/>
      <c r="BC15" s="2339">
        <v>117</v>
      </c>
      <c r="BD15" s="2339"/>
      <c r="BE15" s="2339">
        <v>0</v>
      </c>
      <c r="BF15" s="2339"/>
      <c r="BG15" s="2339"/>
      <c r="BH15" s="2339">
        <v>1</v>
      </c>
      <c r="BI15" s="2339"/>
      <c r="BJ15" s="2339"/>
      <c r="BK15" s="2339"/>
      <c r="BL15" s="2339"/>
      <c r="BM15" s="2339">
        <v>0</v>
      </c>
      <c r="BN15" s="2339">
        <v>0</v>
      </c>
      <c r="BO15" s="2339"/>
      <c r="BP15" s="2339"/>
      <c r="BQ15" s="2339"/>
      <c r="BR15" s="2339"/>
      <c r="BS15" s="2339"/>
      <c r="BT15" s="2339">
        <v>1</v>
      </c>
      <c r="BU15" s="2339">
        <v>1</v>
      </c>
      <c r="BV15" s="2339"/>
      <c r="BW15" s="2339"/>
      <c r="BX15" s="2339"/>
      <c r="BY15" s="2339"/>
      <c r="BZ15" s="2339"/>
      <c r="CA15" s="2339"/>
      <c r="CB15" s="2339"/>
      <c r="CC15" s="2339"/>
      <c r="CD15" s="2339"/>
      <c r="CE15" s="2339"/>
      <c r="CF15" s="2339"/>
      <c r="CG15" s="2339"/>
      <c r="CH15" s="2339"/>
      <c r="CI15" s="2339"/>
      <c r="CJ15" s="2339">
        <v>0</v>
      </c>
      <c r="CK15" s="2339">
        <v>1</v>
      </c>
      <c r="CL15" s="2339">
        <v>1</v>
      </c>
      <c r="CM15" s="2339">
        <v>0</v>
      </c>
      <c r="CN15" s="2339">
        <v>0</v>
      </c>
      <c r="CO15" s="2339"/>
      <c r="CP15" s="2339"/>
      <c r="CQ15" s="2339"/>
      <c r="CR15" s="2339"/>
      <c r="CS15" s="2339"/>
      <c r="CT15" s="2339"/>
      <c r="CU15" s="2339">
        <v>2</v>
      </c>
      <c r="CV15" s="2339"/>
      <c r="CW15" s="2339">
        <v>0</v>
      </c>
      <c r="CX15" s="2339"/>
      <c r="CZ15" s="1516">
        <v>1</v>
      </c>
      <c r="DB15" s="1516">
        <v>1</v>
      </c>
      <c r="DD15" s="1516">
        <v>1</v>
      </c>
    </row>
    <row r="16" spans="1:113">
      <c r="A16" s="1516"/>
      <c r="B16" s="2339">
        <v>94</v>
      </c>
      <c r="C16" s="2339">
        <v>39.799999999999997</v>
      </c>
      <c r="D16" s="2339">
        <v>365.3</v>
      </c>
      <c r="E16" s="2339"/>
      <c r="F16" s="2339"/>
      <c r="G16" s="2339"/>
      <c r="H16" s="2339"/>
      <c r="I16" s="2339"/>
      <c r="J16" s="2339" t="s">
        <v>504</v>
      </c>
      <c r="K16" s="2339" t="s">
        <v>504</v>
      </c>
      <c r="L16" s="2339">
        <v>1</v>
      </c>
      <c r="M16" s="2339"/>
      <c r="N16" s="2339"/>
      <c r="O16" s="2339"/>
      <c r="P16" s="2339"/>
      <c r="Q16" s="2339"/>
      <c r="R16" s="2339"/>
      <c r="S16" s="2339"/>
      <c r="T16" s="2339"/>
      <c r="U16" s="2339"/>
      <c r="V16" s="2339"/>
      <c r="W16" s="2339"/>
      <c r="X16" s="2339"/>
      <c r="Y16" s="2339"/>
      <c r="Z16" s="2339"/>
      <c r="AA16" s="2339"/>
      <c r="AB16" s="2339"/>
      <c r="AC16" s="2339"/>
      <c r="AD16" s="2339">
        <v>1</v>
      </c>
      <c r="AE16" s="2339"/>
      <c r="AF16" s="2339">
        <v>3</v>
      </c>
      <c r="AG16" s="2339"/>
      <c r="AH16" s="2339"/>
      <c r="AI16" s="2339"/>
      <c r="AJ16" s="2339"/>
      <c r="AK16" s="2339"/>
      <c r="AL16" s="2339">
        <v>1</v>
      </c>
      <c r="AM16" s="2339"/>
      <c r="AN16" s="2339"/>
      <c r="AO16" s="2339"/>
      <c r="AP16" s="2339"/>
      <c r="AQ16" s="2339"/>
      <c r="AR16" s="2339"/>
      <c r="AS16" s="2339"/>
      <c r="AT16" s="2339">
        <v>3</v>
      </c>
      <c r="AU16" s="2339"/>
      <c r="AV16" s="2339"/>
      <c r="AW16" s="2339"/>
      <c r="AX16" s="2339"/>
      <c r="AY16" s="2339"/>
      <c r="AZ16" s="2339"/>
      <c r="BA16" s="2339"/>
      <c r="BB16" s="2339"/>
      <c r="BC16" s="2339">
        <v>119.4</v>
      </c>
      <c r="BD16" s="2339"/>
      <c r="BE16" s="2339">
        <v>0</v>
      </c>
      <c r="BF16" s="2339"/>
      <c r="BG16" s="2339"/>
      <c r="BH16" s="2339"/>
      <c r="BI16" s="2339"/>
      <c r="BJ16" s="2339">
        <v>1</v>
      </c>
      <c r="BK16" s="2339"/>
      <c r="BL16" s="2339"/>
      <c r="BM16" s="2339">
        <v>0</v>
      </c>
      <c r="BN16" s="2339">
        <v>0</v>
      </c>
      <c r="BO16" s="2339"/>
      <c r="BP16" s="2339"/>
      <c r="BQ16" s="2339">
        <v>2</v>
      </c>
      <c r="BR16" s="2339">
        <v>1</v>
      </c>
      <c r="BS16" s="2339"/>
      <c r="BT16" s="2339"/>
      <c r="BU16" s="2339"/>
      <c r="BV16" s="2339"/>
      <c r="BW16" s="2339"/>
      <c r="BX16" s="2339"/>
      <c r="BY16" s="2339"/>
      <c r="BZ16" s="2339"/>
      <c r="CA16" s="2339"/>
      <c r="CB16" s="2339"/>
      <c r="CC16" s="2339"/>
      <c r="CD16" s="2339">
        <v>1</v>
      </c>
      <c r="CE16" s="2339"/>
      <c r="CF16" s="2339"/>
      <c r="CG16" s="2339"/>
      <c r="CH16" s="2339"/>
      <c r="CI16" s="2339"/>
      <c r="CJ16" s="2339"/>
      <c r="CK16" s="2339"/>
      <c r="CL16" s="2339">
        <v>0</v>
      </c>
      <c r="CM16" s="2339"/>
      <c r="CN16" s="2339"/>
      <c r="CO16" s="2339"/>
      <c r="CP16" s="2339"/>
      <c r="CQ16" s="2339"/>
      <c r="CR16" s="2339"/>
      <c r="CS16" s="2339"/>
      <c r="CT16" s="2339"/>
      <c r="CU16" s="2339"/>
      <c r="CV16" s="2339"/>
      <c r="CW16" s="2339">
        <v>0</v>
      </c>
      <c r="CX16" s="2339"/>
      <c r="CZ16" s="1516">
        <v>1</v>
      </c>
      <c r="DB16" s="1516">
        <v>1</v>
      </c>
      <c r="DD16" s="1516">
        <v>1</v>
      </c>
    </row>
    <row r="17" spans="1:108">
      <c r="A17" s="1516"/>
      <c r="B17" s="2339" t="s">
        <v>5211</v>
      </c>
      <c r="C17" s="2339">
        <v>42</v>
      </c>
      <c r="D17" s="2339">
        <v>407.3</v>
      </c>
      <c r="E17" s="2339"/>
      <c r="F17" s="2339"/>
      <c r="G17" s="2339"/>
      <c r="H17" s="2339"/>
      <c r="I17" s="2339"/>
      <c r="J17" s="2339"/>
      <c r="K17" s="2339" t="s">
        <v>504</v>
      </c>
      <c r="L17" s="2339"/>
      <c r="M17" s="2339">
        <v>1</v>
      </c>
      <c r="N17" s="2339"/>
      <c r="O17" s="2339"/>
      <c r="P17" s="2339">
        <v>1</v>
      </c>
      <c r="Q17" s="2339"/>
      <c r="R17" s="2339"/>
      <c r="S17" s="2339"/>
      <c r="T17" s="2339"/>
      <c r="U17" s="2339"/>
      <c r="V17" s="2339"/>
      <c r="W17" s="2339"/>
      <c r="X17" s="2339"/>
      <c r="Y17" s="2339"/>
      <c r="Z17" s="2339"/>
      <c r="AA17" s="2339"/>
      <c r="AB17" s="2339"/>
      <c r="AC17" s="2339"/>
      <c r="AD17" s="2339">
        <v>1</v>
      </c>
      <c r="AE17" s="2339"/>
      <c r="AF17" s="2339">
        <v>3</v>
      </c>
      <c r="AG17" s="2339"/>
      <c r="AH17" s="2339"/>
      <c r="AI17" s="2339"/>
      <c r="AJ17" s="2339"/>
      <c r="AK17" s="2339"/>
      <c r="AL17" s="2339">
        <v>1</v>
      </c>
      <c r="AM17" s="2339"/>
      <c r="AN17" s="2339"/>
      <c r="AO17" s="2339"/>
      <c r="AP17" s="2339"/>
      <c r="AQ17" s="2339"/>
      <c r="AR17" s="2339"/>
      <c r="AS17" s="2339"/>
      <c r="AT17" s="2339">
        <v>3</v>
      </c>
      <c r="AU17" s="2339"/>
      <c r="AV17" s="2339"/>
      <c r="AW17" s="2339"/>
      <c r="AX17" s="2339">
        <v>2</v>
      </c>
      <c r="AY17" s="2339"/>
      <c r="AZ17" s="2339">
        <v>3</v>
      </c>
      <c r="BA17" s="2339">
        <v>5</v>
      </c>
      <c r="BB17" s="2339"/>
      <c r="BC17" s="2339">
        <v>126</v>
      </c>
      <c r="BD17" s="2339"/>
      <c r="BE17" s="2339">
        <v>0</v>
      </c>
      <c r="BF17" s="2339"/>
      <c r="BG17" s="2339"/>
      <c r="BH17" s="2339">
        <v>1</v>
      </c>
      <c r="BI17" s="2339"/>
      <c r="BJ17" s="2339"/>
      <c r="BK17" s="2339"/>
      <c r="BL17" s="2339"/>
      <c r="BM17" s="2339">
        <v>0</v>
      </c>
      <c r="BN17" s="2339">
        <v>0</v>
      </c>
      <c r="BO17" s="2339"/>
      <c r="BP17" s="2339"/>
      <c r="BQ17" s="2339"/>
      <c r="BR17" s="2339"/>
      <c r="BS17" s="2339"/>
      <c r="BT17" s="2339">
        <v>1</v>
      </c>
      <c r="BU17" s="2339">
        <v>1</v>
      </c>
      <c r="BV17" s="2339"/>
      <c r="BW17" s="2339"/>
      <c r="BX17" s="2339"/>
      <c r="BY17" s="2339"/>
      <c r="BZ17" s="2339"/>
      <c r="CA17" s="2339"/>
      <c r="CB17" s="2339"/>
      <c r="CC17" s="2339"/>
      <c r="CD17" s="2339"/>
      <c r="CE17" s="2339"/>
      <c r="CF17" s="2339"/>
      <c r="CG17" s="2339"/>
      <c r="CH17" s="2339"/>
      <c r="CI17" s="2339"/>
      <c r="CJ17" s="2339">
        <v>0</v>
      </c>
      <c r="CK17" s="2339">
        <v>1</v>
      </c>
      <c r="CL17" s="2339">
        <v>1</v>
      </c>
      <c r="CM17" s="2339">
        <v>0</v>
      </c>
      <c r="CN17" s="2339">
        <v>0</v>
      </c>
      <c r="CO17" s="2339"/>
      <c r="CP17" s="2339"/>
      <c r="CQ17" s="2339"/>
      <c r="CR17" s="2339"/>
      <c r="CS17" s="2339"/>
      <c r="CT17" s="2339"/>
      <c r="CU17" s="2339">
        <v>2</v>
      </c>
      <c r="CV17" s="2339"/>
      <c r="CW17" s="2339">
        <v>0</v>
      </c>
      <c r="CX17" s="2339"/>
      <c r="CZ17" s="1516">
        <v>1</v>
      </c>
      <c r="DB17" s="1516">
        <v>1</v>
      </c>
      <c r="DD17" s="1516">
        <v>1</v>
      </c>
    </row>
    <row r="18" spans="1:108">
      <c r="A18" s="1516"/>
      <c r="B18" s="2339">
        <v>95</v>
      </c>
      <c r="C18" s="2339">
        <v>42.8</v>
      </c>
      <c r="D18" s="2339">
        <v>450.1</v>
      </c>
      <c r="E18" s="2339"/>
      <c r="F18" s="2339"/>
      <c r="G18" s="2339"/>
      <c r="H18" s="2339"/>
      <c r="I18" s="2339"/>
      <c r="J18" s="2339" t="s">
        <v>504</v>
      </c>
      <c r="K18" s="2339" t="s">
        <v>504</v>
      </c>
      <c r="L18" s="2339">
        <v>1</v>
      </c>
      <c r="M18" s="2339"/>
      <c r="N18" s="2339"/>
      <c r="O18" s="2339"/>
      <c r="P18" s="2339"/>
      <c r="Q18" s="2339"/>
      <c r="R18" s="2339"/>
      <c r="S18" s="2339"/>
      <c r="T18" s="2339"/>
      <c r="U18" s="2339"/>
      <c r="V18" s="2339"/>
      <c r="W18" s="2339"/>
      <c r="X18" s="2339"/>
      <c r="Y18" s="2339"/>
      <c r="Z18" s="2339"/>
      <c r="AA18" s="2339"/>
      <c r="AB18" s="2339"/>
      <c r="AC18" s="2339"/>
      <c r="AD18" s="2339">
        <v>1</v>
      </c>
      <c r="AE18" s="2339"/>
      <c r="AF18" s="2339">
        <v>3</v>
      </c>
      <c r="AG18" s="2339"/>
      <c r="AH18" s="2339"/>
      <c r="AI18" s="2339"/>
      <c r="AJ18" s="2339"/>
      <c r="AK18" s="2339"/>
      <c r="AL18" s="2339">
        <v>1</v>
      </c>
      <c r="AM18" s="2339"/>
      <c r="AN18" s="2339"/>
      <c r="AO18" s="2339"/>
      <c r="AP18" s="2339"/>
      <c r="AQ18" s="2339"/>
      <c r="AR18" s="2339"/>
      <c r="AS18" s="2339"/>
      <c r="AT18" s="2339">
        <v>3</v>
      </c>
      <c r="AU18" s="2339"/>
      <c r="AV18" s="2339"/>
      <c r="AW18" s="2339"/>
      <c r="AX18" s="2339"/>
      <c r="AY18" s="2339"/>
      <c r="AZ18" s="2339"/>
      <c r="BA18" s="2339"/>
      <c r="BB18" s="2339"/>
      <c r="BC18" s="2339">
        <v>128.4</v>
      </c>
      <c r="BD18" s="2339"/>
      <c r="BE18" s="2339">
        <v>0</v>
      </c>
      <c r="BF18" s="2339"/>
      <c r="BG18" s="2339"/>
      <c r="BH18" s="2339"/>
      <c r="BI18" s="2339"/>
      <c r="BJ18" s="2339">
        <v>1</v>
      </c>
      <c r="BK18" s="2339"/>
      <c r="BL18" s="2339"/>
      <c r="BM18" s="2339">
        <v>0</v>
      </c>
      <c r="BN18" s="2339">
        <v>0</v>
      </c>
      <c r="BO18" s="2339"/>
      <c r="BP18" s="2339"/>
      <c r="BQ18" s="2339">
        <v>2</v>
      </c>
      <c r="BR18" s="2339">
        <v>1</v>
      </c>
      <c r="BS18" s="2339"/>
      <c r="BT18" s="2339"/>
      <c r="BU18" s="2339"/>
      <c r="BV18" s="2339"/>
      <c r="BW18" s="2339"/>
      <c r="BX18" s="2339"/>
      <c r="BY18" s="2339"/>
      <c r="BZ18" s="2339"/>
      <c r="CA18" s="2339"/>
      <c r="CB18" s="2339"/>
      <c r="CC18" s="2339"/>
      <c r="CD18" s="2339">
        <v>1</v>
      </c>
      <c r="CE18" s="2339"/>
      <c r="CF18" s="2339"/>
      <c r="CG18" s="2339"/>
      <c r="CH18" s="2339"/>
      <c r="CI18" s="2339"/>
      <c r="CJ18" s="2339"/>
      <c r="CK18" s="2339"/>
      <c r="CL18" s="2339">
        <v>0</v>
      </c>
      <c r="CM18" s="2339"/>
      <c r="CN18" s="2339"/>
      <c r="CO18" s="2339"/>
      <c r="CP18" s="2339"/>
      <c r="CQ18" s="2339"/>
      <c r="CR18" s="2339"/>
      <c r="CS18" s="2339"/>
      <c r="CT18" s="2339"/>
      <c r="CU18" s="2339"/>
      <c r="CV18" s="2339"/>
      <c r="CW18" s="2339">
        <v>0</v>
      </c>
      <c r="CX18" s="2339"/>
      <c r="CZ18" s="1516">
        <v>1</v>
      </c>
      <c r="DB18" s="1516">
        <v>1</v>
      </c>
      <c r="DD18" s="1516">
        <v>1</v>
      </c>
    </row>
    <row r="19" spans="1:108">
      <c r="A19" s="1516"/>
      <c r="B19" s="2339" t="s">
        <v>5212</v>
      </c>
      <c r="C19" s="2339">
        <v>36</v>
      </c>
      <c r="D19" s="2339">
        <v>486.1</v>
      </c>
      <c r="E19" s="2339"/>
      <c r="F19" s="2339"/>
      <c r="G19" s="2339"/>
      <c r="H19" s="2339"/>
      <c r="I19" s="2339"/>
      <c r="J19" s="2339"/>
      <c r="K19" s="2339" t="s">
        <v>550</v>
      </c>
      <c r="L19" s="2339"/>
      <c r="M19" s="2339">
        <v>2</v>
      </c>
      <c r="N19" s="2339"/>
      <c r="O19" s="2339"/>
      <c r="P19" s="2339"/>
      <c r="Q19" s="2339">
        <v>1</v>
      </c>
      <c r="R19" s="2339"/>
      <c r="S19" s="2339"/>
      <c r="T19" s="2339"/>
      <c r="U19" s="2339"/>
      <c r="V19" s="2339"/>
      <c r="W19" s="2339"/>
      <c r="X19" s="2339"/>
      <c r="Y19" s="2339">
        <v>1</v>
      </c>
      <c r="Z19" s="2339"/>
      <c r="AA19" s="2339"/>
      <c r="AB19" s="2339"/>
      <c r="AC19" s="2339">
        <v>1</v>
      </c>
      <c r="AD19" s="2339"/>
      <c r="AE19" s="2339"/>
      <c r="AF19" s="2339">
        <v>6</v>
      </c>
      <c r="AG19" s="2339">
        <v>6</v>
      </c>
      <c r="AH19" s="2339"/>
      <c r="AI19" s="2339"/>
      <c r="AJ19" s="2339">
        <v>6</v>
      </c>
      <c r="AK19" s="2339"/>
      <c r="AL19" s="2339">
        <v>2</v>
      </c>
      <c r="AM19" s="2339"/>
      <c r="AN19" s="2339"/>
      <c r="AO19" s="2339"/>
      <c r="AP19" s="2339"/>
      <c r="AQ19" s="2339">
        <v>2</v>
      </c>
      <c r="AR19" s="2339">
        <v>6</v>
      </c>
      <c r="AS19" s="2339"/>
      <c r="AT19" s="2339">
        <v>6</v>
      </c>
      <c r="AU19" s="2339"/>
      <c r="AV19" s="2339"/>
      <c r="AW19" s="2339"/>
      <c r="AX19" s="2339">
        <v>2</v>
      </c>
      <c r="AY19" s="2339"/>
      <c r="AZ19" s="2339">
        <v>1</v>
      </c>
      <c r="BA19" s="2339"/>
      <c r="BB19" s="2339">
        <v>1.2</v>
      </c>
      <c r="BC19" s="2339">
        <v>108</v>
      </c>
      <c r="BD19" s="2339"/>
      <c r="BE19" s="2339">
        <v>0</v>
      </c>
      <c r="BF19" s="2339"/>
      <c r="BG19" s="2339"/>
      <c r="BH19" s="2339">
        <v>1</v>
      </c>
      <c r="BI19" s="2339"/>
      <c r="BJ19" s="2339"/>
      <c r="BK19" s="2339"/>
      <c r="BL19" s="2339"/>
      <c r="BM19" s="2339">
        <v>0</v>
      </c>
      <c r="BN19" s="2339">
        <v>0</v>
      </c>
      <c r="BO19" s="2339"/>
      <c r="BP19" s="2339"/>
      <c r="BQ19" s="2339"/>
      <c r="BR19" s="2339"/>
      <c r="BS19" s="2339"/>
      <c r="BT19" s="2339">
        <v>1</v>
      </c>
      <c r="BU19" s="2339"/>
      <c r="BV19" s="2339"/>
      <c r="BW19" s="2339"/>
      <c r="BX19" s="2339"/>
      <c r="BY19" s="2339"/>
      <c r="BZ19" s="2339"/>
      <c r="CA19" s="2339"/>
      <c r="CB19" s="2339"/>
      <c r="CC19" s="2339"/>
      <c r="CD19" s="2339"/>
      <c r="CE19" s="2339"/>
      <c r="CF19" s="2339"/>
      <c r="CG19" s="2339"/>
      <c r="CH19" s="2339"/>
      <c r="CI19" s="2339"/>
      <c r="CJ19" s="2339">
        <v>0</v>
      </c>
      <c r="CK19" s="2339">
        <v>1</v>
      </c>
      <c r="CL19" s="2339">
        <v>0</v>
      </c>
      <c r="CM19" s="2339">
        <v>0</v>
      </c>
      <c r="CN19" s="2339">
        <v>0</v>
      </c>
      <c r="CO19" s="2339"/>
      <c r="CP19" s="2339"/>
      <c r="CQ19" s="2339"/>
      <c r="CR19" s="2339"/>
      <c r="CS19" s="2339"/>
      <c r="CT19" s="2339"/>
      <c r="CU19" s="2339">
        <v>2</v>
      </c>
      <c r="CV19" s="2339"/>
      <c r="CW19" s="2339">
        <v>0</v>
      </c>
      <c r="CX19" s="2339"/>
      <c r="CZ19" s="1516">
        <v>1</v>
      </c>
      <c r="DB19" s="1516">
        <v>1</v>
      </c>
      <c r="DD19" s="1516">
        <v>1</v>
      </c>
    </row>
    <row r="20" spans="1:108">
      <c r="A20" s="1516"/>
      <c r="B20" s="2339">
        <v>96</v>
      </c>
      <c r="C20" s="2339">
        <v>36.6</v>
      </c>
      <c r="D20" s="2339">
        <v>522.70000000000005</v>
      </c>
      <c r="E20" s="2339"/>
      <c r="F20" s="2339"/>
      <c r="G20" s="2339"/>
      <c r="H20" s="2339"/>
      <c r="I20" s="2339"/>
      <c r="J20" s="2339" t="s">
        <v>504</v>
      </c>
      <c r="K20" s="2339" t="s">
        <v>504</v>
      </c>
      <c r="L20" s="2339">
        <v>1</v>
      </c>
      <c r="M20" s="2339"/>
      <c r="N20" s="2339"/>
      <c r="O20" s="2339"/>
      <c r="P20" s="2339"/>
      <c r="Q20" s="2339"/>
      <c r="R20" s="2339"/>
      <c r="S20" s="2339"/>
      <c r="T20" s="2339"/>
      <c r="U20" s="2339"/>
      <c r="V20" s="2339"/>
      <c r="W20" s="2339"/>
      <c r="X20" s="2339"/>
      <c r="Y20" s="2339"/>
      <c r="Z20" s="2339"/>
      <c r="AA20" s="2339"/>
      <c r="AB20" s="2339"/>
      <c r="AC20" s="2339"/>
      <c r="AD20" s="2339">
        <v>1</v>
      </c>
      <c r="AE20" s="2339"/>
      <c r="AF20" s="2339">
        <v>3</v>
      </c>
      <c r="AG20" s="2339"/>
      <c r="AH20" s="2339"/>
      <c r="AI20" s="2339"/>
      <c r="AJ20" s="2339"/>
      <c r="AK20" s="2339"/>
      <c r="AL20" s="2339">
        <v>1</v>
      </c>
      <c r="AM20" s="2339"/>
      <c r="AN20" s="2339"/>
      <c r="AO20" s="2339"/>
      <c r="AP20" s="2339"/>
      <c r="AQ20" s="2339"/>
      <c r="AR20" s="2339"/>
      <c r="AS20" s="2339"/>
      <c r="AT20" s="2339">
        <v>3</v>
      </c>
      <c r="AU20" s="2339"/>
      <c r="AV20" s="2339"/>
      <c r="AW20" s="2339"/>
      <c r="AX20" s="2339"/>
      <c r="AY20" s="2339"/>
      <c r="AZ20" s="2339"/>
      <c r="BA20" s="2339"/>
      <c r="BB20" s="2339"/>
      <c r="BC20" s="2339">
        <v>109.8</v>
      </c>
      <c r="BD20" s="2339"/>
      <c r="BE20" s="2339">
        <v>0</v>
      </c>
      <c r="BF20" s="2339"/>
      <c r="BG20" s="2339"/>
      <c r="BH20" s="2339"/>
      <c r="BI20" s="2339"/>
      <c r="BJ20" s="2339">
        <v>1</v>
      </c>
      <c r="BK20" s="2339"/>
      <c r="BL20" s="2339"/>
      <c r="BM20" s="2339">
        <v>0</v>
      </c>
      <c r="BN20" s="2339">
        <v>0</v>
      </c>
      <c r="BO20" s="2339"/>
      <c r="BP20" s="2339"/>
      <c r="BQ20" s="2339">
        <v>2</v>
      </c>
      <c r="BR20" s="2339">
        <v>1</v>
      </c>
      <c r="BS20" s="2339"/>
      <c r="BT20" s="2339"/>
      <c r="BU20" s="2339"/>
      <c r="BV20" s="2339"/>
      <c r="BW20" s="2339"/>
      <c r="BX20" s="2339"/>
      <c r="BY20" s="2339"/>
      <c r="BZ20" s="2339"/>
      <c r="CA20" s="2339"/>
      <c r="CB20" s="2339"/>
      <c r="CC20" s="2339"/>
      <c r="CD20" s="2339">
        <v>1</v>
      </c>
      <c r="CE20" s="2339"/>
      <c r="CF20" s="2339"/>
      <c r="CG20" s="2339"/>
      <c r="CH20" s="2339"/>
      <c r="CI20" s="2339"/>
      <c r="CJ20" s="2339"/>
      <c r="CK20" s="2339"/>
      <c r="CL20" s="2339">
        <v>0</v>
      </c>
      <c r="CM20" s="2339"/>
      <c r="CN20" s="2339"/>
      <c r="CO20" s="2339"/>
      <c r="CP20" s="2339"/>
      <c r="CQ20" s="2339"/>
      <c r="CR20" s="2339"/>
      <c r="CS20" s="2339"/>
      <c r="CT20" s="2339"/>
      <c r="CU20" s="2339"/>
      <c r="CV20" s="2339"/>
      <c r="CW20" s="2339">
        <v>0</v>
      </c>
      <c r="CX20" s="2339"/>
      <c r="CZ20" s="1516">
        <v>1</v>
      </c>
      <c r="DB20" s="1516">
        <v>1</v>
      </c>
      <c r="DD20" s="1516">
        <v>1</v>
      </c>
    </row>
    <row r="21" spans="1:108">
      <c r="A21" s="1516"/>
      <c r="B21" s="2339" t="s">
        <v>5213</v>
      </c>
      <c r="C21" s="2339">
        <v>35</v>
      </c>
      <c r="D21" s="2339">
        <v>557.70000000000005</v>
      </c>
      <c r="E21" s="2339"/>
      <c r="F21" s="2339"/>
      <c r="G21" s="2339"/>
      <c r="H21" s="2339"/>
      <c r="I21" s="2339"/>
      <c r="J21" s="2339"/>
      <c r="K21" s="2339" t="s">
        <v>504</v>
      </c>
      <c r="L21" s="2339"/>
      <c r="M21" s="2339">
        <v>1</v>
      </c>
      <c r="N21" s="2339"/>
      <c r="O21" s="2339"/>
      <c r="P21" s="2339">
        <v>1</v>
      </c>
      <c r="Q21" s="2339"/>
      <c r="R21" s="2339"/>
      <c r="S21" s="2339"/>
      <c r="T21" s="2339"/>
      <c r="U21" s="2339"/>
      <c r="V21" s="2339"/>
      <c r="W21" s="2339"/>
      <c r="X21" s="2339"/>
      <c r="Y21" s="2339"/>
      <c r="Z21" s="2339"/>
      <c r="AA21" s="2339"/>
      <c r="AB21" s="2339"/>
      <c r="AC21" s="2339"/>
      <c r="AD21" s="2339">
        <v>1</v>
      </c>
      <c r="AE21" s="2339"/>
      <c r="AF21" s="2339">
        <v>3</v>
      </c>
      <c r="AG21" s="2339"/>
      <c r="AH21" s="2339"/>
      <c r="AI21" s="2339"/>
      <c r="AJ21" s="2339"/>
      <c r="AK21" s="2339"/>
      <c r="AL21" s="2339">
        <v>1</v>
      </c>
      <c r="AM21" s="2339"/>
      <c r="AN21" s="2339"/>
      <c r="AO21" s="2339"/>
      <c r="AP21" s="2339"/>
      <c r="AQ21" s="2339"/>
      <c r="AR21" s="2339"/>
      <c r="AS21" s="2339"/>
      <c r="AT21" s="2339">
        <v>3</v>
      </c>
      <c r="AU21" s="2339"/>
      <c r="AV21" s="2339"/>
      <c r="AW21" s="2339">
        <v>1</v>
      </c>
      <c r="AX21" s="2339">
        <v>2</v>
      </c>
      <c r="AY21" s="2339"/>
      <c r="AZ21" s="2339">
        <v>4</v>
      </c>
      <c r="BA21" s="2339">
        <v>4</v>
      </c>
      <c r="BB21" s="2339"/>
      <c r="BC21" s="2339">
        <v>105</v>
      </c>
      <c r="BD21" s="2339"/>
      <c r="BE21" s="2339">
        <v>0</v>
      </c>
      <c r="BF21" s="2339"/>
      <c r="BG21" s="2339"/>
      <c r="BH21" s="2339">
        <v>1</v>
      </c>
      <c r="BI21" s="2339"/>
      <c r="BJ21" s="2339"/>
      <c r="BK21" s="2339"/>
      <c r="BL21" s="2339"/>
      <c r="BM21" s="2339">
        <v>0</v>
      </c>
      <c r="BN21" s="2339">
        <v>0</v>
      </c>
      <c r="BO21" s="2339"/>
      <c r="BP21" s="2339"/>
      <c r="BQ21" s="2339"/>
      <c r="BR21" s="2339"/>
      <c r="BS21" s="2339"/>
      <c r="BT21" s="2339">
        <v>1</v>
      </c>
      <c r="BU21" s="2339">
        <v>1</v>
      </c>
      <c r="BV21" s="2339">
        <v>1</v>
      </c>
      <c r="BW21" s="2339"/>
      <c r="BX21" s="2339"/>
      <c r="BY21" s="2339"/>
      <c r="BZ21" s="2339"/>
      <c r="CA21" s="2339"/>
      <c r="CB21" s="2339"/>
      <c r="CC21" s="2339"/>
      <c r="CD21" s="2339"/>
      <c r="CE21" s="2339"/>
      <c r="CF21" s="2339"/>
      <c r="CG21" s="2339"/>
      <c r="CH21" s="2339"/>
      <c r="CI21" s="2339"/>
      <c r="CJ21" s="2339"/>
      <c r="CK21" s="2339">
        <v>1</v>
      </c>
      <c r="CL21" s="2339">
        <v>1</v>
      </c>
      <c r="CM21" s="2339">
        <v>1</v>
      </c>
      <c r="CN21" s="2339">
        <v>0</v>
      </c>
      <c r="CO21" s="2339"/>
      <c r="CP21" s="2339"/>
      <c r="CQ21" s="2339"/>
      <c r="CR21" s="2339"/>
      <c r="CS21" s="2339"/>
      <c r="CT21" s="2339"/>
      <c r="CU21" s="2339">
        <v>2</v>
      </c>
      <c r="CV21" s="2339">
        <v>1</v>
      </c>
      <c r="CW21" s="2339">
        <v>0</v>
      </c>
      <c r="CX21" s="2339"/>
      <c r="CZ21" s="1516">
        <v>1</v>
      </c>
      <c r="DB21" s="1516">
        <v>1</v>
      </c>
      <c r="DD21" s="1516">
        <v>1</v>
      </c>
    </row>
    <row r="22" spans="1:108">
      <c r="A22" s="1516"/>
      <c r="B22" s="2339">
        <v>97</v>
      </c>
      <c r="C22" s="2339">
        <v>34.299999999999997</v>
      </c>
      <c r="D22" s="2339">
        <v>592</v>
      </c>
      <c r="E22" s="2339"/>
      <c r="F22" s="2339"/>
      <c r="G22" s="2339"/>
      <c r="H22" s="2339"/>
      <c r="I22" s="2339"/>
      <c r="J22" s="2339" t="s">
        <v>504</v>
      </c>
      <c r="K22" s="2339" t="s">
        <v>504</v>
      </c>
      <c r="L22" s="2339">
        <v>1</v>
      </c>
      <c r="M22" s="2339"/>
      <c r="N22" s="2339"/>
      <c r="O22" s="2339"/>
      <c r="P22" s="2339"/>
      <c r="Q22" s="2339"/>
      <c r="R22" s="2339"/>
      <c r="S22" s="2339"/>
      <c r="T22" s="2339"/>
      <c r="U22" s="2339"/>
      <c r="V22" s="2339"/>
      <c r="W22" s="2339"/>
      <c r="X22" s="2339"/>
      <c r="Y22" s="2339"/>
      <c r="Z22" s="2339">
        <v>1</v>
      </c>
      <c r="AA22" s="2339"/>
      <c r="AB22" s="2339"/>
      <c r="AC22" s="2339"/>
      <c r="AD22" s="2339">
        <v>1</v>
      </c>
      <c r="AE22" s="2339"/>
      <c r="AF22" s="2339">
        <v>3</v>
      </c>
      <c r="AG22" s="2339"/>
      <c r="AH22" s="2339"/>
      <c r="AI22" s="2339"/>
      <c r="AJ22" s="2339"/>
      <c r="AK22" s="2339"/>
      <c r="AL22" s="2339">
        <v>1</v>
      </c>
      <c r="AM22" s="2339"/>
      <c r="AN22" s="2339"/>
      <c r="AO22" s="2339"/>
      <c r="AP22" s="2339"/>
      <c r="AQ22" s="2339"/>
      <c r="AR22" s="2339"/>
      <c r="AS22" s="2339"/>
      <c r="AT22" s="2339">
        <v>3</v>
      </c>
      <c r="AU22" s="2339"/>
      <c r="AV22" s="2339"/>
      <c r="AW22" s="2339"/>
      <c r="AX22" s="2339"/>
      <c r="AY22" s="2339"/>
      <c r="AZ22" s="2339"/>
      <c r="BA22" s="2339"/>
      <c r="BB22" s="2339"/>
      <c r="BC22" s="2339">
        <v>102.9</v>
      </c>
      <c r="BD22" s="2339"/>
      <c r="BE22" s="2339">
        <v>0</v>
      </c>
      <c r="BF22" s="2339"/>
      <c r="BG22" s="2339"/>
      <c r="BH22" s="2339"/>
      <c r="BI22" s="2339"/>
      <c r="BJ22" s="2339">
        <v>1</v>
      </c>
      <c r="BK22" s="2339"/>
      <c r="BL22" s="2339"/>
      <c r="BM22" s="2339">
        <v>0</v>
      </c>
      <c r="BN22" s="2339">
        <v>0</v>
      </c>
      <c r="BO22" s="2339"/>
      <c r="BP22" s="2339"/>
      <c r="BQ22" s="2339">
        <v>2</v>
      </c>
      <c r="BR22" s="2339">
        <v>1</v>
      </c>
      <c r="BS22" s="2339"/>
      <c r="BT22" s="2339"/>
      <c r="BU22" s="2339"/>
      <c r="BV22" s="2339"/>
      <c r="BW22" s="2339"/>
      <c r="BX22" s="2339"/>
      <c r="BY22" s="2339"/>
      <c r="BZ22" s="2339"/>
      <c r="CA22" s="2339"/>
      <c r="CB22" s="2339"/>
      <c r="CC22" s="2339"/>
      <c r="CD22" s="2339">
        <v>1</v>
      </c>
      <c r="CE22" s="2339"/>
      <c r="CF22" s="2339"/>
      <c r="CG22" s="2339"/>
      <c r="CH22" s="2339"/>
      <c r="CI22" s="2339"/>
      <c r="CJ22" s="2339"/>
      <c r="CK22" s="2339"/>
      <c r="CL22" s="2339">
        <v>0</v>
      </c>
      <c r="CM22" s="2339"/>
      <c r="CN22" s="2339"/>
      <c r="CO22" s="2339"/>
      <c r="CP22" s="2339"/>
      <c r="CQ22" s="2339"/>
      <c r="CR22" s="2339"/>
      <c r="CS22" s="2339"/>
      <c r="CT22" s="2339"/>
      <c r="CU22" s="2339"/>
      <c r="CV22" s="2339"/>
      <c r="CW22" s="2339">
        <v>0</v>
      </c>
      <c r="CX22" s="2339"/>
      <c r="CZ22" s="1516">
        <v>1</v>
      </c>
      <c r="DB22" s="1516">
        <v>1</v>
      </c>
      <c r="DD22" s="1516">
        <v>1</v>
      </c>
    </row>
    <row r="23" spans="1:108">
      <c r="A23" s="1516"/>
      <c r="B23" s="2339" t="s">
        <v>5214</v>
      </c>
      <c r="C23" s="2339">
        <v>37</v>
      </c>
      <c r="D23" s="2339">
        <v>629</v>
      </c>
      <c r="E23" s="2339"/>
      <c r="F23" s="2339"/>
      <c r="G23" s="2339"/>
      <c r="H23" s="2339"/>
      <c r="I23" s="2339"/>
      <c r="J23" s="2339"/>
      <c r="K23" s="2339" t="s">
        <v>504</v>
      </c>
      <c r="L23" s="2339"/>
      <c r="M23" s="2391">
        <v>1</v>
      </c>
      <c r="N23" s="2339"/>
      <c r="O23" s="2391">
        <v>1</v>
      </c>
      <c r="P23" s="2339"/>
      <c r="Q23" s="2339"/>
      <c r="R23" s="2339"/>
      <c r="S23" s="2339"/>
      <c r="T23" s="2339"/>
      <c r="U23" s="2339"/>
      <c r="V23" s="2339"/>
      <c r="W23" s="2339"/>
      <c r="X23" s="2339"/>
      <c r="Y23" s="2339"/>
      <c r="Z23" s="2339"/>
      <c r="AA23" s="2339"/>
      <c r="AB23" s="2339"/>
      <c r="AC23" s="2339"/>
      <c r="AD23" s="2339">
        <v>1</v>
      </c>
      <c r="AE23" s="2339"/>
      <c r="AF23" s="2339">
        <v>3</v>
      </c>
      <c r="AG23" s="2339"/>
      <c r="AH23" s="2339"/>
      <c r="AI23" s="2339"/>
      <c r="AJ23" s="2339"/>
      <c r="AK23" s="2339"/>
      <c r="AL23" s="2339">
        <v>1</v>
      </c>
      <c r="AM23" s="2339"/>
      <c r="AN23" s="2339"/>
      <c r="AO23" s="2339"/>
      <c r="AP23" s="2339"/>
      <c r="AQ23" s="2339"/>
      <c r="AR23" s="2339"/>
      <c r="AS23" s="2339"/>
      <c r="AT23" s="2339">
        <v>3</v>
      </c>
      <c r="AU23" s="2339"/>
      <c r="AV23" s="2339"/>
      <c r="AW23" s="2339">
        <v>1</v>
      </c>
      <c r="AX23" s="2339"/>
      <c r="AY23" s="2339"/>
      <c r="AZ23" s="2339">
        <v>5</v>
      </c>
      <c r="BA23" s="2339">
        <v>4</v>
      </c>
      <c r="BB23" s="2339">
        <v>1.5</v>
      </c>
      <c r="BC23" s="2339">
        <v>111</v>
      </c>
      <c r="BD23" s="2339">
        <v>37</v>
      </c>
      <c r="BE23" s="2339">
        <v>0</v>
      </c>
      <c r="BF23" s="2339"/>
      <c r="BG23" s="2339"/>
      <c r="BH23" s="2339">
        <v>1</v>
      </c>
      <c r="BI23" s="2339"/>
      <c r="BJ23" s="2339"/>
      <c r="BK23" s="2339"/>
      <c r="BL23" s="2339"/>
      <c r="BM23" s="2339">
        <v>0</v>
      </c>
      <c r="BN23" s="2339">
        <v>0</v>
      </c>
      <c r="BO23" s="2339"/>
      <c r="BP23" s="2339"/>
      <c r="BQ23" s="2339"/>
      <c r="BR23" s="2339"/>
      <c r="BS23" s="2339"/>
      <c r="BT23" s="2339"/>
      <c r="BU23" s="2339">
        <v>1</v>
      </c>
      <c r="BV23" s="2339"/>
      <c r="BW23" s="2339">
        <v>1</v>
      </c>
      <c r="BX23" s="2339"/>
      <c r="BY23" s="2339"/>
      <c r="BZ23" s="2339"/>
      <c r="CA23" s="2339"/>
      <c r="CB23" s="2339"/>
      <c r="CC23" s="2339"/>
      <c r="CD23" s="2339"/>
      <c r="CE23" s="2339"/>
      <c r="CF23" s="2339"/>
      <c r="CG23" s="2339"/>
      <c r="CH23" s="2339"/>
      <c r="CI23" s="2339"/>
      <c r="CJ23" s="2339"/>
      <c r="CK23" s="2339"/>
      <c r="CL23" s="2339">
        <v>1</v>
      </c>
      <c r="CM23" s="2339">
        <v>0</v>
      </c>
      <c r="CN23" s="2339">
        <v>1</v>
      </c>
      <c r="CO23" s="2339"/>
      <c r="CP23" s="2339"/>
      <c r="CQ23" s="2339"/>
      <c r="CR23" s="2339"/>
      <c r="CS23" s="2339"/>
      <c r="CT23" s="2339"/>
      <c r="CU23" s="2339"/>
      <c r="CV23" s="2339">
        <v>1</v>
      </c>
      <c r="CW23" s="2339">
        <v>0</v>
      </c>
      <c r="CX23" s="2339"/>
      <c r="CZ23" s="1516">
        <v>1</v>
      </c>
      <c r="DB23" s="1516">
        <v>1</v>
      </c>
      <c r="DD23" s="1516">
        <v>1</v>
      </c>
    </row>
    <row r="24" spans="1:108">
      <c r="A24" s="1516"/>
      <c r="B24" s="2339">
        <v>98</v>
      </c>
      <c r="C24" s="2339">
        <v>37.1</v>
      </c>
      <c r="D24" s="2339">
        <v>666.1</v>
      </c>
      <c r="E24" s="2339"/>
      <c r="F24" s="2339"/>
      <c r="G24" s="2339"/>
      <c r="H24" s="2339"/>
      <c r="I24" s="2339"/>
      <c r="J24" s="2339" t="s">
        <v>504</v>
      </c>
      <c r="K24" s="2339" t="s">
        <v>504</v>
      </c>
      <c r="L24" s="2339">
        <v>1</v>
      </c>
      <c r="M24" s="2339"/>
      <c r="N24" s="2339"/>
      <c r="O24" s="2339"/>
      <c r="P24" s="2339"/>
      <c r="Q24" s="2339"/>
      <c r="R24" s="2339"/>
      <c r="S24" s="2339"/>
      <c r="T24" s="2339"/>
      <c r="U24" s="2339"/>
      <c r="V24" s="2339"/>
      <c r="W24" s="2339"/>
      <c r="X24" s="2339"/>
      <c r="Y24" s="2339"/>
      <c r="Z24" s="2339"/>
      <c r="AA24" s="2339"/>
      <c r="AB24" s="2339"/>
      <c r="AC24" s="2339"/>
      <c r="AD24" s="2339">
        <v>1</v>
      </c>
      <c r="AE24" s="2339"/>
      <c r="AF24" s="2339">
        <v>3</v>
      </c>
      <c r="AG24" s="2339"/>
      <c r="AH24" s="2339"/>
      <c r="AI24" s="2339"/>
      <c r="AJ24" s="2339"/>
      <c r="AK24" s="2339"/>
      <c r="AL24" s="2339">
        <v>1</v>
      </c>
      <c r="AM24" s="2339"/>
      <c r="AN24" s="2339"/>
      <c r="AO24" s="2339"/>
      <c r="AP24" s="2339"/>
      <c r="AQ24" s="2339"/>
      <c r="AR24" s="2339"/>
      <c r="AS24" s="2339"/>
      <c r="AT24" s="2339">
        <v>3</v>
      </c>
      <c r="AU24" s="2339"/>
      <c r="AV24" s="2339"/>
      <c r="AW24" s="2339"/>
      <c r="AX24" s="2339"/>
      <c r="AY24" s="2339"/>
      <c r="AZ24" s="2339"/>
      <c r="BA24" s="2339"/>
      <c r="BB24" s="2339"/>
      <c r="BC24" s="2339">
        <v>111.3</v>
      </c>
      <c r="BD24" s="2339">
        <v>37.1</v>
      </c>
      <c r="BE24" s="2339">
        <v>0</v>
      </c>
      <c r="BF24" s="2339"/>
      <c r="BG24" s="2339"/>
      <c r="BH24" s="2339"/>
      <c r="BI24" s="2339"/>
      <c r="BJ24" s="2339">
        <v>1</v>
      </c>
      <c r="BK24" s="2339"/>
      <c r="BL24" s="2339"/>
      <c r="BM24" s="2339">
        <v>0</v>
      </c>
      <c r="BN24" s="2339">
        <v>0</v>
      </c>
      <c r="BO24" s="2339"/>
      <c r="BP24" s="2339"/>
      <c r="BQ24" s="2339">
        <v>2</v>
      </c>
      <c r="BR24" s="2339">
        <v>1</v>
      </c>
      <c r="BS24" s="2339"/>
      <c r="BT24" s="2339"/>
      <c r="BU24" s="2339"/>
      <c r="BV24" s="2339"/>
      <c r="BW24" s="2339"/>
      <c r="BX24" s="2339"/>
      <c r="BY24" s="2339"/>
      <c r="BZ24" s="2339"/>
      <c r="CA24" s="2339"/>
      <c r="CB24" s="2339"/>
      <c r="CC24" s="2339"/>
      <c r="CD24" s="2339">
        <v>1</v>
      </c>
      <c r="CE24" s="2339"/>
      <c r="CF24" s="2339"/>
      <c r="CG24" s="2339"/>
      <c r="CH24" s="2339"/>
      <c r="CI24" s="2339"/>
      <c r="CJ24" s="2339"/>
      <c r="CK24" s="2339"/>
      <c r="CL24" s="2339">
        <v>0</v>
      </c>
      <c r="CM24" s="2339"/>
      <c r="CN24" s="2339"/>
      <c r="CO24" s="2339"/>
      <c r="CP24" s="2339"/>
      <c r="CQ24" s="2339"/>
      <c r="CR24" s="2339"/>
      <c r="CS24" s="2339"/>
      <c r="CT24" s="2339"/>
      <c r="CU24" s="2339"/>
      <c r="CV24" s="2339"/>
      <c r="CW24" s="2339">
        <v>0</v>
      </c>
      <c r="CX24" s="2339"/>
      <c r="CZ24" s="1516">
        <v>1</v>
      </c>
      <c r="DB24" s="1516">
        <v>1</v>
      </c>
      <c r="DD24" s="1516">
        <v>1</v>
      </c>
    </row>
    <row r="25" spans="1:108">
      <c r="A25" s="1516"/>
      <c r="B25" s="2339" t="s">
        <v>5215</v>
      </c>
      <c r="C25" s="2339">
        <v>37</v>
      </c>
      <c r="D25" s="2339">
        <v>703.1</v>
      </c>
      <c r="E25" s="2339"/>
      <c r="F25" s="2339"/>
      <c r="G25" s="2339"/>
      <c r="H25" s="2339"/>
      <c r="I25" s="2339"/>
      <c r="J25" s="2339"/>
      <c r="K25" s="2339" t="s">
        <v>504</v>
      </c>
      <c r="L25" s="2339"/>
      <c r="M25" s="2339">
        <v>1</v>
      </c>
      <c r="N25" s="2339"/>
      <c r="O25" s="2339">
        <v>1</v>
      </c>
      <c r="P25" s="2339"/>
      <c r="Q25" s="2339"/>
      <c r="R25" s="2339"/>
      <c r="S25" s="2339"/>
      <c r="T25" s="2339"/>
      <c r="U25" s="2339"/>
      <c r="V25" s="2339"/>
      <c r="W25" s="2339"/>
      <c r="X25" s="2339"/>
      <c r="Y25" s="2339"/>
      <c r="Z25" s="2339"/>
      <c r="AA25" s="2339"/>
      <c r="AB25" s="2339"/>
      <c r="AC25" s="2339"/>
      <c r="AD25" s="2339">
        <v>1</v>
      </c>
      <c r="AE25" s="2339"/>
      <c r="AF25" s="2339">
        <v>3</v>
      </c>
      <c r="AG25" s="2339"/>
      <c r="AH25" s="2339"/>
      <c r="AI25" s="2339"/>
      <c r="AJ25" s="2339"/>
      <c r="AK25" s="2339"/>
      <c r="AL25" s="2339">
        <v>1</v>
      </c>
      <c r="AM25" s="2339"/>
      <c r="AN25" s="2339"/>
      <c r="AO25" s="2339"/>
      <c r="AP25" s="2339"/>
      <c r="AQ25" s="2339"/>
      <c r="AR25" s="2339"/>
      <c r="AS25" s="2339"/>
      <c r="AT25" s="2339">
        <v>3</v>
      </c>
      <c r="AU25" s="2339"/>
      <c r="AV25" s="2339"/>
      <c r="AW25" s="2339">
        <v>1</v>
      </c>
      <c r="AX25" s="2339"/>
      <c r="AY25" s="2339"/>
      <c r="AZ25" s="2339">
        <v>2</v>
      </c>
      <c r="BA25" s="2339">
        <v>4</v>
      </c>
      <c r="BB25" s="2339"/>
      <c r="BC25" s="2339">
        <v>111</v>
      </c>
      <c r="BD25" s="2339">
        <v>37</v>
      </c>
      <c r="BE25" s="2339">
        <v>0</v>
      </c>
      <c r="BF25" s="2339"/>
      <c r="BG25" s="2339"/>
      <c r="BH25" s="2339">
        <v>1</v>
      </c>
      <c r="BI25" s="2339"/>
      <c r="BJ25" s="2339"/>
      <c r="BK25" s="2339"/>
      <c r="BL25" s="2339"/>
      <c r="BM25" s="2339">
        <v>0</v>
      </c>
      <c r="BN25" s="2339">
        <v>0</v>
      </c>
      <c r="BO25" s="2339"/>
      <c r="BP25" s="2339"/>
      <c r="BQ25" s="2339"/>
      <c r="BR25" s="2339"/>
      <c r="BS25" s="2339"/>
      <c r="BT25" s="2339"/>
      <c r="BU25" s="2339">
        <v>1</v>
      </c>
      <c r="BV25" s="2339"/>
      <c r="BW25" s="2339">
        <v>1</v>
      </c>
      <c r="BX25" s="2339"/>
      <c r="BY25" s="2339"/>
      <c r="BZ25" s="2339"/>
      <c r="CA25" s="2339"/>
      <c r="CB25" s="2339"/>
      <c r="CC25" s="2339"/>
      <c r="CD25" s="2339"/>
      <c r="CE25" s="2339"/>
      <c r="CF25" s="2339"/>
      <c r="CG25" s="2339"/>
      <c r="CH25" s="2339"/>
      <c r="CI25" s="2339"/>
      <c r="CJ25" s="2339"/>
      <c r="CK25" s="2339"/>
      <c r="CL25" s="2339">
        <v>1</v>
      </c>
      <c r="CM25" s="2339">
        <v>0</v>
      </c>
      <c r="CN25" s="2339">
        <v>1</v>
      </c>
      <c r="CO25" s="2339"/>
      <c r="CP25" s="2339"/>
      <c r="CQ25" s="2339"/>
      <c r="CR25" s="2339"/>
      <c r="CS25" s="2339"/>
      <c r="CT25" s="2339"/>
      <c r="CU25" s="2339"/>
      <c r="CV25" s="2339">
        <v>1</v>
      </c>
      <c r="CW25" s="2339">
        <v>0</v>
      </c>
      <c r="CX25" s="2339"/>
      <c r="CZ25" s="1516">
        <v>1</v>
      </c>
      <c r="DB25" s="1516">
        <v>1</v>
      </c>
      <c r="DD25" s="1516">
        <v>1</v>
      </c>
    </row>
    <row r="26" spans="1:108">
      <c r="A26" s="1516"/>
      <c r="B26" s="2339">
        <v>99</v>
      </c>
      <c r="C26" s="2339">
        <v>36.9</v>
      </c>
      <c r="D26" s="2339">
        <v>740</v>
      </c>
      <c r="E26" s="2339"/>
      <c r="F26" s="2339"/>
      <c r="G26" s="2339"/>
      <c r="H26" s="2339"/>
      <c r="I26" s="2339"/>
      <c r="J26" s="2339" t="s">
        <v>504</v>
      </c>
      <c r="K26" s="2339" t="s">
        <v>504</v>
      </c>
      <c r="L26" s="2339">
        <v>1</v>
      </c>
      <c r="M26" s="2339"/>
      <c r="N26" s="2339"/>
      <c r="O26" s="2339"/>
      <c r="P26" s="2339"/>
      <c r="Q26" s="2339"/>
      <c r="R26" s="2339"/>
      <c r="S26" s="2339"/>
      <c r="T26" s="2339"/>
      <c r="U26" s="2339"/>
      <c r="V26" s="2339"/>
      <c r="W26" s="2339"/>
      <c r="X26" s="2339"/>
      <c r="Y26" s="2339"/>
      <c r="Z26" s="2339"/>
      <c r="AA26" s="2339"/>
      <c r="AB26" s="2339"/>
      <c r="AC26" s="2339"/>
      <c r="AD26" s="2339">
        <v>1</v>
      </c>
      <c r="AE26" s="2339"/>
      <c r="AF26" s="2339">
        <v>3</v>
      </c>
      <c r="AG26" s="2339"/>
      <c r="AH26" s="2339"/>
      <c r="AI26" s="2339"/>
      <c r="AJ26" s="2339"/>
      <c r="AK26" s="2339"/>
      <c r="AL26" s="2339">
        <v>1</v>
      </c>
      <c r="AM26" s="2339"/>
      <c r="AN26" s="2339"/>
      <c r="AO26" s="2339"/>
      <c r="AP26" s="2339"/>
      <c r="AQ26" s="2339"/>
      <c r="AR26" s="2339"/>
      <c r="AS26" s="2339"/>
      <c r="AT26" s="2339">
        <v>3</v>
      </c>
      <c r="AU26" s="2339"/>
      <c r="AV26" s="2339"/>
      <c r="AW26" s="2339"/>
      <c r="AX26" s="2339"/>
      <c r="AY26" s="2339"/>
      <c r="AZ26" s="2339"/>
      <c r="BA26" s="2339"/>
      <c r="BB26" s="2339"/>
      <c r="BC26" s="2339">
        <v>110.7</v>
      </c>
      <c r="BD26" s="2339">
        <v>36.9</v>
      </c>
      <c r="BE26" s="2339">
        <v>0</v>
      </c>
      <c r="BF26" s="2339"/>
      <c r="BG26" s="2339"/>
      <c r="BH26" s="2339"/>
      <c r="BI26" s="2339"/>
      <c r="BJ26" s="2339">
        <v>1</v>
      </c>
      <c r="BK26" s="2339"/>
      <c r="BL26" s="2339"/>
      <c r="BM26" s="2339">
        <v>0</v>
      </c>
      <c r="BN26" s="2339">
        <v>0</v>
      </c>
      <c r="BO26" s="2339"/>
      <c r="BP26" s="2339"/>
      <c r="BQ26" s="2339">
        <v>2</v>
      </c>
      <c r="BR26" s="2339">
        <v>1</v>
      </c>
      <c r="BS26" s="2339"/>
      <c r="BT26" s="2339"/>
      <c r="BU26" s="2339"/>
      <c r="BV26" s="2339"/>
      <c r="BW26" s="2339"/>
      <c r="BX26" s="2339"/>
      <c r="BY26" s="2339"/>
      <c r="BZ26" s="2339"/>
      <c r="CA26" s="2339"/>
      <c r="CB26" s="2339"/>
      <c r="CC26" s="2339"/>
      <c r="CD26" s="2339">
        <v>1</v>
      </c>
      <c r="CE26" s="2339"/>
      <c r="CF26" s="2339"/>
      <c r="CG26" s="2339"/>
      <c r="CH26" s="2339"/>
      <c r="CI26" s="2339"/>
      <c r="CJ26" s="2339"/>
      <c r="CK26" s="2339"/>
      <c r="CL26" s="2339">
        <v>0</v>
      </c>
      <c r="CM26" s="2339"/>
      <c r="CN26" s="2339"/>
      <c r="CO26" s="2339"/>
      <c r="CP26" s="2339"/>
      <c r="CQ26" s="2339"/>
      <c r="CR26" s="2339"/>
      <c r="CS26" s="2339"/>
      <c r="CT26" s="2339"/>
      <c r="CU26" s="2339"/>
      <c r="CV26" s="2339"/>
      <c r="CW26" s="2339">
        <v>0</v>
      </c>
      <c r="CX26" s="2339"/>
      <c r="CZ26" s="1516">
        <v>1</v>
      </c>
      <c r="DB26" s="1516">
        <v>1</v>
      </c>
      <c r="DD26" s="1516">
        <v>1</v>
      </c>
    </row>
    <row r="27" spans="1:108">
      <c r="A27" s="1516"/>
      <c r="B27" s="2339" t="s">
        <v>5216</v>
      </c>
      <c r="C27" s="2339">
        <v>37</v>
      </c>
      <c r="D27" s="2339">
        <v>777</v>
      </c>
      <c r="E27" s="2339"/>
      <c r="F27" s="2339"/>
      <c r="G27" s="2339"/>
      <c r="H27" s="2339"/>
      <c r="I27" s="2339"/>
      <c r="J27" s="2339"/>
      <c r="K27" s="2339" t="s">
        <v>504</v>
      </c>
      <c r="L27" s="2339"/>
      <c r="M27" s="2339">
        <v>1</v>
      </c>
      <c r="N27" s="2339"/>
      <c r="O27" s="2339">
        <v>1</v>
      </c>
      <c r="P27" s="2339"/>
      <c r="Q27" s="2339"/>
      <c r="R27" s="2339"/>
      <c r="S27" s="2339"/>
      <c r="T27" s="2339"/>
      <c r="U27" s="2339"/>
      <c r="V27" s="2339"/>
      <c r="W27" s="2339"/>
      <c r="X27" s="2339"/>
      <c r="Y27" s="2339"/>
      <c r="Z27" s="2339"/>
      <c r="AA27" s="2339"/>
      <c r="AB27" s="2339"/>
      <c r="AC27" s="2339"/>
      <c r="AD27" s="2339">
        <v>1</v>
      </c>
      <c r="AE27" s="2339"/>
      <c r="AF27" s="2339">
        <v>3</v>
      </c>
      <c r="AG27" s="2339"/>
      <c r="AH27" s="2339"/>
      <c r="AI27" s="2339"/>
      <c r="AJ27" s="2339"/>
      <c r="AK27" s="2339"/>
      <c r="AL27" s="2339">
        <v>1</v>
      </c>
      <c r="AM27" s="2339"/>
      <c r="AN27" s="2339"/>
      <c r="AO27" s="2339"/>
      <c r="AP27" s="2339"/>
      <c r="AQ27" s="2339"/>
      <c r="AR27" s="2339"/>
      <c r="AS27" s="2339"/>
      <c r="AT27" s="2339">
        <v>3</v>
      </c>
      <c r="AU27" s="2339"/>
      <c r="AV27" s="2339"/>
      <c r="AW27" s="2339">
        <v>1</v>
      </c>
      <c r="AX27" s="2339"/>
      <c r="AY27" s="2339"/>
      <c r="AZ27" s="2339">
        <v>1</v>
      </c>
      <c r="BA27" s="2339">
        <v>4</v>
      </c>
      <c r="BB27" s="2339"/>
      <c r="BC27" s="2339">
        <v>111</v>
      </c>
      <c r="BD27" s="2339">
        <v>37</v>
      </c>
      <c r="BE27" s="2339">
        <v>0</v>
      </c>
      <c r="BF27" s="2339"/>
      <c r="BG27" s="2339"/>
      <c r="BH27" s="2339">
        <v>1</v>
      </c>
      <c r="BI27" s="2339"/>
      <c r="BJ27" s="2339"/>
      <c r="BK27" s="2339"/>
      <c r="BL27" s="2339"/>
      <c r="BM27" s="2339">
        <v>0</v>
      </c>
      <c r="BN27" s="2339">
        <v>0</v>
      </c>
      <c r="BO27" s="2339"/>
      <c r="BP27" s="2339"/>
      <c r="BQ27" s="2339"/>
      <c r="BR27" s="2339"/>
      <c r="BS27" s="2339"/>
      <c r="BT27" s="2339"/>
      <c r="BU27" s="2339">
        <v>1</v>
      </c>
      <c r="BV27" s="2339"/>
      <c r="BW27" s="2339">
        <v>1</v>
      </c>
      <c r="BX27" s="2339"/>
      <c r="BY27" s="2339"/>
      <c r="BZ27" s="2339"/>
      <c r="CA27" s="2339"/>
      <c r="CB27" s="2339"/>
      <c r="CC27" s="2339"/>
      <c r="CD27" s="2339"/>
      <c r="CE27" s="2339"/>
      <c r="CF27" s="2339"/>
      <c r="CG27" s="2339"/>
      <c r="CH27" s="2339"/>
      <c r="CI27" s="2339"/>
      <c r="CJ27" s="2339"/>
      <c r="CK27" s="2339"/>
      <c r="CL27" s="2339">
        <v>1</v>
      </c>
      <c r="CM27" s="2339">
        <v>0</v>
      </c>
      <c r="CN27" s="2339">
        <v>1</v>
      </c>
      <c r="CO27" s="2339"/>
      <c r="CP27" s="2339"/>
      <c r="CQ27" s="2339"/>
      <c r="CR27" s="2339"/>
      <c r="CS27" s="2339"/>
      <c r="CT27" s="2339"/>
      <c r="CU27" s="2339"/>
      <c r="CV27" s="2339">
        <v>1</v>
      </c>
      <c r="CW27" s="2339">
        <v>0</v>
      </c>
      <c r="CX27" s="2339"/>
      <c r="CZ27" s="1516">
        <v>1</v>
      </c>
      <c r="DB27" s="1516">
        <v>1</v>
      </c>
      <c r="DD27" s="1516">
        <v>1</v>
      </c>
    </row>
    <row r="28" spans="1:108">
      <c r="A28" s="1516"/>
      <c r="B28" s="2339">
        <v>100</v>
      </c>
      <c r="C28" s="2339">
        <v>38.200000000000003</v>
      </c>
      <c r="D28" s="2339">
        <v>815.2</v>
      </c>
      <c r="E28" s="2339"/>
      <c r="F28" s="2339"/>
      <c r="G28" s="2339"/>
      <c r="H28" s="2339"/>
      <c r="I28" s="2339"/>
      <c r="J28" s="2339" t="s">
        <v>504</v>
      </c>
      <c r="K28" s="2339" t="s">
        <v>504</v>
      </c>
      <c r="L28" s="2339">
        <v>1</v>
      </c>
      <c r="M28" s="2339"/>
      <c r="N28" s="2339"/>
      <c r="O28" s="2339"/>
      <c r="P28" s="2339"/>
      <c r="Q28" s="2339"/>
      <c r="R28" s="2339"/>
      <c r="S28" s="2339"/>
      <c r="T28" s="2339"/>
      <c r="U28" s="2339"/>
      <c r="V28" s="2339"/>
      <c r="W28" s="2339"/>
      <c r="X28" s="2339"/>
      <c r="Y28" s="2339"/>
      <c r="Z28" s="2339">
        <v>1</v>
      </c>
      <c r="AA28" s="2339"/>
      <c r="AB28" s="2339"/>
      <c r="AC28" s="2339"/>
      <c r="AD28" s="2339">
        <v>1</v>
      </c>
      <c r="AE28" s="2339"/>
      <c r="AF28" s="2339">
        <v>3</v>
      </c>
      <c r="AG28" s="2339"/>
      <c r="AH28" s="2339"/>
      <c r="AI28" s="2339"/>
      <c r="AJ28" s="2339"/>
      <c r="AK28" s="2339"/>
      <c r="AL28" s="2339">
        <v>1</v>
      </c>
      <c r="AM28" s="2339"/>
      <c r="AN28" s="2339"/>
      <c r="AO28" s="2339"/>
      <c r="AP28" s="2339"/>
      <c r="AQ28" s="2339"/>
      <c r="AR28" s="2339"/>
      <c r="AS28" s="2339"/>
      <c r="AT28" s="2339">
        <v>3</v>
      </c>
      <c r="AU28" s="2339"/>
      <c r="AV28" s="2339"/>
      <c r="AW28" s="2339"/>
      <c r="AX28" s="2339"/>
      <c r="AY28" s="2339"/>
      <c r="AZ28" s="2339"/>
      <c r="BA28" s="2339"/>
      <c r="BB28" s="2339"/>
      <c r="BC28" s="2339">
        <v>114.6</v>
      </c>
      <c r="BD28" s="2339">
        <v>38.200000000000003</v>
      </c>
      <c r="BE28" s="2339">
        <v>0</v>
      </c>
      <c r="BF28" s="2339"/>
      <c r="BG28" s="2339"/>
      <c r="BH28" s="2339"/>
      <c r="BI28" s="2339"/>
      <c r="BJ28" s="2339">
        <v>1</v>
      </c>
      <c r="BK28" s="2339"/>
      <c r="BL28" s="2339"/>
      <c r="BM28" s="2339">
        <v>0</v>
      </c>
      <c r="BN28" s="2339">
        <v>0</v>
      </c>
      <c r="BO28" s="2339"/>
      <c r="BP28" s="2339"/>
      <c r="BQ28" s="2339">
        <v>2</v>
      </c>
      <c r="BR28" s="2339">
        <v>1</v>
      </c>
      <c r="BS28" s="2339"/>
      <c r="BT28" s="2339"/>
      <c r="BU28" s="2339"/>
      <c r="BV28" s="2339"/>
      <c r="BW28" s="2339"/>
      <c r="BX28" s="2339"/>
      <c r="BY28" s="2339"/>
      <c r="BZ28" s="2339"/>
      <c r="CA28" s="2339"/>
      <c r="CB28" s="2339"/>
      <c r="CC28" s="2339"/>
      <c r="CD28" s="2339">
        <v>1</v>
      </c>
      <c r="CE28" s="2339"/>
      <c r="CF28" s="2339"/>
      <c r="CG28" s="2339"/>
      <c r="CH28" s="2339"/>
      <c r="CI28" s="2339"/>
      <c r="CJ28" s="2339"/>
      <c r="CK28" s="2339"/>
      <c r="CL28" s="2339">
        <v>0</v>
      </c>
      <c r="CM28" s="2339"/>
      <c r="CN28" s="2339"/>
      <c r="CO28" s="2339"/>
      <c r="CP28" s="2339"/>
      <c r="CQ28" s="2339"/>
      <c r="CR28" s="2339"/>
      <c r="CS28" s="2339"/>
      <c r="CT28" s="2339"/>
      <c r="CU28" s="2339"/>
      <c r="CV28" s="2339"/>
      <c r="CW28" s="2339">
        <v>0</v>
      </c>
      <c r="CX28" s="2339"/>
      <c r="CZ28" s="1516">
        <v>1</v>
      </c>
      <c r="DB28" s="1516">
        <v>1</v>
      </c>
      <c r="DD28" s="1516">
        <v>1</v>
      </c>
    </row>
    <row r="29" spans="1:108">
      <c r="A29" s="1516"/>
      <c r="B29" s="2339" t="s">
        <v>5217</v>
      </c>
      <c r="C29" s="2339">
        <v>38</v>
      </c>
      <c r="D29" s="2339">
        <v>853.2</v>
      </c>
      <c r="E29" s="2339"/>
      <c r="F29" s="2339"/>
      <c r="G29" s="2339"/>
      <c r="H29" s="2339"/>
      <c r="I29" s="2339"/>
      <c r="J29" s="2339"/>
      <c r="K29" s="2339" t="s">
        <v>504</v>
      </c>
      <c r="L29" s="2339"/>
      <c r="M29" s="2339">
        <v>1</v>
      </c>
      <c r="N29" s="2339"/>
      <c r="O29" s="2339"/>
      <c r="P29" s="2339">
        <v>1</v>
      </c>
      <c r="Q29" s="2339"/>
      <c r="R29" s="2339"/>
      <c r="S29" s="2339"/>
      <c r="T29" s="2339"/>
      <c r="U29" s="2339"/>
      <c r="V29" s="2339"/>
      <c r="W29" s="2339"/>
      <c r="X29" s="2339"/>
      <c r="Y29" s="2339"/>
      <c r="Z29" s="2339"/>
      <c r="AA29" s="2339"/>
      <c r="AB29" s="2339"/>
      <c r="AC29" s="2339"/>
      <c r="AD29" s="2339">
        <v>1</v>
      </c>
      <c r="AE29" s="2339"/>
      <c r="AF29" s="2339">
        <v>3</v>
      </c>
      <c r="AG29" s="2339"/>
      <c r="AH29" s="2339"/>
      <c r="AI29" s="2339"/>
      <c r="AJ29" s="2339"/>
      <c r="AK29" s="2339"/>
      <c r="AL29" s="2339">
        <v>1</v>
      </c>
      <c r="AM29" s="2339"/>
      <c r="AN29" s="2339"/>
      <c r="AO29" s="2339"/>
      <c r="AP29" s="2339"/>
      <c r="AQ29" s="2339"/>
      <c r="AR29" s="2339"/>
      <c r="AS29" s="2339"/>
      <c r="AT29" s="2339">
        <v>3</v>
      </c>
      <c r="AU29" s="2339"/>
      <c r="AV29" s="2339"/>
      <c r="AW29" s="2339">
        <v>1</v>
      </c>
      <c r="AX29" s="2339"/>
      <c r="AY29" s="2339"/>
      <c r="AZ29" s="2339">
        <v>4</v>
      </c>
      <c r="BA29" s="2339">
        <v>8</v>
      </c>
      <c r="BB29" s="2339"/>
      <c r="BC29" s="2339">
        <v>114</v>
      </c>
      <c r="BD29" s="2339">
        <v>38</v>
      </c>
      <c r="BE29" s="2339">
        <v>0</v>
      </c>
      <c r="BF29" s="2339"/>
      <c r="BG29" s="2339"/>
      <c r="BH29" s="2339">
        <v>1</v>
      </c>
      <c r="BI29" s="2339"/>
      <c r="BJ29" s="2339"/>
      <c r="BK29" s="2339"/>
      <c r="BL29" s="2339"/>
      <c r="BM29" s="2339">
        <v>0</v>
      </c>
      <c r="BN29" s="2339">
        <v>0</v>
      </c>
      <c r="BO29" s="2339"/>
      <c r="BP29" s="2339"/>
      <c r="BQ29" s="2339"/>
      <c r="BR29" s="2339"/>
      <c r="BS29" s="2339"/>
      <c r="BT29" s="2339"/>
      <c r="BU29" s="2339">
        <v>1</v>
      </c>
      <c r="BV29" s="2339"/>
      <c r="BW29" s="2339">
        <v>1</v>
      </c>
      <c r="BX29" s="2339"/>
      <c r="BY29" s="2339"/>
      <c r="BZ29" s="2339"/>
      <c r="CA29" s="2339"/>
      <c r="CB29" s="2339"/>
      <c r="CC29" s="2339"/>
      <c r="CD29" s="2339"/>
      <c r="CE29" s="2339"/>
      <c r="CF29" s="2339"/>
      <c r="CG29" s="2339"/>
      <c r="CH29" s="2339"/>
      <c r="CI29" s="2339"/>
      <c r="CJ29" s="2339"/>
      <c r="CK29" s="2339"/>
      <c r="CL29" s="2339">
        <v>1</v>
      </c>
      <c r="CM29" s="2339">
        <v>0</v>
      </c>
      <c r="CN29" s="2339">
        <v>1</v>
      </c>
      <c r="CO29" s="2339"/>
      <c r="CP29" s="2339"/>
      <c r="CQ29" s="2339"/>
      <c r="CR29" s="2339"/>
      <c r="CS29" s="2339"/>
      <c r="CT29" s="2339"/>
      <c r="CU29" s="2339"/>
      <c r="CV29" s="2339">
        <v>1</v>
      </c>
      <c r="CW29" s="2339">
        <v>0</v>
      </c>
      <c r="CX29" s="2339" t="s">
        <v>5311</v>
      </c>
      <c r="CZ29" s="1516">
        <v>1</v>
      </c>
      <c r="DB29" s="1516">
        <v>1</v>
      </c>
      <c r="DD29" s="1516">
        <v>1</v>
      </c>
    </row>
    <row r="30" spans="1:108">
      <c r="A30" s="1516"/>
      <c r="B30" s="2339">
        <v>101</v>
      </c>
      <c r="C30" s="2339">
        <v>38.1</v>
      </c>
      <c r="D30" s="2339">
        <v>891.3</v>
      </c>
      <c r="E30" s="2339"/>
      <c r="F30" s="2339"/>
      <c r="G30" s="2339"/>
      <c r="H30" s="2339"/>
      <c r="I30" s="2339">
        <v>5</v>
      </c>
      <c r="J30" s="2339" t="s">
        <v>504</v>
      </c>
      <c r="K30" s="2339" t="s">
        <v>504</v>
      </c>
      <c r="L30" s="2339">
        <v>1</v>
      </c>
      <c r="M30" s="2339"/>
      <c r="N30" s="2339">
        <v>1</v>
      </c>
      <c r="O30" s="2339"/>
      <c r="P30" s="2339"/>
      <c r="Q30" s="2339"/>
      <c r="R30" s="2339">
        <v>1</v>
      </c>
      <c r="S30" s="2339"/>
      <c r="T30" s="2339"/>
      <c r="U30" s="2339"/>
      <c r="V30" s="2339"/>
      <c r="W30" s="2339"/>
      <c r="X30" s="2339"/>
      <c r="Y30" s="2339"/>
      <c r="Z30" s="2339"/>
      <c r="AA30" s="2339">
        <v>1</v>
      </c>
      <c r="AB30" s="2339"/>
      <c r="AC30" s="2339"/>
      <c r="AD30" s="2339">
        <v>1</v>
      </c>
      <c r="AE30" s="2339"/>
      <c r="AF30" s="2339">
        <v>3</v>
      </c>
      <c r="AG30" s="2339"/>
      <c r="AH30" s="2339"/>
      <c r="AI30" s="2339"/>
      <c r="AJ30" s="2339"/>
      <c r="AK30" s="2339"/>
      <c r="AL30" s="2339">
        <v>1</v>
      </c>
      <c r="AM30" s="2339">
        <v>1</v>
      </c>
      <c r="AN30" s="2339">
        <v>1</v>
      </c>
      <c r="AO30" s="2339"/>
      <c r="AP30" s="2339"/>
      <c r="AQ30" s="2339">
        <v>2</v>
      </c>
      <c r="AR30" s="2339"/>
      <c r="AS30" s="2339"/>
      <c r="AT30" s="2339">
        <v>3</v>
      </c>
      <c r="AU30" s="2339"/>
      <c r="AV30" s="2339"/>
      <c r="AW30" s="2339"/>
      <c r="AX30" s="2339"/>
      <c r="AY30" s="2339"/>
      <c r="AZ30" s="2339"/>
      <c r="BA30" s="2339"/>
      <c r="BB30" s="2339"/>
      <c r="BC30" s="2339">
        <v>114.3</v>
      </c>
      <c r="BD30" s="2339">
        <v>38.1</v>
      </c>
      <c r="BE30" s="2339">
        <v>0</v>
      </c>
      <c r="BF30" s="2339">
        <v>1</v>
      </c>
      <c r="BG30" s="2339"/>
      <c r="BH30" s="2339"/>
      <c r="BI30" s="2339">
        <v>1</v>
      </c>
      <c r="BJ30" s="2339">
        <v>1</v>
      </c>
      <c r="BK30" s="2339"/>
      <c r="BL30" s="2339"/>
      <c r="BM30" s="2339">
        <v>0</v>
      </c>
      <c r="BN30" s="2339">
        <v>0</v>
      </c>
      <c r="BO30" s="2339"/>
      <c r="BP30" s="2339"/>
      <c r="BQ30" s="2339">
        <v>2</v>
      </c>
      <c r="BR30" s="2339">
        <v>1</v>
      </c>
      <c r="BS30" s="2339"/>
      <c r="BT30" s="2339"/>
      <c r="BU30" s="2339"/>
      <c r="BV30" s="2339"/>
      <c r="BW30" s="2339"/>
      <c r="BX30" s="2339">
        <v>1</v>
      </c>
      <c r="BY30" s="2339">
        <v>1</v>
      </c>
      <c r="BZ30" s="2339"/>
      <c r="CA30" s="2339">
        <v>1</v>
      </c>
      <c r="CB30" s="2339"/>
      <c r="CC30" s="2339">
        <v>1</v>
      </c>
      <c r="CD30" s="2339">
        <v>1</v>
      </c>
      <c r="CE30" s="2339"/>
      <c r="CF30" s="2339"/>
      <c r="CG30" s="2339">
        <v>1</v>
      </c>
      <c r="CH30" s="2339"/>
      <c r="CI30" s="2339"/>
      <c r="CJ30" s="2339"/>
      <c r="CK30" s="2339"/>
      <c r="CL30" s="2339">
        <v>0</v>
      </c>
      <c r="CM30" s="2339"/>
      <c r="CN30" s="2339"/>
      <c r="CO30" s="2339">
        <v>1</v>
      </c>
      <c r="CP30" s="2339"/>
      <c r="CQ30" s="2339">
        <v>1</v>
      </c>
      <c r="CR30" s="2339"/>
      <c r="CS30" s="2339">
        <v>1</v>
      </c>
      <c r="CT30" s="2339"/>
      <c r="CU30" s="2339"/>
      <c r="CV30" s="2339"/>
      <c r="CW30" s="2339">
        <v>0</v>
      </c>
      <c r="CX30" s="2339" t="s">
        <v>5218</v>
      </c>
      <c r="CZ30" s="1516">
        <v>1</v>
      </c>
      <c r="DB30" s="1516">
        <v>1</v>
      </c>
      <c r="DD30" s="1516">
        <v>1</v>
      </c>
    </row>
    <row r="31" spans="1:108">
      <c r="A31" s="1516"/>
      <c r="B31" s="2339" t="s">
        <v>5219</v>
      </c>
      <c r="C31" s="2339">
        <v>48</v>
      </c>
      <c r="D31" s="2339">
        <v>939.3</v>
      </c>
      <c r="E31" s="2339"/>
      <c r="F31" s="2339"/>
      <c r="G31" s="2339"/>
      <c r="H31" s="2339"/>
      <c r="I31" s="2339"/>
      <c r="J31" s="2339"/>
      <c r="K31" s="2339" t="s">
        <v>550</v>
      </c>
      <c r="L31" s="2339"/>
      <c r="M31" s="2339">
        <v>2</v>
      </c>
      <c r="N31" s="2339"/>
      <c r="O31" s="2339"/>
      <c r="P31" s="2339"/>
      <c r="Q31" s="2339">
        <v>1</v>
      </c>
      <c r="R31" s="2339"/>
      <c r="S31" s="2339"/>
      <c r="T31" s="2339"/>
      <c r="U31" s="2339"/>
      <c r="V31" s="2339"/>
      <c r="W31" s="2339"/>
      <c r="X31" s="2339"/>
      <c r="Y31" s="2339"/>
      <c r="Z31" s="2339"/>
      <c r="AA31" s="2339"/>
      <c r="AB31" s="2339"/>
      <c r="AC31" s="2339">
        <v>1</v>
      </c>
      <c r="AD31" s="2339"/>
      <c r="AE31" s="2339"/>
      <c r="AF31" s="2339">
        <v>6</v>
      </c>
      <c r="AG31" s="2339">
        <v>6</v>
      </c>
      <c r="AH31" s="2339"/>
      <c r="AI31" s="2339"/>
      <c r="AJ31" s="2339">
        <v>6</v>
      </c>
      <c r="AK31" s="2339">
        <v>2</v>
      </c>
      <c r="AL31" s="2339"/>
      <c r="AM31" s="2339"/>
      <c r="AN31" s="2339"/>
      <c r="AO31" s="2339"/>
      <c r="AP31" s="2339"/>
      <c r="AQ31" s="2339"/>
      <c r="AR31" s="2339"/>
      <c r="AS31" s="2339"/>
      <c r="AT31" s="2339">
        <v>6</v>
      </c>
      <c r="AU31" s="2339"/>
      <c r="AV31" s="2339"/>
      <c r="AW31" s="2339">
        <v>1</v>
      </c>
      <c r="AX31" s="2339"/>
      <c r="AY31" s="2339"/>
      <c r="AZ31" s="2339">
        <v>4</v>
      </c>
      <c r="BA31" s="2339">
        <v>4</v>
      </c>
      <c r="BB31" s="2339"/>
      <c r="BC31" s="2339">
        <v>144</v>
      </c>
      <c r="BD31" s="2339">
        <v>48</v>
      </c>
      <c r="BE31" s="2339">
        <v>0</v>
      </c>
      <c r="BF31" s="2339"/>
      <c r="BG31" s="2339"/>
      <c r="BH31" s="2339">
        <v>1</v>
      </c>
      <c r="BI31" s="2339"/>
      <c r="BJ31" s="2339"/>
      <c r="BK31" s="2339"/>
      <c r="BL31" s="2339"/>
      <c r="BM31" s="2339">
        <v>0</v>
      </c>
      <c r="BN31" s="2339">
        <v>0</v>
      </c>
      <c r="BO31" s="2339"/>
      <c r="BP31" s="2339"/>
      <c r="BQ31" s="2339"/>
      <c r="BR31" s="2339"/>
      <c r="BS31" s="2339"/>
      <c r="BT31" s="2339"/>
      <c r="BU31" s="2339">
        <v>1</v>
      </c>
      <c r="BV31" s="2339"/>
      <c r="BW31" s="2339">
        <v>1</v>
      </c>
      <c r="BX31" s="2339"/>
      <c r="BY31" s="2339"/>
      <c r="BZ31" s="2339"/>
      <c r="CA31" s="2339"/>
      <c r="CB31" s="2339"/>
      <c r="CC31" s="2339"/>
      <c r="CD31" s="2339"/>
      <c r="CE31" s="2339"/>
      <c r="CF31" s="2339"/>
      <c r="CG31" s="2339"/>
      <c r="CH31" s="2339"/>
      <c r="CI31" s="2339"/>
      <c r="CJ31" s="2339"/>
      <c r="CK31" s="2339"/>
      <c r="CL31" s="2339">
        <v>1</v>
      </c>
      <c r="CM31" s="2339">
        <v>0</v>
      </c>
      <c r="CN31" s="2339">
        <v>1</v>
      </c>
      <c r="CO31" s="2339"/>
      <c r="CP31" s="2339"/>
      <c r="CQ31" s="2339"/>
      <c r="CR31" s="2339"/>
      <c r="CS31" s="2339"/>
      <c r="CT31" s="2339"/>
      <c r="CU31" s="2339"/>
      <c r="CV31" s="2339">
        <v>1</v>
      </c>
      <c r="CW31" s="2339">
        <v>0</v>
      </c>
      <c r="CX31" s="2339"/>
      <c r="CZ31" s="1516">
        <v>1</v>
      </c>
      <c r="DB31" s="1516">
        <v>1</v>
      </c>
      <c r="DD31" s="1516">
        <v>1</v>
      </c>
    </row>
    <row r="32" spans="1:108">
      <c r="A32" s="1516"/>
      <c r="B32" s="2339">
        <v>102</v>
      </c>
      <c r="C32" s="2339">
        <v>49.8</v>
      </c>
      <c r="D32" s="2339">
        <v>989.1</v>
      </c>
      <c r="E32" s="2339"/>
      <c r="F32" s="2339"/>
      <c r="G32" s="2339"/>
      <c r="H32" s="2339"/>
      <c r="I32" s="2339"/>
      <c r="J32" s="2339" t="s">
        <v>4512</v>
      </c>
      <c r="K32" s="2339" t="s">
        <v>4512</v>
      </c>
      <c r="L32" s="2339">
        <v>1</v>
      </c>
      <c r="M32" s="2339">
        <v>1</v>
      </c>
      <c r="N32" s="2339"/>
      <c r="O32" s="2339"/>
      <c r="P32" s="2339">
        <v>1</v>
      </c>
      <c r="Q32" s="2339"/>
      <c r="R32" s="2339"/>
      <c r="S32" s="2339"/>
      <c r="T32" s="2339"/>
      <c r="U32" s="2339"/>
      <c r="V32" s="2339"/>
      <c r="W32" s="2339">
        <v>1</v>
      </c>
      <c r="X32" s="2339"/>
      <c r="Y32" s="2339"/>
      <c r="Z32" s="2339"/>
      <c r="AA32" s="2339"/>
      <c r="AB32" s="2339"/>
      <c r="AC32" s="2339"/>
      <c r="AD32" s="2339"/>
      <c r="AE32" s="2339">
        <v>1</v>
      </c>
      <c r="AF32" s="2339">
        <v>6</v>
      </c>
      <c r="AG32" s="2339"/>
      <c r="AH32" s="2339"/>
      <c r="AI32" s="2339"/>
      <c r="AJ32" s="2339"/>
      <c r="AK32" s="2339"/>
      <c r="AL32" s="2339">
        <v>1</v>
      </c>
      <c r="AM32" s="2339"/>
      <c r="AN32" s="2339"/>
      <c r="AO32" s="2339"/>
      <c r="AP32" s="2339"/>
      <c r="AQ32" s="2339"/>
      <c r="AR32" s="2339"/>
      <c r="AS32" s="2339">
        <v>6</v>
      </c>
      <c r="AT32" s="2339"/>
      <c r="AU32" s="2339"/>
      <c r="AV32" s="2339"/>
      <c r="AW32" s="2339"/>
      <c r="AX32" s="2339"/>
      <c r="AY32" s="2339"/>
      <c r="AZ32" s="2339"/>
      <c r="BA32" s="2339">
        <v>4</v>
      </c>
      <c r="BB32" s="2339"/>
      <c r="BC32" s="2339">
        <v>149.4</v>
      </c>
      <c r="BD32" s="2339">
        <v>49.8</v>
      </c>
      <c r="BE32" s="2339">
        <v>0</v>
      </c>
      <c r="BF32" s="2339">
        <v>1</v>
      </c>
      <c r="BG32" s="2339"/>
      <c r="BH32" s="2339"/>
      <c r="BI32" s="2339"/>
      <c r="BJ32" s="2339"/>
      <c r="BK32" s="2339">
        <v>1</v>
      </c>
      <c r="BL32" s="2339"/>
      <c r="BM32" s="2339">
        <v>0</v>
      </c>
      <c r="BN32" s="2339">
        <v>0</v>
      </c>
      <c r="BO32" s="2339"/>
      <c r="BP32" s="2339"/>
      <c r="BQ32" s="2339">
        <v>4</v>
      </c>
      <c r="BR32" s="2339">
        <v>2</v>
      </c>
      <c r="BS32" s="2339"/>
      <c r="BT32" s="2339"/>
      <c r="BU32" s="2339">
        <v>1</v>
      </c>
      <c r="BV32" s="2339"/>
      <c r="BW32" s="2339">
        <v>1</v>
      </c>
      <c r="BX32" s="2339"/>
      <c r="BY32" s="2339"/>
      <c r="BZ32" s="2339"/>
      <c r="CA32" s="2339"/>
      <c r="CB32" s="2339"/>
      <c r="CC32" s="2339"/>
      <c r="CD32" s="2339">
        <v>1</v>
      </c>
      <c r="CE32" s="2339"/>
      <c r="CF32" s="2339"/>
      <c r="CG32" s="2339"/>
      <c r="CH32" s="2339"/>
      <c r="CI32" s="2339"/>
      <c r="CJ32" s="2339"/>
      <c r="CK32" s="2339"/>
      <c r="CL32" s="2339">
        <v>1</v>
      </c>
      <c r="CM32" s="2339"/>
      <c r="CN32" s="2339">
        <v>1</v>
      </c>
      <c r="CO32" s="2339"/>
      <c r="CP32" s="2339"/>
      <c r="CQ32" s="2339"/>
      <c r="CR32" s="2339"/>
      <c r="CS32" s="2339"/>
      <c r="CT32" s="2339"/>
      <c r="CU32" s="2339"/>
      <c r="CV32" s="2339"/>
      <c r="CW32" s="2339">
        <v>0</v>
      </c>
      <c r="CX32" s="2339" t="s">
        <v>5220</v>
      </c>
      <c r="CZ32" s="1516">
        <v>1</v>
      </c>
      <c r="DB32" s="1516">
        <v>1</v>
      </c>
      <c r="DD32" s="1516">
        <v>1</v>
      </c>
    </row>
    <row r="33" spans="1:108">
      <c r="A33" s="1516"/>
      <c r="B33" s="2339" t="s">
        <v>5221</v>
      </c>
      <c r="C33" s="2339">
        <v>38</v>
      </c>
      <c r="D33" s="2339">
        <v>1027.0999999999999</v>
      </c>
      <c r="E33" s="2339"/>
      <c r="F33" s="2339"/>
      <c r="G33" s="2339"/>
      <c r="H33" s="2339"/>
      <c r="I33" s="2339"/>
      <c r="J33" s="2339"/>
      <c r="K33" s="2339" t="s">
        <v>504</v>
      </c>
      <c r="L33" s="2339"/>
      <c r="M33" s="2339">
        <v>1</v>
      </c>
      <c r="N33" s="2339"/>
      <c r="O33" s="2339">
        <v>1</v>
      </c>
      <c r="P33" s="2339"/>
      <c r="Q33" s="2339"/>
      <c r="R33" s="2339"/>
      <c r="S33" s="2339"/>
      <c r="T33" s="2339"/>
      <c r="U33" s="2339"/>
      <c r="V33" s="2339"/>
      <c r="W33" s="2339"/>
      <c r="X33" s="2339"/>
      <c r="Y33" s="2339"/>
      <c r="Z33" s="2339"/>
      <c r="AA33" s="2339"/>
      <c r="AB33" s="2339"/>
      <c r="AC33" s="2339"/>
      <c r="AD33" s="2339">
        <v>1</v>
      </c>
      <c r="AE33" s="2339"/>
      <c r="AF33" s="2339">
        <v>3</v>
      </c>
      <c r="AG33" s="2339"/>
      <c r="AH33" s="2339"/>
      <c r="AI33" s="2339"/>
      <c r="AJ33" s="2339"/>
      <c r="AK33" s="2339"/>
      <c r="AL33" s="2339">
        <v>1</v>
      </c>
      <c r="AM33" s="2339"/>
      <c r="AN33" s="2339"/>
      <c r="AO33" s="2339"/>
      <c r="AP33" s="2339"/>
      <c r="AQ33" s="2339"/>
      <c r="AR33" s="2339"/>
      <c r="AS33" s="2339"/>
      <c r="AT33" s="2339">
        <v>3</v>
      </c>
      <c r="AU33" s="2339"/>
      <c r="AV33" s="2339"/>
      <c r="AW33" s="2339">
        <v>1</v>
      </c>
      <c r="AX33" s="2339"/>
      <c r="AY33" s="2339"/>
      <c r="AZ33" s="2339">
        <v>1</v>
      </c>
      <c r="BA33" s="2339">
        <v>4</v>
      </c>
      <c r="BB33" s="2339"/>
      <c r="BC33" s="2339">
        <v>114</v>
      </c>
      <c r="BD33" s="2339">
        <v>38</v>
      </c>
      <c r="BE33" s="2339">
        <v>0</v>
      </c>
      <c r="BF33" s="2339"/>
      <c r="BG33" s="2339"/>
      <c r="BH33" s="2339">
        <v>1</v>
      </c>
      <c r="BI33" s="2339"/>
      <c r="BJ33" s="2339"/>
      <c r="BK33" s="2339"/>
      <c r="BL33" s="2339"/>
      <c r="BM33" s="2339">
        <v>0</v>
      </c>
      <c r="BN33" s="2339">
        <v>0</v>
      </c>
      <c r="BO33" s="2339"/>
      <c r="BP33" s="2339"/>
      <c r="BQ33" s="2339"/>
      <c r="BR33" s="2339"/>
      <c r="BS33" s="2339"/>
      <c r="BT33" s="2339"/>
      <c r="BU33" s="2339">
        <v>1</v>
      </c>
      <c r="BV33" s="2339"/>
      <c r="BW33" s="2339">
        <v>1</v>
      </c>
      <c r="BX33" s="2339"/>
      <c r="BY33" s="2339"/>
      <c r="BZ33" s="2339"/>
      <c r="CA33" s="2339"/>
      <c r="CB33" s="2339"/>
      <c r="CC33" s="2339"/>
      <c r="CD33" s="2339"/>
      <c r="CE33" s="2339"/>
      <c r="CF33" s="2339"/>
      <c r="CG33" s="2339"/>
      <c r="CH33" s="2339"/>
      <c r="CI33" s="2339"/>
      <c r="CJ33" s="2339"/>
      <c r="CK33" s="2339"/>
      <c r="CL33" s="2339">
        <v>1</v>
      </c>
      <c r="CM33" s="2339">
        <v>0</v>
      </c>
      <c r="CN33" s="2339">
        <v>1</v>
      </c>
      <c r="CO33" s="2339"/>
      <c r="CP33" s="2339"/>
      <c r="CQ33" s="2339"/>
      <c r="CR33" s="2339"/>
      <c r="CS33" s="2339"/>
      <c r="CT33" s="2339"/>
      <c r="CU33" s="2339"/>
      <c r="CV33" s="2339">
        <v>1</v>
      </c>
      <c r="CW33" s="2339">
        <v>0</v>
      </c>
      <c r="CX33" s="2339"/>
      <c r="CZ33" s="1516">
        <v>1</v>
      </c>
      <c r="DB33" s="1516">
        <v>1</v>
      </c>
      <c r="DD33" s="1516">
        <v>1</v>
      </c>
    </row>
    <row r="34" spans="1:108">
      <c r="A34" s="1516"/>
      <c r="B34" s="2339">
        <v>103</v>
      </c>
      <c r="C34" s="2339">
        <v>38.799999999999997</v>
      </c>
      <c r="D34" s="2339">
        <v>1065.9000000000001</v>
      </c>
      <c r="E34" s="2339"/>
      <c r="F34" s="2339"/>
      <c r="G34" s="2339"/>
      <c r="H34" s="2339"/>
      <c r="I34" s="2339"/>
      <c r="J34" s="2339" t="s">
        <v>504</v>
      </c>
      <c r="K34" s="2339" t="s">
        <v>504</v>
      </c>
      <c r="L34" s="2339">
        <v>1</v>
      </c>
      <c r="M34" s="2339"/>
      <c r="N34" s="2339"/>
      <c r="O34" s="2339"/>
      <c r="P34" s="2339"/>
      <c r="Q34" s="2339"/>
      <c r="R34" s="2339"/>
      <c r="S34" s="2339"/>
      <c r="T34" s="2339"/>
      <c r="U34" s="2339"/>
      <c r="V34" s="2339"/>
      <c r="W34" s="2339"/>
      <c r="X34" s="2339"/>
      <c r="Y34" s="2339"/>
      <c r="Z34" s="2339"/>
      <c r="AA34" s="2339"/>
      <c r="AB34" s="2339"/>
      <c r="AC34" s="2339"/>
      <c r="AD34" s="2339">
        <v>1</v>
      </c>
      <c r="AE34" s="2339"/>
      <c r="AF34" s="2339">
        <v>3</v>
      </c>
      <c r="AG34" s="2339"/>
      <c r="AH34" s="2339"/>
      <c r="AI34" s="2339"/>
      <c r="AJ34" s="2339"/>
      <c r="AK34" s="2339"/>
      <c r="AL34" s="2339">
        <v>1</v>
      </c>
      <c r="AM34" s="2339"/>
      <c r="AN34" s="2339"/>
      <c r="AO34" s="2339"/>
      <c r="AP34" s="2339"/>
      <c r="AQ34" s="2339"/>
      <c r="AR34" s="2339"/>
      <c r="AS34" s="2339"/>
      <c r="AT34" s="2339">
        <v>3</v>
      </c>
      <c r="AU34" s="2339"/>
      <c r="AV34" s="2339"/>
      <c r="AW34" s="2339"/>
      <c r="AX34" s="2339"/>
      <c r="AY34" s="2339"/>
      <c r="AZ34" s="2339"/>
      <c r="BA34" s="2339"/>
      <c r="BB34" s="2339"/>
      <c r="BC34" s="2339">
        <v>116.4</v>
      </c>
      <c r="BD34" s="2339">
        <v>38.799999999999997</v>
      </c>
      <c r="BE34" s="2339">
        <v>0</v>
      </c>
      <c r="BF34" s="2339"/>
      <c r="BG34" s="2339"/>
      <c r="BH34" s="2339"/>
      <c r="BI34" s="2339"/>
      <c r="BJ34" s="2339">
        <v>1</v>
      </c>
      <c r="BK34" s="2339"/>
      <c r="BL34" s="2339"/>
      <c r="BM34" s="2339">
        <v>0</v>
      </c>
      <c r="BN34" s="2339">
        <v>0</v>
      </c>
      <c r="BO34" s="2339"/>
      <c r="BP34" s="2339"/>
      <c r="BQ34" s="2339">
        <v>2</v>
      </c>
      <c r="BR34" s="2339">
        <v>1</v>
      </c>
      <c r="BS34" s="2339"/>
      <c r="BT34" s="2339"/>
      <c r="BU34" s="2339"/>
      <c r="BV34" s="2339"/>
      <c r="BW34" s="2339"/>
      <c r="BX34" s="2339"/>
      <c r="BY34" s="2339"/>
      <c r="BZ34" s="2339"/>
      <c r="CA34" s="2339"/>
      <c r="CB34" s="2339"/>
      <c r="CC34" s="2339"/>
      <c r="CD34" s="2339">
        <v>1</v>
      </c>
      <c r="CE34" s="2339"/>
      <c r="CF34" s="2339"/>
      <c r="CG34" s="2339"/>
      <c r="CH34" s="2339"/>
      <c r="CI34" s="2339"/>
      <c r="CJ34" s="2339"/>
      <c r="CK34" s="2339"/>
      <c r="CL34" s="2339">
        <v>0</v>
      </c>
      <c r="CM34" s="2339"/>
      <c r="CN34" s="2339"/>
      <c r="CO34" s="2339"/>
      <c r="CP34" s="2339"/>
      <c r="CQ34" s="2339"/>
      <c r="CR34" s="2339"/>
      <c r="CS34" s="2339"/>
      <c r="CT34" s="2339"/>
      <c r="CU34" s="2339"/>
      <c r="CV34" s="2339"/>
      <c r="CW34" s="2339">
        <v>0</v>
      </c>
      <c r="CX34" s="2339"/>
      <c r="CZ34" s="1516">
        <v>1</v>
      </c>
      <c r="DB34" s="1516">
        <v>1</v>
      </c>
      <c r="DD34" s="1516">
        <v>1</v>
      </c>
    </row>
    <row r="35" spans="1:108">
      <c r="A35" s="1516"/>
      <c r="B35" s="2339" t="s">
        <v>5222</v>
      </c>
      <c r="C35" s="2339">
        <v>36</v>
      </c>
      <c r="D35" s="2339">
        <v>1101.9000000000001</v>
      </c>
      <c r="E35" s="2339"/>
      <c r="F35" s="2339"/>
      <c r="G35" s="2339"/>
      <c r="H35" s="2339"/>
      <c r="I35" s="2339"/>
      <c r="J35" s="2339"/>
      <c r="K35" s="2339" t="s">
        <v>504</v>
      </c>
      <c r="L35" s="2339"/>
      <c r="M35" s="2339">
        <v>1</v>
      </c>
      <c r="N35" s="2339"/>
      <c r="O35" s="2339"/>
      <c r="P35" s="2339">
        <v>1</v>
      </c>
      <c r="Q35" s="2339"/>
      <c r="R35" s="2339"/>
      <c r="S35" s="2339"/>
      <c r="T35" s="2339"/>
      <c r="U35" s="2339"/>
      <c r="V35" s="2339"/>
      <c r="W35" s="2339"/>
      <c r="X35" s="2339"/>
      <c r="Y35" s="2339">
        <v>1</v>
      </c>
      <c r="Z35" s="2339"/>
      <c r="AA35" s="2339"/>
      <c r="AB35" s="2339"/>
      <c r="AC35" s="2339"/>
      <c r="AD35" s="2339">
        <v>1</v>
      </c>
      <c r="AE35" s="2339"/>
      <c r="AF35" s="2339">
        <v>3</v>
      </c>
      <c r="AG35" s="2339"/>
      <c r="AH35" s="2339"/>
      <c r="AI35" s="2339"/>
      <c r="AJ35" s="2339"/>
      <c r="AK35" s="2339"/>
      <c r="AL35" s="2339">
        <v>1</v>
      </c>
      <c r="AM35" s="2339"/>
      <c r="AN35" s="2339"/>
      <c r="AO35" s="2339"/>
      <c r="AP35" s="2339"/>
      <c r="AQ35" s="2339"/>
      <c r="AR35" s="2339"/>
      <c r="AS35" s="2339"/>
      <c r="AT35" s="2339">
        <v>3</v>
      </c>
      <c r="AU35" s="2339"/>
      <c r="AV35" s="2339"/>
      <c r="AW35" s="2339">
        <v>2</v>
      </c>
      <c r="AX35" s="2339"/>
      <c r="AY35" s="2339"/>
      <c r="AZ35" s="2339">
        <v>1</v>
      </c>
      <c r="BA35" s="2339">
        <v>4</v>
      </c>
      <c r="BB35" s="2339"/>
      <c r="BC35" s="2339">
        <v>108</v>
      </c>
      <c r="BD35" s="2339">
        <v>36</v>
      </c>
      <c r="BE35" s="2339">
        <v>0</v>
      </c>
      <c r="BF35" s="2339"/>
      <c r="BG35" s="2339"/>
      <c r="BH35" s="2339">
        <v>1</v>
      </c>
      <c r="BI35" s="2339"/>
      <c r="BJ35" s="2339"/>
      <c r="BK35" s="2339"/>
      <c r="BL35" s="2339"/>
      <c r="BM35" s="2339">
        <v>0</v>
      </c>
      <c r="BN35" s="2339">
        <v>0</v>
      </c>
      <c r="BO35" s="2339"/>
      <c r="BP35" s="2339"/>
      <c r="BQ35" s="2339"/>
      <c r="BR35" s="2339"/>
      <c r="BS35" s="2339"/>
      <c r="BT35" s="2339"/>
      <c r="BU35" s="2339">
        <v>1</v>
      </c>
      <c r="BV35" s="2339">
        <v>2</v>
      </c>
      <c r="BW35" s="2339"/>
      <c r="BX35" s="2339"/>
      <c r="BY35" s="2339"/>
      <c r="BZ35" s="2339"/>
      <c r="CA35" s="2339"/>
      <c r="CB35" s="2339"/>
      <c r="CC35" s="2339"/>
      <c r="CD35" s="2339"/>
      <c r="CE35" s="2339"/>
      <c r="CF35" s="2339"/>
      <c r="CG35" s="2339"/>
      <c r="CH35" s="2339"/>
      <c r="CI35" s="2339"/>
      <c r="CJ35" s="2339"/>
      <c r="CK35" s="2339"/>
      <c r="CL35" s="2339">
        <v>1</v>
      </c>
      <c r="CM35" s="2339">
        <v>2</v>
      </c>
      <c r="CN35" s="2339">
        <v>0</v>
      </c>
      <c r="CO35" s="2339"/>
      <c r="CP35" s="2339"/>
      <c r="CQ35" s="2339"/>
      <c r="CR35" s="2339"/>
      <c r="CS35" s="2339"/>
      <c r="CT35" s="2339"/>
      <c r="CU35" s="2339"/>
      <c r="CV35" s="2339">
        <v>2</v>
      </c>
      <c r="CW35" s="2339">
        <v>0</v>
      </c>
      <c r="CX35" s="2339"/>
      <c r="CZ35" s="1516">
        <v>1</v>
      </c>
      <c r="DB35" s="1516">
        <v>1</v>
      </c>
      <c r="DD35" s="1516">
        <v>1</v>
      </c>
    </row>
    <row r="36" spans="1:108">
      <c r="A36" s="1516"/>
      <c r="B36" s="2339">
        <v>104</v>
      </c>
      <c r="C36" s="2339">
        <v>35.299999999999997</v>
      </c>
      <c r="D36" s="2339">
        <v>1137.2</v>
      </c>
      <c r="E36" s="2339"/>
      <c r="F36" s="2339"/>
      <c r="G36" s="2339"/>
      <c r="H36" s="2339"/>
      <c r="I36" s="2339"/>
      <c r="J36" s="2339" t="s">
        <v>504</v>
      </c>
      <c r="K36" s="2339" t="s">
        <v>504</v>
      </c>
      <c r="L36" s="2339">
        <v>1</v>
      </c>
      <c r="M36" s="2339"/>
      <c r="N36" s="2339"/>
      <c r="O36" s="2339"/>
      <c r="P36" s="2339"/>
      <c r="Q36" s="2339"/>
      <c r="R36" s="2339"/>
      <c r="S36" s="2339"/>
      <c r="T36" s="2339"/>
      <c r="U36" s="2339"/>
      <c r="V36" s="2339"/>
      <c r="W36" s="2339"/>
      <c r="X36" s="2339"/>
      <c r="Y36" s="2339"/>
      <c r="Z36" s="2339"/>
      <c r="AA36" s="2339"/>
      <c r="AB36" s="2339"/>
      <c r="AC36" s="2339"/>
      <c r="AD36" s="2339">
        <v>1</v>
      </c>
      <c r="AE36" s="2339"/>
      <c r="AF36" s="2339">
        <v>3</v>
      </c>
      <c r="AG36" s="2339"/>
      <c r="AH36" s="2339"/>
      <c r="AI36" s="2339"/>
      <c r="AJ36" s="2339"/>
      <c r="AK36" s="2339"/>
      <c r="AL36" s="2339">
        <v>1</v>
      </c>
      <c r="AM36" s="2339"/>
      <c r="AN36" s="2339"/>
      <c r="AO36" s="2339"/>
      <c r="AP36" s="2339"/>
      <c r="AQ36" s="2339"/>
      <c r="AR36" s="2339"/>
      <c r="AS36" s="2339"/>
      <c r="AT36" s="2339">
        <v>3</v>
      </c>
      <c r="AU36" s="2339"/>
      <c r="AV36" s="2339"/>
      <c r="AW36" s="2339"/>
      <c r="AX36" s="2339"/>
      <c r="AY36" s="2339"/>
      <c r="AZ36" s="2339"/>
      <c r="BA36" s="2339"/>
      <c r="BB36" s="2339"/>
      <c r="BC36" s="2339">
        <v>105.9</v>
      </c>
      <c r="BD36" s="2339">
        <v>35.299999999999997</v>
      </c>
      <c r="BE36" s="2339">
        <v>0</v>
      </c>
      <c r="BF36" s="2339"/>
      <c r="BG36" s="2339"/>
      <c r="BH36" s="2339"/>
      <c r="BI36" s="2339"/>
      <c r="BJ36" s="2339">
        <v>1</v>
      </c>
      <c r="BK36" s="2339"/>
      <c r="BL36" s="2339"/>
      <c r="BM36" s="2339">
        <v>0</v>
      </c>
      <c r="BN36" s="2339">
        <v>0</v>
      </c>
      <c r="BO36" s="2339"/>
      <c r="BP36" s="2339"/>
      <c r="BQ36" s="2339">
        <v>2</v>
      </c>
      <c r="BR36" s="2339">
        <v>1</v>
      </c>
      <c r="BS36" s="2339"/>
      <c r="BT36" s="2339"/>
      <c r="BU36" s="2339"/>
      <c r="BV36" s="2339"/>
      <c r="BW36" s="2339"/>
      <c r="BX36" s="2339"/>
      <c r="BY36" s="2339"/>
      <c r="BZ36" s="2339"/>
      <c r="CA36" s="2339"/>
      <c r="CB36" s="2339"/>
      <c r="CC36" s="2339"/>
      <c r="CD36" s="2339">
        <v>1</v>
      </c>
      <c r="CE36" s="2339"/>
      <c r="CF36" s="2339"/>
      <c r="CG36" s="2339"/>
      <c r="CH36" s="2339"/>
      <c r="CI36" s="2339"/>
      <c r="CJ36" s="2339"/>
      <c r="CK36" s="2339"/>
      <c r="CL36" s="2339">
        <v>0</v>
      </c>
      <c r="CM36" s="2339"/>
      <c r="CN36" s="2339"/>
      <c r="CO36" s="2339"/>
      <c r="CP36" s="2339"/>
      <c r="CQ36" s="2339"/>
      <c r="CR36" s="2339"/>
      <c r="CS36" s="2339"/>
      <c r="CT36" s="2339"/>
      <c r="CU36" s="2339"/>
      <c r="CV36" s="2339"/>
      <c r="CW36" s="2339">
        <v>0</v>
      </c>
      <c r="CX36" s="2339"/>
      <c r="CZ36" s="1516">
        <v>1</v>
      </c>
      <c r="DB36" s="1516">
        <v>1</v>
      </c>
      <c r="DD36" s="1516">
        <v>1</v>
      </c>
    </row>
    <row r="37" spans="1:108">
      <c r="A37" s="1516"/>
      <c r="B37" s="2339" t="s">
        <v>5223</v>
      </c>
      <c r="C37" s="2339">
        <v>37</v>
      </c>
      <c r="D37" s="2339">
        <v>1174.2</v>
      </c>
      <c r="E37" s="2339"/>
      <c r="F37" s="2339"/>
      <c r="G37" s="2339"/>
      <c r="H37" s="2339"/>
      <c r="I37" s="2339"/>
      <c r="J37" s="2339"/>
      <c r="K37" s="2339" t="s">
        <v>504</v>
      </c>
      <c r="L37" s="2339"/>
      <c r="M37" s="2339">
        <v>1</v>
      </c>
      <c r="N37" s="2339"/>
      <c r="O37" s="2339"/>
      <c r="P37" s="2339">
        <v>1</v>
      </c>
      <c r="Q37" s="2339"/>
      <c r="R37" s="2339"/>
      <c r="S37" s="2339"/>
      <c r="T37" s="2339"/>
      <c r="U37" s="2339"/>
      <c r="V37" s="2339"/>
      <c r="W37" s="2339"/>
      <c r="X37" s="2339"/>
      <c r="Y37" s="2339"/>
      <c r="Z37" s="2339"/>
      <c r="AA37" s="2339"/>
      <c r="AB37" s="2339"/>
      <c r="AC37" s="2339"/>
      <c r="AD37" s="2339">
        <v>1</v>
      </c>
      <c r="AE37" s="2339"/>
      <c r="AF37" s="2339">
        <v>3</v>
      </c>
      <c r="AG37" s="2339"/>
      <c r="AH37" s="2339"/>
      <c r="AI37" s="2339"/>
      <c r="AJ37" s="2339"/>
      <c r="AK37" s="2339"/>
      <c r="AL37" s="2339">
        <v>1</v>
      </c>
      <c r="AM37" s="2339"/>
      <c r="AN37" s="2339"/>
      <c r="AO37" s="2339"/>
      <c r="AP37" s="2339"/>
      <c r="AQ37" s="2339"/>
      <c r="AR37" s="2339"/>
      <c r="AS37" s="2339"/>
      <c r="AT37" s="2339">
        <v>3</v>
      </c>
      <c r="AU37" s="2339"/>
      <c r="AV37" s="2339"/>
      <c r="AW37" s="2339">
        <v>1</v>
      </c>
      <c r="AX37" s="2339"/>
      <c r="AY37" s="2339"/>
      <c r="AZ37" s="2339">
        <v>3</v>
      </c>
      <c r="BA37" s="2339">
        <v>4</v>
      </c>
      <c r="BB37" s="2339"/>
      <c r="BC37" s="2339">
        <v>111</v>
      </c>
      <c r="BD37" s="2339">
        <v>37</v>
      </c>
      <c r="BE37" s="2339">
        <v>0</v>
      </c>
      <c r="BF37" s="2339"/>
      <c r="BG37" s="2339"/>
      <c r="BH37" s="2339">
        <v>1</v>
      </c>
      <c r="BI37" s="2339"/>
      <c r="BJ37" s="2339"/>
      <c r="BK37" s="2339"/>
      <c r="BL37" s="2339"/>
      <c r="BM37" s="2339">
        <v>0</v>
      </c>
      <c r="BN37" s="2339">
        <v>0</v>
      </c>
      <c r="BO37" s="2339"/>
      <c r="BP37" s="2339"/>
      <c r="BQ37" s="2339"/>
      <c r="BR37" s="2339"/>
      <c r="BS37" s="2339"/>
      <c r="BT37" s="2339"/>
      <c r="BU37" s="2339">
        <v>1</v>
      </c>
      <c r="BV37" s="2339"/>
      <c r="BW37" s="2339">
        <v>1</v>
      </c>
      <c r="BX37" s="2339"/>
      <c r="BY37" s="2339"/>
      <c r="BZ37" s="2339"/>
      <c r="CA37" s="2339"/>
      <c r="CB37" s="2339"/>
      <c r="CC37" s="2339"/>
      <c r="CD37" s="2339"/>
      <c r="CE37" s="2339"/>
      <c r="CF37" s="2339"/>
      <c r="CG37" s="2339"/>
      <c r="CH37" s="2339"/>
      <c r="CI37" s="2339"/>
      <c r="CJ37" s="2339"/>
      <c r="CK37" s="2339"/>
      <c r="CL37" s="2339">
        <v>1</v>
      </c>
      <c r="CM37" s="2339">
        <v>0</v>
      </c>
      <c r="CN37" s="2339">
        <v>1</v>
      </c>
      <c r="CO37" s="2339"/>
      <c r="CP37" s="2339"/>
      <c r="CQ37" s="2339"/>
      <c r="CR37" s="2339"/>
      <c r="CS37" s="2339"/>
      <c r="CT37" s="2339"/>
      <c r="CU37" s="2339"/>
      <c r="CV37" s="2339">
        <v>1</v>
      </c>
      <c r="CW37" s="2339">
        <v>0</v>
      </c>
      <c r="CX37" s="2339"/>
      <c r="CZ37" s="1516">
        <v>1</v>
      </c>
      <c r="DB37" s="1516">
        <v>1</v>
      </c>
      <c r="DD37" s="1516">
        <v>1</v>
      </c>
    </row>
    <row r="38" spans="1:108">
      <c r="A38" s="1516"/>
      <c r="B38" s="2339">
        <v>105</v>
      </c>
      <c r="C38" s="2339">
        <v>36.700000000000003</v>
      </c>
      <c r="D38" s="2339">
        <v>1210.9000000000001</v>
      </c>
      <c r="E38" s="2339">
        <v>28</v>
      </c>
      <c r="F38" s="2339"/>
      <c r="G38" s="2339"/>
      <c r="H38" s="2339"/>
      <c r="I38" s="2339">
        <v>1</v>
      </c>
      <c r="J38" s="2339" t="s">
        <v>663</v>
      </c>
      <c r="K38" s="2339" t="s">
        <v>663</v>
      </c>
      <c r="L38" s="2339">
        <v>1</v>
      </c>
      <c r="M38" s="2339"/>
      <c r="N38" s="2339"/>
      <c r="O38" s="2339"/>
      <c r="P38" s="2339"/>
      <c r="Q38" s="2339"/>
      <c r="R38" s="2339"/>
      <c r="S38" s="2339"/>
      <c r="T38" s="2339"/>
      <c r="U38" s="2339"/>
      <c r="V38" s="2339"/>
      <c r="W38" s="2339"/>
      <c r="X38" s="2339"/>
      <c r="Y38" s="2339"/>
      <c r="Z38" s="2339"/>
      <c r="AA38" s="2339"/>
      <c r="AB38" s="2339"/>
      <c r="AC38" s="2339"/>
      <c r="AD38" s="2339">
        <v>1</v>
      </c>
      <c r="AE38" s="2339"/>
      <c r="AF38" s="2339">
        <v>3</v>
      </c>
      <c r="AG38" s="2339"/>
      <c r="AH38" s="2339"/>
      <c r="AI38" s="2339">
        <v>2</v>
      </c>
      <c r="AJ38" s="2339"/>
      <c r="AK38" s="2339"/>
      <c r="AL38" s="2339">
        <v>1</v>
      </c>
      <c r="AM38" s="2339">
        <v>1</v>
      </c>
      <c r="AN38" s="2339">
        <v>1</v>
      </c>
      <c r="AO38" s="2339"/>
      <c r="AP38" s="2339"/>
      <c r="AQ38" s="2339">
        <v>2</v>
      </c>
      <c r="AR38" s="2339"/>
      <c r="AS38" s="2339"/>
      <c r="AT38" s="2339">
        <v>3</v>
      </c>
      <c r="AU38" s="2339"/>
      <c r="AV38" s="2339"/>
      <c r="AW38" s="2339"/>
      <c r="AX38" s="2339"/>
      <c r="AY38" s="2339"/>
      <c r="AZ38" s="2339"/>
      <c r="BA38" s="2339"/>
      <c r="BB38" s="2339"/>
      <c r="BC38" s="2339">
        <v>110.1</v>
      </c>
      <c r="BD38" s="2339">
        <v>36.700000000000003</v>
      </c>
      <c r="BE38" s="2339">
        <v>28</v>
      </c>
      <c r="BF38" s="2339"/>
      <c r="BG38" s="2339"/>
      <c r="BH38" s="2339"/>
      <c r="BI38" s="2339"/>
      <c r="BJ38" s="2339">
        <v>1</v>
      </c>
      <c r="BK38" s="2339"/>
      <c r="BL38" s="2339"/>
      <c r="BM38" s="2339">
        <v>0</v>
      </c>
      <c r="BN38" s="2339">
        <v>0</v>
      </c>
      <c r="BO38" s="2339"/>
      <c r="BP38" s="2339"/>
      <c r="BQ38" s="2339">
        <v>2</v>
      </c>
      <c r="BR38" s="2339">
        <v>1</v>
      </c>
      <c r="BS38" s="2339"/>
      <c r="BT38" s="2339"/>
      <c r="BU38" s="2339"/>
      <c r="BV38" s="2339"/>
      <c r="BW38" s="2339"/>
      <c r="BX38" s="2339"/>
      <c r="BY38" s="2339"/>
      <c r="BZ38" s="2339"/>
      <c r="CA38" s="2339"/>
      <c r="CB38" s="2339"/>
      <c r="CC38" s="2339"/>
      <c r="CD38" s="2339">
        <v>1</v>
      </c>
      <c r="CE38" s="2339"/>
      <c r="CF38" s="2339"/>
      <c r="CG38" s="2339"/>
      <c r="CH38" s="2339"/>
      <c r="CI38" s="2339"/>
      <c r="CJ38" s="2339"/>
      <c r="CK38" s="2339"/>
      <c r="CL38" s="2339">
        <v>0</v>
      </c>
      <c r="CM38" s="2339"/>
      <c r="CN38" s="2339"/>
      <c r="CO38" s="2339"/>
      <c r="CP38" s="2339"/>
      <c r="CQ38" s="2339"/>
      <c r="CR38" s="2339"/>
      <c r="CS38" s="2339"/>
      <c r="CT38" s="2339"/>
      <c r="CU38" s="2339"/>
      <c r="CV38" s="2339"/>
      <c r="CW38" s="2339">
        <v>2</v>
      </c>
      <c r="CX38" s="2339" t="s">
        <v>5224</v>
      </c>
      <c r="CZ38" s="1516">
        <v>1</v>
      </c>
      <c r="DB38" s="1516">
        <v>1</v>
      </c>
      <c r="DD38" s="1516">
        <v>1</v>
      </c>
    </row>
    <row r="39" spans="1:108">
      <c r="A39" s="1516"/>
      <c r="B39" s="2339" t="s">
        <v>5225</v>
      </c>
      <c r="C39" s="2339">
        <v>38.5</v>
      </c>
      <c r="D39" s="2339">
        <v>1249.4000000000001</v>
      </c>
      <c r="E39" s="2339"/>
      <c r="F39" s="2339"/>
      <c r="G39" s="2339"/>
      <c r="H39" s="2339"/>
      <c r="I39" s="2339"/>
      <c r="J39" s="2339"/>
      <c r="K39" s="2339" t="s">
        <v>504</v>
      </c>
      <c r="L39" s="2339"/>
      <c r="M39" s="2339">
        <v>1</v>
      </c>
      <c r="N39" s="2339"/>
      <c r="O39" s="2339">
        <v>1</v>
      </c>
      <c r="P39" s="2339"/>
      <c r="Q39" s="2339"/>
      <c r="R39" s="2339"/>
      <c r="S39" s="2339"/>
      <c r="T39" s="2339"/>
      <c r="U39" s="2339"/>
      <c r="V39" s="2339"/>
      <c r="W39" s="2339"/>
      <c r="X39" s="2339"/>
      <c r="Y39" s="2339"/>
      <c r="Z39" s="2339"/>
      <c r="AA39" s="2339"/>
      <c r="AB39" s="2339"/>
      <c r="AC39" s="2339"/>
      <c r="AD39" s="2339">
        <v>1</v>
      </c>
      <c r="AE39" s="2339"/>
      <c r="AF39" s="2339">
        <v>3</v>
      </c>
      <c r="AG39" s="2339"/>
      <c r="AH39" s="2339"/>
      <c r="AI39" s="2339"/>
      <c r="AJ39" s="2339"/>
      <c r="AK39" s="2339"/>
      <c r="AL39" s="2339">
        <v>1</v>
      </c>
      <c r="AM39" s="2339"/>
      <c r="AN39" s="2339"/>
      <c r="AO39" s="2339"/>
      <c r="AP39" s="2339"/>
      <c r="AQ39" s="2339"/>
      <c r="AR39" s="2339"/>
      <c r="AS39" s="2339"/>
      <c r="AT39" s="2339">
        <v>3</v>
      </c>
      <c r="AU39" s="2339"/>
      <c r="AV39" s="2339"/>
      <c r="AW39" s="2339">
        <v>1</v>
      </c>
      <c r="AX39" s="2339"/>
      <c r="AY39" s="2339"/>
      <c r="AZ39" s="2339">
        <v>7</v>
      </c>
      <c r="BA39" s="2339">
        <v>4</v>
      </c>
      <c r="BB39" s="2339"/>
      <c r="BC39" s="2339">
        <v>115.5</v>
      </c>
      <c r="BD39" s="2339">
        <v>38.5</v>
      </c>
      <c r="BE39" s="2339">
        <v>0</v>
      </c>
      <c r="BF39" s="2339"/>
      <c r="BG39" s="2339"/>
      <c r="BH39" s="2339">
        <v>1</v>
      </c>
      <c r="BI39" s="2339"/>
      <c r="BJ39" s="2339"/>
      <c r="BK39" s="2339"/>
      <c r="BL39" s="2339"/>
      <c r="BM39" s="2339">
        <v>0</v>
      </c>
      <c r="BN39" s="2339">
        <v>0</v>
      </c>
      <c r="BO39" s="2339"/>
      <c r="BP39" s="2339"/>
      <c r="BQ39" s="2339"/>
      <c r="BR39" s="2339"/>
      <c r="BS39" s="2339"/>
      <c r="BT39" s="2339"/>
      <c r="BU39" s="2339">
        <v>1</v>
      </c>
      <c r="BV39" s="2339"/>
      <c r="BW39" s="2339">
        <v>1</v>
      </c>
      <c r="BX39" s="2339"/>
      <c r="BY39" s="2339"/>
      <c r="BZ39" s="2339"/>
      <c r="CA39" s="2339"/>
      <c r="CB39" s="2339"/>
      <c r="CC39" s="2339"/>
      <c r="CD39" s="2339"/>
      <c r="CE39" s="2339"/>
      <c r="CF39" s="2339"/>
      <c r="CG39" s="2339"/>
      <c r="CH39" s="2339"/>
      <c r="CI39" s="2339"/>
      <c r="CJ39" s="2339"/>
      <c r="CK39" s="2339"/>
      <c r="CL39" s="2339">
        <v>1</v>
      </c>
      <c r="CM39" s="2339">
        <v>0</v>
      </c>
      <c r="CN39" s="2339">
        <v>1</v>
      </c>
      <c r="CO39" s="2339"/>
      <c r="CP39" s="2339"/>
      <c r="CQ39" s="2339"/>
      <c r="CR39" s="2339"/>
      <c r="CS39" s="2339"/>
      <c r="CT39" s="2339"/>
      <c r="CU39" s="2339"/>
      <c r="CV39" s="2339">
        <v>1</v>
      </c>
      <c r="CW39" s="2339">
        <v>0</v>
      </c>
      <c r="CX39" s="2339"/>
      <c r="CZ39" s="1516">
        <v>1</v>
      </c>
      <c r="DB39" s="1516">
        <v>1</v>
      </c>
      <c r="DD39" s="1516">
        <v>1</v>
      </c>
    </row>
    <row r="40" spans="1:108">
      <c r="A40" s="1516"/>
      <c r="B40" s="2339">
        <v>106</v>
      </c>
      <c r="C40" s="2339">
        <v>38</v>
      </c>
      <c r="D40" s="2339">
        <v>1287.4000000000001</v>
      </c>
      <c r="E40" s="2339"/>
      <c r="F40" s="2339"/>
      <c r="G40" s="2339"/>
      <c r="H40" s="2339"/>
      <c r="I40" s="2339">
        <v>5</v>
      </c>
      <c r="J40" s="2339" t="s">
        <v>504</v>
      </c>
      <c r="K40" s="2339" t="s">
        <v>504</v>
      </c>
      <c r="L40" s="2339">
        <v>1</v>
      </c>
      <c r="M40" s="2339"/>
      <c r="N40" s="2339">
        <v>1</v>
      </c>
      <c r="O40" s="2339"/>
      <c r="P40" s="2339"/>
      <c r="Q40" s="2339"/>
      <c r="R40" s="2339">
        <v>1</v>
      </c>
      <c r="S40" s="2339"/>
      <c r="T40" s="2339"/>
      <c r="U40" s="2339"/>
      <c r="V40" s="2339"/>
      <c r="W40" s="2339"/>
      <c r="X40" s="2339"/>
      <c r="Y40" s="2339"/>
      <c r="Z40" s="2339"/>
      <c r="AA40" s="2339">
        <v>1</v>
      </c>
      <c r="AB40" s="2339"/>
      <c r="AC40" s="2339"/>
      <c r="AD40" s="2339">
        <v>1</v>
      </c>
      <c r="AE40" s="2339"/>
      <c r="AF40" s="2339">
        <v>3</v>
      </c>
      <c r="AG40" s="2339"/>
      <c r="AH40" s="2339"/>
      <c r="AI40" s="2339"/>
      <c r="AJ40" s="2339"/>
      <c r="AK40" s="2339"/>
      <c r="AL40" s="2339">
        <v>1</v>
      </c>
      <c r="AM40" s="2339">
        <v>1</v>
      </c>
      <c r="AN40" s="2339">
        <v>1</v>
      </c>
      <c r="AO40" s="2339"/>
      <c r="AP40" s="2339"/>
      <c r="AQ40" s="2339">
        <v>2</v>
      </c>
      <c r="AR40" s="2339"/>
      <c r="AS40" s="2339"/>
      <c r="AT40" s="2339">
        <v>3</v>
      </c>
      <c r="AU40" s="2339"/>
      <c r="AV40" s="2339"/>
      <c r="AW40" s="2339"/>
      <c r="AX40" s="2339"/>
      <c r="AY40" s="2339"/>
      <c r="AZ40" s="2339"/>
      <c r="BA40" s="2339"/>
      <c r="BB40" s="2339"/>
      <c r="BC40" s="2339">
        <v>114</v>
      </c>
      <c r="BD40" s="2339">
        <v>38</v>
      </c>
      <c r="BE40" s="2339">
        <v>0</v>
      </c>
      <c r="BF40" s="2339">
        <v>1</v>
      </c>
      <c r="BG40" s="2339"/>
      <c r="BH40" s="2339"/>
      <c r="BI40" s="2339">
        <v>1</v>
      </c>
      <c r="BJ40" s="2339">
        <v>1</v>
      </c>
      <c r="BK40" s="2339"/>
      <c r="BL40" s="2339"/>
      <c r="BM40" s="2339">
        <v>0</v>
      </c>
      <c r="BN40" s="2339">
        <v>0</v>
      </c>
      <c r="BO40" s="2339"/>
      <c r="BP40" s="2339"/>
      <c r="BQ40" s="2339">
        <v>2</v>
      </c>
      <c r="BR40" s="2339">
        <v>1</v>
      </c>
      <c r="BS40" s="2339"/>
      <c r="BT40" s="2339"/>
      <c r="BU40" s="2339"/>
      <c r="BV40" s="2339"/>
      <c r="BW40" s="2339"/>
      <c r="BX40" s="2339">
        <v>1</v>
      </c>
      <c r="BY40" s="2339">
        <v>1</v>
      </c>
      <c r="BZ40" s="2339"/>
      <c r="CA40" s="2339">
        <v>1</v>
      </c>
      <c r="CB40" s="2339"/>
      <c r="CC40" s="2339">
        <v>1</v>
      </c>
      <c r="CD40" s="2339">
        <v>1</v>
      </c>
      <c r="CE40" s="2339"/>
      <c r="CF40" s="2339"/>
      <c r="CG40" s="2339">
        <v>1</v>
      </c>
      <c r="CH40" s="2339"/>
      <c r="CI40" s="2339"/>
      <c r="CJ40" s="2339"/>
      <c r="CK40" s="2339"/>
      <c r="CL40" s="2339">
        <v>0</v>
      </c>
      <c r="CM40" s="2339"/>
      <c r="CN40" s="2339"/>
      <c r="CO40" s="2339">
        <v>1</v>
      </c>
      <c r="CP40" s="2339"/>
      <c r="CQ40" s="2339">
        <v>1</v>
      </c>
      <c r="CR40" s="2339"/>
      <c r="CS40" s="2339">
        <v>1</v>
      </c>
      <c r="CT40" s="2339"/>
      <c r="CU40" s="2339"/>
      <c r="CV40" s="2339"/>
      <c r="CW40" s="2339">
        <v>0</v>
      </c>
      <c r="CX40" s="2339" t="s">
        <v>5218</v>
      </c>
      <c r="CZ40" s="1516">
        <v>1</v>
      </c>
      <c r="DB40" s="1516">
        <v>1</v>
      </c>
      <c r="DD40" s="1516">
        <v>1</v>
      </c>
    </row>
    <row r="41" spans="1:108">
      <c r="A41" s="1516"/>
      <c r="B41" s="2339" t="s">
        <v>5226</v>
      </c>
      <c r="C41" s="2339">
        <v>37</v>
      </c>
      <c r="D41" s="2339">
        <v>1324.4</v>
      </c>
      <c r="E41" s="2339"/>
      <c r="F41" s="2339"/>
      <c r="G41" s="2339"/>
      <c r="H41" s="2339"/>
      <c r="I41" s="2339"/>
      <c r="J41" s="2339"/>
      <c r="K41" s="2339" t="s">
        <v>504</v>
      </c>
      <c r="L41" s="2339"/>
      <c r="M41" s="2339">
        <v>1</v>
      </c>
      <c r="N41" s="2339"/>
      <c r="O41" s="2339">
        <v>1</v>
      </c>
      <c r="P41" s="2339"/>
      <c r="Q41" s="2339"/>
      <c r="R41" s="2339"/>
      <c r="S41" s="2339"/>
      <c r="T41" s="2339"/>
      <c r="U41" s="2339"/>
      <c r="V41" s="2339"/>
      <c r="W41" s="2339"/>
      <c r="X41" s="2339"/>
      <c r="Y41" s="2339"/>
      <c r="Z41" s="2339"/>
      <c r="AA41" s="2339"/>
      <c r="AB41" s="2339"/>
      <c r="AC41" s="2339"/>
      <c r="AD41" s="2339">
        <v>1</v>
      </c>
      <c r="AE41" s="2339"/>
      <c r="AF41" s="2339">
        <v>3</v>
      </c>
      <c r="AG41" s="2339"/>
      <c r="AH41" s="2339"/>
      <c r="AI41" s="2339"/>
      <c r="AJ41" s="2339"/>
      <c r="AK41" s="2339"/>
      <c r="AL41" s="2339">
        <v>1</v>
      </c>
      <c r="AM41" s="2339"/>
      <c r="AN41" s="2339"/>
      <c r="AO41" s="2339"/>
      <c r="AP41" s="2339"/>
      <c r="AQ41" s="2339"/>
      <c r="AR41" s="2339"/>
      <c r="AS41" s="2339"/>
      <c r="AT41" s="2339">
        <v>3</v>
      </c>
      <c r="AU41" s="2339"/>
      <c r="AV41" s="2339"/>
      <c r="AW41" s="2339">
        <v>1</v>
      </c>
      <c r="AX41" s="2339"/>
      <c r="AY41" s="2339"/>
      <c r="AZ41" s="2339">
        <v>4</v>
      </c>
      <c r="BA41" s="2339">
        <v>4</v>
      </c>
      <c r="BB41" s="2339"/>
      <c r="BC41" s="2339">
        <v>111</v>
      </c>
      <c r="BD41" s="2339">
        <v>37</v>
      </c>
      <c r="BE41" s="2339">
        <v>0</v>
      </c>
      <c r="BF41" s="2339"/>
      <c r="BG41" s="2339"/>
      <c r="BH41" s="2339">
        <v>1</v>
      </c>
      <c r="BI41" s="2339"/>
      <c r="BJ41" s="2339"/>
      <c r="BK41" s="2339"/>
      <c r="BL41" s="2339"/>
      <c r="BM41" s="2339">
        <v>0</v>
      </c>
      <c r="BN41" s="2339">
        <v>0</v>
      </c>
      <c r="BO41" s="2339"/>
      <c r="BP41" s="2339"/>
      <c r="BQ41" s="2339"/>
      <c r="BR41" s="2339"/>
      <c r="BS41" s="2339"/>
      <c r="BT41" s="2339"/>
      <c r="BU41" s="2339">
        <v>1</v>
      </c>
      <c r="BV41" s="2339"/>
      <c r="BW41" s="2339">
        <v>1</v>
      </c>
      <c r="BX41" s="2339"/>
      <c r="BY41" s="2339"/>
      <c r="BZ41" s="2339"/>
      <c r="CA41" s="2339"/>
      <c r="CB41" s="2339"/>
      <c r="CC41" s="2339"/>
      <c r="CD41" s="2339"/>
      <c r="CE41" s="2339"/>
      <c r="CF41" s="2339"/>
      <c r="CG41" s="2339"/>
      <c r="CH41" s="2339"/>
      <c r="CI41" s="2339"/>
      <c r="CJ41" s="2339"/>
      <c r="CK41" s="2339"/>
      <c r="CL41" s="2339">
        <v>1</v>
      </c>
      <c r="CM41" s="2339">
        <v>0</v>
      </c>
      <c r="CN41" s="2339">
        <v>1</v>
      </c>
      <c r="CO41" s="2339"/>
      <c r="CP41" s="2339"/>
      <c r="CQ41" s="2339"/>
      <c r="CR41" s="2339"/>
      <c r="CS41" s="2339"/>
      <c r="CT41" s="2339"/>
      <c r="CU41" s="2339"/>
      <c r="CV41" s="2339">
        <v>1</v>
      </c>
      <c r="CW41" s="2339">
        <v>0</v>
      </c>
      <c r="CX41" s="2339"/>
      <c r="CZ41" s="1516">
        <v>1</v>
      </c>
      <c r="DB41" s="1516">
        <v>1</v>
      </c>
      <c r="DD41" s="1516">
        <v>1</v>
      </c>
    </row>
    <row r="42" spans="1:108">
      <c r="A42" s="1516"/>
      <c r="B42" s="2339">
        <v>107</v>
      </c>
      <c r="C42" s="2339">
        <v>37.6</v>
      </c>
      <c r="D42" s="2339">
        <v>1362</v>
      </c>
      <c r="E42" s="2339"/>
      <c r="F42" s="2339"/>
      <c r="G42" s="2339"/>
      <c r="H42" s="2339"/>
      <c r="I42" s="2339"/>
      <c r="J42" s="2339" t="s">
        <v>550</v>
      </c>
      <c r="K42" s="2339" t="s">
        <v>550</v>
      </c>
      <c r="L42" s="2339">
        <v>1</v>
      </c>
      <c r="M42" s="2339">
        <v>1</v>
      </c>
      <c r="N42" s="2339"/>
      <c r="O42" s="2339"/>
      <c r="P42" s="2339">
        <v>1</v>
      </c>
      <c r="Q42" s="2339"/>
      <c r="R42" s="2339"/>
      <c r="S42" s="2339">
        <v>2</v>
      </c>
      <c r="T42" s="2339"/>
      <c r="U42" s="2339"/>
      <c r="V42" s="2339"/>
      <c r="W42" s="2339"/>
      <c r="X42" s="2339"/>
      <c r="Y42" s="2339"/>
      <c r="Z42" s="2339"/>
      <c r="AA42" s="2339"/>
      <c r="AB42" s="2339">
        <v>1</v>
      </c>
      <c r="AC42" s="2339"/>
      <c r="AD42" s="2339"/>
      <c r="AE42" s="2339"/>
      <c r="AF42" s="2339">
        <v>6</v>
      </c>
      <c r="AG42" s="2339">
        <v>6</v>
      </c>
      <c r="AH42" s="2339"/>
      <c r="AI42" s="2339"/>
      <c r="AJ42" s="2339">
        <v>6</v>
      </c>
      <c r="AK42" s="2339">
        <v>2</v>
      </c>
      <c r="AL42" s="2339"/>
      <c r="AM42" s="2339"/>
      <c r="AN42" s="2339"/>
      <c r="AO42" s="2339"/>
      <c r="AP42" s="2339"/>
      <c r="AQ42" s="2339">
        <v>2</v>
      </c>
      <c r="AR42" s="2339">
        <v>6</v>
      </c>
      <c r="AS42" s="2339"/>
      <c r="AT42" s="2339">
        <v>6</v>
      </c>
      <c r="AU42" s="2339"/>
      <c r="AV42" s="2339"/>
      <c r="AW42" s="2339"/>
      <c r="AX42" s="2339"/>
      <c r="AY42" s="2339"/>
      <c r="AZ42" s="2339"/>
      <c r="BA42" s="2339"/>
      <c r="BB42" s="2339">
        <v>1.2</v>
      </c>
      <c r="BC42" s="2339">
        <v>112.8</v>
      </c>
      <c r="BD42" s="2339">
        <v>37.6</v>
      </c>
      <c r="BE42" s="2339">
        <v>0</v>
      </c>
      <c r="BF42" s="2339">
        <v>1</v>
      </c>
      <c r="BG42" s="2339"/>
      <c r="BH42" s="2339"/>
      <c r="BI42" s="2339"/>
      <c r="BJ42" s="2339"/>
      <c r="BK42" s="2339"/>
      <c r="BL42" s="2339">
        <v>1</v>
      </c>
      <c r="BM42" s="2339">
        <v>0</v>
      </c>
      <c r="BN42" s="2339">
        <v>2</v>
      </c>
      <c r="BO42" s="2339">
        <v>6</v>
      </c>
      <c r="BP42" s="2339"/>
      <c r="BQ42" s="2339">
        <v>1</v>
      </c>
      <c r="BR42" s="2339"/>
      <c r="BS42" s="2339"/>
      <c r="BT42" s="2339"/>
      <c r="BU42" s="2339"/>
      <c r="BV42" s="2339"/>
      <c r="BW42" s="2339"/>
      <c r="BX42" s="2339"/>
      <c r="BY42" s="2339"/>
      <c r="BZ42" s="2339"/>
      <c r="CA42" s="2339"/>
      <c r="CB42" s="2339"/>
      <c r="CC42" s="2339"/>
      <c r="CD42" s="2339"/>
      <c r="CE42" s="2339">
        <v>2</v>
      </c>
      <c r="CF42" s="2339"/>
      <c r="CG42" s="2339"/>
      <c r="CH42" s="2339"/>
      <c r="CI42" s="2339"/>
      <c r="CJ42" s="2339"/>
      <c r="CK42" s="2339"/>
      <c r="CL42" s="2339">
        <v>0</v>
      </c>
      <c r="CM42" s="2339"/>
      <c r="CN42" s="2339"/>
      <c r="CO42" s="2339"/>
      <c r="CP42" s="2339"/>
      <c r="CQ42" s="2339"/>
      <c r="CR42" s="2339"/>
      <c r="CS42" s="2339"/>
      <c r="CT42" s="2339"/>
      <c r="CU42" s="2339"/>
      <c r="CV42" s="2339"/>
      <c r="CW42" s="2339">
        <v>0</v>
      </c>
      <c r="CX42" s="2339"/>
      <c r="CZ42" s="1516">
        <v>1</v>
      </c>
      <c r="DB42" s="1516">
        <v>1</v>
      </c>
      <c r="DD42" s="1516">
        <v>1</v>
      </c>
    </row>
    <row r="43" spans="1:108">
      <c r="A43" s="1516"/>
      <c r="B43" s="2339" t="s">
        <v>5227</v>
      </c>
      <c r="C43" s="2339">
        <v>34</v>
      </c>
      <c r="D43" s="2339">
        <v>1396</v>
      </c>
      <c r="E43" s="2339"/>
      <c r="F43" s="2339"/>
      <c r="G43" s="2339"/>
      <c r="H43" s="2339"/>
      <c r="I43" s="2339"/>
      <c r="J43" s="2339"/>
      <c r="K43" s="2339" t="s">
        <v>504</v>
      </c>
      <c r="L43" s="2339"/>
      <c r="M43" s="2339">
        <v>1</v>
      </c>
      <c r="N43" s="2339"/>
      <c r="O43" s="2339">
        <v>1</v>
      </c>
      <c r="P43" s="2339"/>
      <c r="Q43" s="2339"/>
      <c r="R43" s="2339"/>
      <c r="S43" s="2339"/>
      <c r="T43" s="2339"/>
      <c r="U43" s="2339"/>
      <c r="V43" s="2339"/>
      <c r="W43" s="2339"/>
      <c r="X43" s="2339"/>
      <c r="Y43" s="2339"/>
      <c r="Z43" s="2339"/>
      <c r="AA43" s="2339"/>
      <c r="AB43" s="2339"/>
      <c r="AC43" s="2339"/>
      <c r="AD43" s="2339">
        <v>1</v>
      </c>
      <c r="AE43" s="2339"/>
      <c r="AF43" s="2339">
        <v>3</v>
      </c>
      <c r="AG43" s="2339"/>
      <c r="AH43" s="2339"/>
      <c r="AI43" s="2339"/>
      <c r="AJ43" s="2339"/>
      <c r="AK43" s="2339"/>
      <c r="AL43" s="2339">
        <v>1</v>
      </c>
      <c r="AM43" s="2339"/>
      <c r="AN43" s="2339"/>
      <c r="AO43" s="2339"/>
      <c r="AP43" s="2339"/>
      <c r="AQ43" s="2339"/>
      <c r="AR43" s="2339"/>
      <c r="AS43" s="2339"/>
      <c r="AT43" s="2339">
        <v>3</v>
      </c>
      <c r="AU43" s="2339"/>
      <c r="AV43" s="2339"/>
      <c r="AW43" s="2339">
        <v>1</v>
      </c>
      <c r="AX43" s="2339"/>
      <c r="AY43" s="2339"/>
      <c r="AZ43" s="2339">
        <v>5</v>
      </c>
      <c r="BA43" s="2339">
        <v>4</v>
      </c>
      <c r="BB43" s="2339"/>
      <c r="BC43" s="2339">
        <v>102</v>
      </c>
      <c r="BD43" s="2339">
        <v>34</v>
      </c>
      <c r="BE43" s="2339">
        <v>0</v>
      </c>
      <c r="BF43" s="2339"/>
      <c r="BG43" s="2339"/>
      <c r="BH43" s="2339">
        <v>1</v>
      </c>
      <c r="BI43" s="2339"/>
      <c r="BJ43" s="2339"/>
      <c r="BK43" s="2339"/>
      <c r="BL43" s="2339"/>
      <c r="BM43" s="2339">
        <v>0</v>
      </c>
      <c r="BN43" s="2339">
        <v>0</v>
      </c>
      <c r="BO43" s="2339"/>
      <c r="BP43" s="2339"/>
      <c r="BQ43" s="2339"/>
      <c r="BR43" s="2339"/>
      <c r="BS43" s="2339"/>
      <c r="BT43" s="2339"/>
      <c r="BU43" s="2339">
        <v>1</v>
      </c>
      <c r="BV43" s="2339"/>
      <c r="BW43" s="2339">
        <v>1</v>
      </c>
      <c r="BX43" s="2339"/>
      <c r="BY43" s="2339"/>
      <c r="BZ43" s="2339"/>
      <c r="CA43" s="2339"/>
      <c r="CB43" s="2339"/>
      <c r="CC43" s="2339"/>
      <c r="CD43" s="2339"/>
      <c r="CE43" s="2339"/>
      <c r="CF43" s="2339"/>
      <c r="CG43" s="2339"/>
      <c r="CH43" s="2339"/>
      <c r="CI43" s="2339"/>
      <c r="CJ43" s="2339"/>
      <c r="CK43" s="2339"/>
      <c r="CL43" s="2339">
        <v>1</v>
      </c>
      <c r="CM43" s="2339">
        <v>0</v>
      </c>
      <c r="CN43" s="2339">
        <v>1</v>
      </c>
      <c r="CO43" s="2339"/>
      <c r="CP43" s="2339"/>
      <c r="CQ43" s="2339"/>
      <c r="CR43" s="2339"/>
      <c r="CS43" s="2339"/>
      <c r="CT43" s="2339"/>
      <c r="CU43" s="2339"/>
      <c r="CV43" s="2339">
        <v>1</v>
      </c>
      <c r="CW43" s="2339">
        <v>0</v>
      </c>
      <c r="CX43" s="2339"/>
      <c r="CZ43" s="1516">
        <v>1</v>
      </c>
      <c r="DB43" s="1516">
        <v>1</v>
      </c>
      <c r="DD43" s="1516">
        <v>1</v>
      </c>
    </row>
    <row r="44" spans="1:108">
      <c r="A44" s="1516"/>
      <c r="B44" s="2339">
        <v>108</v>
      </c>
      <c r="C44" s="2339">
        <v>33.700000000000003</v>
      </c>
      <c r="D44" s="2339">
        <v>1429.7</v>
      </c>
      <c r="E44" s="2339"/>
      <c r="F44" s="2339"/>
      <c r="G44" s="2339"/>
      <c r="H44" s="2339"/>
      <c r="I44" s="2339"/>
      <c r="J44" s="2339" t="s">
        <v>504</v>
      </c>
      <c r="K44" s="2339" t="s">
        <v>504</v>
      </c>
      <c r="L44" s="2339">
        <v>1</v>
      </c>
      <c r="M44" s="2339"/>
      <c r="N44" s="2339"/>
      <c r="O44" s="2339"/>
      <c r="P44" s="2339"/>
      <c r="Q44" s="2339"/>
      <c r="R44" s="2339"/>
      <c r="S44" s="2339"/>
      <c r="T44" s="2339"/>
      <c r="U44" s="2339"/>
      <c r="V44" s="2339"/>
      <c r="W44" s="2339"/>
      <c r="X44" s="2339"/>
      <c r="Y44" s="2339"/>
      <c r="Z44" s="2339"/>
      <c r="AA44" s="2339"/>
      <c r="AB44" s="2339"/>
      <c r="AC44" s="2339"/>
      <c r="AD44" s="2339">
        <v>1</v>
      </c>
      <c r="AE44" s="2339"/>
      <c r="AF44" s="2339">
        <v>3</v>
      </c>
      <c r="AG44" s="2339"/>
      <c r="AH44" s="2339"/>
      <c r="AI44" s="2339"/>
      <c r="AJ44" s="2339"/>
      <c r="AK44" s="2339"/>
      <c r="AL44" s="2339">
        <v>1</v>
      </c>
      <c r="AM44" s="2339"/>
      <c r="AN44" s="2339"/>
      <c r="AO44" s="2339"/>
      <c r="AP44" s="2339"/>
      <c r="AQ44" s="2339"/>
      <c r="AR44" s="2339"/>
      <c r="AS44" s="2339"/>
      <c r="AT44" s="2339">
        <v>3</v>
      </c>
      <c r="AU44" s="2339"/>
      <c r="AV44" s="2339"/>
      <c r="AW44" s="2339"/>
      <c r="AX44" s="2339"/>
      <c r="AY44" s="2339"/>
      <c r="AZ44" s="2339"/>
      <c r="BA44" s="2339"/>
      <c r="BB44" s="2339"/>
      <c r="BC44" s="2339">
        <v>101.1</v>
      </c>
      <c r="BD44" s="2339">
        <v>33.700000000000003</v>
      </c>
      <c r="BE44" s="2339">
        <v>0</v>
      </c>
      <c r="BF44" s="2339"/>
      <c r="BG44" s="2339"/>
      <c r="BH44" s="2339"/>
      <c r="BI44" s="2339"/>
      <c r="BJ44" s="2339">
        <v>1</v>
      </c>
      <c r="BK44" s="2339"/>
      <c r="BL44" s="2339"/>
      <c r="BM44" s="2339">
        <v>0</v>
      </c>
      <c r="BN44" s="2339">
        <v>0</v>
      </c>
      <c r="BO44" s="2339"/>
      <c r="BP44" s="2339"/>
      <c r="BQ44" s="2339">
        <v>2</v>
      </c>
      <c r="BR44" s="2339">
        <v>1</v>
      </c>
      <c r="BS44" s="2339"/>
      <c r="BT44" s="2339"/>
      <c r="BU44" s="2339"/>
      <c r="BV44" s="2339"/>
      <c r="BW44" s="2339"/>
      <c r="BX44" s="2339"/>
      <c r="BY44" s="2339"/>
      <c r="BZ44" s="2339"/>
      <c r="CA44" s="2339"/>
      <c r="CB44" s="2339"/>
      <c r="CC44" s="2339"/>
      <c r="CD44" s="2339">
        <v>1</v>
      </c>
      <c r="CE44" s="2339"/>
      <c r="CF44" s="2339"/>
      <c r="CG44" s="2339"/>
      <c r="CH44" s="2339"/>
      <c r="CI44" s="2339"/>
      <c r="CJ44" s="2339"/>
      <c r="CK44" s="2339"/>
      <c r="CL44" s="2339">
        <v>0</v>
      </c>
      <c r="CM44" s="2339"/>
      <c r="CN44" s="2339"/>
      <c r="CO44" s="2339"/>
      <c r="CP44" s="2339"/>
      <c r="CQ44" s="2339"/>
      <c r="CR44" s="2339"/>
      <c r="CS44" s="2339"/>
      <c r="CT44" s="2339"/>
      <c r="CU44" s="2339"/>
      <c r="CV44" s="2339"/>
      <c r="CW44" s="2339">
        <v>0</v>
      </c>
      <c r="CX44" s="2339"/>
      <c r="CZ44" s="1516">
        <v>1</v>
      </c>
      <c r="DB44" s="1516">
        <v>1</v>
      </c>
      <c r="DD44" s="1516">
        <v>1</v>
      </c>
    </row>
    <row r="45" spans="1:108">
      <c r="A45" s="1516"/>
      <c r="B45" s="2339" t="s">
        <v>5228</v>
      </c>
      <c r="C45" s="2339">
        <v>34</v>
      </c>
      <c r="D45" s="2339">
        <v>1463.7</v>
      </c>
      <c r="E45" s="2339"/>
      <c r="F45" s="2339"/>
      <c r="G45" s="2339"/>
      <c r="H45" s="2339"/>
      <c r="I45" s="2339"/>
      <c r="J45" s="2339"/>
      <c r="K45" s="2339" t="s">
        <v>504</v>
      </c>
      <c r="L45" s="2339"/>
      <c r="M45" s="2339">
        <v>1</v>
      </c>
      <c r="N45" s="2339"/>
      <c r="O45" s="2339">
        <v>1</v>
      </c>
      <c r="P45" s="2339"/>
      <c r="Q45" s="2339"/>
      <c r="R45" s="2339"/>
      <c r="S45" s="2339"/>
      <c r="T45" s="2339"/>
      <c r="U45" s="2339"/>
      <c r="V45" s="2339"/>
      <c r="W45" s="2339"/>
      <c r="X45" s="2339"/>
      <c r="Y45" s="2339"/>
      <c r="Z45" s="2339"/>
      <c r="AA45" s="2339"/>
      <c r="AB45" s="2339"/>
      <c r="AC45" s="2339"/>
      <c r="AD45" s="2339">
        <v>1</v>
      </c>
      <c r="AE45" s="2339"/>
      <c r="AF45" s="2339">
        <v>3</v>
      </c>
      <c r="AG45" s="2339"/>
      <c r="AH45" s="2339"/>
      <c r="AI45" s="2339"/>
      <c r="AJ45" s="2339"/>
      <c r="AK45" s="2339"/>
      <c r="AL45" s="2339">
        <v>1</v>
      </c>
      <c r="AM45" s="2339"/>
      <c r="AN45" s="2339"/>
      <c r="AO45" s="2339"/>
      <c r="AP45" s="2339"/>
      <c r="AQ45" s="2339"/>
      <c r="AR45" s="2339"/>
      <c r="AS45" s="2339"/>
      <c r="AT45" s="2339">
        <v>3</v>
      </c>
      <c r="AU45" s="2339"/>
      <c r="AV45" s="2339"/>
      <c r="AW45" s="2339">
        <v>1</v>
      </c>
      <c r="AX45" s="2339"/>
      <c r="AY45" s="2339"/>
      <c r="AZ45" s="2339">
        <v>7</v>
      </c>
      <c r="BA45" s="2339">
        <v>8</v>
      </c>
      <c r="BB45" s="2339"/>
      <c r="BC45" s="2339">
        <v>102</v>
      </c>
      <c r="BD45" s="2339">
        <v>34</v>
      </c>
      <c r="BE45" s="2339">
        <v>0</v>
      </c>
      <c r="BF45" s="2339"/>
      <c r="BG45" s="2339"/>
      <c r="BH45" s="2339">
        <v>1</v>
      </c>
      <c r="BI45" s="2339"/>
      <c r="BJ45" s="2339"/>
      <c r="BK45" s="2339"/>
      <c r="BL45" s="2339"/>
      <c r="BM45" s="2339">
        <v>0</v>
      </c>
      <c r="BN45" s="2339">
        <v>0</v>
      </c>
      <c r="BO45" s="2339"/>
      <c r="BP45" s="2339"/>
      <c r="BQ45" s="2339"/>
      <c r="BR45" s="2339"/>
      <c r="BS45" s="2339"/>
      <c r="BT45" s="2339"/>
      <c r="BU45" s="2339">
        <v>1</v>
      </c>
      <c r="BV45" s="2339"/>
      <c r="BW45" s="2339">
        <v>1</v>
      </c>
      <c r="BX45" s="2339"/>
      <c r="BY45" s="2339"/>
      <c r="BZ45" s="2339"/>
      <c r="CA45" s="2339"/>
      <c r="CB45" s="2339"/>
      <c r="CC45" s="2339"/>
      <c r="CD45" s="2339"/>
      <c r="CE45" s="2339"/>
      <c r="CF45" s="2339"/>
      <c r="CG45" s="2339"/>
      <c r="CH45" s="2339"/>
      <c r="CI45" s="2339"/>
      <c r="CJ45" s="2339"/>
      <c r="CK45" s="2339"/>
      <c r="CL45" s="2339">
        <v>1</v>
      </c>
      <c r="CM45" s="2339">
        <v>0</v>
      </c>
      <c r="CN45" s="2339">
        <v>1</v>
      </c>
      <c r="CO45" s="2339"/>
      <c r="CP45" s="2339"/>
      <c r="CQ45" s="2339"/>
      <c r="CR45" s="2339"/>
      <c r="CS45" s="2339"/>
      <c r="CT45" s="2339"/>
      <c r="CU45" s="2339"/>
      <c r="CV45" s="2339">
        <v>1</v>
      </c>
      <c r="CW45" s="2339">
        <v>0</v>
      </c>
      <c r="CX45" s="2339" t="s">
        <v>5311</v>
      </c>
      <c r="CZ45" s="1516">
        <v>1</v>
      </c>
      <c r="DB45" s="1516">
        <v>1</v>
      </c>
      <c r="DD45" s="1516">
        <v>1</v>
      </c>
    </row>
    <row r="46" spans="1:108">
      <c r="A46" s="1516"/>
      <c r="B46" s="2339">
        <v>109</v>
      </c>
      <c r="C46" s="2339">
        <v>35</v>
      </c>
      <c r="D46" s="2339">
        <v>1498.7</v>
      </c>
      <c r="E46" s="2339"/>
      <c r="F46" s="2339"/>
      <c r="G46" s="2339"/>
      <c r="H46" s="2339"/>
      <c r="I46" s="2339"/>
      <c r="J46" s="2339" t="s">
        <v>504</v>
      </c>
      <c r="K46" s="2339" t="s">
        <v>504</v>
      </c>
      <c r="L46" s="2339">
        <v>1</v>
      </c>
      <c r="M46" s="2339"/>
      <c r="N46" s="2339"/>
      <c r="O46" s="2339"/>
      <c r="P46" s="2339"/>
      <c r="Q46" s="2339"/>
      <c r="R46" s="2339"/>
      <c r="S46" s="2339"/>
      <c r="T46" s="2339"/>
      <c r="U46" s="2339"/>
      <c r="V46" s="2339"/>
      <c r="W46" s="2339"/>
      <c r="X46" s="2339"/>
      <c r="Y46" s="2339"/>
      <c r="Z46" s="2339">
        <v>1</v>
      </c>
      <c r="AA46" s="2339"/>
      <c r="AB46" s="2339"/>
      <c r="AC46" s="2339"/>
      <c r="AD46" s="2339">
        <v>1</v>
      </c>
      <c r="AE46" s="2339"/>
      <c r="AF46" s="2339">
        <v>3</v>
      </c>
      <c r="AG46" s="2339"/>
      <c r="AH46" s="2339"/>
      <c r="AI46" s="2339"/>
      <c r="AJ46" s="2339"/>
      <c r="AK46" s="2339"/>
      <c r="AL46" s="2339">
        <v>1</v>
      </c>
      <c r="AM46" s="2339"/>
      <c r="AN46" s="2339"/>
      <c r="AO46" s="2339"/>
      <c r="AP46" s="2339"/>
      <c r="AQ46" s="2339"/>
      <c r="AR46" s="2339"/>
      <c r="AS46" s="2339"/>
      <c r="AT46" s="2339">
        <v>3</v>
      </c>
      <c r="AU46" s="2339"/>
      <c r="AV46" s="2339"/>
      <c r="AW46" s="2339"/>
      <c r="AX46" s="2339"/>
      <c r="AY46" s="2339"/>
      <c r="AZ46" s="2339"/>
      <c r="BA46" s="2339"/>
      <c r="BB46" s="2339"/>
      <c r="BC46" s="2339">
        <v>105</v>
      </c>
      <c r="BD46" s="2339">
        <v>35</v>
      </c>
      <c r="BE46" s="2339">
        <v>0</v>
      </c>
      <c r="BF46" s="2339"/>
      <c r="BG46" s="2339"/>
      <c r="BH46" s="2339"/>
      <c r="BI46" s="2339"/>
      <c r="BJ46" s="2339">
        <v>1</v>
      </c>
      <c r="BK46" s="2339"/>
      <c r="BL46" s="2339"/>
      <c r="BM46" s="2339">
        <v>0</v>
      </c>
      <c r="BN46" s="2339">
        <v>0</v>
      </c>
      <c r="BO46" s="2339"/>
      <c r="BP46" s="2339"/>
      <c r="BQ46" s="2339">
        <v>2</v>
      </c>
      <c r="BR46" s="2339">
        <v>1</v>
      </c>
      <c r="BS46" s="2339"/>
      <c r="BT46" s="2339"/>
      <c r="BU46" s="2339"/>
      <c r="BV46" s="2339"/>
      <c r="BW46" s="2339"/>
      <c r="BX46" s="2339"/>
      <c r="BY46" s="2339"/>
      <c r="BZ46" s="2339"/>
      <c r="CA46" s="2339"/>
      <c r="CB46" s="2339"/>
      <c r="CC46" s="2339"/>
      <c r="CD46" s="2339">
        <v>1</v>
      </c>
      <c r="CE46" s="2339"/>
      <c r="CF46" s="2339"/>
      <c r="CG46" s="2339"/>
      <c r="CH46" s="2339"/>
      <c r="CI46" s="2339"/>
      <c r="CJ46" s="2339"/>
      <c r="CK46" s="2339"/>
      <c r="CL46" s="2339">
        <v>0</v>
      </c>
      <c r="CM46" s="2339"/>
      <c r="CN46" s="2339"/>
      <c r="CO46" s="2339"/>
      <c r="CP46" s="2339"/>
      <c r="CQ46" s="2339"/>
      <c r="CR46" s="2339"/>
      <c r="CS46" s="2339"/>
      <c r="CT46" s="2339"/>
      <c r="CU46" s="2339"/>
      <c r="CV46" s="2339"/>
      <c r="CW46" s="2339">
        <v>0</v>
      </c>
      <c r="CX46" s="2339"/>
      <c r="CZ46" s="1516">
        <v>1</v>
      </c>
      <c r="DB46" s="1516">
        <v>1</v>
      </c>
      <c r="DD46" s="1516">
        <v>1</v>
      </c>
    </row>
    <row r="47" spans="1:108">
      <c r="A47" s="1516"/>
      <c r="B47" s="2339" t="s">
        <v>5229</v>
      </c>
      <c r="C47" s="2339">
        <v>27</v>
      </c>
      <c r="D47" s="2339">
        <v>1525.7</v>
      </c>
      <c r="E47" s="2339"/>
      <c r="F47" s="2339"/>
      <c r="G47" s="2339"/>
      <c r="H47" s="2339"/>
      <c r="I47" s="2339"/>
      <c r="J47" s="2339"/>
      <c r="K47" s="2339" t="s">
        <v>504</v>
      </c>
      <c r="L47" s="2339"/>
      <c r="M47" s="2339">
        <v>1</v>
      </c>
      <c r="N47" s="2339"/>
      <c r="O47" s="2339"/>
      <c r="P47" s="2339">
        <v>1</v>
      </c>
      <c r="Q47" s="2339"/>
      <c r="R47" s="2339"/>
      <c r="S47" s="2339"/>
      <c r="T47" s="2339"/>
      <c r="U47" s="2339"/>
      <c r="V47" s="2339"/>
      <c r="W47" s="2339"/>
      <c r="X47" s="2339"/>
      <c r="Y47" s="2339"/>
      <c r="Z47" s="2339"/>
      <c r="AA47" s="2339"/>
      <c r="AB47" s="2339"/>
      <c r="AC47" s="2339"/>
      <c r="AD47" s="2339">
        <v>1</v>
      </c>
      <c r="AE47" s="2339"/>
      <c r="AF47" s="2339">
        <v>3</v>
      </c>
      <c r="AG47" s="2339"/>
      <c r="AH47" s="2339"/>
      <c r="AI47" s="2339"/>
      <c r="AJ47" s="2339"/>
      <c r="AK47" s="2339"/>
      <c r="AL47" s="2339">
        <v>1</v>
      </c>
      <c r="AM47" s="2339"/>
      <c r="AN47" s="2339"/>
      <c r="AO47" s="2339"/>
      <c r="AP47" s="2339"/>
      <c r="AQ47" s="2339"/>
      <c r="AR47" s="2339"/>
      <c r="AS47" s="2339"/>
      <c r="AT47" s="2339">
        <v>3</v>
      </c>
      <c r="AU47" s="2339"/>
      <c r="AV47" s="2339"/>
      <c r="AW47" s="2339">
        <v>1</v>
      </c>
      <c r="AX47" s="2339"/>
      <c r="AY47" s="2339"/>
      <c r="AZ47" s="2339">
        <v>6</v>
      </c>
      <c r="BA47" s="2339">
        <v>4</v>
      </c>
      <c r="BB47" s="2339"/>
      <c r="BC47" s="2339">
        <v>81</v>
      </c>
      <c r="BD47" s="2339">
        <v>27</v>
      </c>
      <c r="BE47" s="2339">
        <v>0</v>
      </c>
      <c r="BF47" s="2339"/>
      <c r="BG47" s="2339"/>
      <c r="BH47" s="2339">
        <v>1</v>
      </c>
      <c r="BI47" s="2339"/>
      <c r="BJ47" s="2339"/>
      <c r="BK47" s="2339"/>
      <c r="BL47" s="2339"/>
      <c r="BM47" s="2339">
        <v>0</v>
      </c>
      <c r="BN47" s="2339">
        <v>0</v>
      </c>
      <c r="BO47" s="2339"/>
      <c r="BP47" s="2339"/>
      <c r="BQ47" s="2339"/>
      <c r="BR47" s="2339"/>
      <c r="BS47" s="2339"/>
      <c r="BT47" s="2339"/>
      <c r="BU47" s="2339">
        <v>1</v>
      </c>
      <c r="BV47" s="2339"/>
      <c r="BW47" s="2339">
        <v>1</v>
      </c>
      <c r="BX47" s="2339"/>
      <c r="BY47" s="2339"/>
      <c r="BZ47" s="2339"/>
      <c r="CA47" s="2339"/>
      <c r="CB47" s="2339"/>
      <c r="CC47" s="2339"/>
      <c r="CD47" s="2339"/>
      <c r="CE47" s="2339"/>
      <c r="CF47" s="2339"/>
      <c r="CG47" s="2339"/>
      <c r="CH47" s="2339"/>
      <c r="CI47" s="2339"/>
      <c r="CJ47" s="2339"/>
      <c r="CK47" s="2339"/>
      <c r="CL47" s="2339">
        <v>1</v>
      </c>
      <c r="CM47" s="2339">
        <v>0</v>
      </c>
      <c r="CN47" s="2339">
        <v>1</v>
      </c>
      <c r="CO47" s="2339"/>
      <c r="CP47" s="2339"/>
      <c r="CQ47" s="2339"/>
      <c r="CR47" s="2339"/>
      <c r="CS47" s="2339"/>
      <c r="CT47" s="2339"/>
      <c r="CU47" s="2339"/>
      <c r="CV47" s="2339">
        <v>1</v>
      </c>
      <c r="CW47" s="2339">
        <v>0</v>
      </c>
      <c r="CX47" s="2339"/>
      <c r="CZ47" s="1516">
        <v>1</v>
      </c>
      <c r="DB47" s="1516">
        <v>1</v>
      </c>
      <c r="DD47" s="1516">
        <v>1</v>
      </c>
    </row>
    <row r="48" spans="1:108">
      <c r="A48" s="1516"/>
      <c r="B48" s="2339">
        <v>110</v>
      </c>
      <c r="C48" s="2339">
        <v>28.1</v>
      </c>
      <c r="D48" s="2339">
        <v>1553.8</v>
      </c>
      <c r="E48" s="2339"/>
      <c r="F48" s="2339"/>
      <c r="G48" s="2339"/>
      <c r="H48" s="2339"/>
      <c r="I48" s="2339"/>
      <c r="J48" s="2339" t="s">
        <v>4512</v>
      </c>
      <c r="K48" s="2339" t="s">
        <v>4512</v>
      </c>
      <c r="L48" s="2339">
        <v>1</v>
      </c>
      <c r="M48" s="2339"/>
      <c r="N48" s="2339"/>
      <c r="O48" s="2339"/>
      <c r="P48" s="2339"/>
      <c r="Q48" s="2339"/>
      <c r="R48" s="2339"/>
      <c r="S48" s="2339"/>
      <c r="T48" s="2339">
        <v>1</v>
      </c>
      <c r="U48" s="2339"/>
      <c r="V48" s="2339"/>
      <c r="W48" s="2339"/>
      <c r="X48" s="2339"/>
      <c r="Y48" s="2339"/>
      <c r="Z48" s="2339"/>
      <c r="AA48" s="2339"/>
      <c r="AB48" s="2339"/>
      <c r="AC48" s="2339"/>
      <c r="AD48" s="2339"/>
      <c r="AE48" s="2339">
        <v>1</v>
      </c>
      <c r="AF48" s="2339">
        <v>6</v>
      </c>
      <c r="AG48" s="2339"/>
      <c r="AH48" s="2339"/>
      <c r="AI48" s="2339"/>
      <c r="AJ48" s="2339"/>
      <c r="AK48" s="2339"/>
      <c r="AL48" s="2339">
        <v>1</v>
      </c>
      <c r="AM48" s="2339"/>
      <c r="AN48" s="2339"/>
      <c r="AO48" s="2339"/>
      <c r="AP48" s="2339"/>
      <c r="AQ48" s="2339"/>
      <c r="AR48" s="2339"/>
      <c r="AS48" s="2339">
        <v>6</v>
      </c>
      <c r="AT48" s="2339"/>
      <c r="AU48" s="2339"/>
      <c r="AV48" s="2339"/>
      <c r="AW48" s="2339"/>
      <c r="AX48" s="2339"/>
      <c r="AY48" s="2339"/>
      <c r="AZ48" s="2339"/>
      <c r="BA48" s="2339"/>
      <c r="BB48" s="2339"/>
      <c r="BC48" s="2339">
        <v>84.3</v>
      </c>
      <c r="BD48" s="2339">
        <v>28.1</v>
      </c>
      <c r="BE48" s="2339">
        <v>0</v>
      </c>
      <c r="BF48" s="2339">
        <v>1</v>
      </c>
      <c r="BG48" s="2339"/>
      <c r="BH48" s="2339"/>
      <c r="BI48" s="2339"/>
      <c r="BJ48" s="2339"/>
      <c r="BK48" s="2339">
        <v>1</v>
      </c>
      <c r="BL48" s="2339"/>
      <c r="BM48" s="2339">
        <v>1</v>
      </c>
      <c r="BN48" s="2339">
        <v>0</v>
      </c>
      <c r="BO48" s="2339"/>
      <c r="BP48" s="2339"/>
      <c r="BQ48" s="2339">
        <v>4</v>
      </c>
      <c r="BR48" s="2339">
        <v>2</v>
      </c>
      <c r="BS48" s="2339"/>
      <c r="BT48" s="2339"/>
      <c r="BU48" s="2339"/>
      <c r="BV48" s="2339"/>
      <c r="BW48" s="2339"/>
      <c r="BX48" s="2339"/>
      <c r="BY48" s="2339"/>
      <c r="BZ48" s="2339"/>
      <c r="CA48" s="2339"/>
      <c r="CB48" s="2339"/>
      <c r="CC48" s="2339"/>
      <c r="CD48" s="2339">
        <v>1</v>
      </c>
      <c r="CE48" s="2339"/>
      <c r="CF48" s="2339"/>
      <c r="CG48" s="2339"/>
      <c r="CH48" s="2339"/>
      <c r="CI48" s="2339"/>
      <c r="CJ48" s="2339"/>
      <c r="CK48" s="2339"/>
      <c r="CL48" s="2339">
        <v>0</v>
      </c>
      <c r="CM48" s="2339"/>
      <c r="CN48" s="2339"/>
      <c r="CO48" s="2339"/>
      <c r="CP48" s="2339"/>
      <c r="CQ48" s="2339"/>
      <c r="CR48" s="2339"/>
      <c r="CS48" s="2339"/>
      <c r="CT48" s="2339"/>
      <c r="CU48" s="2339"/>
      <c r="CV48" s="2339"/>
      <c r="CW48" s="2339">
        <v>0</v>
      </c>
      <c r="CX48" s="2339"/>
      <c r="CZ48" s="1516">
        <v>1</v>
      </c>
      <c r="DB48" s="1516">
        <v>1</v>
      </c>
      <c r="DD48" s="1516">
        <v>1</v>
      </c>
    </row>
    <row r="49" spans="1:108">
      <c r="A49" s="1516"/>
      <c r="B49" s="2339" t="s">
        <v>5230</v>
      </c>
      <c r="C49" s="2339">
        <v>35</v>
      </c>
      <c r="D49" s="2339">
        <v>1588.8</v>
      </c>
      <c r="E49" s="2339"/>
      <c r="F49" s="2339"/>
      <c r="G49" s="2339"/>
      <c r="H49" s="2339"/>
      <c r="I49" s="2339"/>
      <c r="J49" s="2339"/>
      <c r="K49" s="2339" t="s">
        <v>504</v>
      </c>
      <c r="L49" s="2339"/>
      <c r="M49" s="2339">
        <v>1</v>
      </c>
      <c r="N49" s="2339"/>
      <c r="O49" s="2339"/>
      <c r="P49" s="2339">
        <v>1</v>
      </c>
      <c r="Q49" s="2339"/>
      <c r="R49" s="2339"/>
      <c r="S49" s="2339"/>
      <c r="T49" s="2339"/>
      <c r="U49" s="2339"/>
      <c r="V49" s="2339"/>
      <c r="W49" s="2339"/>
      <c r="X49" s="2339"/>
      <c r="Y49" s="2339"/>
      <c r="Z49" s="2339"/>
      <c r="AA49" s="2339"/>
      <c r="AB49" s="2339"/>
      <c r="AC49" s="2339"/>
      <c r="AD49" s="2339">
        <v>1</v>
      </c>
      <c r="AE49" s="2339"/>
      <c r="AF49" s="2339">
        <v>3</v>
      </c>
      <c r="AG49" s="2339"/>
      <c r="AH49" s="2339"/>
      <c r="AI49" s="2339"/>
      <c r="AJ49" s="2339"/>
      <c r="AK49" s="2339"/>
      <c r="AL49" s="2339">
        <v>1</v>
      </c>
      <c r="AM49" s="2339"/>
      <c r="AN49" s="2339"/>
      <c r="AO49" s="2339"/>
      <c r="AP49" s="2339"/>
      <c r="AQ49" s="2339"/>
      <c r="AR49" s="2339"/>
      <c r="AS49" s="2339"/>
      <c r="AT49" s="2339">
        <v>3</v>
      </c>
      <c r="AU49" s="2339"/>
      <c r="AV49" s="2339"/>
      <c r="AW49" s="2339">
        <v>1</v>
      </c>
      <c r="AX49" s="2339"/>
      <c r="AY49" s="2339"/>
      <c r="AZ49" s="2339">
        <v>3</v>
      </c>
      <c r="BA49" s="2339">
        <v>4</v>
      </c>
      <c r="BB49" s="2339"/>
      <c r="BC49" s="2339">
        <v>105</v>
      </c>
      <c r="BD49" s="2339">
        <v>35</v>
      </c>
      <c r="BE49" s="2339">
        <v>0</v>
      </c>
      <c r="BF49" s="2339"/>
      <c r="BG49" s="2339"/>
      <c r="BH49" s="2339">
        <v>1</v>
      </c>
      <c r="BI49" s="2339"/>
      <c r="BJ49" s="2339"/>
      <c r="BK49" s="2339"/>
      <c r="BL49" s="2339"/>
      <c r="BM49" s="2339">
        <v>0</v>
      </c>
      <c r="BN49" s="2339">
        <v>0</v>
      </c>
      <c r="BO49" s="2339"/>
      <c r="BP49" s="2339"/>
      <c r="BQ49" s="2339"/>
      <c r="BR49" s="2339"/>
      <c r="BS49" s="2339"/>
      <c r="BT49" s="2339"/>
      <c r="BU49" s="2339">
        <v>1</v>
      </c>
      <c r="BV49" s="2339"/>
      <c r="BW49" s="2339">
        <v>1</v>
      </c>
      <c r="BX49" s="2339"/>
      <c r="BY49" s="2339"/>
      <c r="BZ49" s="2339"/>
      <c r="CA49" s="2339"/>
      <c r="CB49" s="2339"/>
      <c r="CC49" s="2339"/>
      <c r="CD49" s="2339"/>
      <c r="CE49" s="2339"/>
      <c r="CF49" s="2339"/>
      <c r="CG49" s="2339"/>
      <c r="CH49" s="2339"/>
      <c r="CI49" s="2339"/>
      <c r="CJ49" s="2339"/>
      <c r="CK49" s="2339"/>
      <c r="CL49" s="2339">
        <v>1</v>
      </c>
      <c r="CM49" s="2339">
        <v>0</v>
      </c>
      <c r="CN49" s="2339">
        <v>1</v>
      </c>
      <c r="CO49" s="2339"/>
      <c r="CP49" s="2339"/>
      <c r="CQ49" s="2339"/>
      <c r="CR49" s="2339"/>
      <c r="CS49" s="2339"/>
      <c r="CT49" s="2339"/>
      <c r="CU49" s="2339"/>
      <c r="CV49" s="2339">
        <v>1</v>
      </c>
      <c r="CW49" s="2339">
        <v>0</v>
      </c>
      <c r="CX49" s="2339"/>
      <c r="CZ49" s="1516">
        <v>1</v>
      </c>
      <c r="DB49" s="1516">
        <v>1</v>
      </c>
      <c r="DD49" s="1516">
        <v>1</v>
      </c>
    </row>
    <row r="50" spans="1:108">
      <c r="A50" s="1516"/>
      <c r="B50" s="2339">
        <v>111</v>
      </c>
      <c r="C50" s="2339">
        <v>35.1</v>
      </c>
      <c r="D50" s="2339">
        <v>1623.9</v>
      </c>
      <c r="E50" s="2339"/>
      <c r="F50" s="2339"/>
      <c r="G50" s="2339"/>
      <c r="H50" s="2339"/>
      <c r="I50" s="2339"/>
      <c r="J50" s="2339" t="s">
        <v>663</v>
      </c>
      <c r="K50" s="2339" t="s">
        <v>663</v>
      </c>
      <c r="L50" s="2339">
        <v>1</v>
      </c>
      <c r="M50" s="2339"/>
      <c r="N50" s="2339"/>
      <c r="O50" s="2339"/>
      <c r="P50" s="2339"/>
      <c r="Q50" s="2339"/>
      <c r="R50" s="2339"/>
      <c r="S50" s="2339"/>
      <c r="T50" s="2339"/>
      <c r="U50" s="2339"/>
      <c r="V50" s="2339"/>
      <c r="W50" s="2339"/>
      <c r="X50" s="2339"/>
      <c r="Y50" s="2339"/>
      <c r="Z50" s="2339"/>
      <c r="AA50" s="2339"/>
      <c r="AB50" s="2339"/>
      <c r="AC50" s="2339"/>
      <c r="AD50" s="2339">
        <v>1</v>
      </c>
      <c r="AE50" s="2339"/>
      <c r="AF50" s="2339">
        <v>3</v>
      </c>
      <c r="AG50" s="2339"/>
      <c r="AH50" s="2339"/>
      <c r="AI50" s="2339"/>
      <c r="AJ50" s="2339"/>
      <c r="AK50" s="2339"/>
      <c r="AL50" s="2339">
        <v>1</v>
      </c>
      <c r="AM50" s="2339">
        <v>3</v>
      </c>
      <c r="AN50" s="2339">
        <v>3</v>
      </c>
      <c r="AO50" s="2339"/>
      <c r="AP50" s="2339"/>
      <c r="AQ50" s="2339"/>
      <c r="AR50" s="2339"/>
      <c r="AS50" s="2339"/>
      <c r="AT50" s="2339">
        <v>3</v>
      </c>
      <c r="AU50" s="2339"/>
      <c r="AV50" s="2339"/>
      <c r="AW50" s="2339"/>
      <c r="AX50" s="2339"/>
      <c r="AY50" s="2339"/>
      <c r="AZ50" s="2339"/>
      <c r="BA50" s="2339"/>
      <c r="BB50" s="2339"/>
      <c r="BC50" s="2339">
        <v>105.3</v>
      </c>
      <c r="BD50" s="2339">
        <v>35.1</v>
      </c>
      <c r="BE50" s="2339">
        <v>0</v>
      </c>
      <c r="BF50" s="2339"/>
      <c r="BG50" s="2339"/>
      <c r="BH50" s="2339"/>
      <c r="BI50" s="2339"/>
      <c r="BJ50" s="2339">
        <v>1</v>
      </c>
      <c r="BK50" s="2339"/>
      <c r="BL50" s="2339"/>
      <c r="BM50" s="2339">
        <v>0</v>
      </c>
      <c r="BN50" s="2339">
        <v>0</v>
      </c>
      <c r="BO50" s="2339"/>
      <c r="BP50" s="2339"/>
      <c r="BQ50" s="2339">
        <v>2</v>
      </c>
      <c r="BR50" s="2339">
        <v>1</v>
      </c>
      <c r="BS50" s="2339"/>
      <c r="BT50" s="2339"/>
      <c r="BU50" s="2339"/>
      <c r="BV50" s="2339"/>
      <c r="BW50" s="2339"/>
      <c r="BX50" s="2339"/>
      <c r="BY50" s="2339"/>
      <c r="BZ50" s="2339"/>
      <c r="CA50" s="2339"/>
      <c r="CB50" s="2339"/>
      <c r="CC50" s="2339"/>
      <c r="CD50" s="2339">
        <v>1</v>
      </c>
      <c r="CE50" s="2339"/>
      <c r="CF50" s="2339"/>
      <c r="CG50" s="2339"/>
      <c r="CH50" s="2339"/>
      <c r="CI50" s="2339"/>
      <c r="CJ50" s="2339"/>
      <c r="CK50" s="2339"/>
      <c r="CL50" s="2339">
        <v>0</v>
      </c>
      <c r="CM50" s="2339"/>
      <c r="CN50" s="2339"/>
      <c r="CO50" s="2339"/>
      <c r="CP50" s="2339"/>
      <c r="CQ50" s="2339"/>
      <c r="CR50" s="2339"/>
      <c r="CS50" s="2339"/>
      <c r="CT50" s="2339"/>
      <c r="CU50" s="2339"/>
      <c r="CV50" s="2339"/>
      <c r="CW50" s="2339">
        <v>0</v>
      </c>
      <c r="CX50" s="2339" t="s">
        <v>5231</v>
      </c>
      <c r="CZ50" s="1516">
        <v>1</v>
      </c>
      <c r="DB50" s="1516">
        <v>1</v>
      </c>
      <c r="DD50" s="1516">
        <v>1</v>
      </c>
    </row>
    <row r="51" spans="1:108">
      <c r="A51" s="1516"/>
      <c r="B51" s="2339" t="s">
        <v>5232</v>
      </c>
      <c r="C51" s="2339">
        <v>10</v>
      </c>
      <c r="D51" s="2339">
        <v>1633.9</v>
      </c>
      <c r="E51" s="2339"/>
      <c r="F51" s="2339"/>
      <c r="G51" s="2339"/>
      <c r="H51" s="2339"/>
      <c r="I51" s="2339"/>
      <c r="J51" s="2339" t="s">
        <v>504</v>
      </c>
      <c r="K51" s="2339" t="s">
        <v>504</v>
      </c>
      <c r="L51" s="2339"/>
      <c r="M51" s="2339">
        <v>1</v>
      </c>
      <c r="N51" s="2339"/>
      <c r="O51" s="2339">
        <v>1</v>
      </c>
      <c r="P51" s="2339"/>
      <c r="Q51" s="2339"/>
      <c r="R51" s="2339"/>
      <c r="S51" s="2339"/>
      <c r="T51" s="2339"/>
      <c r="U51" s="2339"/>
      <c r="V51" s="2339"/>
      <c r="W51" s="2339"/>
      <c r="X51" s="2339"/>
      <c r="Y51" s="2339"/>
      <c r="Z51" s="2339"/>
      <c r="AA51" s="2339"/>
      <c r="AB51" s="2339"/>
      <c r="AC51" s="2339"/>
      <c r="AD51" s="2339">
        <v>1</v>
      </c>
      <c r="AE51" s="2339"/>
      <c r="AF51" s="2339">
        <v>3</v>
      </c>
      <c r="AG51" s="2339"/>
      <c r="AH51" s="2339"/>
      <c r="AI51" s="2339"/>
      <c r="AJ51" s="2339"/>
      <c r="AK51" s="2339"/>
      <c r="AL51" s="2339">
        <v>1</v>
      </c>
      <c r="AM51" s="2339"/>
      <c r="AN51" s="2339"/>
      <c r="AO51" s="2339"/>
      <c r="AP51" s="2339"/>
      <c r="AQ51" s="2339"/>
      <c r="AR51" s="2339"/>
      <c r="AS51" s="2339"/>
      <c r="AT51" s="2339">
        <v>3</v>
      </c>
      <c r="AU51" s="2339"/>
      <c r="AV51" s="2339"/>
      <c r="AW51" s="2339"/>
      <c r="AX51" s="2339"/>
      <c r="AY51" s="2339"/>
      <c r="AZ51" s="2339"/>
      <c r="BA51" s="2339"/>
      <c r="BB51" s="2339"/>
      <c r="BC51" s="2339">
        <v>30</v>
      </c>
      <c r="BD51" s="2339">
        <v>10</v>
      </c>
      <c r="BE51" s="2339">
        <v>0</v>
      </c>
      <c r="BF51" s="2339"/>
      <c r="BG51" s="2339"/>
      <c r="BH51" s="2339"/>
      <c r="BI51" s="2339"/>
      <c r="BJ51" s="2339"/>
      <c r="BK51" s="2339"/>
      <c r="BL51" s="2339"/>
      <c r="BM51" s="2339">
        <v>0</v>
      </c>
      <c r="BN51" s="2339">
        <v>0</v>
      </c>
      <c r="BO51" s="2339"/>
      <c r="BP51" s="2339"/>
      <c r="BQ51" s="2339"/>
      <c r="BR51" s="2339"/>
      <c r="BS51" s="2339"/>
      <c r="BT51" s="2339"/>
      <c r="BU51" s="2339"/>
      <c r="BV51" s="2339"/>
      <c r="BW51" s="2339"/>
      <c r="BX51" s="2339"/>
      <c r="BY51" s="2339"/>
      <c r="BZ51" s="2339"/>
      <c r="CA51" s="2339"/>
      <c r="CB51" s="2339"/>
      <c r="CC51" s="2339"/>
      <c r="CD51" s="2339"/>
      <c r="CE51" s="2339"/>
      <c r="CF51" s="2339"/>
      <c r="CG51" s="2339"/>
      <c r="CH51" s="2339"/>
      <c r="CI51" s="2339"/>
      <c r="CJ51" s="2339"/>
      <c r="CK51" s="2339"/>
      <c r="CL51" s="2339">
        <v>0</v>
      </c>
      <c r="CM51" s="2339"/>
      <c r="CN51" s="2339"/>
      <c r="CO51" s="2339"/>
      <c r="CP51" s="2339"/>
      <c r="CQ51" s="2339"/>
      <c r="CR51" s="2339"/>
      <c r="CS51" s="2339"/>
      <c r="CT51" s="2339"/>
      <c r="CU51" s="2339"/>
      <c r="CV51" s="2339"/>
      <c r="CW51" s="2339">
        <v>0</v>
      </c>
      <c r="CX51" s="2339"/>
      <c r="CZ51" s="1516">
        <v>1</v>
      </c>
      <c r="DB51" s="1516">
        <v>1</v>
      </c>
      <c r="DD51" s="1516">
        <v>1</v>
      </c>
    </row>
    <row r="52" spans="1:108">
      <c r="A52" s="1516"/>
      <c r="B52" s="2339" t="s">
        <v>5233</v>
      </c>
      <c r="C52" s="2339">
        <v>51.8</v>
      </c>
      <c r="D52" s="2339">
        <v>1685.7</v>
      </c>
      <c r="E52" s="2339"/>
      <c r="F52" s="2339"/>
      <c r="G52" s="2339"/>
      <c r="H52" s="2339"/>
      <c r="I52" s="2339"/>
      <c r="J52" s="2339" t="s">
        <v>504</v>
      </c>
      <c r="K52" s="2339" t="s">
        <v>504</v>
      </c>
      <c r="L52" s="2339"/>
      <c r="M52" s="2339">
        <v>1</v>
      </c>
      <c r="N52" s="2339"/>
      <c r="O52" s="2339">
        <v>1</v>
      </c>
      <c r="P52" s="2339"/>
      <c r="Q52" s="2339"/>
      <c r="R52" s="2339"/>
      <c r="S52" s="2339"/>
      <c r="T52" s="2339"/>
      <c r="U52" s="2339"/>
      <c r="V52" s="2339"/>
      <c r="W52" s="2339"/>
      <c r="X52" s="2339"/>
      <c r="Y52" s="2339"/>
      <c r="Z52" s="2339"/>
      <c r="AA52" s="2339"/>
      <c r="AB52" s="2339"/>
      <c r="AC52" s="2339"/>
      <c r="AD52" s="2339">
        <v>1</v>
      </c>
      <c r="AE52" s="2339"/>
      <c r="AF52" s="2339">
        <v>3</v>
      </c>
      <c r="AG52" s="2339"/>
      <c r="AH52" s="2339"/>
      <c r="AI52" s="2339"/>
      <c r="AJ52" s="2339"/>
      <c r="AK52" s="2339"/>
      <c r="AL52" s="2339">
        <v>1</v>
      </c>
      <c r="AM52" s="2339"/>
      <c r="AN52" s="2339"/>
      <c r="AO52" s="2339"/>
      <c r="AP52" s="2339"/>
      <c r="AQ52" s="2339"/>
      <c r="AR52" s="2339"/>
      <c r="AS52" s="2339"/>
      <c r="AT52" s="2339">
        <v>3</v>
      </c>
      <c r="AU52" s="2339"/>
      <c r="AV52" s="2339"/>
      <c r="AW52" s="2339"/>
      <c r="AX52" s="2339"/>
      <c r="AY52" s="2339"/>
      <c r="AZ52" s="2339"/>
      <c r="BA52" s="2339"/>
      <c r="BB52" s="2339"/>
      <c r="BC52" s="2339">
        <v>155.4</v>
      </c>
      <c r="BD52" s="2339">
        <v>51.8</v>
      </c>
      <c r="BE52" s="2339">
        <v>0</v>
      </c>
      <c r="BF52" s="2339"/>
      <c r="BG52" s="2339"/>
      <c r="BH52" s="2339"/>
      <c r="BI52" s="2339"/>
      <c r="BJ52" s="2339"/>
      <c r="BK52" s="2339"/>
      <c r="BL52" s="2339"/>
      <c r="BM52" s="2339">
        <v>0</v>
      </c>
      <c r="BN52" s="2339">
        <v>0</v>
      </c>
      <c r="BO52" s="2339"/>
      <c r="BP52" s="2339"/>
      <c r="BQ52" s="2339"/>
      <c r="BR52" s="2339"/>
      <c r="BS52" s="2339"/>
      <c r="BT52" s="2339"/>
      <c r="BU52" s="2339"/>
      <c r="BV52" s="2339"/>
      <c r="BW52" s="2339"/>
      <c r="BX52" s="2339"/>
      <c r="BY52" s="2339"/>
      <c r="BZ52" s="2339"/>
      <c r="CA52" s="2339"/>
      <c r="CB52" s="2339"/>
      <c r="CC52" s="2339"/>
      <c r="CD52" s="2339"/>
      <c r="CE52" s="2339"/>
      <c r="CF52" s="2339"/>
      <c r="CG52" s="2339"/>
      <c r="CH52" s="2339"/>
      <c r="CI52" s="2339"/>
      <c r="CJ52" s="2339"/>
      <c r="CK52" s="2339"/>
      <c r="CL52" s="2339">
        <v>0</v>
      </c>
      <c r="CM52" s="2339"/>
      <c r="CN52" s="2339"/>
      <c r="CO52" s="2339"/>
      <c r="CP52" s="2339"/>
      <c r="CQ52" s="2339"/>
      <c r="CR52" s="2339"/>
      <c r="CS52" s="2339"/>
      <c r="CT52" s="2339"/>
      <c r="CU52" s="2339"/>
      <c r="CV52" s="2339"/>
      <c r="CW52" s="2339">
        <v>0</v>
      </c>
      <c r="CX52" s="2339"/>
      <c r="CZ52" s="1516">
        <v>1</v>
      </c>
      <c r="DB52" s="1516">
        <v>1</v>
      </c>
      <c r="DD52" s="1516">
        <v>1</v>
      </c>
    </row>
    <row r="53" spans="1:108">
      <c r="A53" s="1516"/>
      <c r="B53" s="2339">
        <v>112</v>
      </c>
      <c r="C53" s="2339">
        <v>10</v>
      </c>
      <c r="D53" s="2339">
        <v>1695.7</v>
      </c>
      <c r="E53" s="2339"/>
      <c r="F53" s="2339"/>
      <c r="G53" s="2339"/>
      <c r="H53" s="2339"/>
      <c r="I53" s="2339"/>
      <c r="J53" s="2339" t="s">
        <v>504</v>
      </c>
      <c r="K53" s="2339" t="s">
        <v>504</v>
      </c>
      <c r="L53" s="2339">
        <v>1</v>
      </c>
      <c r="M53" s="2339"/>
      <c r="N53" s="2339"/>
      <c r="O53" s="2339"/>
      <c r="P53" s="2339"/>
      <c r="Q53" s="2339"/>
      <c r="R53" s="2339"/>
      <c r="S53" s="2339"/>
      <c r="T53" s="2339"/>
      <c r="U53" s="2339"/>
      <c r="V53" s="2339"/>
      <c r="W53" s="2339"/>
      <c r="X53" s="2339"/>
      <c r="Y53" s="2339"/>
      <c r="Z53" s="2339">
        <v>1</v>
      </c>
      <c r="AA53" s="2339"/>
      <c r="AB53" s="2339"/>
      <c r="AC53" s="2339"/>
      <c r="AD53" s="2339">
        <v>1</v>
      </c>
      <c r="AE53" s="2339"/>
      <c r="AF53" s="2339">
        <v>3</v>
      </c>
      <c r="AG53" s="2339"/>
      <c r="AH53" s="2339"/>
      <c r="AI53" s="2339"/>
      <c r="AJ53" s="2339"/>
      <c r="AK53" s="2339"/>
      <c r="AL53" s="2339">
        <v>1</v>
      </c>
      <c r="AM53" s="2339"/>
      <c r="AN53" s="2339"/>
      <c r="AO53" s="2339"/>
      <c r="AP53" s="2339"/>
      <c r="AQ53" s="2339"/>
      <c r="AR53" s="2339"/>
      <c r="AS53" s="2339"/>
      <c r="AT53" s="2339">
        <v>3</v>
      </c>
      <c r="AU53" s="2339"/>
      <c r="AV53" s="2339"/>
      <c r="AW53" s="2339"/>
      <c r="AX53" s="2339"/>
      <c r="AY53" s="2339"/>
      <c r="AZ53" s="2339"/>
      <c r="BA53" s="2339"/>
      <c r="BB53" s="2339"/>
      <c r="BC53" s="2339">
        <v>30</v>
      </c>
      <c r="BD53" s="2339">
        <v>10</v>
      </c>
      <c r="BE53" s="2339">
        <v>0</v>
      </c>
      <c r="BF53" s="2339"/>
      <c r="BG53" s="2339"/>
      <c r="BH53" s="2339"/>
      <c r="BI53" s="2339"/>
      <c r="BJ53" s="2339">
        <v>1</v>
      </c>
      <c r="BK53" s="2339"/>
      <c r="BL53" s="2339"/>
      <c r="BM53" s="2339">
        <v>0</v>
      </c>
      <c r="BN53" s="2339">
        <v>0</v>
      </c>
      <c r="BO53" s="2339"/>
      <c r="BP53" s="2339"/>
      <c r="BQ53" s="2339">
        <v>2</v>
      </c>
      <c r="BR53" s="2339">
        <v>1</v>
      </c>
      <c r="BS53" s="2339"/>
      <c r="BT53" s="2339"/>
      <c r="BU53" s="2339"/>
      <c r="BV53" s="2339"/>
      <c r="BW53" s="2339"/>
      <c r="BX53" s="2339"/>
      <c r="BY53" s="2339"/>
      <c r="BZ53" s="2339"/>
      <c r="CA53" s="2339"/>
      <c r="CB53" s="2339"/>
      <c r="CC53" s="2339"/>
      <c r="CD53" s="2339">
        <v>1</v>
      </c>
      <c r="CE53" s="2339"/>
      <c r="CF53" s="2339"/>
      <c r="CG53" s="2339"/>
      <c r="CH53" s="2339"/>
      <c r="CI53" s="2339"/>
      <c r="CJ53" s="2339"/>
      <c r="CK53" s="2339"/>
      <c r="CL53" s="2339">
        <v>0</v>
      </c>
      <c r="CM53" s="2339"/>
      <c r="CN53" s="2339"/>
      <c r="CO53" s="2339"/>
      <c r="CP53" s="2339"/>
      <c r="CQ53" s="2339"/>
      <c r="CR53" s="2339"/>
      <c r="CS53" s="2339"/>
      <c r="CT53" s="2339"/>
      <c r="CU53" s="2339"/>
      <c r="CV53" s="2339"/>
      <c r="CW53" s="2339">
        <v>0</v>
      </c>
      <c r="CX53" s="2339"/>
      <c r="CZ53" s="1516">
        <v>1</v>
      </c>
      <c r="DB53" s="1516">
        <v>1</v>
      </c>
      <c r="DD53" s="1516">
        <v>1</v>
      </c>
    </row>
    <row r="54" spans="1:108">
      <c r="A54" s="1516"/>
      <c r="B54" s="2339" t="s">
        <v>5234</v>
      </c>
      <c r="C54" s="2339">
        <v>37.700000000000003</v>
      </c>
      <c r="D54" s="2339">
        <v>1733.4</v>
      </c>
      <c r="E54" s="2339"/>
      <c r="F54" s="2339"/>
      <c r="G54" s="2339"/>
      <c r="H54" s="2339"/>
      <c r="I54" s="2339"/>
      <c r="J54" s="2339"/>
      <c r="K54" s="2339" t="s">
        <v>504</v>
      </c>
      <c r="L54" s="2339"/>
      <c r="M54" s="2339">
        <v>1</v>
      </c>
      <c r="N54" s="2339"/>
      <c r="O54" s="2339"/>
      <c r="P54" s="2339">
        <v>1</v>
      </c>
      <c r="Q54" s="2339"/>
      <c r="R54" s="2339"/>
      <c r="S54" s="2339"/>
      <c r="T54" s="2339"/>
      <c r="U54" s="2339"/>
      <c r="V54" s="2339"/>
      <c r="W54" s="2339"/>
      <c r="X54" s="2339"/>
      <c r="Y54" s="2339"/>
      <c r="Z54" s="2339"/>
      <c r="AA54" s="2339"/>
      <c r="AB54" s="2339"/>
      <c r="AC54" s="2339"/>
      <c r="AD54" s="2339">
        <v>1</v>
      </c>
      <c r="AE54" s="2339"/>
      <c r="AF54" s="2339">
        <v>3</v>
      </c>
      <c r="AG54" s="2339"/>
      <c r="AH54" s="2339"/>
      <c r="AI54" s="2339"/>
      <c r="AJ54" s="2339"/>
      <c r="AK54" s="2339"/>
      <c r="AL54" s="2339">
        <v>1</v>
      </c>
      <c r="AM54" s="2339"/>
      <c r="AN54" s="2339"/>
      <c r="AO54" s="2339"/>
      <c r="AP54" s="2339"/>
      <c r="AQ54" s="2339"/>
      <c r="AR54" s="2339"/>
      <c r="AS54" s="2339"/>
      <c r="AT54" s="2339">
        <v>3</v>
      </c>
      <c r="AU54" s="2339"/>
      <c r="AV54" s="2339"/>
      <c r="AW54" s="2339">
        <v>1</v>
      </c>
      <c r="AX54" s="2339"/>
      <c r="AY54" s="2339"/>
      <c r="AZ54" s="2339">
        <v>6</v>
      </c>
      <c r="BA54" s="2339">
        <v>4</v>
      </c>
      <c r="BB54" s="2339"/>
      <c r="BC54" s="2339">
        <v>113.1</v>
      </c>
      <c r="BD54" s="2339">
        <v>37.700000000000003</v>
      </c>
      <c r="BE54" s="2339">
        <v>0</v>
      </c>
      <c r="BF54" s="2339"/>
      <c r="BG54" s="2339"/>
      <c r="BH54" s="2339">
        <v>1</v>
      </c>
      <c r="BI54" s="2339"/>
      <c r="BJ54" s="2339"/>
      <c r="BK54" s="2339"/>
      <c r="BL54" s="2339"/>
      <c r="BM54" s="2339">
        <v>0</v>
      </c>
      <c r="BN54" s="2339">
        <v>0</v>
      </c>
      <c r="BO54" s="2339"/>
      <c r="BP54" s="2339"/>
      <c r="BQ54" s="2339"/>
      <c r="BR54" s="2339"/>
      <c r="BS54" s="2339"/>
      <c r="BT54" s="2339"/>
      <c r="BU54" s="2339">
        <v>1</v>
      </c>
      <c r="BV54" s="2339"/>
      <c r="BW54" s="2339">
        <v>1</v>
      </c>
      <c r="BX54" s="2339"/>
      <c r="BY54" s="2339"/>
      <c r="BZ54" s="2339"/>
      <c r="CA54" s="2339"/>
      <c r="CB54" s="2339"/>
      <c r="CC54" s="2339"/>
      <c r="CD54" s="2339"/>
      <c r="CE54" s="2339"/>
      <c r="CF54" s="2339"/>
      <c r="CG54" s="2339"/>
      <c r="CH54" s="2339"/>
      <c r="CI54" s="2339"/>
      <c r="CJ54" s="2339"/>
      <c r="CK54" s="2339"/>
      <c r="CL54" s="2339">
        <v>1</v>
      </c>
      <c r="CM54" s="2339">
        <v>0</v>
      </c>
      <c r="CN54" s="2339">
        <v>1</v>
      </c>
      <c r="CO54" s="2339"/>
      <c r="CP54" s="2339"/>
      <c r="CQ54" s="2339"/>
      <c r="CR54" s="2339"/>
      <c r="CS54" s="2339"/>
      <c r="CT54" s="2339"/>
      <c r="CU54" s="2339"/>
      <c r="CV54" s="2339">
        <v>1</v>
      </c>
      <c r="CW54" s="2339">
        <v>0</v>
      </c>
      <c r="CX54" s="2339"/>
      <c r="CZ54" s="1516">
        <v>1</v>
      </c>
      <c r="DB54" s="1516">
        <v>1</v>
      </c>
      <c r="DD54" s="1516">
        <v>1</v>
      </c>
    </row>
    <row r="55" spans="1:108">
      <c r="A55" s="1516"/>
      <c r="B55" s="2339">
        <v>113</v>
      </c>
      <c r="C55" s="2339">
        <v>37</v>
      </c>
      <c r="D55" s="2339">
        <v>1770.4</v>
      </c>
      <c r="E55" s="2339"/>
      <c r="F55" s="2339"/>
      <c r="G55" s="2339"/>
      <c r="H55" s="2339"/>
      <c r="I55" s="2339"/>
      <c r="J55" s="2339" t="s">
        <v>504</v>
      </c>
      <c r="K55" s="2339" t="s">
        <v>504</v>
      </c>
      <c r="L55" s="2339">
        <v>1</v>
      </c>
      <c r="M55" s="2339"/>
      <c r="N55" s="2339"/>
      <c r="O55" s="2339"/>
      <c r="P55" s="2339"/>
      <c r="Q55" s="2339"/>
      <c r="R55" s="2339"/>
      <c r="S55" s="2339"/>
      <c r="T55" s="2339"/>
      <c r="U55" s="2339"/>
      <c r="V55" s="2339"/>
      <c r="W55" s="2339"/>
      <c r="X55" s="2339"/>
      <c r="Y55" s="2339"/>
      <c r="Z55" s="2339"/>
      <c r="AA55" s="2339"/>
      <c r="AB55" s="2339"/>
      <c r="AC55" s="2339"/>
      <c r="AD55" s="2339">
        <v>1</v>
      </c>
      <c r="AE55" s="2339"/>
      <c r="AF55" s="2339">
        <v>3</v>
      </c>
      <c r="AG55" s="2339"/>
      <c r="AH55" s="2339"/>
      <c r="AI55" s="2339"/>
      <c r="AJ55" s="2339"/>
      <c r="AK55" s="2339"/>
      <c r="AL55" s="2339">
        <v>1</v>
      </c>
      <c r="AM55" s="2339"/>
      <c r="AN55" s="2339"/>
      <c r="AO55" s="2339"/>
      <c r="AP55" s="2339"/>
      <c r="AQ55" s="2339"/>
      <c r="AR55" s="2339"/>
      <c r="AS55" s="2339"/>
      <c r="AT55" s="2339">
        <v>3</v>
      </c>
      <c r="AU55" s="2339"/>
      <c r="AV55" s="2339"/>
      <c r="AW55" s="2339"/>
      <c r="AX55" s="2339"/>
      <c r="AY55" s="2339"/>
      <c r="AZ55" s="2339"/>
      <c r="BA55" s="2339"/>
      <c r="BB55" s="2339"/>
      <c r="BC55" s="2339">
        <v>111</v>
      </c>
      <c r="BD55" s="2339">
        <v>37</v>
      </c>
      <c r="BE55" s="2339">
        <v>0</v>
      </c>
      <c r="BF55" s="2339"/>
      <c r="BG55" s="2339"/>
      <c r="BH55" s="2339"/>
      <c r="BI55" s="2339"/>
      <c r="BJ55" s="2339">
        <v>1</v>
      </c>
      <c r="BK55" s="2339"/>
      <c r="BL55" s="2339"/>
      <c r="BM55" s="2339">
        <v>0</v>
      </c>
      <c r="BN55" s="2339">
        <v>0</v>
      </c>
      <c r="BO55" s="2339"/>
      <c r="BP55" s="2339"/>
      <c r="BQ55" s="2339">
        <v>2</v>
      </c>
      <c r="BR55" s="2339">
        <v>1</v>
      </c>
      <c r="BS55" s="2339"/>
      <c r="BT55" s="2339"/>
      <c r="BU55" s="2339"/>
      <c r="BV55" s="2339"/>
      <c r="BW55" s="2339"/>
      <c r="BX55" s="2339"/>
      <c r="BY55" s="2339"/>
      <c r="BZ55" s="2339"/>
      <c r="CA55" s="2339"/>
      <c r="CB55" s="2339"/>
      <c r="CC55" s="2339"/>
      <c r="CD55" s="2339">
        <v>1</v>
      </c>
      <c r="CE55" s="2339"/>
      <c r="CF55" s="2339"/>
      <c r="CG55" s="2339"/>
      <c r="CH55" s="2339"/>
      <c r="CI55" s="2339"/>
      <c r="CJ55" s="2339"/>
      <c r="CK55" s="2339"/>
      <c r="CL55" s="2339">
        <v>0</v>
      </c>
      <c r="CM55" s="2339"/>
      <c r="CN55" s="2339"/>
      <c r="CO55" s="2339"/>
      <c r="CP55" s="2339"/>
      <c r="CQ55" s="2339"/>
      <c r="CR55" s="2339"/>
      <c r="CS55" s="2339"/>
      <c r="CT55" s="2339"/>
      <c r="CU55" s="2339"/>
      <c r="CV55" s="2339"/>
      <c r="CW55" s="2339">
        <v>0</v>
      </c>
      <c r="CX55" s="2339"/>
      <c r="CZ55" s="1516">
        <v>1</v>
      </c>
      <c r="DB55" s="1516">
        <v>1</v>
      </c>
      <c r="DD55" s="1516">
        <v>1</v>
      </c>
    </row>
    <row r="56" spans="1:108">
      <c r="A56" s="1516"/>
      <c r="B56" s="2339" t="s">
        <v>5235</v>
      </c>
      <c r="C56" s="2339">
        <v>33</v>
      </c>
      <c r="D56" s="2339">
        <v>1803.4</v>
      </c>
      <c r="E56" s="2339"/>
      <c r="F56" s="2339"/>
      <c r="G56" s="2339"/>
      <c r="H56" s="2339"/>
      <c r="I56" s="2339"/>
      <c r="J56" s="2339"/>
      <c r="K56" s="2339" t="s">
        <v>550</v>
      </c>
      <c r="L56" s="2339"/>
      <c r="M56" s="2339">
        <v>2</v>
      </c>
      <c r="N56" s="2339"/>
      <c r="O56" s="2339"/>
      <c r="P56" s="2339"/>
      <c r="Q56" s="2339">
        <v>1</v>
      </c>
      <c r="R56" s="2339"/>
      <c r="S56" s="2339"/>
      <c r="T56" s="2339"/>
      <c r="U56" s="2339"/>
      <c r="V56" s="2339"/>
      <c r="W56" s="2339"/>
      <c r="X56" s="2339"/>
      <c r="Y56" s="2339"/>
      <c r="Z56" s="2339"/>
      <c r="AA56" s="2339"/>
      <c r="AB56" s="2339"/>
      <c r="AC56" s="2339">
        <v>1</v>
      </c>
      <c r="AD56" s="2339"/>
      <c r="AE56" s="2339"/>
      <c r="AF56" s="2339">
        <v>6</v>
      </c>
      <c r="AG56" s="2339">
        <v>6</v>
      </c>
      <c r="AH56" s="2339"/>
      <c r="AI56" s="2339"/>
      <c r="AJ56" s="2339">
        <v>6</v>
      </c>
      <c r="AK56" s="2339">
        <v>2</v>
      </c>
      <c r="AL56" s="2339"/>
      <c r="AM56" s="2339"/>
      <c r="AN56" s="2339"/>
      <c r="AO56" s="2339"/>
      <c r="AP56" s="2339"/>
      <c r="AQ56" s="2339"/>
      <c r="AR56" s="2339"/>
      <c r="AS56" s="2339"/>
      <c r="AT56" s="2339">
        <v>6</v>
      </c>
      <c r="AU56" s="2339"/>
      <c r="AV56" s="2339"/>
      <c r="AW56" s="2339">
        <v>1</v>
      </c>
      <c r="AX56" s="2339"/>
      <c r="AY56" s="2339"/>
      <c r="AZ56" s="2339">
        <v>10</v>
      </c>
      <c r="BA56" s="2339">
        <v>8</v>
      </c>
      <c r="BB56" s="2339"/>
      <c r="BC56" s="2339">
        <v>99</v>
      </c>
      <c r="BD56" s="2339">
        <v>33</v>
      </c>
      <c r="BE56" s="2339">
        <v>0</v>
      </c>
      <c r="BF56" s="2339"/>
      <c r="BG56" s="2339"/>
      <c r="BH56" s="2339">
        <v>1</v>
      </c>
      <c r="BI56" s="2339"/>
      <c r="BJ56" s="2339"/>
      <c r="BK56" s="2339"/>
      <c r="BL56" s="2339"/>
      <c r="BM56" s="2339">
        <v>0</v>
      </c>
      <c r="BN56" s="2339">
        <v>0</v>
      </c>
      <c r="BO56" s="2339"/>
      <c r="BP56" s="2339"/>
      <c r="BQ56" s="2339"/>
      <c r="BR56" s="2339"/>
      <c r="BS56" s="2339"/>
      <c r="BT56" s="2339"/>
      <c r="BU56" s="2339">
        <v>1</v>
      </c>
      <c r="BV56" s="2339"/>
      <c r="BW56" s="2339">
        <v>1</v>
      </c>
      <c r="BX56" s="2339"/>
      <c r="BY56" s="2339"/>
      <c r="BZ56" s="2339"/>
      <c r="CA56" s="2339"/>
      <c r="CB56" s="2339"/>
      <c r="CC56" s="2339"/>
      <c r="CD56" s="2339"/>
      <c r="CE56" s="2339"/>
      <c r="CF56" s="2339"/>
      <c r="CG56" s="2339"/>
      <c r="CH56" s="2339"/>
      <c r="CI56" s="2339"/>
      <c r="CJ56" s="2339"/>
      <c r="CK56" s="2339"/>
      <c r="CL56" s="2339">
        <v>1</v>
      </c>
      <c r="CM56" s="2339">
        <v>0</v>
      </c>
      <c r="CN56" s="2339">
        <v>1</v>
      </c>
      <c r="CO56" s="2339"/>
      <c r="CP56" s="2339"/>
      <c r="CQ56" s="2339"/>
      <c r="CR56" s="2339"/>
      <c r="CS56" s="2339"/>
      <c r="CT56" s="2339"/>
      <c r="CU56" s="2339"/>
      <c r="CV56" s="2339">
        <v>1</v>
      </c>
      <c r="CW56" s="2339">
        <v>0</v>
      </c>
      <c r="CX56" s="2339"/>
      <c r="CZ56" s="1516">
        <v>1</v>
      </c>
      <c r="DB56" s="1516">
        <v>1</v>
      </c>
      <c r="DD56" s="1516">
        <v>1</v>
      </c>
    </row>
    <row r="57" spans="1:108">
      <c r="A57" s="1516"/>
      <c r="B57" s="2339">
        <v>114</v>
      </c>
      <c r="C57" s="2339">
        <v>32</v>
      </c>
      <c r="D57" s="2339">
        <v>1835.4</v>
      </c>
      <c r="E57" s="2339"/>
      <c r="F57" s="2339"/>
      <c r="G57" s="2339"/>
      <c r="H57" s="2339"/>
      <c r="I57" s="2339"/>
      <c r="J57" s="2339" t="s">
        <v>504</v>
      </c>
      <c r="K57" s="2339" t="s">
        <v>504</v>
      </c>
      <c r="L57" s="2339">
        <v>1</v>
      </c>
      <c r="M57" s="2339"/>
      <c r="N57" s="2339"/>
      <c r="O57" s="2339"/>
      <c r="P57" s="2339"/>
      <c r="Q57" s="2339"/>
      <c r="R57" s="2339"/>
      <c r="S57" s="2339"/>
      <c r="T57" s="2339"/>
      <c r="U57" s="2339"/>
      <c r="V57" s="2339"/>
      <c r="W57" s="2339"/>
      <c r="X57" s="2339"/>
      <c r="Y57" s="2339"/>
      <c r="Z57" s="2339"/>
      <c r="AA57" s="2339"/>
      <c r="AB57" s="2339"/>
      <c r="AC57" s="2339"/>
      <c r="AD57" s="2339">
        <v>1</v>
      </c>
      <c r="AE57" s="2339"/>
      <c r="AF57" s="2339">
        <v>3</v>
      </c>
      <c r="AG57" s="2339"/>
      <c r="AH57" s="2339"/>
      <c r="AI57" s="2339"/>
      <c r="AJ57" s="2339"/>
      <c r="AK57" s="2339"/>
      <c r="AL57" s="2339">
        <v>1</v>
      </c>
      <c r="AM57" s="2339"/>
      <c r="AN57" s="2339"/>
      <c r="AO57" s="2339"/>
      <c r="AP57" s="2339"/>
      <c r="AQ57" s="2339"/>
      <c r="AR57" s="2339"/>
      <c r="AS57" s="2339"/>
      <c r="AT57" s="2339">
        <v>3</v>
      </c>
      <c r="AU57" s="2339"/>
      <c r="AV57" s="2339"/>
      <c r="AW57" s="2339"/>
      <c r="AX57" s="2339"/>
      <c r="AY57" s="2339"/>
      <c r="AZ57" s="2339"/>
      <c r="BA57" s="2339"/>
      <c r="BB57" s="2339"/>
      <c r="BC57" s="2339">
        <v>96</v>
      </c>
      <c r="BD57" s="2339">
        <v>32</v>
      </c>
      <c r="BE57" s="2339">
        <v>0</v>
      </c>
      <c r="BF57" s="2339"/>
      <c r="BG57" s="2339"/>
      <c r="BH57" s="2339"/>
      <c r="BI57" s="2339"/>
      <c r="BJ57" s="2339">
        <v>1</v>
      </c>
      <c r="BK57" s="2339"/>
      <c r="BL57" s="2339"/>
      <c r="BM57" s="2339">
        <v>0</v>
      </c>
      <c r="BN57" s="2339">
        <v>0</v>
      </c>
      <c r="BO57" s="2339"/>
      <c r="BP57" s="2339"/>
      <c r="BQ57" s="2339">
        <v>2</v>
      </c>
      <c r="BR57" s="2339">
        <v>1</v>
      </c>
      <c r="BS57" s="2339"/>
      <c r="BT57" s="2339"/>
      <c r="BU57" s="2339"/>
      <c r="BV57" s="2339"/>
      <c r="BW57" s="2339"/>
      <c r="BX57" s="2339"/>
      <c r="BY57" s="2339"/>
      <c r="BZ57" s="2339"/>
      <c r="CA57" s="2339"/>
      <c r="CB57" s="2339"/>
      <c r="CC57" s="2339"/>
      <c r="CD57" s="2339">
        <v>1</v>
      </c>
      <c r="CE57" s="2339"/>
      <c r="CF57" s="2339"/>
      <c r="CG57" s="2339"/>
      <c r="CH57" s="2339"/>
      <c r="CI57" s="2339"/>
      <c r="CJ57" s="2339"/>
      <c r="CK57" s="2339"/>
      <c r="CL57" s="2339">
        <v>0</v>
      </c>
      <c r="CM57" s="2339"/>
      <c r="CN57" s="2339"/>
      <c r="CO57" s="2339"/>
      <c r="CP57" s="2339"/>
      <c r="CQ57" s="2339"/>
      <c r="CR57" s="2339"/>
      <c r="CS57" s="2339"/>
      <c r="CT57" s="2339"/>
      <c r="CU57" s="2339"/>
      <c r="CV57" s="2339"/>
      <c r="CW57" s="2339">
        <v>0</v>
      </c>
      <c r="CX57" s="2339"/>
      <c r="CZ57" s="1516">
        <v>1</v>
      </c>
      <c r="DB57" s="1516">
        <v>1</v>
      </c>
      <c r="DD57" s="1516">
        <v>1</v>
      </c>
    </row>
    <row r="58" spans="1:108">
      <c r="A58" s="1516"/>
      <c r="B58" s="2339" t="s">
        <v>5236</v>
      </c>
      <c r="C58" s="2339">
        <v>42</v>
      </c>
      <c r="D58" s="2339">
        <v>1877.4</v>
      </c>
      <c r="E58" s="2339"/>
      <c r="F58" s="2339"/>
      <c r="G58" s="2339"/>
      <c r="H58" s="2339"/>
      <c r="I58" s="2339"/>
      <c r="J58" s="2339"/>
      <c r="K58" s="2339" t="s">
        <v>504</v>
      </c>
      <c r="L58" s="2339"/>
      <c r="M58" s="2339">
        <v>1</v>
      </c>
      <c r="N58" s="2339"/>
      <c r="O58" s="2339">
        <v>1</v>
      </c>
      <c r="P58" s="2339"/>
      <c r="Q58" s="2339"/>
      <c r="R58" s="2339"/>
      <c r="S58" s="2339"/>
      <c r="T58" s="2339"/>
      <c r="U58" s="2339"/>
      <c r="V58" s="2339"/>
      <c r="W58" s="2339"/>
      <c r="X58" s="2339"/>
      <c r="Y58" s="2339"/>
      <c r="Z58" s="2339"/>
      <c r="AA58" s="2339"/>
      <c r="AB58" s="2339"/>
      <c r="AC58" s="2339"/>
      <c r="AD58" s="2339">
        <v>1</v>
      </c>
      <c r="AE58" s="2339"/>
      <c r="AF58" s="2339">
        <v>3</v>
      </c>
      <c r="AG58" s="2339"/>
      <c r="AH58" s="2339"/>
      <c r="AI58" s="2339"/>
      <c r="AJ58" s="2339"/>
      <c r="AK58" s="2339"/>
      <c r="AL58" s="2339">
        <v>1</v>
      </c>
      <c r="AM58" s="2339"/>
      <c r="AN58" s="2339"/>
      <c r="AO58" s="2339"/>
      <c r="AP58" s="2339"/>
      <c r="AQ58" s="2339"/>
      <c r="AR58" s="2339"/>
      <c r="AS58" s="2339"/>
      <c r="AT58" s="2339">
        <v>3</v>
      </c>
      <c r="AU58" s="2339"/>
      <c r="AV58" s="2339"/>
      <c r="AW58" s="2339">
        <v>1</v>
      </c>
      <c r="AX58" s="2339"/>
      <c r="AY58" s="2339"/>
      <c r="AZ58" s="2339">
        <v>5</v>
      </c>
      <c r="BA58" s="2339">
        <v>4</v>
      </c>
      <c r="BB58" s="2339"/>
      <c r="BC58" s="2339">
        <v>126</v>
      </c>
      <c r="BD58" s="2339">
        <v>42</v>
      </c>
      <c r="BE58" s="2339">
        <v>0</v>
      </c>
      <c r="BF58" s="2339"/>
      <c r="BG58" s="2339"/>
      <c r="BH58" s="2339">
        <v>1</v>
      </c>
      <c r="BI58" s="2339"/>
      <c r="BJ58" s="2339"/>
      <c r="BK58" s="2339"/>
      <c r="BL58" s="2339"/>
      <c r="BM58" s="2339">
        <v>0</v>
      </c>
      <c r="BN58" s="2339">
        <v>0</v>
      </c>
      <c r="BO58" s="2339"/>
      <c r="BP58" s="2339"/>
      <c r="BQ58" s="2339"/>
      <c r="BR58" s="2339"/>
      <c r="BS58" s="2339"/>
      <c r="BT58" s="2339"/>
      <c r="BU58" s="2339">
        <v>1</v>
      </c>
      <c r="BV58" s="2339"/>
      <c r="BW58" s="2339">
        <v>1</v>
      </c>
      <c r="BX58" s="2339"/>
      <c r="BY58" s="2339"/>
      <c r="BZ58" s="2339"/>
      <c r="CA58" s="2339"/>
      <c r="CB58" s="2339"/>
      <c r="CC58" s="2339"/>
      <c r="CD58" s="2339"/>
      <c r="CE58" s="2339"/>
      <c r="CF58" s="2339"/>
      <c r="CG58" s="2339"/>
      <c r="CH58" s="2339"/>
      <c r="CI58" s="2339"/>
      <c r="CJ58" s="2339"/>
      <c r="CK58" s="2339"/>
      <c r="CL58" s="2339">
        <v>1</v>
      </c>
      <c r="CM58" s="2339">
        <v>0</v>
      </c>
      <c r="CN58" s="2339">
        <v>1</v>
      </c>
      <c r="CO58" s="2339"/>
      <c r="CP58" s="2339"/>
      <c r="CQ58" s="2339"/>
      <c r="CR58" s="2339"/>
      <c r="CS58" s="2339"/>
      <c r="CT58" s="2339"/>
      <c r="CU58" s="2339"/>
      <c r="CV58" s="2339">
        <v>1</v>
      </c>
      <c r="CW58" s="2339">
        <v>0</v>
      </c>
      <c r="CX58" s="2339"/>
      <c r="CZ58" s="1516">
        <v>1</v>
      </c>
      <c r="DB58" s="1516">
        <v>1</v>
      </c>
      <c r="DD58" s="1516">
        <v>1</v>
      </c>
    </row>
    <row r="59" spans="1:108">
      <c r="A59" s="1516"/>
      <c r="B59" s="2339">
        <v>115</v>
      </c>
      <c r="C59" s="2339">
        <v>39.4</v>
      </c>
      <c r="D59" s="2339">
        <v>1916.8</v>
      </c>
      <c r="E59" s="2339"/>
      <c r="F59" s="2339"/>
      <c r="G59" s="2339"/>
      <c r="H59" s="2339"/>
      <c r="I59" s="2339"/>
      <c r="J59" s="2339" t="s">
        <v>504</v>
      </c>
      <c r="K59" s="2339" t="s">
        <v>504</v>
      </c>
      <c r="L59" s="2339">
        <v>1</v>
      </c>
      <c r="M59" s="2339">
        <v>1</v>
      </c>
      <c r="N59" s="2339"/>
      <c r="O59" s="2339">
        <v>1</v>
      </c>
      <c r="P59" s="2339"/>
      <c r="Q59" s="2339"/>
      <c r="R59" s="2339"/>
      <c r="S59" s="2339"/>
      <c r="T59" s="2339"/>
      <c r="U59" s="2339"/>
      <c r="V59" s="2339"/>
      <c r="W59" s="2339"/>
      <c r="X59" s="2339"/>
      <c r="Y59" s="2339"/>
      <c r="Z59" s="2339">
        <v>1</v>
      </c>
      <c r="AA59" s="2339"/>
      <c r="AB59" s="2339"/>
      <c r="AC59" s="2339"/>
      <c r="AD59" s="2339">
        <v>1</v>
      </c>
      <c r="AE59" s="2339"/>
      <c r="AF59" s="2339">
        <v>3</v>
      </c>
      <c r="AG59" s="2339"/>
      <c r="AH59" s="2339"/>
      <c r="AI59" s="2339"/>
      <c r="AJ59" s="2339"/>
      <c r="AK59" s="2339"/>
      <c r="AL59" s="2339">
        <v>1</v>
      </c>
      <c r="AM59" s="2339"/>
      <c r="AN59" s="2339"/>
      <c r="AO59" s="2339"/>
      <c r="AP59" s="2339"/>
      <c r="AQ59" s="2339"/>
      <c r="AR59" s="2339"/>
      <c r="AS59" s="2339"/>
      <c r="AT59" s="2339">
        <v>3</v>
      </c>
      <c r="AU59" s="2339"/>
      <c r="AV59" s="2339"/>
      <c r="AW59" s="2339"/>
      <c r="AX59" s="2339"/>
      <c r="AY59" s="2339"/>
      <c r="AZ59" s="2339"/>
      <c r="BA59" s="2339"/>
      <c r="BB59" s="2339"/>
      <c r="BC59" s="2339">
        <v>118.2</v>
      </c>
      <c r="BD59" s="2339">
        <v>39.4</v>
      </c>
      <c r="BE59" s="2339">
        <v>0</v>
      </c>
      <c r="BF59" s="2339">
        <v>1</v>
      </c>
      <c r="BG59" s="2339"/>
      <c r="BH59" s="2339"/>
      <c r="BI59" s="2339"/>
      <c r="BJ59" s="2339">
        <v>1</v>
      </c>
      <c r="BK59" s="2339"/>
      <c r="BL59" s="2339"/>
      <c r="BM59" s="2339">
        <v>0</v>
      </c>
      <c r="BN59" s="2339">
        <v>0</v>
      </c>
      <c r="BO59" s="2339"/>
      <c r="BP59" s="2339"/>
      <c r="BQ59" s="2339">
        <v>2</v>
      </c>
      <c r="BR59" s="2339">
        <v>1</v>
      </c>
      <c r="BS59" s="2339"/>
      <c r="BT59" s="2339"/>
      <c r="BU59" s="2339"/>
      <c r="BV59" s="2339"/>
      <c r="BW59" s="2339"/>
      <c r="BX59" s="2339"/>
      <c r="BY59" s="2339"/>
      <c r="BZ59" s="2339"/>
      <c r="CA59" s="2339"/>
      <c r="CB59" s="2339"/>
      <c r="CC59" s="2339"/>
      <c r="CD59" s="2339">
        <v>1</v>
      </c>
      <c r="CE59" s="2339"/>
      <c r="CF59" s="2339"/>
      <c r="CG59" s="2339"/>
      <c r="CH59" s="2339"/>
      <c r="CI59" s="2339"/>
      <c r="CJ59" s="2339"/>
      <c r="CK59" s="2339"/>
      <c r="CL59" s="2339">
        <v>0</v>
      </c>
      <c r="CM59" s="2339"/>
      <c r="CN59" s="2339"/>
      <c r="CO59" s="2339"/>
      <c r="CP59" s="2339"/>
      <c r="CQ59" s="2339"/>
      <c r="CR59" s="2339"/>
      <c r="CS59" s="2339"/>
      <c r="CT59" s="2339"/>
      <c r="CU59" s="2339"/>
      <c r="CV59" s="2339"/>
      <c r="CW59" s="2339">
        <v>0</v>
      </c>
      <c r="CX59" s="2339" t="s">
        <v>5312</v>
      </c>
      <c r="CZ59" s="1516">
        <v>1</v>
      </c>
      <c r="DB59" s="1516">
        <v>1</v>
      </c>
      <c r="DD59" s="1516">
        <v>1</v>
      </c>
    </row>
    <row r="60" spans="1:108">
      <c r="A60" s="1516"/>
      <c r="B60" s="2339" t="s">
        <v>5237</v>
      </c>
      <c r="C60" s="2339">
        <v>37</v>
      </c>
      <c r="D60" s="2339">
        <v>1953.8</v>
      </c>
      <c r="E60" s="2339"/>
      <c r="F60" s="2339"/>
      <c r="G60" s="2339"/>
      <c r="H60" s="2339"/>
      <c r="I60" s="2339"/>
      <c r="J60" s="2339"/>
      <c r="K60" s="2339" t="s">
        <v>504</v>
      </c>
      <c r="L60" s="2339"/>
      <c r="M60" s="2339">
        <v>1</v>
      </c>
      <c r="N60" s="2339"/>
      <c r="O60" s="2339"/>
      <c r="P60" s="2339">
        <v>1</v>
      </c>
      <c r="Q60" s="2339"/>
      <c r="R60" s="2339"/>
      <c r="S60" s="2339"/>
      <c r="T60" s="2339"/>
      <c r="U60" s="2339"/>
      <c r="V60" s="2339"/>
      <c r="W60" s="2339"/>
      <c r="X60" s="2339"/>
      <c r="Y60" s="2339"/>
      <c r="Z60" s="2339"/>
      <c r="AA60" s="2339"/>
      <c r="AB60" s="2339"/>
      <c r="AC60" s="2339"/>
      <c r="AD60" s="2339">
        <v>1</v>
      </c>
      <c r="AE60" s="2339"/>
      <c r="AF60" s="2339">
        <v>3</v>
      </c>
      <c r="AG60" s="2339"/>
      <c r="AH60" s="2339"/>
      <c r="AI60" s="2339"/>
      <c r="AJ60" s="2339"/>
      <c r="AK60" s="2339"/>
      <c r="AL60" s="2339">
        <v>1</v>
      </c>
      <c r="AM60" s="2339"/>
      <c r="AN60" s="2339"/>
      <c r="AO60" s="2339"/>
      <c r="AP60" s="2339"/>
      <c r="AQ60" s="2339"/>
      <c r="AR60" s="2339"/>
      <c r="AS60" s="2339"/>
      <c r="AT60" s="2339">
        <v>3</v>
      </c>
      <c r="AU60" s="2339"/>
      <c r="AV60" s="2339"/>
      <c r="AW60" s="2339">
        <v>1</v>
      </c>
      <c r="AX60" s="2339"/>
      <c r="AY60" s="2339"/>
      <c r="AZ60" s="2339">
        <v>2</v>
      </c>
      <c r="BA60" s="2339">
        <v>4</v>
      </c>
      <c r="BB60" s="2339"/>
      <c r="BC60" s="2339">
        <v>111</v>
      </c>
      <c r="BD60" s="2339">
        <v>37</v>
      </c>
      <c r="BE60" s="2339">
        <v>0</v>
      </c>
      <c r="BF60" s="2339"/>
      <c r="BG60" s="2339"/>
      <c r="BH60" s="2339">
        <v>1</v>
      </c>
      <c r="BI60" s="2339"/>
      <c r="BJ60" s="2339"/>
      <c r="BK60" s="2339"/>
      <c r="BL60" s="2339"/>
      <c r="BM60" s="2339">
        <v>0</v>
      </c>
      <c r="BN60" s="2339">
        <v>0</v>
      </c>
      <c r="BO60" s="2339"/>
      <c r="BP60" s="2339"/>
      <c r="BQ60" s="2339"/>
      <c r="BR60" s="2339"/>
      <c r="BS60" s="2339"/>
      <c r="BT60" s="2339"/>
      <c r="BU60" s="2339">
        <v>1</v>
      </c>
      <c r="BV60" s="2339"/>
      <c r="BW60" s="2339">
        <v>1</v>
      </c>
      <c r="BX60" s="2339"/>
      <c r="BY60" s="2339"/>
      <c r="BZ60" s="2339"/>
      <c r="CA60" s="2339"/>
      <c r="CB60" s="2339"/>
      <c r="CC60" s="2339"/>
      <c r="CD60" s="2339"/>
      <c r="CE60" s="2339"/>
      <c r="CF60" s="2339"/>
      <c r="CG60" s="2339"/>
      <c r="CH60" s="2339"/>
      <c r="CI60" s="2339"/>
      <c r="CJ60" s="2339"/>
      <c r="CK60" s="2339"/>
      <c r="CL60" s="2339">
        <v>1</v>
      </c>
      <c r="CM60" s="2339">
        <v>0</v>
      </c>
      <c r="CN60" s="2339">
        <v>1</v>
      </c>
      <c r="CO60" s="2339"/>
      <c r="CP60" s="2339"/>
      <c r="CQ60" s="2339"/>
      <c r="CR60" s="2339"/>
      <c r="CS60" s="2339"/>
      <c r="CT60" s="2339"/>
      <c r="CU60" s="2339"/>
      <c r="CV60" s="2339">
        <v>1</v>
      </c>
      <c r="CW60" s="2339">
        <v>0</v>
      </c>
      <c r="CX60" s="2339"/>
      <c r="CZ60" s="1516">
        <v>1</v>
      </c>
      <c r="DB60" s="1516">
        <v>1</v>
      </c>
      <c r="DD60" s="1516">
        <v>1</v>
      </c>
    </row>
    <row r="61" spans="1:108">
      <c r="A61" s="1516"/>
      <c r="B61" s="2339">
        <v>116</v>
      </c>
      <c r="C61" s="2339">
        <v>37.1</v>
      </c>
      <c r="D61" s="2339">
        <v>1990.9</v>
      </c>
      <c r="E61" s="2339"/>
      <c r="F61" s="2339"/>
      <c r="G61" s="2339"/>
      <c r="H61" s="2339"/>
      <c r="I61" s="2339">
        <v>5</v>
      </c>
      <c r="J61" s="2339" t="s">
        <v>504</v>
      </c>
      <c r="K61" s="2339" t="s">
        <v>504</v>
      </c>
      <c r="L61" s="2339">
        <v>1</v>
      </c>
      <c r="M61" s="2339"/>
      <c r="N61" s="2339">
        <v>1</v>
      </c>
      <c r="O61" s="2339"/>
      <c r="P61" s="2339"/>
      <c r="Q61" s="2339"/>
      <c r="R61" s="2339">
        <v>1</v>
      </c>
      <c r="S61" s="2339"/>
      <c r="T61" s="2339"/>
      <c r="U61" s="2339"/>
      <c r="V61" s="2339"/>
      <c r="W61" s="2339"/>
      <c r="X61" s="2339"/>
      <c r="Y61" s="2339"/>
      <c r="Z61" s="2339"/>
      <c r="AA61" s="2339">
        <v>1</v>
      </c>
      <c r="AB61" s="2339"/>
      <c r="AC61" s="2339"/>
      <c r="AD61" s="2339">
        <v>1</v>
      </c>
      <c r="AE61" s="2339"/>
      <c r="AF61" s="2339">
        <v>3</v>
      </c>
      <c r="AG61" s="2339"/>
      <c r="AH61" s="2339"/>
      <c r="AI61" s="2339"/>
      <c r="AJ61" s="2339"/>
      <c r="AK61" s="2339"/>
      <c r="AL61" s="2339">
        <v>1</v>
      </c>
      <c r="AM61" s="2339">
        <v>1</v>
      </c>
      <c r="AN61" s="2339">
        <v>1</v>
      </c>
      <c r="AO61" s="2339"/>
      <c r="AP61" s="2339"/>
      <c r="AQ61" s="2339">
        <v>2</v>
      </c>
      <c r="AR61" s="2339"/>
      <c r="AS61" s="2339"/>
      <c r="AT61" s="2339">
        <v>3</v>
      </c>
      <c r="AU61" s="2339"/>
      <c r="AV61" s="2339"/>
      <c r="AW61" s="2339"/>
      <c r="AX61" s="2339"/>
      <c r="AY61" s="2339"/>
      <c r="AZ61" s="2339"/>
      <c r="BA61" s="2339"/>
      <c r="BB61" s="2339"/>
      <c r="BC61" s="2339">
        <v>111.3</v>
      </c>
      <c r="BD61" s="2339">
        <v>37.1</v>
      </c>
      <c r="BE61" s="2339">
        <v>0</v>
      </c>
      <c r="BF61" s="2339">
        <v>1</v>
      </c>
      <c r="BG61" s="2339"/>
      <c r="BH61" s="2339"/>
      <c r="BI61" s="2339">
        <v>1</v>
      </c>
      <c r="BJ61" s="2339">
        <v>1</v>
      </c>
      <c r="BK61" s="2339"/>
      <c r="BL61" s="2339"/>
      <c r="BM61" s="2339">
        <v>0</v>
      </c>
      <c r="BN61" s="2339">
        <v>0</v>
      </c>
      <c r="BO61" s="2339"/>
      <c r="BP61" s="2339"/>
      <c r="BQ61" s="2339">
        <v>2</v>
      </c>
      <c r="BR61" s="2339">
        <v>1</v>
      </c>
      <c r="BS61" s="2339"/>
      <c r="BT61" s="2339"/>
      <c r="BU61" s="2339"/>
      <c r="BV61" s="2339"/>
      <c r="BW61" s="2339"/>
      <c r="BX61" s="2339">
        <v>1</v>
      </c>
      <c r="BY61" s="2339">
        <v>1</v>
      </c>
      <c r="BZ61" s="2339"/>
      <c r="CA61" s="2339">
        <v>1</v>
      </c>
      <c r="CB61" s="2339"/>
      <c r="CC61" s="2339">
        <v>1</v>
      </c>
      <c r="CD61" s="2339">
        <v>1</v>
      </c>
      <c r="CE61" s="2339"/>
      <c r="CF61" s="2339"/>
      <c r="CG61" s="2339">
        <v>1</v>
      </c>
      <c r="CH61" s="2339"/>
      <c r="CI61" s="2339"/>
      <c r="CJ61" s="2339"/>
      <c r="CK61" s="2339"/>
      <c r="CL61" s="2339">
        <v>0</v>
      </c>
      <c r="CM61" s="2339"/>
      <c r="CN61" s="2339"/>
      <c r="CO61" s="2339">
        <v>1</v>
      </c>
      <c r="CP61" s="2339"/>
      <c r="CQ61" s="2339">
        <v>1</v>
      </c>
      <c r="CR61" s="2339"/>
      <c r="CS61" s="2339">
        <v>1</v>
      </c>
      <c r="CT61" s="2339"/>
      <c r="CU61" s="2339"/>
      <c r="CV61" s="2339"/>
      <c r="CW61" s="2339">
        <v>0</v>
      </c>
      <c r="CX61" s="2339" t="s">
        <v>5218</v>
      </c>
      <c r="CZ61" s="1516">
        <v>1</v>
      </c>
      <c r="DA61" s="1516"/>
      <c r="DB61" s="1516">
        <v>1</v>
      </c>
      <c r="DD61" s="1516">
        <v>1</v>
      </c>
    </row>
    <row r="62" spans="1:108">
      <c r="A62" s="1516"/>
      <c r="B62" s="2339" t="s">
        <v>5238</v>
      </c>
      <c r="C62" s="2339">
        <v>34</v>
      </c>
      <c r="D62" s="2339">
        <v>2024.9</v>
      </c>
      <c r="E62" s="2339"/>
      <c r="F62" s="2339"/>
      <c r="G62" s="2339"/>
      <c r="H62" s="2339"/>
      <c r="I62" s="2339"/>
      <c r="J62" s="2339"/>
      <c r="K62" s="2339" t="s">
        <v>504</v>
      </c>
      <c r="L62" s="2339"/>
      <c r="M62" s="2339">
        <v>1</v>
      </c>
      <c r="N62" s="2339"/>
      <c r="O62" s="2339">
        <v>1</v>
      </c>
      <c r="P62" s="2339"/>
      <c r="Q62" s="2339"/>
      <c r="R62" s="2339"/>
      <c r="S62" s="2339"/>
      <c r="T62" s="2339"/>
      <c r="U62" s="2339"/>
      <c r="V62" s="2339"/>
      <c r="W62" s="2339"/>
      <c r="X62" s="2339"/>
      <c r="Y62" s="2339"/>
      <c r="Z62" s="2339"/>
      <c r="AA62" s="2339"/>
      <c r="AB62" s="2339"/>
      <c r="AC62" s="2339"/>
      <c r="AD62" s="2339">
        <v>1</v>
      </c>
      <c r="AE62" s="2339"/>
      <c r="AF62" s="2339">
        <v>3</v>
      </c>
      <c r="AG62" s="2339"/>
      <c r="AH62" s="2339"/>
      <c r="AI62" s="2339"/>
      <c r="AJ62" s="2339"/>
      <c r="AK62" s="2339"/>
      <c r="AL62" s="2339">
        <v>1</v>
      </c>
      <c r="AM62" s="2339"/>
      <c r="AN62" s="2339"/>
      <c r="AO62" s="2339"/>
      <c r="AP62" s="2339"/>
      <c r="AQ62" s="2339"/>
      <c r="AR62" s="2339"/>
      <c r="AS62" s="2339"/>
      <c r="AT62" s="2339">
        <v>3</v>
      </c>
      <c r="AU62" s="2339"/>
      <c r="AV62" s="2339"/>
      <c r="AW62" s="2339">
        <v>1</v>
      </c>
      <c r="AX62" s="2339"/>
      <c r="AY62" s="2339"/>
      <c r="AZ62" s="2339">
        <v>2</v>
      </c>
      <c r="BA62" s="2339">
        <v>4</v>
      </c>
      <c r="BB62" s="2339"/>
      <c r="BC62" s="2339">
        <v>102</v>
      </c>
      <c r="BD62" s="2339">
        <v>34</v>
      </c>
      <c r="BE62" s="2339">
        <v>0</v>
      </c>
      <c r="BF62" s="2339"/>
      <c r="BG62" s="2339"/>
      <c r="BH62" s="2339">
        <v>1</v>
      </c>
      <c r="BI62" s="2339"/>
      <c r="BJ62" s="2339"/>
      <c r="BK62" s="2339"/>
      <c r="BL62" s="2339"/>
      <c r="BM62" s="2339">
        <v>0</v>
      </c>
      <c r="BN62" s="2339">
        <v>0</v>
      </c>
      <c r="BO62" s="2339"/>
      <c r="BP62" s="2339"/>
      <c r="BQ62" s="2339"/>
      <c r="BR62" s="2339"/>
      <c r="BS62" s="2339"/>
      <c r="BT62" s="2339"/>
      <c r="BU62" s="2339">
        <v>1</v>
      </c>
      <c r="BV62" s="2339"/>
      <c r="BW62" s="2339">
        <v>1</v>
      </c>
      <c r="BX62" s="2339"/>
      <c r="BY62" s="2339"/>
      <c r="BZ62" s="2339"/>
      <c r="CA62" s="2339"/>
      <c r="CB62" s="2339"/>
      <c r="CC62" s="2339"/>
      <c r="CD62" s="2339"/>
      <c r="CE62" s="2339"/>
      <c r="CF62" s="2339"/>
      <c r="CG62" s="2339"/>
      <c r="CH62" s="2339"/>
      <c r="CI62" s="2339"/>
      <c r="CJ62" s="2339"/>
      <c r="CK62" s="2339"/>
      <c r="CL62" s="2339">
        <v>1</v>
      </c>
      <c r="CM62" s="2339">
        <v>0</v>
      </c>
      <c r="CN62" s="2339">
        <v>1</v>
      </c>
      <c r="CO62" s="2339"/>
      <c r="CP62" s="2339"/>
      <c r="CQ62" s="2339"/>
      <c r="CR62" s="2339"/>
      <c r="CS62" s="2339"/>
      <c r="CT62" s="2339"/>
      <c r="CU62" s="2339"/>
      <c r="CV62" s="2339">
        <v>1</v>
      </c>
      <c r="CW62" s="2339">
        <v>0</v>
      </c>
      <c r="CX62" s="2339"/>
      <c r="CZ62" s="1516">
        <v>1</v>
      </c>
      <c r="DB62" s="1516">
        <v>1</v>
      </c>
      <c r="DD62" s="1516">
        <v>1</v>
      </c>
    </row>
    <row r="63" spans="1:108">
      <c r="A63" s="1516"/>
      <c r="B63" s="2339">
        <v>117</v>
      </c>
      <c r="C63" s="2339">
        <v>33.700000000000003</v>
      </c>
      <c r="D63" s="2339">
        <v>2058.6</v>
      </c>
      <c r="E63" s="2339"/>
      <c r="F63" s="2339"/>
      <c r="G63" s="2339"/>
      <c r="H63" s="2339"/>
      <c r="I63" s="2339"/>
      <c r="J63" s="2339" t="s">
        <v>504</v>
      </c>
      <c r="K63" s="2339" t="s">
        <v>504</v>
      </c>
      <c r="L63" s="2339">
        <v>1</v>
      </c>
      <c r="M63" s="2339"/>
      <c r="N63" s="2339"/>
      <c r="O63" s="2339"/>
      <c r="P63" s="2339"/>
      <c r="Q63" s="2339"/>
      <c r="R63" s="2339"/>
      <c r="S63" s="2339"/>
      <c r="T63" s="2339"/>
      <c r="U63" s="2339"/>
      <c r="V63" s="2339"/>
      <c r="W63" s="2339"/>
      <c r="X63" s="2339"/>
      <c r="Y63" s="2339"/>
      <c r="Z63" s="2339"/>
      <c r="AA63" s="2339"/>
      <c r="AB63" s="2339"/>
      <c r="AC63" s="2339"/>
      <c r="AD63" s="2339">
        <v>1</v>
      </c>
      <c r="AE63" s="2339"/>
      <c r="AF63" s="2339">
        <v>3</v>
      </c>
      <c r="AG63" s="2339"/>
      <c r="AH63" s="2339"/>
      <c r="AI63" s="2339"/>
      <c r="AJ63" s="2339"/>
      <c r="AK63" s="2339"/>
      <c r="AL63" s="2339">
        <v>1</v>
      </c>
      <c r="AM63" s="2339">
        <v>3</v>
      </c>
      <c r="AN63" s="2339"/>
      <c r="AO63" s="2339"/>
      <c r="AP63" s="2339"/>
      <c r="AQ63" s="2339"/>
      <c r="AR63" s="2339"/>
      <c r="AS63" s="2339"/>
      <c r="AT63" s="2339">
        <v>3</v>
      </c>
      <c r="AU63" s="2339"/>
      <c r="AV63" s="2339"/>
      <c r="AW63" s="2339"/>
      <c r="AX63" s="2339"/>
      <c r="AY63" s="2339"/>
      <c r="AZ63" s="2339"/>
      <c r="BA63" s="2339"/>
      <c r="BB63" s="2339"/>
      <c r="BC63" s="2339">
        <v>101.1</v>
      </c>
      <c r="BD63" s="2339">
        <v>33.700000000000003</v>
      </c>
      <c r="BE63" s="2339">
        <v>0</v>
      </c>
      <c r="BF63" s="2339"/>
      <c r="BG63" s="2339"/>
      <c r="BH63" s="2339"/>
      <c r="BI63" s="2339"/>
      <c r="BJ63" s="2339">
        <v>1</v>
      </c>
      <c r="BK63" s="2339"/>
      <c r="BL63" s="2339"/>
      <c r="BM63" s="2339">
        <v>0</v>
      </c>
      <c r="BN63" s="2339">
        <v>0</v>
      </c>
      <c r="BO63" s="2339"/>
      <c r="BP63" s="2339"/>
      <c r="BQ63" s="2339">
        <v>2</v>
      </c>
      <c r="BR63" s="2339">
        <v>1</v>
      </c>
      <c r="BS63" s="2339"/>
      <c r="BT63" s="2339"/>
      <c r="BU63" s="2339"/>
      <c r="BV63" s="2339"/>
      <c r="BW63" s="2339"/>
      <c r="BX63" s="2339"/>
      <c r="BY63" s="2339"/>
      <c r="BZ63" s="2339"/>
      <c r="CA63" s="2339"/>
      <c r="CB63" s="2339"/>
      <c r="CC63" s="2339"/>
      <c r="CD63" s="2339">
        <v>1</v>
      </c>
      <c r="CE63" s="2339"/>
      <c r="CF63" s="2339"/>
      <c r="CG63" s="2339"/>
      <c r="CH63" s="2339"/>
      <c r="CI63" s="2339"/>
      <c r="CJ63" s="2339"/>
      <c r="CK63" s="2339"/>
      <c r="CL63" s="2339">
        <v>0</v>
      </c>
      <c r="CM63" s="2339"/>
      <c r="CN63" s="2339"/>
      <c r="CO63" s="2339"/>
      <c r="CP63" s="2339"/>
      <c r="CQ63" s="2339"/>
      <c r="CR63" s="2339"/>
      <c r="CS63" s="2339"/>
      <c r="CT63" s="2339"/>
      <c r="CU63" s="2339"/>
      <c r="CV63" s="2339"/>
      <c r="CW63" s="2339">
        <v>0</v>
      </c>
      <c r="CX63" s="2339"/>
      <c r="CZ63" s="1516">
        <v>1</v>
      </c>
      <c r="DB63" s="1516">
        <v>1</v>
      </c>
      <c r="DD63" s="1516">
        <v>1</v>
      </c>
    </row>
    <row r="64" spans="1:108">
      <c r="A64" s="1516"/>
      <c r="B64" s="2339" t="s">
        <v>5239</v>
      </c>
      <c r="C64" s="2339">
        <v>40</v>
      </c>
      <c r="D64" s="2339">
        <v>2098.6</v>
      </c>
      <c r="E64" s="2339"/>
      <c r="F64" s="2339"/>
      <c r="G64" s="2339"/>
      <c r="H64" s="2339"/>
      <c r="I64" s="2339"/>
      <c r="J64" s="2339"/>
      <c r="K64" s="2339" t="s">
        <v>504</v>
      </c>
      <c r="L64" s="2339"/>
      <c r="M64" s="2339">
        <v>1</v>
      </c>
      <c r="N64" s="2339"/>
      <c r="O64" s="2339">
        <v>1</v>
      </c>
      <c r="P64" s="2339"/>
      <c r="Q64" s="2339"/>
      <c r="R64" s="2339"/>
      <c r="S64" s="2339"/>
      <c r="T64" s="2339"/>
      <c r="U64" s="2339"/>
      <c r="V64" s="2339"/>
      <c r="W64" s="2339"/>
      <c r="X64" s="2339"/>
      <c r="Y64" s="2339"/>
      <c r="Z64" s="2339"/>
      <c r="AA64" s="2339"/>
      <c r="AB64" s="2339"/>
      <c r="AC64" s="2339"/>
      <c r="AD64" s="2339">
        <v>1</v>
      </c>
      <c r="AE64" s="2339"/>
      <c r="AF64" s="2339">
        <v>3</v>
      </c>
      <c r="AG64" s="2339"/>
      <c r="AH64" s="2339"/>
      <c r="AI64" s="2339"/>
      <c r="AJ64" s="2339"/>
      <c r="AK64" s="2339"/>
      <c r="AL64" s="2339">
        <v>1</v>
      </c>
      <c r="AM64" s="2339"/>
      <c r="AN64" s="2339"/>
      <c r="AO64" s="2339"/>
      <c r="AP64" s="2339"/>
      <c r="AQ64" s="2339"/>
      <c r="AR64" s="2339"/>
      <c r="AS64" s="2339"/>
      <c r="AT64" s="2339">
        <v>3</v>
      </c>
      <c r="AU64" s="2339"/>
      <c r="AV64" s="2339"/>
      <c r="AW64" s="2339">
        <v>1</v>
      </c>
      <c r="AX64" s="2339"/>
      <c r="AY64" s="2339"/>
      <c r="AZ64" s="2339">
        <v>2</v>
      </c>
      <c r="BA64" s="2339">
        <v>4</v>
      </c>
      <c r="BB64" s="2339">
        <v>1.2</v>
      </c>
      <c r="BC64" s="2339">
        <v>120</v>
      </c>
      <c r="BD64" s="2339">
        <v>40</v>
      </c>
      <c r="BE64" s="2339">
        <v>0</v>
      </c>
      <c r="BF64" s="2339"/>
      <c r="BG64" s="2339"/>
      <c r="BH64" s="2339">
        <v>1</v>
      </c>
      <c r="BI64" s="2339"/>
      <c r="BJ64" s="2339"/>
      <c r="BK64" s="2339"/>
      <c r="BL64" s="2339"/>
      <c r="BM64" s="2339">
        <v>0</v>
      </c>
      <c r="BN64" s="2339">
        <v>0</v>
      </c>
      <c r="BO64" s="2339"/>
      <c r="BP64" s="2339"/>
      <c r="BQ64" s="2339"/>
      <c r="BR64" s="2339"/>
      <c r="BS64" s="2339"/>
      <c r="BT64" s="2339"/>
      <c r="BU64" s="2339">
        <v>1</v>
      </c>
      <c r="BV64" s="2339"/>
      <c r="BW64" s="2339">
        <v>1</v>
      </c>
      <c r="BX64" s="2339"/>
      <c r="BY64" s="2339"/>
      <c r="BZ64" s="2339"/>
      <c r="CA64" s="2339"/>
      <c r="CB64" s="2339"/>
      <c r="CC64" s="2339"/>
      <c r="CD64" s="2339"/>
      <c r="CE64" s="2339"/>
      <c r="CF64" s="2339"/>
      <c r="CG64" s="2339"/>
      <c r="CH64" s="2339"/>
      <c r="CI64" s="2339"/>
      <c r="CJ64" s="2339"/>
      <c r="CK64" s="2339"/>
      <c r="CL64" s="2339">
        <v>1</v>
      </c>
      <c r="CM64" s="2339">
        <v>0</v>
      </c>
      <c r="CN64" s="2339">
        <v>1</v>
      </c>
      <c r="CO64" s="2339"/>
      <c r="CP64" s="2339"/>
      <c r="CQ64" s="2339"/>
      <c r="CR64" s="2339"/>
      <c r="CS64" s="2339"/>
      <c r="CT64" s="2339"/>
      <c r="CU64" s="2339"/>
      <c r="CV64" s="2339">
        <v>1</v>
      </c>
      <c r="CW64" s="2339">
        <v>0</v>
      </c>
      <c r="CX64" s="2339"/>
      <c r="CZ64" s="1516">
        <v>1</v>
      </c>
      <c r="DB64" s="1516">
        <v>1</v>
      </c>
      <c r="DD64" s="1516">
        <v>1</v>
      </c>
    </row>
    <row r="65" spans="1:108">
      <c r="A65" s="1516"/>
      <c r="B65" s="2339">
        <v>118</v>
      </c>
      <c r="C65" s="2339">
        <v>44.5</v>
      </c>
      <c r="D65" s="2339">
        <v>2143.1</v>
      </c>
      <c r="E65" s="2339"/>
      <c r="F65" s="2339"/>
      <c r="G65" s="2339"/>
      <c r="H65" s="2339"/>
      <c r="I65" s="2339"/>
      <c r="J65" s="2339" t="s">
        <v>504</v>
      </c>
      <c r="K65" s="2339" t="s">
        <v>504</v>
      </c>
      <c r="L65" s="2339">
        <v>1</v>
      </c>
      <c r="M65" s="2339"/>
      <c r="N65" s="2339"/>
      <c r="O65" s="2339"/>
      <c r="P65" s="2339"/>
      <c r="Q65" s="2339"/>
      <c r="R65" s="2339"/>
      <c r="S65" s="2339"/>
      <c r="T65" s="2339"/>
      <c r="U65" s="2339"/>
      <c r="V65" s="2339"/>
      <c r="W65" s="2339"/>
      <c r="X65" s="2339"/>
      <c r="Y65" s="2339"/>
      <c r="Z65" s="2339"/>
      <c r="AA65" s="2339"/>
      <c r="AB65" s="2339"/>
      <c r="AC65" s="2339"/>
      <c r="AD65" s="2339">
        <v>1</v>
      </c>
      <c r="AE65" s="2339"/>
      <c r="AF65" s="2339">
        <v>3</v>
      </c>
      <c r="AG65" s="2339"/>
      <c r="AH65" s="2339"/>
      <c r="AI65" s="2339"/>
      <c r="AJ65" s="2339"/>
      <c r="AK65" s="2339"/>
      <c r="AL65" s="2339">
        <v>1</v>
      </c>
      <c r="AM65" s="2339"/>
      <c r="AN65" s="2339"/>
      <c r="AO65" s="2339"/>
      <c r="AP65" s="2339"/>
      <c r="AQ65" s="2339"/>
      <c r="AR65" s="2339"/>
      <c r="AS65" s="2339"/>
      <c r="AT65" s="2339">
        <v>3</v>
      </c>
      <c r="AU65" s="2339"/>
      <c r="AV65" s="2339"/>
      <c r="AW65" s="2339"/>
      <c r="AX65" s="2339"/>
      <c r="AY65" s="2339"/>
      <c r="AZ65" s="2339"/>
      <c r="BA65" s="2339"/>
      <c r="BB65" s="2339"/>
      <c r="BC65" s="2339">
        <v>133.5</v>
      </c>
      <c r="BD65" s="2339">
        <v>44.5</v>
      </c>
      <c r="BE65" s="2339">
        <v>0</v>
      </c>
      <c r="BF65" s="2339"/>
      <c r="BG65" s="2339"/>
      <c r="BH65" s="2339"/>
      <c r="BI65" s="2339"/>
      <c r="BJ65" s="2339">
        <v>1</v>
      </c>
      <c r="BK65" s="2339"/>
      <c r="BL65" s="2339"/>
      <c r="BM65" s="2339">
        <v>0</v>
      </c>
      <c r="BN65" s="2339">
        <v>0</v>
      </c>
      <c r="BO65" s="2339"/>
      <c r="BP65" s="2339"/>
      <c r="BQ65" s="2339">
        <v>2</v>
      </c>
      <c r="BR65" s="2339">
        <v>1</v>
      </c>
      <c r="BS65" s="2339"/>
      <c r="BT65" s="2339"/>
      <c r="BU65" s="2339"/>
      <c r="BV65" s="2339"/>
      <c r="BW65" s="2339"/>
      <c r="BX65" s="2339"/>
      <c r="BY65" s="2339"/>
      <c r="BZ65" s="2339"/>
      <c r="CA65" s="2339"/>
      <c r="CB65" s="2339"/>
      <c r="CC65" s="2339"/>
      <c r="CD65" s="2339">
        <v>1</v>
      </c>
      <c r="CE65" s="2339"/>
      <c r="CF65" s="2339"/>
      <c r="CG65" s="2339"/>
      <c r="CH65" s="2339"/>
      <c r="CI65" s="2339"/>
      <c r="CJ65" s="2339"/>
      <c r="CK65" s="2339"/>
      <c r="CL65" s="2339">
        <v>0</v>
      </c>
      <c r="CM65" s="2339"/>
      <c r="CN65" s="2339"/>
      <c r="CO65" s="2339"/>
      <c r="CP65" s="2339"/>
      <c r="CQ65" s="2339"/>
      <c r="CR65" s="2339"/>
      <c r="CS65" s="2339"/>
      <c r="CT65" s="2339"/>
      <c r="CU65" s="2339"/>
      <c r="CV65" s="2339"/>
      <c r="CW65" s="2339">
        <v>0</v>
      </c>
      <c r="CX65" s="2339"/>
      <c r="CZ65" s="1516">
        <v>1</v>
      </c>
      <c r="DB65" s="1516">
        <v>1</v>
      </c>
      <c r="DD65" s="1516">
        <v>1</v>
      </c>
    </row>
    <row r="66" spans="1:108">
      <c r="A66" s="1516"/>
      <c r="B66" s="2339" t="s">
        <v>5240</v>
      </c>
      <c r="C66" s="2339">
        <v>33.299999999999997</v>
      </c>
      <c r="D66" s="2339">
        <v>2176.4</v>
      </c>
      <c r="E66" s="2339"/>
      <c r="F66" s="2339"/>
      <c r="G66" s="2339"/>
      <c r="H66" s="2339"/>
      <c r="I66" s="2339"/>
      <c r="J66" s="2339"/>
      <c r="K66" s="2339" t="s">
        <v>504</v>
      </c>
      <c r="L66" s="2339"/>
      <c r="M66" s="2339">
        <v>1</v>
      </c>
      <c r="N66" s="2339"/>
      <c r="O66" s="2339"/>
      <c r="P66" s="2339">
        <v>1</v>
      </c>
      <c r="Q66" s="2339"/>
      <c r="R66" s="2339"/>
      <c r="S66" s="2339"/>
      <c r="T66" s="2339"/>
      <c r="U66" s="2339"/>
      <c r="V66" s="2339"/>
      <c r="W66" s="2339"/>
      <c r="X66" s="2339"/>
      <c r="Y66" s="2339">
        <v>1</v>
      </c>
      <c r="Z66" s="2339"/>
      <c r="AA66" s="2339"/>
      <c r="AB66" s="2339"/>
      <c r="AC66" s="2339"/>
      <c r="AD66" s="2339">
        <v>1</v>
      </c>
      <c r="AE66" s="2339"/>
      <c r="AF66" s="2339">
        <v>3</v>
      </c>
      <c r="AG66" s="2339"/>
      <c r="AH66" s="2339"/>
      <c r="AI66" s="2339"/>
      <c r="AJ66" s="2339"/>
      <c r="AK66" s="2339"/>
      <c r="AL66" s="2339">
        <v>1</v>
      </c>
      <c r="AM66" s="2339"/>
      <c r="AN66" s="2339"/>
      <c r="AO66" s="2339"/>
      <c r="AP66" s="2339"/>
      <c r="AQ66" s="2339"/>
      <c r="AR66" s="2339"/>
      <c r="AS66" s="2339"/>
      <c r="AT66" s="2339">
        <v>3</v>
      </c>
      <c r="AU66" s="2339"/>
      <c r="AV66" s="2339"/>
      <c r="AW66" s="2339">
        <v>2</v>
      </c>
      <c r="AX66" s="2339"/>
      <c r="AY66" s="2339"/>
      <c r="AZ66" s="2339">
        <v>4</v>
      </c>
      <c r="BA66" s="2339">
        <v>4</v>
      </c>
      <c r="BB66" s="2339"/>
      <c r="BC66" s="2339">
        <v>99.9</v>
      </c>
      <c r="BD66" s="2339">
        <v>33.299999999999997</v>
      </c>
      <c r="BE66" s="2339">
        <v>0</v>
      </c>
      <c r="BF66" s="2339"/>
      <c r="BG66" s="2339"/>
      <c r="BH66" s="2339">
        <v>1</v>
      </c>
      <c r="BI66" s="2339"/>
      <c r="BJ66" s="2339"/>
      <c r="BK66" s="2339"/>
      <c r="BL66" s="2339"/>
      <c r="BM66" s="2339">
        <v>0</v>
      </c>
      <c r="BN66" s="2339">
        <v>0</v>
      </c>
      <c r="BO66" s="2339"/>
      <c r="BP66" s="2339"/>
      <c r="BQ66" s="2339"/>
      <c r="BR66" s="2339"/>
      <c r="BS66" s="2339"/>
      <c r="BT66" s="2339"/>
      <c r="BU66" s="2339">
        <v>1</v>
      </c>
      <c r="BV66" s="2339">
        <v>2</v>
      </c>
      <c r="BW66" s="2339"/>
      <c r="BX66" s="2339"/>
      <c r="BY66" s="2339"/>
      <c r="BZ66" s="2339"/>
      <c r="CA66" s="2339"/>
      <c r="CB66" s="2339"/>
      <c r="CC66" s="2339"/>
      <c r="CD66" s="2339"/>
      <c r="CE66" s="2339"/>
      <c r="CF66" s="2339"/>
      <c r="CG66" s="2339"/>
      <c r="CH66" s="2339"/>
      <c r="CI66" s="2339"/>
      <c r="CJ66" s="2339"/>
      <c r="CK66" s="2339"/>
      <c r="CL66" s="2339">
        <v>1</v>
      </c>
      <c r="CM66" s="2339">
        <v>2</v>
      </c>
      <c r="CN66" s="2339">
        <v>0</v>
      </c>
      <c r="CO66" s="2339"/>
      <c r="CP66" s="2339"/>
      <c r="CQ66" s="2339"/>
      <c r="CR66" s="2339"/>
      <c r="CS66" s="2339"/>
      <c r="CT66" s="2339"/>
      <c r="CU66" s="2339"/>
      <c r="CV66" s="2339">
        <v>2</v>
      </c>
      <c r="CW66" s="2339">
        <v>0</v>
      </c>
      <c r="CX66" s="2339"/>
      <c r="CZ66" s="1516">
        <v>1</v>
      </c>
      <c r="DB66" s="1516">
        <v>1</v>
      </c>
      <c r="DD66" s="1516">
        <v>1</v>
      </c>
    </row>
    <row r="67" spans="1:108">
      <c r="A67" s="1516"/>
      <c r="B67" s="2339">
        <v>119</v>
      </c>
      <c r="C67" s="2339">
        <v>33</v>
      </c>
      <c r="D67" s="2339">
        <v>2209.4</v>
      </c>
      <c r="E67" s="2339"/>
      <c r="F67" s="2339"/>
      <c r="G67" s="2339"/>
      <c r="H67" s="2339"/>
      <c r="I67" s="2339"/>
      <c r="J67" s="2339" t="s">
        <v>504</v>
      </c>
      <c r="K67" s="2339" t="s">
        <v>504</v>
      </c>
      <c r="L67" s="2339">
        <v>1</v>
      </c>
      <c r="M67" s="2339"/>
      <c r="N67" s="2339"/>
      <c r="O67" s="2339"/>
      <c r="P67" s="2339"/>
      <c r="Q67" s="2339"/>
      <c r="R67" s="2339"/>
      <c r="S67" s="2339"/>
      <c r="T67" s="2339"/>
      <c r="U67" s="2339"/>
      <c r="V67" s="2339"/>
      <c r="W67" s="2339"/>
      <c r="X67" s="2339"/>
      <c r="Y67" s="2339"/>
      <c r="Z67" s="2339"/>
      <c r="AA67" s="2339"/>
      <c r="AB67" s="2339"/>
      <c r="AC67" s="2339"/>
      <c r="AD67" s="2339">
        <v>1</v>
      </c>
      <c r="AE67" s="2339"/>
      <c r="AF67" s="2339">
        <v>3</v>
      </c>
      <c r="AG67" s="2339"/>
      <c r="AH67" s="2339"/>
      <c r="AI67" s="2339"/>
      <c r="AJ67" s="2339"/>
      <c r="AK67" s="2339"/>
      <c r="AL67" s="2339">
        <v>1</v>
      </c>
      <c r="AM67" s="2339"/>
      <c r="AN67" s="2339"/>
      <c r="AO67" s="2339"/>
      <c r="AP67" s="2339"/>
      <c r="AQ67" s="2339"/>
      <c r="AR67" s="2339"/>
      <c r="AS67" s="2339"/>
      <c r="AT67" s="2339">
        <v>3</v>
      </c>
      <c r="AU67" s="2339"/>
      <c r="AV67" s="2339"/>
      <c r="AW67" s="2339"/>
      <c r="AX67" s="2339"/>
      <c r="AY67" s="2339"/>
      <c r="AZ67" s="2339"/>
      <c r="BA67" s="2339"/>
      <c r="BB67" s="2339"/>
      <c r="BC67" s="2339">
        <v>99</v>
      </c>
      <c r="BD67" s="2339">
        <v>33</v>
      </c>
      <c r="BE67" s="2339">
        <v>0</v>
      </c>
      <c r="BF67" s="2339"/>
      <c r="BG67" s="2339"/>
      <c r="BH67" s="2339"/>
      <c r="BI67" s="2339"/>
      <c r="BJ67" s="2339">
        <v>1</v>
      </c>
      <c r="BK67" s="2339"/>
      <c r="BL67" s="2339"/>
      <c r="BM67" s="2339">
        <v>0</v>
      </c>
      <c r="BN67" s="2339">
        <v>0</v>
      </c>
      <c r="BO67" s="2339"/>
      <c r="BP67" s="2339"/>
      <c r="BQ67" s="2339">
        <v>2</v>
      </c>
      <c r="BR67" s="2339">
        <v>1</v>
      </c>
      <c r="BS67" s="2339"/>
      <c r="BT67" s="2339"/>
      <c r="BU67" s="2339"/>
      <c r="BV67" s="2339"/>
      <c r="BW67" s="2339"/>
      <c r="BX67" s="2339"/>
      <c r="BY67" s="2339"/>
      <c r="BZ67" s="2339"/>
      <c r="CA67" s="2339"/>
      <c r="CB67" s="2339"/>
      <c r="CC67" s="2339"/>
      <c r="CD67" s="2339">
        <v>1</v>
      </c>
      <c r="CE67" s="2339"/>
      <c r="CF67" s="2339"/>
      <c r="CG67" s="2339"/>
      <c r="CH67" s="2339"/>
      <c r="CI67" s="2339"/>
      <c r="CJ67" s="2339"/>
      <c r="CK67" s="2339"/>
      <c r="CL67" s="2339">
        <v>0</v>
      </c>
      <c r="CM67" s="2339"/>
      <c r="CN67" s="2339"/>
      <c r="CO67" s="2339"/>
      <c r="CP67" s="2339"/>
      <c r="CQ67" s="2339"/>
      <c r="CR67" s="2339"/>
      <c r="CS67" s="2339"/>
      <c r="CT67" s="2339"/>
      <c r="CU67" s="2339"/>
      <c r="CV67" s="2339"/>
      <c r="CW67" s="2339">
        <v>0</v>
      </c>
      <c r="CX67" s="2339"/>
      <c r="CZ67" s="1516">
        <v>1</v>
      </c>
      <c r="DB67" s="1516">
        <v>1</v>
      </c>
      <c r="DD67" s="1516">
        <v>1</v>
      </c>
    </row>
    <row r="68" spans="1:108">
      <c r="A68" s="1516"/>
      <c r="B68" s="2339" t="s">
        <v>5241</v>
      </c>
      <c r="C68" s="2339">
        <v>36</v>
      </c>
      <c r="D68" s="2339">
        <v>2245.4</v>
      </c>
      <c r="E68" s="2339"/>
      <c r="F68" s="2339"/>
      <c r="G68" s="2339"/>
      <c r="H68" s="2339"/>
      <c r="I68" s="2339"/>
      <c r="J68" s="2339"/>
      <c r="K68" s="2339" t="s">
        <v>504</v>
      </c>
      <c r="L68" s="2339"/>
      <c r="M68" s="2339">
        <v>1</v>
      </c>
      <c r="N68" s="2339"/>
      <c r="O68" s="2339"/>
      <c r="P68" s="2339">
        <v>1</v>
      </c>
      <c r="Q68" s="2339"/>
      <c r="R68" s="2339"/>
      <c r="S68" s="2339"/>
      <c r="T68" s="2339"/>
      <c r="U68" s="2339"/>
      <c r="V68" s="2339"/>
      <c r="W68" s="2339"/>
      <c r="X68" s="2339"/>
      <c r="Y68" s="2339"/>
      <c r="Z68" s="2339"/>
      <c r="AA68" s="2339"/>
      <c r="AB68" s="2339"/>
      <c r="AC68" s="2339"/>
      <c r="AD68" s="2339">
        <v>1</v>
      </c>
      <c r="AE68" s="2339"/>
      <c r="AF68" s="2339">
        <v>3</v>
      </c>
      <c r="AG68" s="2339"/>
      <c r="AH68" s="2339"/>
      <c r="AI68" s="2339"/>
      <c r="AJ68" s="2339"/>
      <c r="AK68" s="2339"/>
      <c r="AL68" s="2339">
        <v>1</v>
      </c>
      <c r="AM68" s="2339"/>
      <c r="AN68" s="2339"/>
      <c r="AO68" s="2339"/>
      <c r="AP68" s="2339"/>
      <c r="AQ68" s="2339"/>
      <c r="AR68" s="2339"/>
      <c r="AS68" s="2339"/>
      <c r="AT68" s="2339">
        <v>3</v>
      </c>
      <c r="AU68" s="2339"/>
      <c r="AV68" s="2339"/>
      <c r="AW68" s="2339">
        <v>1</v>
      </c>
      <c r="AX68" s="2339"/>
      <c r="AY68" s="2339"/>
      <c r="AZ68" s="2339">
        <v>3</v>
      </c>
      <c r="BA68" s="2339">
        <v>8</v>
      </c>
      <c r="BB68" s="2339"/>
      <c r="BC68" s="2339">
        <v>108</v>
      </c>
      <c r="BD68" s="2339">
        <v>36</v>
      </c>
      <c r="BE68" s="2339">
        <v>0</v>
      </c>
      <c r="BF68" s="2339"/>
      <c r="BG68" s="2339"/>
      <c r="BH68" s="2339">
        <v>1</v>
      </c>
      <c r="BI68" s="2339"/>
      <c r="BJ68" s="2339"/>
      <c r="BK68" s="2339"/>
      <c r="BL68" s="2339"/>
      <c r="BM68" s="2339">
        <v>0</v>
      </c>
      <c r="BN68" s="2339">
        <v>0</v>
      </c>
      <c r="BO68" s="2339"/>
      <c r="BP68" s="2339"/>
      <c r="BQ68" s="2339"/>
      <c r="BR68" s="2339"/>
      <c r="BS68" s="2339"/>
      <c r="BT68" s="2339"/>
      <c r="BU68" s="2339">
        <v>1</v>
      </c>
      <c r="BV68" s="2339"/>
      <c r="BW68" s="2339">
        <v>1</v>
      </c>
      <c r="BX68" s="2339"/>
      <c r="BY68" s="2339"/>
      <c r="BZ68" s="2339"/>
      <c r="CA68" s="2339"/>
      <c r="CB68" s="2339"/>
      <c r="CC68" s="2339"/>
      <c r="CD68" s="2339"/>
      <c r="CE68" s="2339"/>
      <c r="CF68" s="2339"/>
      <c r="CG68" s="2339"/>
      <c r="CH68" s="2339"/>
      <c r="CI68" s="2339"/>
      <c r="CJ68" s="2339"/>
      <c r="CK68" s="2339"/>
      <c r="CL68" s="2339">
        <v>1</v>
      </c>
      <c r="CM68" s="2339">
        <v>0</v>
      </c>
      <c r="CN68" s="2339">
        <v>1</v>
      </c>
      <c r="CO68" s="2339"/>
      <c r="CP68" s="2339"/>
      <c r="CQ68" s="2339"/>
      <c r="CR68" s="2339"/>
      <c r="CS68" s="2339"/>
      <c r="CT68" s="2339"/>
      <c r="CU68" s="2339"/>
      <c r="CV68" s="2339">
        <v>1</v>
      </c>
      <c r="CW68" s="2339">
        <v>0</v>
      </c>
      <c r="CX68" s="2339" t="s">
        <v>5311</v>
      </c>
      <c r="CZ68" s="1516">
        <v>1</v>
      </c>
      <c r="DB68" s="1516">
        <v>1</v>
      </c>
      <c r="DD68" s="1516">
        <v>1</v>
      </c>
    </row>
    <row r="69" spans="1:108">
      <c r="A69" s="1516"/>
      <c r="B69" s="2339">
        <v>120</v>
      </c>
      <c r="C69" s="2339">
        <v>35.5</v>
      </c>
      <c r="D69" s="2339">
        <v>2280.9</v>
      </c>
      <c r="E69" s="2339"/>
      <c r="F69" s="2339"/>
      <c r="G69" s="2339"/>
      <c r="H69" s="2339"/>
      <c r="I69" s="2339"/>
      <c r="J69" s="2339" t="s">
        <v>504</v>
      </c>
      <c r="K69" s="2339" t="s">
        <v>504</v>
      </c>
      <c r="L69" s="2339">
        <v>1</v>
      </c>
      <c r="M69" s="2339"/>
      <c r="N69" s="2339"/>
      <c r="O69" s="2339"/>
      <c r="P69" s="2339"/>
      <c r="Q69" s="2339"/>
      <c r="R69" s="2339"/>
      <c r="S69" s="2339"/>
      <c r="T69" s="2339"/>
      <c r="U69" s="2339"/>
      <c r="V69" s="2339"/>
      <c r="W69" s="2339"/>
      <c r="X69" s="2339"/>
      <c r="Y69" s="2339"/>
      <c r="Z69" s="2339"/>
      <c r="AA69" s="2339"/>
      <c r="AB69" s="2339"/>
      <c r="AC69" s="2339"/>
      <c r="AD69" s="2339">
        <v>1</v>
      </c>
      <c r="AE69" s="2339"/>
      <c r="AF69" s="2339">
        <v>3</v>
      </c>
      <c r="AG69" s="2339"/>
      <c r="AH69" s="2339"/>
      <c r="AI69" s="2339"/>
      <c r="AJ69" s="2339"/>
      <c r="AK69" s="2339"/>
      <c r="AL69" s="2339">
        <v>1</v>
      </c>
      <c r="AM69" s="2339"/>
      <c r="AN69" s="2339"/>
      <c r="AO69" s="2339"/>
      <c r="AP69" s="2339"/>
      <c r="AQ69" s="2339"/>
      <c r="AR69" s="2339"/>
      <c r="AS69" s="2339"/>
      <c r="AT69" s="2339">
        <v>3</v>
      </c>
      <c r="AU69" s="2339"/>
      <c r="AV69" s="2339"/>
      <c r="AW69" s="2339"/>
      <c r="AX69" s="2339"/>
      <c r="AY69" s="2339"/>
      <c r="AZ69" s="2339"/>
      <c r="BA69" s="2339"/>
      <c r="BB69" s="2339"/>
      <c r="BC69" s="2339">
        <v>106.5</v>
      </c>
      <c r="BD69" s="2339">
        <v>35.5</v>
      </c>
      <c r="BE69" s="2339">
        <v>0</v>
      </c>
      <c r="BF69" s="2339"/>
      <c r="BG69" s="2339"/>
      <c r="BH69" s="2339"/>
      <c r="BI69" s="2339"/>
      <c r="BJ69" s="2339">
        <v>1</v>
      </c>
      <c r="BK69" s="2339"/>
      <c r="BL69" s="2339"/>
      <c r="BM69" s="2339">
        <v>0</v>
      </c>
      <c r="BN69" s="2339">
        <v>0</v>
      </c>
      <c r="BO69" s="2339"/>
      <c r="BP69" s="2339"/>
      <c r="BQ69" s="2339">
        <v>2</v>
      </c>
      <c r="BR69" s="2339">
        <v>1</v>
      </c>
      <c r="BS69" s="2339"/>
      <c r="BT69" s="2339"/>
      <c r="BU69" s="2339"/>
      <c r="BV69" s="2339"/>
      <c r="BW69" s="2339"/>
      <c r="BX69" s="2339"/>
      <c r="BY69" s="2339"/>
      <c r="BZ69" s="2339"/>
      <c r="CA69" s="2339"/>
      <c r="CB69" s="2339"/>
      <c r="CC69" s="2339"/>
      <c r="CD69" s="2339">
        <v>1</v>
      </c>
      <c r="CE69" s="2339"/>
      <c r="CF69" s="2339"/>
      <c r="CG69" s="2339"/>
      <c r="CH69" s="2339"/>
      <c r="CI69" s="2339"/>
      <c r="CJ69" s="2339"/>
      <c r="CK69" s="2339"/>
      <c r="CL69" s="2339">
        <v>0</v>
      </c>
      <c r="CM69" s="2339"/>
      <c r="CN69" s="2339"/>
      <c r="CO69" s="2339"/>
      <c r="CP69" s="2339"/>
      <c r="CQ69" s="2339"/>
      <c r="CR69" s="2339"/>
      <c r="CS69" s="2339"/>
      <c r="CT69" s="2339"/>
      <c r="CU69" s="2339"/>
      <c r="CV69" s="2339"/>
      <c r="CW69" s="2339">
        <v>0</v>
      </c>
      <c r="CX69" s="2339"/>
      <c r="CZ69" s="1516">
        <v>1</v>
      </c>
      <c r="DB69" s="1516">
        <v>1</v>
      </c>
      <c r="DD69" s="1516">
        <v>1</v>
      </c>
    </row>
    <row r="70" spans="1:108">
      <c r="A70" s="1516"/>
      <c r="B70" s="2339" t="s">
        <v>5242</v>
      </c>
      <c r="C70" s="2339">
        <v>39</v>
      </c>
      <c r="D70" s="2339">
        <v>2319.9</v>
      </c>
      <c r="E70" s="2339"/>
      <c r="F70" s="2339"/>
      <c r="G70" s="2339"/>
      <c r="H70" s="2339"/>
      <c r="I70" s="2339"/>
      <c r="J70" s="2339"/>
      <c r="K70" s="2339" t="s">
        <v>550</v>
      </c>
      <c r="L70" s="2339"/>
      <c r="M70" s="2339">
        <v>2</v>
      </c>
      <c r="N70" s="2339"/>
      <c r="O70" s="2339"/>
      <c r="P70" s="2339"/>
      <c r="Q70" s="2339">
        <v>1</v>
      </c>
      <c r="R70" s="2339"/>
      <c r="S70" s="2339"/>
      <c r="T70" s="2339"/>
      <c r="U70" s="2339"/>
      <c r="V70" s="2339"/>
      <c r="W70" s="2339"/>
      <c r="X70" s="2339"/>
      <c r="Y70" s="2339"/>
      <c r="Z70" s="2339"/>
      <c r="AA70" s="2339"/>
      <c r="AB70" s="2339"/>
      <c r="AC70" s="2339">
        <v>1</v>
      </c>
      <c r="AD70" s="2339"/>
      <c r="AE70" s="2339"/>
      <c r="AF70" s="2339">
        <v>6</v>
      </c>
      <c r="AG70" s="2339">
        <v>6</v>
      </c>
      <c r="AH70" s="2339"/>
      <c r="AI70" s="2339"/>
      <c r="AJ70" s="2339">
        <v>6</v>
      </c>
      <c r="AK70" s="2339">
        <v>2</v>
      </c>
      <c r="AL70" s="2339"/>
      <c r="AM70" s="2339"/>
      <c r="AN70" s="2339"/>
      <c r="AO70" s="2339"/>
      <c r="AP70" s="2339"/>
      <c r="AQ70" s="2339">
        <v>2</v>
      </c>
      <c r="AR70" s="2339">
        <v>6</v>
      </c>
      <c r="AS70" s="2339"/>
      <c r="AT70" s="2339">
        <v>6</v>
      </c>
      <c r="AU70" s="2339"/>
      <c r="AV70" s="2339"/>
      <c r="AW70" s="2339">
        <v>1</v>
      </c>
      <c r="AX70" s="2339"/>
      <c r="AY70" s="2339"/>
      <c r="AZ70" s="2339">
        <v>8</v>
      </c>
      <c r="BA70" s="2339">
        <v>4</v>
      </c>
      <c r="BB70" s="2339">
        <v>1.2</v>
      </c>
      <c r="BC70" s="2339">
        <v>117</v>
      </c>
      <c r="BD70" s="2339">
        <v>39</v>
      </c>
      <c r="BE70" s="2339">
        <v>0</v>
      </c>
      <c r="BF70" s="2339"/>
      <c r="BG70" s="2339"/>
      <c r="BH70" s="2339">
        <v>1</v>
      </c>
      <c r="BI70" s="2339"/>
      <c r="BJ70" s="2339"/>
      <c r="BK70" s="2339"/>
      <c r="BL70" s="2339"/>
      <c r="BM70" s="2339">
        <v>0</v>
      </c>
      <c r="BN70" s="2339">
        <v>0</v>
      </c>
      <c r="BO70" s="2339"/>
      <c r="BP70" s="2339"/>
      <c r="BQ70" s="2339"/>
      <c r="BR70" s="2339"/>
      <c r="BS70" s="2339"/>
      <c r="BT70" s="2339"/>
      <c r="BU70" s="2339">
        <v>1</v>
      </c>
      <c r="BV70" s="2339"/>
      <c r="BW70" s="2339">
        <v>1</v>
      </c>
      <c r="BX70" s="2339"/>
      <c r="BY70" s="2339"/>
      <c r="BZ70" s="2339"/>
      <c r="CA70" s="2339"/>
      <c r="CB70" s="2339"/>
      <c r="CC70" s="2339"/>
      <c r="CD70" s="2339"/>
      <c r="CE70" s="2339"/>
      <c r="CF70" s="2339"/>
      <c r="CG70" s="2339"/>
      <c r="CH70" s="2339"/>
      <c r="CI70" s="2339"/>
      <c r="CJ70" s="2339"/>
      <c r="CK70" s="2339"/>
      <c r="CL70" s="2339">
        <v>1</v>
      </c>
      <c r="CM70" s="2339">
        <v>0</v>
      </c>
      <c r="CN70" s="2339">
        <v>1</v>
      </c>
      <c r="CO70" s="2339"/>
      <c r="CP70" s="2339"/>
      <c r="CQ70" s="2339"/>
      <c r="CR70" s="2339"/>
      <c r="CS70" s="2339"/>
      <c r="CT70" s="2339"/>
      <c r="CU70" s="2339"/>
      <c r="CV70" s="2339">
        <v>1</v>
      </c>
      <c r="CW70" s="2339">
        <v>0</v>
      </c>
      <c r="CX70" s="2339"/>
      <c r="CZ70" s="1516">
        <v>1</v>
      </c>
      <c r="DB70" s="1516">
        <v>1</v>
      </c>
      <c r="DD70" s="1516">
        <v>1</v>
      </c>
    </row>
    <row r="71" spans="1:108">
      <c r="A71" s="1516"/>
      <c r="B71" s="2339">
        <v>121</v>
      </c>
      <c r="C71" s="2339">
        <v>39.299999999999997</v>
      </c>
      <c r="D71" s="2339">
        <v>2359.1999999999998</v>
      </c>
      <c r="E71" s="2339"/>
      <c r="F71" s="2339"/>
      <c r="G71" s="2339"/>
      <c r="H71" s="2339"/>
      <c r="I71" s="2339"/>
      <c r="J71" s="2339" t="s">
        <v>504</v>
      </c>
      <c r="K71" s="2339" t="s">
        <v>504</v>
      </c>
      <c r="L71" s="2339">
        <v>1</v>
      </c>
      <c r="M71" s="2339"/>
      <c r="N71" s="2339"/>
      <c r="O71" s="2339"/>
      <c r="P71" s="2339"/>
      <c r="Q71" s="2339"/>
      <c r="R71" s="2339"/>
      <c r="S71" s="2339"/>
      <c r="T71" s="2339"/>
      <c r="U71" s="2339"/>
      <c r="V71" s="2339"/>
      <c r="W71" s="2339"/>
      <c r="X71" s="2339"/>
      <c r="Y71" s="2339"/>
      <c r="Z71" s="2339">
        <v>1</v>
      </c>
      <c r="AA71" s="2339"/>
      <c r="AB71" s="2339"/>
      <c r="AC71" s="2339"/>
      <c r="AD71" s="2339">
        <v>1</v>
      </c>
      <c r="AE71" s="2339"/>
      <c r="AF71" s="2339">
        <v>3</v>
      </c>
      <c r="AG71" s="2339"/>
      <c r="AH71" s="2339"/>
      <c r="AI71" s="2339"/>
      <c r="AJ71" s="2339"/>
      <c r="AK71" s="2339"/>
      <c r="AL71" s="2339">
        <v>1</v>
      </c>
      <c r="AM71" s="2339"/>
      <c r="AN71" s="2339"/>
      <c r="AO71" s="2339"/>
      <c r="AP71" s="2339"/>
      <c r="AQ71" s="2339"/>
      <c r="AR71" s="2339"/>
      <c r="AS71" s="2339"/>
      <c r="AT71" s="2339">
        <v>3</v>
      </c>
      <c r="AU71" s="2339"/>
      <c r="AV71" s="2339"/>
      <c r="AW71" s="2339"/>
      <c r="AX71" s="2339"/>
      <c r="AY71" s="2339"/>
      <c r="AZ71" s="2339"/>
      <c r="BA71" s="2339"/>
      <c r="BB71" s="2339"/>
      <c r="BC71" s="2339">
        <v>117.9</v>
      </c>
      <c r="BD71" s="2339">
        <v>39.299999999999997</v>
      </c>
      <c r="BE71" s="2339">
        <v>0</v>
      </c>
      <c r="BF71" s="2339"/>
      <c r="BG71" s="2339"/>
      <c r="BH71" s="2339"/>
      <c r="BI71" s="2339"/>
      <c r="BJ71" s="2339">
        <v>1</v>
      </c>
      <c r="BK71" s="2339"/>
      <c r="BL71" s="2339"/>
      <c r="BM71" s="2339">
        <v>0</v>
      </c>
      <c r="BN71" s="2339">
        <v>0</v>
      </c>
      <c r="BO71" s="2339"/>
      <c r="BP71" s="2339"/>
      <c r="BQ71" s="2339">
        <v>2</v>
      </c>
      <c r="BR71" s="2339">
        <v>1</v>
      </c>
      <c r="BS71" s="2339"/>
      <c r="BT71" s="2339"/>
      <c r="BU71" s="2339"/>
      <c r="BV71" s="2339"/>
      <c r="BW71" s="2339"/>
      <c r="BX71" s="2339"/>
      <c r="BY71" s="2339"/>
      <c r="BZ71" s="2339"/>
      <c r="CA71" s="2339"/>
      <c r="CB71" s="2339"/>
      <c r="CC71" s="2339"/>
      <c r="CD71" s="2339">
        <v>1</v>
      </c>
      <c r="CE71" s="2339"/>
      <c r="CF71" s="2339"/>
      <c r="CG71" s="2339"/>
      <c r="CH71" s="2339"/>
      <c r="CI71" s="2339"/>
      <c r="CJ71" s="2339"/>
      <c r="CK71" s="2339"/>
      <c r="CL71" s="2339">
        <v>0</v>
      </c>
      <c r="CM71" s="2339"/>
      <c r="CN71" s="2339"/>
      <c r="CO71" s="2339"/>
      <c r="CP71" s="2339"/>
      <c r="CQ71" s="2339"/>
      <c r="CR71" s="2339"/>
      <c r="CS71" s="2339"/>
      <c r="CT71" s="2339"/>
      <c r="CU71" s="2339"/>
      <c r="CV71" s="2339"/>
      <c r="CW71" s="2339">
        <v>0</v>
      </c>
      <c r="CX71" s="2339"/>
      <c r="CZ71" s="1516">
        <v>1</v>
      </c>
      <c r="DB71" s="1516">
        <v>1</v>
      </c>
      <c r="DD71" s="1516">
        <v>1</v>
      </c>
    </row>
    <row r="72" spans="1:108">
      <c r="A72" s="1516"/>
      <c r="B72" s="2339" t="s">
        <v>5243</v>
      </c>
      <c r="C72" s="2339">
        <v>35</v>
      </c>
      <c r="D72" s="2339">
        <v>2394.1999999999998</v>
      </c>
      <c r="E72" s="2339"/>
      <c r="F72" s="2339"/>
      <c r="G72" s="2339"/>
      <c r="H72" s="2339"/>
      <c r="I72" s="2339"/>
      <c r="J72" s="2339"/>
      <c r="K72" s="2339" t="s">
        <v>504</v>
      </c>
      <c r="L72" s="2339"/>
      <c r="M72" s="2339">
        <v>1</v>
      </c>
      <c r="N72" s="2339"/>
      <c r="O72" s="2339">
        <v>1</v>
      </c>
      <c r="P72" s="2339"/>
      <c r="Q72" s="2339"/>
      <c r="R72" s="2339"/>
      <c r="S72" s="2339"/>
      <c r="T72" s="2339"/>
      <c r="U72" s="2339"/>
      <c r="V72" s="2339"/>
      <c r="W72" s="2339"/>
      <c r="X72" s="2339"/>
      <c r="Y72" s="2339"/>
      <c r="Z72" s="2339"/>
      <c r="AA72" s="2339"/>
      <c r="AB72" s="2339"/>
      <c r="AC72" s="2339"/>
      <c r="AD72" s="2339">
        <v>1</v>
      </c>
      <c r="AE72" s="2339"/>
      <c r="AF72" s="2339">
        <v>3</v>
      </c>
      <c r="AG72" s="2339"/>
      <c r="AH72" s="2339"/>
      <c r="AI72" s="2339"/>
      <c r="AJ72" s="2339"/>
      <c r="AK72" s="2339"/>
      <c r="AL72" s="2339">
        <v>1</v>
      </c>
      <c r="AM72" s="2339"/>
      <c r="AN72" s="2339"/>
      <c r="AO72" s="2339"/>
      <c r="AP72" s="2339"/>
      <c r="AQ72" s="2339"/>
      <c r="AR72" s="2339"/>
      <c r="AS72" s="2339"/>
      <c r="AT72" s="2339">
        <v>3</v>
      </c>
      <c r="AU72" s="2339"/>
      <c r="AV72" s="2339"/>
      <c r="AW72" s="2339">
        <v>1</v>
      </c>
      <c r="AX72" s="2339"/>
      <c r="AY72" s="2339"/>
      <c r="AZ72" s="2339">
        <v>6</v>
      </c>
      <c r="BA72" s="2339">
        <v>4</v>
      </c>
      <c r="BB72" s="2339"/>
      <c r="BC72" s="2339">
        <v>105</v>
      </c>
      <c r="BD72" s="2339">
        <v>35</v>
      </c>
      <c r="BE72" s="2339">
        <v>0</v>
      </c>
      <c r="BF72" s="2339"/>
      <c r="BG72" s="2339"/>
      <c r="BH72" s="2339">
        <v>1</v>
      </c>
      <c r="BI72" s="2339"/>
      <c r="BJ72" s="2339"/>
      <c r="BK72" s="2339"/>
      <c r="BL72" s="2339"/>
      <c r="BM72" s="2339">
        <v>0</v>
      </c>
      <c r="BN72" s="2339">
        <v>0</v>
      </c>
      <c r="BO72" s="2339"/>
      <c r="BP72" s="2339"/>
      <c r="BQ72" s="2339"/>
      <c r="BR72" s="2339"/>
      <c r="BS72" s="2339"/>
      <c r="BT72" s="2339"/>
      <c r="BU72" s="2339">
        <v>1</v>
      </c>
      <c r="BV72" s="2339"/>
      <c r="BW72" s="2339">
        <v>1</v>
      </c>
      <c r="BX72" s="2339"/>
      <c r="BY72" s="2339"/>
      <c r="BZ72" s="2339"/>
      <c r="CA72" s="2339"/>
      <c r="CB72" s="2339"/>
      <c r="CC72" s="2339"/>
      <c r="CD72" s="2339"/>
      <c r="CE72" s="2339"/>
      <c r="CF72" s="2339"/>
      <c r="CG72" s="2339"/>
      <c r="CH72" s="2339"/>
      <c r="CI72" s="2339"/>
      <c r="CJ72" s="2339"/>
      <c r="CK72" s="2339"/>
      <c r="CL72" s="2339">
        <v>1</v>
      </c>
      <c r="CM72" s="2339">
        <v>0</v>
      </c>
      <c r="CN72" s="2339">
        <v>1</v>
      </c>
      <c r="CO72" s="2339"/>
      <c r="CP72" s="2339"/>
      <c r="CQ72" s="2339"/>
      <c r="CR72" s="2339"/>
      <c r="CS72" s="2339"/>
      <c r="CT72" s="2339"/>
      <c r="CU72" s="2339"/>
      <c r="CV72" s="2339">
        <v>1</v>
      </c>
      <c r="CW72" s="2339">
        <v>0</v>
      </c>
      <c r="CX72" s="2339"/>
      <c r="CZ72" s="1516">
        <v>1</v>
      </c>
      <c r="DB72" s="1516">
        <v>1</v>
      </c>
      <c r="DD72" s="1516">
        <v>1</v>
      </c>
    </row>
    <row r="73" spans="1:108">
      <c r="A73" s="1516"/>
      <c r="B73" s="2339">
        <v>122</v>
      </c>
      <c r="C73" s="2339">
        <v>33.700000000000003</v>
      </c>
      <c r="D73" s="2339">
        <v>2427.9</v>
      </c>
      <c r="E73" s="2339"/>
      <c r="F73" s="2339"/>
      <c r="G73" s="2339"/>
      <c r="H73" s="2339"/>
      <c r="I73" s="2339"/>
      <c r="J73" s="2339" t="s">
        <v>504</v>
      </c>
      <c r="K73" s="2339" t="s">
        <v>504</v>
      </c>
      <c r="L73" s="2339">
        <v>1</v>
      </c>
      <c r="M73" s="2339"/>
      <c r="N73" s="2339"/>
      <c r="O73" s="2339"/>
      <c r="P73" s="2339"/>
      <c r="Q73" s="2339"/>
      <c r="R73" s="2339"/>
      <c r="S73" s="2339"/>
      <c r="T73" s="2339"/>
      <c r="U73" s="2339"/>
      <c r="V73" s="2339"/>
      <c r="W73" s="2339"/>
      <c r="X73" s="2339"/>
      <c r="Y73" s="2339"/>
      <c r="Z73" s="2339"/>
      <c r="AA73" s="2339"/>
      <c r="AB73" s="2339"/>
      <c r="AC73" s="2339"/>
      <c r="AD73" s="2339">
        <v>1</v>
      </c>
      <c r="AE73" s="2339"/>
      <c r="AF73" s="2339">
        <v>3</v>
      </c>
      <c r="AG73" s="2339"/>
      <c r="AH73" s="2339"/>
      <c r="AI73" s="2339"/>
      <c r="AJ73" s="2339"/>
      <c r="AK73" s="2339"/>
      <c r="AL73" s="2339">
        <v>1</v>
      </c>
      <c r="AM73" s="2339"/>
      <c r="AN73" s="2339"/>
      <c r="AO73" s="2339"/>
      <c r="AP73" s="2339"/>
      <c r="AQ73" s="2339"/>
      <c r="AR73" s="2339"/>
      <c r="AS73" s="2339"/>
      <c r="AT73" s="2339">
        <v>3</v>
      </c>
      <c r="AU73" s="2339"/>
      <c r="AV73" s="2339"/>
      <c r="AW73" s="2339"/>
      <c r="AX73" s="2339"/>
      <c r="AY73" s="2339"/>
      <c r="AZ73" s="2339"/>
      <c r="BA73" s="2339"/>
      <c r="BB73" s="2339"/>
      <c r="BC73" s="2339">
        <v>101.1</v>
      </c>
      <c r="BD73" s="2339">
        <v>33.700000000000003</v>
      </c>
      <c r="BE73" s="2339">
        <v>0</v>
      </c>
      <c r="BF73" s="2339"/>
      <c r="BG73" s="2339"/>
      <c r="BH73" s="2339"/>
      <c r="BI73" s="2339"/>
      <c r="BJ73" s="2339">
        <v>1</v>
      </c>
      <c r="BK73" s="2339"/>
      <c r="BL73" s="2339"/>
      <c r="BM73" s="2339">
        <v>0</v>
      </c>
      <c r="BN73" s="2339">
        <v>0</v>
      </c>
      <c r="BO73" s="2339"/>
      <c r="BP73" s="2339"/>
      <c r="BQ73" s="2339">
        <v>2</v>
      </c>
      <c r="BR73" s="2339">
        <v>1</v>
      </c>
      <c r="BS73" s="2339"/>
      <c r="BT73" s="2339"/>
      <c r="BU73" s="2339"/>
      <c r="BV73" s="2339"/>
      <c r="BW73" s="2339"/>
      <c r="BX73" s="2339"/>
      <c r="BY73" s="2339"/>
      <c r="BZ73" s="2339"/>
      <c r="CA73" s="2339"/>
      <c r="CB73" s="2339"/>
      <c r="CC73" s="2339"/>
      <c r="CD73" s="2339">
        <v>1</v>
      </c>
      <c r="CE73" s="2339"/>
      <c r="CF73" s="2339"/>
      <c r="CG73" s="2339"/>
      <c r="CH73" s="2339"/>
      <c r="CI73" s="2339"/>
      <c r="CJ73" s="2339"/>
      <c r="CK73" s="2339"/>
      <c r="CL73" s="2339">
        <v>0</v>
      </c>
      <c r="CM73" s="2339"/>
      <c r="CN73" s="2339"/>
      <c r="CO73" s="2339"/>
      <c r="CP73" s="2339"/>
      <c r="CQ73" s="2339"/>
      <c r="CR73" s="2339"/>
      <c r="CS73" s="2339"/>
      <c r="CT73" s="2339"/>
      <c r="CU73" s="2339"/>
      <c r="CV73" s="2339"/>
      <c r="CW73" s="2339">
        <v>0</v>
      </c>
      <c r="CX73" s="2339"/>
      <c r="CZ73" s="1516">
        <v>1</v>
      </c>
      <c r="DB73" s="1516">
        <v>1</v>
      </c>
      <c r="DD73" s="1516">
        <v>1</v>
      </c>
    </row>
    <row r="74" spans="1:108">
      <c r="A74" s="1516"/>
      <c r="B74" s="2339" t="s">
        <v>5244</v>
      </c>
      <c r="C74" s="2339">
        <v>35</v>
      </c>
      <c r="D74" s="2339">
        <v>2462.9</v>
      </c>
      <c r="E74" s="2339"/>
      <c r="F74" s="2339"/>
      <c r="G74" s="2339"/>
      <c r="H74" s="2339"/>
      <c r="I74" s="2339"/>
      <c r="J74" s="2339"/>
      <c r="K74" s="2339" t="s">
        <v>504</v>
      </c>
      <c r="L74" s="2339"/>
      <c r="M74" s="2339">
        <v>1</v>
      </c>
      <c r="N74" s="2339"/>
      <c r="O74" s="2339"/>
      <c r="P74" s="2339">
        <v>1</v>
      </c>
      <c r="Q74" s="2339"/>
      <c r="R74" s="2339"/>
      <c r="S74" s="2339"/>
      <c r="T74" s="2339"/>
      <c r="U74" s="2339"/>
      <c r="V74" s="2339"/>
      <c r="W74" s="2339"/>
      <c r="X74" s="2339"/>
      <c r="Y74" s="2339"/>
      <c r="Z74" s="2339"/>
      <c r="AA74" s="2339"/>
      <c r="AB74" s="2339"/>
      <c r="AC74" s="2339"/>
      <c r="AD74" s="2339">
        <v>1</v>
      </c>
      <c r="AE74" s="2339"/>
      <c r="AF74" s="2339">
        <v>3</v>
      </c>
      <c r="AG74" s="2339"/>
      <c r="AH74" s="2339"/>
      <c r="AI74" s="2339"/>
      <c r="AJ74" s="2339"/>
      <c r="AK74" s="2339"/>
      <c r="AL74" s="2339">
        <v>1</v>
      </c>
      <c r="AM74" s="2339"/>
      <c r="AN74" s="2339"/>
      <c r="AO74" s="2339"/>
      <c r="AP74" s="2339"/>
      <c r="AQ74" s="2339"/>
      <c r="AR74" s="2339"/>
      <c r="AS74" s="2339"/>
      <c r="AT74" s="2339">
        <v>3</v>
      </c>
      <c r="AU74" s="2339"/>
      <c r="AV74" s="2339"/>
      <c r="AW74" s="2339">
        <v>1</v>
      </c>
      <c r="AX74" s="2339"/>
      <c r="AY74" s="2339"/>
      <c r="AZ74" s="2339">
        <v>11</v>
      </c>
      <c r="BA74" s="2339">
        <v>4</v>
      </c>
      <c r="BB74" s="2339"/>
      <c r="BC74" s="2339">
        <v>105</v>
      </c>
      <c r="BD74" s="2339">
        <v>35</v>
      </c>
      <c r="BE74" s="2339">
        <v>0</v>
      </c>
      <c r="BF74" s="2339"/>
      <c r="BG74" s="2339"/>
      <c r="BH74" s="2339">
        <v>1</v>
      </c>
      <c r="BI74" s="2339"/>
      <c r="BJ74" s="2339"/>
      <c r="BK74" s="2339"/>
      <c r="BL74" s="2339"/>
      <c r="BM74" s="2339">
        <v>0</v>
      </c>
      <c r="BN74" s="2339">
        <v>0</v>
      </c>
      <c r="BO74" s="2339"/>
      <c r="BP74" s="2339"/>
      <c r="BQ74" s="2339"/>
      <c r="BR74" s="2339"/>
      <c r="BS74" s="2339"/>
      <c r="BT74" s="2339"/>
      <c r="BU74" s="2339">
        <v>1</v>
      </c>
      <c r="BV74" s="2339"/>
      <c r="BW74" s="2339">
        <v>1</v>
      </c>
      <c r="BX74" s="2339"/>
      <c r="BY74" s="2339"/>
      <c r="BZ74" s="2339"/>
      <c r="CA74" s="2339"/>
      <c r="CB74" s="2339"/>
      <c r="CC74" s="2339"/>
      <c r="CD74" s="2339"/>
      <c r="CE74" s="2339"/>
      <c r="CF74" s="2339"/>
      <c r="CG74" s="2339"/>
      <c r="CH74" s="2339"/>
      <c r="CI74" s="2339"/>
      <c r="CJ74" s="2339"/>
      <c r="CK74" s="2339"/>
      <c r="CL74" s="2339">
        <v>1</v>
      </c>
      <c r="CM74" s="2339">
        <v>0</v>
      </c>
      <c r="CN74" s="2339">
        <v>1</v>
      </c>
      <c r="CO74" s="2339"/>
      <c r="CP74" s="2339"/>
      <c r="CQ74" s="2339"/>
      <c r="CR74" s="2339"/>
      <c r="CS74" s="2339"/>
      <c r="CT74" s="2339"/>
      <c r="CU74" s="2339"/>
      <c r="CV74" s="2339">
        <v>1</v>
      </c>
      <c r="CW74" s="2339">
        <v>0</v>
      </c>
      <c r="CX74" s="2339"/>
      <c r="CZ74" s="1516">
        <v>1</v>
      </c>
      <c r="DB74" s="1516">
        <v>1</v>
      </c>
      <c r="DD74" s="1516">
        <v>1</v>
      </c>
    </row>
    <row r="75" spans="1:108">
      <c r="A75" s="1516"/>
      <c r="B75" s="2339">
        <v>123</v>
      </c>
      <c r="C75" s="2339">
        <v>34.299999999999997</v>
      </c>
      <c r="D75" s="2339">
        <v>2497.1999999999998</v>
      </c>
      <c r="E75" s="2339"/>
      <c r="F75" s="2339"/>
      <c r="G75" s="2339"/>
      <c r="H75" s="2339"/>
      <c r="I75" s="2339">
        <v>5</v>
      </c>
      <c r="J75" s="2339" t="s">
        <v>504</v>
      </c>
      <c r="K75" s="2339" t="s">
        <v>504</v>
      </c>
      <c r="L75" s="2339">
        <v>1</v>
      </c>
      <c r="M75" s="2339"/>
      <c r="N75" s="2339">
        <v>1</v>
      </c>
      <c r="O75" s="2339"/>
      <c r="P75" s="2339"/>
      <c r="Q75" s="2339"/>
      <c r="R75" s="2339">
        <v>1</v>
      </c>
      <c r="S75" s="2339"/>
      <c r="T75" s="2339"/>
      <c r="U75" s="2339"/>
      <c r="V75" s="2339"/>
      <c r="W75" s="2339"/>
      <c r="X75" s="2339"/>
      <c r="Y75" s="2339"/>
      <c r="Z75" s="2339"/>
      <c r="AA75" s="2339">
        <v>1</v>
      </c>
      <c r="AB75" s="2339"/>
      <c r="AC75" s="2339"/>
      <c r="AD75" s="2339">
        <v>1</v>
      </c>
      <c r="AE75" s="2339"/>
      <c r="AF75" s="2339">
        <v>3</v>
      </c>
      <c r="AG75" s="2339"/>
      <c r="AH75" s="2339"/>
      <c r="AI75" s="2339"/>
      <c r="AJ75" s="2339"/>
      <c r="AK75" s="2339"/>
      <c r="AL75" s="2339">
        <v>1</v>
      </c>
      <c r="AM75" s="2339">
        <v>1</v>
      </c>
      <c r="AN75" s="2339">
        <v>1</v>
      </c>
      <c r="AO75" s="2339"/>
      <c r="AP75" s="2339"/>
      <c r="AQ75" s="2339">
        <v>2</v>
      </c>
      <c r="AR75" s="2339"/>
      <c r="AS75" s="2339"/>
      <c r="AT75" s="2339">
        <v>3</v>
      </c>
      <c r="AU75" s="2339"/>
      <c r="AV75" s="2339"/>
      <c r="AW75" s="2339"/>
      <c r="AX75" s="2339"/>
      <c r="AY75" s="2339"/>
      <c r="AZ75" s="2339"/>
      <c r="BA75" s="2339"/>
      <c r="BB75" s="2339"/>
      <c r="BC75" s="2339">
        <v>102.9</v>
      </c>
      <c r="BD75" s="2339">
        <v>34.299999999999997</v>
      </c>
      <c r="BE75" s="2339">
        <v>0</v>
      </c>
      <c r="BF75" s="2339">
        <v>1</v>
      </c>
      <c r="BG75" s="2339"/>
      <c r="BH75" s="2339"/>
      <c r="BI75" s="2339">
        <v>1</v>
      </c>
      <c r="BJ75" s="2339">
        <v>1</v>
      </c>
      <c r="BK75" s="2339"/>
      <c r="BL75" s="2339"/>
      <c r="BM75" s="2339">
        <v>0</v>
      </c>
      <c r="BN75" s="2339">
        <v>0</v>
      </c>
      <c r="BO75" s="2339"/>
      <c r="BP75" s="2339"/>
      <c r="BQ75" s="2339">
        <v>2</v>
      </c>
      <c r="BR75" s="2339">
        <v>1</v>
      </c>
      <c r="BS75" s="2339"/>
      <c r="BT75" s="2339"/>
      <c r="BU75" s="2339"/>
      <c r="BV75" s="2339"/>
      <c r="BW75" s="2339"/>
      <c r="BX75" s="2339">
        <v>1</v>
      </c>
      <c r="BY75" s="2339">
        <v>1</v>
      </c>
      <c r="BZ75" s="2339"/>
      <c r="CA75" s="2339">
        <v>1</v>
      </c>
      <c r="CB75" s="2339">
        <v>1</v>
      </c>
      <c r="CC75" s="2339"/>
      <c r="CD75" s="2339">
        <v>1</v>
      </c>
      <c r="CE75" s="2339"/>
      <c r="CF75" s="2339"/>
      <c r="CG75" s="2339">
        <v>1</v>
      </c>
      <c r="CH75" s="2339"/>
      <c r="CI75" s="2339"/>
      <c r="CJ75" s="2339"/>
      <c r="CK75" s="2339"/>
      <c r="CL75" s="2339">
        <v>0</v>
      </c>
      <c r="CM75" s="2339"/>
      <c r="CN75" s="2339"/>
      <c r="CO75" s="2339">
        <v>1</v>
      </c>
      <c r="CP75" s="2339"/>
      <c r="CQ75" s="2339">
        <v>1</v>
      </c>
      <c r="CR75" s="2339">
        <v>1</v>
      </c>
      <c r="CS75" s="2339"/>
      <c r="CT75" s="2339"/>
      <c r="CU75" s="2339"/>
      <c r="CV75" s="2339"/>
      <c r="CW75" s="2339">
        <v>0</v>
      </c>
      <c r="CX75" s="2339" t="s">
        <v>5218</v>
      </c>
      <c r="CZ75" s="1516">
        <v>1</v>
      </c>
      <c r="DA75" s="1516"/>
      <c r="DB75" s="1516">
        <v>1</v>
      </c>
      <c r="DD75" s="1516">
        <v>1</v>
      </c>
    </row>
    <row r="76" spans="1:108">
      <c r="A76" s="1516"/>
      <c r="B76" s="2339" t="s">
        <v>5245</v>
      </c>
      <c r="C76" s="2339">
        <v>38</v>
      </c>
      <c r="D76" s="2339">
        <v>2535.1999999999998</v>
      </c>
      <c r="E76" s="2339"/>
      <c r="F76" s="2339"/>
      <c r="G76" s="2339"/>
      <c r="H76" s="2339"/>
      <c r="I76" s="2339"/>
      <c r="J76" s="2339"/>
      <c r="K76" s="2339" t="s">
        <v>504</v>
      </c>
      <c r="L76" s="2339"/>
      <c r="M76" s="2339">
        <v>1</v>
      </c>
      <c r="N76" s="2339"/>
      <c r="O76" s="2339">
        <v>1</v>
      </c>
      <c r="P76" s="2339"/>
      <c r="Q76" s="2339"/>
      <c r="R76" s="2339"/>
      <c r="S76" s="2339"/>
      <c r="T76" s="2339"/>
      <c r="U76" s="2339"/>
      <c r="V76" s="2339"/>
      <c r="W76" s="2339"/>
      <c r="X76" s="2339"/>
      <c r="Y76" s="2339"/>
      <c r="Z76" s="2339"/>
      <c r="AA76" s="2339"/>
      <c r="AB76" s="2339"/>
      <c r="AC76" s="2339"/>
      <c r="AD76" s="2339">
        <v>1</v>
      </c>
      <c r="AE76" s="2339"/>
      <c r="AF76" s="2339">
        <v>3</v>
      </c>
      <c r="AG76" s="2339"/>
      <c r="AH76" s="2339"/>
      <c r="AI76" s="2339"/>
      <c r="AJ76" s="2339"/>
      <c r="AK76" s="2339"/>
      <c r="AL76" s="2339">
        <v>1</v>
      </c>
      <c r="AM76" s="2339"/>
      <c r="AN76" s="2339"/>
      <c r="AO76" s="2339"/>
      <c r="AP76" s="2339"/>
      <c r="AQ76" s="2339"/>
      <c r="AR76" s="2339"/>
      <c r="AS76" s="2339"/>
      <c r="AT76" s="2339">
        <v>3</v>
      </c>
      <c r="AU76" s="2339"/>
      <c r="AV76" s="2339"/>
      <c r="AW76" s="2339">
        <v>1</v>
      </c>
      <c r="AX76" s="2339"/>
      <c r="AY76" s="2339"/>
      <c r="AZ76" s="2339">
        <v>4</v>
      </c>
      <c r="BA76" s="2339">
        <v>4</v>
      </c>
      <c r="BB76" s="2339"/>
      <c r="BC76" s="2339">
        <v>114</v>
      </c>
      <c r="BD76" s="2339">
        <v>38</v>
      </c>
      <c r="BE76" s="2339">
        <v>0</v>
      </c>
      <c r="BF76" s="2339"/>
      <c r="BG76" s="2339"/>
      <c r="BH76" s="2339">
        <v>1</v>
      </c>
      <c r="BI76" s="2339"/>
      <c r="BJ76" s="2339"/>
      <c r="BK76" s="2339"/>
      <c r="BL76" s="2339"/>
      <c r="BM76" s="2339">
        <v>0</v>
      </c>
      <c r="BN76" s="2339">
        <v>0</v>
      </c>
      <c r="BO76" s="2339"/>
      <c r="BP76" s="2339"/>
      <c r="BQ76" s="2339"/>
      <c r="BR76" s="2339"/>
      <c r="BS76" s="2339"/>
      <c r="BT76" s="2339"/>
      <c r="BU76" s="2339">
        <v>1</v>
      </c>
      <c r="BV76" s="2339"/>
      <c r="BW76" s="2339">
        <v>1</v>
      </c>
      <c r="BX76" s="2339"/>
      <c r="BY76" s="2339"/>
      <c r="BZ76" s="2339"/>
      <c r="CA76" s="2339"/>
      <c r="CB76" s="2339"/>
      <c r="CC76" s="2339"/>
      <c r="CD76" s="2339"/>
      <c r="CE76" s="2339"/>
      <c r="CF76" s="2339"/>
      <c r="CG76" s="2339"/>
      <c r="CH76" s="2339"/>
      <c r="CI76" s="2339"/>
      <c r="CJ76" s="2339"/>
      <c r="CK76" s="2339"/>
      <c r="CL76" s="2339">
        <v>1</v>
      </c>
      <c r="CM76" s="2339">
        <v>0</v>
      </c>
      <c r="CN76" s="2339">
        <v>1</v>
      </c>
      <c r="CO76" s="2339"/>
      <c r="CP76" s="2339"/>
      <c r="CQ76" s="2339"/>
      <c r="CR76" s="2339"/>
      <c r="CS76" s="2339"/>
      <c r="CT76" s="2339"/>
      <c r="CU76" s="2339"/>
      <c r="CV76" s="2339">
        <v>1</v>
      </c>
      <c r="CW76" s="2339">
        <v>0</v>
      </c>
      <c r="CX76" s="2339"/>
      <c r="CZ76" s="1516">
        <v>1</v>
      </c>
      <c r="DB76" s="1516">
        <v>1</v>
      </c>
      <c r="DD76" s="1516">
        <v>1</v>
      </c>
    </row>
    <row r="77" spans="1:108">
      <c r="A77" s="1516"/>
      <c r="B77" s="2339">
        <v>124</v>
      </c>
      <c r="C77" s="2339">
        <v>41.6</v>
      </c>
      <c r="D77" s="2339">
        <v>2576.8000000000002</v>
      </c>
      <c r="E77" s="2339"/>
      <c r="F77" s="2339"/>
      <c r="G77" s="2339"/>
      <c r="H77" s="2339"/>
      <c r="I77" s="2339"/>
      <c r="J77" s="2339" t="s">
        <v>504</v>
      </c>
      <c r="K77" s="2339" t="s">
        <v>504</v>
      </c>
      <c r="L77" s="2339">
        <v>1</v>
      </c>
      <c r="M77" s="2339"/>
      <c r="N77" s="2339"/>
      <c r="O77" s="2339"/>
      <c r="P77" s="2339"/>
      <c r="Q77" s="2339"/>
      <c r="R77" s="2339"/>
      <c r="S77" s="2339"/>
      <c r="T77" s="2339"/>
      <c r="U77" s="2339"/>
      <c r="V77" s="2339"/>
      <c r="W77" s="2339"/>
      <c r="X77" s="2339"/>
      <c r="Y77" s="2339"/>
      <c r="Z77" s="2339">
        <v>1</v>
      </c>
      <c r="AA77" s="2339"/>
      <c r="AB77" s="2339"/>
      <c r="AC77" s="2339"/>
      <c r="AD77" s="2339">
        <v>1</v>
      </c>
      <c r="AE77" s="2339"/>
      <c r="AF77" s="2339">
        <v>3</v>
      </c>
      <c r="AG77" s="2339"/>
      <c r="AH77" s="2339"/>
      <c r="AI77" s="2339"/>
      <c r="AJ77" s="2339"/>
      <c r="AK77" s="2339"/>
      <c r="AL77" s="2339">
        <v>1</v>
      </c>
      <c r="AM77" s="2339"/>
      <c r="AN77" s="2339"/>
      <c r="AO77" s="2339"/>
      <c r="AP77" s="2339"/>
      <c r="AQ77" s="2339"/>
      <c r="AR77" s="2339"/>
      <c r="AS77" s="2339"/>
      <c r="AT77" s="2339">
        <v>3</v>
      </c>
      <c r="AU77" s="2339"/>
      <c r="AV77" s="2339"/>
      <c r="AW77" s="2339"/>
      <c r="AX77" s="2339"/>
      <c r="AY77" s="2339"/>
      <c r="AZ77" s="2339"/>
      <c r="BA77" s="2339"/>
      <c r="BB77" s="2339"/>
      <c r="BC77" s="2339">
        <v>124.8</v>
      </c>
      <c r="BD77" s="2339">
        <v>41.6</v>
      </c>
      <c r="BE77" s="2339">
        <v>0</v>
      </c>
      <c r="BF77" s="2339"/>
      <c r="BG77" s="2339"/>
      <c r="BH77" s="2339"/>
      <c r="BI77" s="2339"/>
      <c r="BJ77" s="2339">
        <v>1</v>
      </c>
      <c r="BK77" s="2339"/>
      <c r="BL77" s="2339"/>
      <c r="BM77" s="2339">
        <v>0</v>
      </c>
      <c r="BN77" s="2339">
        <v>0</v>
      </c>
      <c r="BO77" s="2339"/>
      <c r="BP77" s="2339"/>
      <c r="BQ77" s="2339">
        <v>2</v>
      </c>
      <c r="BR77" s="2339">
        <v>1</v>
      </c>
      <c r="BS77" s="2339"/>
      <c r="BT77" s="2339"/>
      <c r="BU77" s="2339"/>
      <c r="BV77" s="2339"/>
      <c r="BW77" s="2339"/>
      <c r="BX77" s="2339"/>
      <c r="BY77" s="2339"/>
      <c r="BZ77" s="2339"/>
      <c r="CA77" s="2339"/>
      <c r="CB77" s="2339"/>
      <c r="CC77" s="2339"/>
      <c r="CD77" s="2339">
        <v>1</v>
      </c>
      <c r="CE77" s="2339"/>
      <c r="CF77" s="2339"/>
      <c r="CG77" s="2339"/>
      <c r="CH77" s="2339"/>
      <c r="CI77" s="2339"/>
      <c r="CJ77" s="2339"/>
      <c r="CK77" s="2339"/>
      <c r="CL77" s="2339">
        <v>0</v>
      </c>
      <c r="CM77" s="2339"/>
      <c r="CN77" s="2339"/>
      <c r="CO77" s="2339"/>
      <c r="CP77" s="2339"/>
      <c r="CQ77" s="2339"/>
      <c r="CR77" s="2339"/>
      <c r="CS77" s="2339"/>
      <c r="CT77" s="2339"/>
      <c r="CU77" s="2339"/>
      <c r="CV77" s="2339"/>
      <c r="CW77" s="2339">
        <v>0</v>
      </c>
      <c r="CX77" s="2339"/>
      <c r="CZ77" s="1516">
        <v>1</v>
      </c>
      <c r="DB77" s="1516">
        <v>1</v>
      </c>
      <c r="DD77" s="1516">
        <v>1</v>
      </c>
    </row>
    <row r="78" spans="1:108">
      <c r="A78" s="1516"/>
      <c r="B78" s="2339" t="s">
        <v>5246</v>
      </c>
      <c r="C78" s="2339">
        <v>33.6</v>
      </c>
      <c r="D78" s="2339">
        <v>2610.4</v>
      </c>
      <c r="E78" s="2339"/>
      <c r="F78" s="2339"/>
      <c r="G78" s="2339"/>
      <c r="H78" s="2339"/>
      <c r="I78" s="2339"/>
      <c r="J78" s="2339"/>
      <c r="K78" s="2339" t="s">
        <v>504</v>
      </c>
      <c r="L78" s="2339"/>
      <c r="M78" s="2339">
        <v>1</v>
      </c>
      <c r="N78" s="2339"/>
      <c r="O78" s="2339">
        <v>1</v>
      </c>
      <c r="P78" s="2339"/>
      <c r="Q78" s="2339"/>
      <c r="R78" s="2339"/>
      <c r="S78" s="2339"/>
      <c r="T78" s="2339"/>
      <c r="U78" s="2339"/>
      <c r="V78" s="2339"/>
      <c r="W78" s="2339"/>
      <c r="X78" s="2339"/>
      <c r="Y78" s="2339"/>
      <c r="Z78" s="2339"/>
      <c r="AA78" s="2339"/>
      <c r="AB78" s="2339"/>
      <c r="AC78" s="2339"/>
      <c r="AD78" s="2339">
        <v>1</v>
      </c>
      <c r="AE78" s="2339"/>
      <c r="AF78" s="2339">
        <v>3</v>
      </c>
      <c r="AG78" s="2339"/>
      <c r="AH78" s="2339"/>
      <c r="AI78" s="2339"/>
      <c r="AJ78" s="2339"/>
      <c r="AK78" s="2339"/>
      <c r="AL78" s="2339">
        <v>1</v>
      </c>
      <c r="AM78" s="2339"/>
      <c r="AN78" s="2339"/>
      <c r="AO78" s="2339"/>
      <c r="AP78" s="2339"/>
      <c r="AQ78" s="2339"/>
      <c r="AR78" s="2339"/>
      <c r="AS78" s="2339"/>
      <c r="AT78" s="2339">
        <v>3</v>
      </c>
      <c r="AU78" s="2339"/>
      <c r="AV78" s="2339"/>
      <c r="AW78" s="2339">
        <v>2</v>
      </c>
      <c r="AX78" s="2339"/>
      <c r="AY78" s="2339">
        <v>3</v>
      </c>
      <c r="AZ78" s="2339">
        <v>5</v>
      </c>
      <c r="BA78" s="2339"/>
      <c r="BB78" s="2339"/>
      <c r="BC78" s="2339">
        <v>100.8</v>
      </c>
      <c r="BD78" s="2339">
        <v>33.6</v>
      </c>
      <c r="BE78" s="2339">
        <v>0</v>
      </c>
      <c r="BF78" s="2339"/>
      <c r="BG78" s="2339">
        <v>1</v>
      </c>
      <c r="BH78" s="2339"/>
      <c r="BI78" s="2339"/>
      <c r="BJ78" s="2339"/>
      <c r="BK78" s="2339"/>
      <c r="BL78" s="2339"/>
      <c r="BM78" s="2339">
        <v>0</v>
      </c>
      <c r="BN78" s="2339">
        <v>0</v>
      </c>
      <c r="BO78" s="2339"/>
      <c r="BP78" s="2339"/>
      <c r="BQ78" s="2339"/>
      <c r="BR78" s="2339"/>
      <c r="BS78" s="2339">
        <v>1</v>
      </c>
      <c r="BT78" s="2339">
        <v>1</v>
      </c>
      <c r="BU78" s="2339"/>
      <c r="BV78" s="2339"/>
      <c r="BW78" s="2339"/>
      <c r="BX78" s="2339"/>
      <c r="BY78" s="2339"/>
      <c r="BZ78" s="2339"/>
      <c r="CA78" s="2339"/>
      <c r="CB78" s="2339"/>
      <c r="CC78" s="2339"/>
      <c r="CD78" s="2339"/>
      <c r="CE78" s="2339"/>
      <c r="CF78" s="2339"/>
      <c r="CG78" s="2339"/>
      <c r="CH78" s="2339"/>
      <c r="CI78" s="2339">
        <v>0</v>
      </c>
      <c r="CJ78" s="2339">
        <v>1</v>
      </c>
      <c r="CK78" s="2339">
        <v>1</v>
      </c>
      <c r="CL78" s="2339">
        <v>0</v>
      </c>
      <c r="CM78" s="2339">
        <v>0</v>
      </c>
      <c r="CN78" s="2339"/>
      <c r="CO78" s="2339"/>
      <c r="CP78" s="2339"/>
      <c r="CQ78" s="2339"/>
      <c r="CR78" s="2339"/>
      <c r="CS78" s="2339"/>
      <c r="CT78" s="2339">
        <v>2</v>
      </c>
      <c r="CU78" s="2339"/>
      <c r="CV78" s="2339">
        <v>1</v>
      </c>
      <c r="CW78" s="2339">
        <v>0</v>
      </c>
      <c r="CX78" s="2339"/>
      <c r="CZ78" s="1516">
        <v>1</v>
      </c>
      <c r="DB78" s="1516">
        <v>1</v>
      </c>
      <c r="DD78" s="1516">
        <v>1</v>
      </c>
    </row>
    <row r="79" spans="1:108">
      <c r="A79" s="1516"/>
      <c r="B79" s="2339">
        <v>125</v>
      </c>
      <c r="C79" s="2339">
        <v>34</v>
      </c>
      <c r="D79" s="2339">
        <v>2644.4</v>
      </c>
      <c r="E79" s="2339"/>
      <c r="F79" s="2339"/>
      <c r="G79" s="2339"/>
      <c r="H79" s="2339"/>
      <c r="I79" s="2339"/>
      <c r="J79" s="2339" t="s">
        <v>504</v>
      </c>
      <c r="K79" s="2339" t="s">
        <v>504</v>
      </c>
      <c r="L79" s="2339">
        <v>1</v>
      </c>
      <c r="M79" s="2339"/>
      <c r="N79" s="2339"/>
      <c r="O79" s="2339"/>
      <c r="P79" s="2339"/>
      <c r="Q79" s="2339"/>
      <c r="R79" s="2339"/>
      <c r="S79" s="2339"/>
      <c r="T79" s="2339"/>
      <c r="U79" s="2339"/>
      <c r="V79" s="2339"/>
      <c r="W79" s="2339"/>
      <c r="X79" s="2339"/>
      <c r="Y79" s="2339"/>
      <c r="Z79" s="2339"/>
      <c r="AA79" s="2339"/>
      <c r="AB79" s="2339"/>
      <c r="AC79" s="2339"/>
      <c r="AD79" s="2339">
        <v>1</v>
      </c>
      <c r="AE79" s="2339"/>
      <c r="AF79" s="2339">
        <v>3</v>
      </c>
      <c r="AG79" s="2339"/>
      <c r="AH79" s="2339"/>
      <c r="AI79" s="2339"/>
      <c r="AJ79" s="2339"/>
      <c r="AK79" s="2339"/>
      <c r="AL79" s="2339">
        <v>1</v>
      </c>
      <c r="AM79" s="2339"/>
      <c r="AN79" s="2339"/>
      <c r="AO79" s="2339"/>
      <c r="AP79" s="2339"/>
      <c r="AQ79" s="2339"/>
      <c r="AR79" s="2339"/>
      <c r="AS79" s="2339"/>
      <c r="AT79" s="2339">
        <v>3</v>
      </c>
      <c r="AU79" s="2339"/>
      <c r="AV79" s="2339"/>
      <c r="AW79" s="2339"/>
      <c r="AX79" s="2339"/>
      <c r="AY79" s="2339"/>
      <c r="AZ79" s="2339"/>
      <c r="BA79" s="2339"/>
      <c r="BB79" s="2339"/>
      <c r="BC79" s="2339">
        <v>102</v>
      </c>
      <c r="BD79" s="2339">
        <v>34</v>
      </c>
      <c r="BE79" s="2339">
        <v>0</v>
      </c>
      <c r="BF79" s="2339"/>
      <c r="BG79" s="2339"/>
      <c r="BH79" s="2339"/>
      <c r="BI79" s="2339"/>
      <c r="BJ79" s="2339">
        <v>1</v>
      </c>
      <c r="BK79" s="2339"/>
      <c r="BL79" s="2339"/>
      <c r="BM79" s="2339">
        <v>0</v>
      </c>
      <c r="BN79" s="2339">
        <v>0</v>
      </c>
      <c r="BO79" s="2339"/>
      <c r="BP79" s="2339"/>
      <c r="BQ79" s="2339">
        <v>2</v>
      </c>
      <c r="BR79" s="2339">
        <v>1</v>
      </c>
      <c r="BS79" s="2339"/>
      <c r="BT79" s="2339"/>
      <c r="BU79" s="2339"/>
      <c r="BV79" s="2339"/>
      <c r="BW79" s="2339"/>
      <c r="BX79" s="2339"/>
      <c r="BY79" s="2339"/>
      <c r="BZ79" s="2339"/>
      <c r="CA79" s="2339"/>
      <c r="CB79" s="2339"/>
      <c r="CC79" s="2339"/>
      <c r="CD79" s="2339">
        <v>1</v>
      </c>
      <c r="CE79" s="2339"/>
      <c r="CF79" s="2339"/>
      <c r="CG79" s="2339"/>
      <c r="CH79" s="2339"/>
      <c r="CI79" s="2339"/>
      <c r="CJ79" s="2339"/>
      <c r="CK79" s="2339"/>
      <c r="CL79" s="2339">
        <v>0</v>
      </c>
      <c r="CM79" s="2339"/>
      <c r="CN79" s="2339"/>
      <c r="CO79" s="2339"/>
      <c r="CP79" s="2339"/>
      <c r="CQ79" s="2339"/>
      <c r="CR79" s="2339"/>
      <c r="CS79" s="2339"/>
      <c r="CT79" s="2339"/>
      <c r="CU79" s="2339"/>
      <c r="CV79" s="2339"/>
      <c r="CW79" s="2339">
        <v>0</v>
      </c>
      <c r="CX79" s="2339"/>
      <c r="CZ79" s="1516">
        <v>1</v>
      </c>
      <c r="DB79" s="1516">
        <v>1</v>
      </c>
      <c r="DD79" s="1516">
        <v>1</v>
      </c>
    </row>
    <row r="80" spans="1:108">
      <c r="A80" s="1516"/>
      <c r="B80" s="2339" t="s">
        <v>5247</v>
      </c>
      <c r="C80" s="2339">
        <v>36</v>
      </c>
      <c r="D80" s="2339">
        <v>2680.4</v>
      </c>
      <c r="E80" s="2339"/>
      <c r="F80" s="2339"/>
      <c r="G80" s="2339"/>
      <c r="H80" s="2339"/>
      <c r="I80" s="2339"/>
      <c r="J80" s="2339"/>
      <c r="K80" s="2339" t="s">
        <v>504</v>
      </c>
      <c r="L80" s="2339"/>
      <c r="M80" s="2339">
        <v>1</v>
      </c>
      <c r="N80" s="2339"/>
      <c r="O80" s="2339"/>
      <c r="P80" s="2339">
        <v>1</v>
      </c>
      <c r="Q80" s="2339"/>
      <c r="R80" s="2339"/>
      <c r="S80" s="2339"/>
      <c r="T80" s="2339"/>
      <c r="U80" s="2339"/>
      <c r="V80" s="2339"/>
      <c r="W80" s="2339"/>
      <c r="X80" s="2339"/>
      <c r="Y80" s="2339"/>
      <c r="Z80" s="2339"/>
      <c r="AA80" s="2339"/>
      <c r="AB80" s="2339"/>
      <c r="AC80" s="2339"/>
      <c r="AD80" s="2339">
        <v>1</v>
      </c>
      <c r="AE80" s="2339"/>
      <c r="AF80" s="2339">
        <v>3</v>
      </c>
      <c r="AG80" s="2339"/>
      <c r="AH80" s="2339"/>
      <c r="AI80" s="2339"/>
      <c r="AJ80" s="2339"/>
      <c r="AK80" s="2339"/>
      <c r="AL80" s="2339">
        <v>1</v>
      </c>
      <c r="AM80" s="2339"/>
      <c r="AN80" s="2339"/>
      <c r="AO80" s="2339"/>
      <c r="AP80" s="2339"/>
      <c r="AQ80" s="2339"/>
      <c r="AR80" s="2339"/>
      <c r="AS80" s="2339"/>
      <c r="AT80" s="2339">
        <v>3</v>
      </c>
      <c r="AU80" s="2339"/>
      <c r="AV80" s="2339"/>
      <c r="AW80" s="2339"/>
      <c r="AX80" s="2339"/>
      <c r="AY80" s="2339"/>
      <c r="AZ80" s="2339"/>
      <c r="BA80" s="2339"/>
      <c r="BB80" s="2339"/>
      <c r="BC80" s="2339">
        <v>108</v>
      </c>
      <c r="BD80" s="2339">
        <v>36</v>
      </c>
      <c r="BE80" s="2339">
        <v>0</v>
      </c>
      <c r="BF80" s="2339"/>
      <c r="BG80" s="2339"/>
      <c r="BH80" s="2339"/>
      <c r="BI80" s="2339"/>
      <c r="BJ80" s="2339"/>
      <c r="BK80" s="2339"/>
      <c r="BL80" s="2339"/>
      <c r="BM80" s="2339">
        <v>0</v>
      </c>
      <c r="BN80" s="2339">
        <v>0</v>
      </c>
      <c r="BO80" s="2339"/>
      <c r="BP80" s="2339"/>
      <c r="BQ80" s="2339"/>
      <c r="BR80" s="2339"/>
      <c r="BS80" s="2339"/>
      <c r="BT80" s="2339"/>
      <c r="BU80" s="2339"/>
      <c r="BV80" s="2339"/>
      <c r="BW80" s="2339"/>
      <c r="BX80" s="2339"/>
      <c r="BY80" s="2339"/>
      <c r="BZ80" s="2339"/>
      <c r="CA80" s="2339"/>
      <c r="CB80" s="2339"/>
      <c r="CC80" s="2339"/>
      <c r="CD80" s="2339"/>
      <c r="CE80" s="2339"/>
      <c r="CF80" s="2339"/>
      <c r="CG80" s="2339"/>
      <c r="CH80" s="2339"/>
      <c r="CI80" s="2339"/>
      <c r="CJ80" s="2339"/>
      <c r="CK80" s="2339"/>
      <c r="CL80" s="2339">
        <v>0</v>
      </c>
      <c r="CM80" s="2339"/>
      <c r="CN80" s="2339"/>
      <c r="CO80" s="2339"/>
      <c r="CP80" s="2339"/>
      <c r="CQ80" s="2339"/>
      <c r="CR80" s="2339"/>
      <c r="CS80" s="2339"/>
      <c r="CT80" s="2339"/>
      <c r="CU80" s="2339"/>
      <c r="CV80" s="2339"/>
      <c r="CW80" s="2339">
        <v>0</v>
      </c>
      <c r="CX80" s="2339"/>
      <c r="CZ80" s="1516">
        <v>1</v>
      </c>
      <c r="DB80" s="1516">
        <v>1</v>
      </c>
      <c r="DD80" s="1516">
        <v>1</v>
      </c>
    </row>
    <row r="81" spans="1:108">
      <c r="A81" s="1516"/>
      <c r="B81" s="2339">
        <v>126</v>
      </c>
      <c r="C81" s="2339">
        <v>36.299999999999997</v>
      </c>
      <c r="D81" s="2339">
        <v>2716.7</v>
      </c>
      <c r="E81" s="2339"/>
      <c r="F81" s="2339"/>
      <c r="G81" s="2339"/>
      <c r="H81" s="2339"/>
      <c r="I81" s="2339"/>
      <c r="J81" s="2339" t="s">
        <v>504</v>
      </c>
      <c r="K81" s="2339" t="s">
        <v>504</v>
      </c>
      <c r="L81" s="2339">
        <v>1</v>
      </c>
      <c r="M81" s="2339"/>
      <c r="N81" s="2339"/>
      <c r="O81" s="2339"/>
      <c r="P81" s="2339"/>
      <c r="Q81" s="2339"/>
      <c r="R81" s="2339"/>
      <c r="S81" s="2339"/>
      <c r="T81" s="2339"/>
      <c r="U81" s="2339"/>
      <c r="V81" s="2339"/>
      <c r="W81" s="2339"/>
      <c r="X81" s="2339"/>
      <c r="Y81" s="2339"/>
      <c r="Z81" s="2339"/>
      <c r="AA81" s="2339"/>
      <c r="AB81" s="2339"/>
      <c r="AC81" s="2339"/>
      <c r="AD81" s="2339">
        <v>1</v>
      </c>
      <c r="AE81" s="2339"/>
      <c r="AF81" s="2339">
        <v>3</v>
      </c>
      <c r="AG81" s="2339"/>
      <c r="AH81" s="2339"/>
      <c r="AI81" s="2339"/>
      <c r="AJ81" s="2339"/>
      <c r="AK81" s="2339">
        <v>1</v>
      </c>
      <c r="AL81" s="2339">
        <v>1</v>
      </c>
      <c r="AM81" s="2339"/>
      <c r="AN81" s="2339"/>
      <c r="AO81" s="2339"/>
      <c r="AP81" s="2339"/>
      <c r="AQ81" s="2339"/>
      <c r="AR81" s="2339"/>
      <c r="AS81" s="2339"/>
      <c r="AT81" s="2339">
        <v>3</v>
      </c>
      <c r="AU81" s="2339"/>
      <c r="AV81" s="2339"/>
      <c r="AW81" s="2339"/>
      <c r="AX81" s="2339"/>
      <c r="AY81" s="2339"/>
      <c r="AZ81" s="2339"/>
      <c r="BA81" s="2339"/>
      <c r="BB81" s="2339"/>
      <c r="BC81" s="2339">
        <v>108.9</v>
      </c>
      <c r="BD81" s="2339"/>
      <c r="BE81" s="2339">
        <v>0</v>
      </c>
      <c r="BF81" s="2339"/>
      <c r="BG81" s="2339"/>
      <c r="BH81" s="2339"/>
      <c r="BI81" s="2339"/>
      <c r="BJ81" s="2339">
        <v>1</v>
      </c>
      <c r="BK81" s="2339"/>
      <c r="BL81" s="2339"/>
      <c r="BM81" s="2339">
        <v>0</v>
      </c>
      <c r="BN81" s="2339">
        <v>0</v>
      </c>
      <c r="BO81" s="2339"/>
      <c r="BP81" s="2339"/>
      <c r="BQ81" s="2339">
        <v>2</v>
      </c>
      <c r="BR81" s="2339">
        <v>1</v>
      </c>
      <c r="BS81" s="2339"/>
      <c r="BT81" s="2339"/>
      <c r="BU81" s="2339"/>
      <c r="BV81" s="2339"/>
      <c r="BW81" s="2339"/>
      <c r="BX81" s="2339"/>
      <c r="BY81" s="2339"/>
      <c r="BZ81" s="2339"/>
      <c r="CA81" s="2339"/>
      <c r="CB81" s="2339"/>
      <c r="CC81" s="2339"/>
      <c r="CD81" s="2339">
        <v>1</v>
      </c>
      <c r="CE81" s="2339"/>
      <c r="CF81" s="2339"/>
      <c r="CG81" s="2339"/>
      <c r="CH81" s="2339"/>
      <c r="CI81" s="2339"/>
      <c r="CJ81" s="2339"/>
      <c r="CK81" s="2339"/>
      <c r="CL81" s="2339">
        <v>0</v>
      </c>
      <c r="CM81" s="2339"/>
      <c r="CN81" s="2339"/>
      <c r="CO81" s="2339"/>
      <c r="CP81" s="2339"/>
      <c r="CQ81" s="2339"/>
      <c r="CR81" s="2339"/>
      <c r="CS81" s="2339"/>
      <c r="CT81" s="2339"/>
      <c r="CU81" s="2339"/>
      <c r="CV81" s="2339"/>
      <c r="CW81" s="2339">
        <v>0</v>
      </c>
      <c r="CX81" s="2339"/>
      <c r="CZ81" s="1516">
        <v>1</v>
      </c>
      <c r="DB81" s="1516">
        <v>1</v>
      </c>
      <c r="DD81" s="1516">
        <v>1</v>
      </c>
    </row>
    <row r="82" spans="1:108">
      <c r="A82" s="1516"/>
      <c r="B82" s="2339" t="s">
        <v>5248</v>
      </c>
      <c r="C82" s="2339">
        <v>34</v>
      </c>
      <c r="D82" s="2339">
        <v>2750.7</v>
      </c>
      <c r="E82" s="2339"/>
      <c r="F82" s="2339"/>
      <c r="G82" s="2339"/>
      <c r="H82" s="2339"/>
      <c r="I82" s="2339"/>
      <c r="J82" s="2339"/>
      <c r="K82" s="2339" t="s">
        <v>504</v>
      </c>
      <c r="L82" s="2339"/>
      <c r="M82" s="2339">
        <v>1</v>
      </c>
      <c r="N82" s="2339"/>
      <c r="O82" s="2339"/>
      <c r="P82" s="2339">
        <v>1</v>
      </c>
      <c r="Q82" s="2339"/>
      <c r="R82" s="2339"/>
      <c r="S82" s="2339"/>
      <c r="T82" s="2339"/>
      <c r="U82" s="2339"/>
      <c r="V82" s="2339"/>
      <c r="W82" s="2339"/>
      <c r="X82" s="2339"/>
      <c r="Y82" s="2339"/>
      <c r="Z82" s="2339"/>
      <c r="AA82" s="2339"/>
      <c r="AB82" s="2339"/>
      <c r="AC82" s="2339"/>
      <c r="AD82" s="2339">
        <v>1</v>
      </c>
      <c r="AE82" s="2339"/>
      <c r="AF82" s="2339">
        <v>3</v>
      </c>
      <c r="AG82" s="2339"/>
      <c r="AH82" s="2339"/>
      <c r="AI82" s="2339"/>
      <c r="AJ82" s="2339"/>
      <c r="AK82" s="2339"/>
      <c r="AL82" s="2339">
        <v>1</v>
      </c>
      <c r="AM82" s="2339"/>
      <c r="AN82" s="2339"/>
      <c r="AO82" s="2339"/>
      <c r="AP82" s="2339"/>
      <c r="AQ82" s="2339"/>
      <c r="AR82" s="2339"/>
      <c r="AS82" s="2339"/>
      <c r="AT82" s="2339">
        <v>3</v>
      </c>
      <c r="AU82" s="2339"/>
      <c r="AV82" s="2339"/>
      <c r="AW82" s="2339"/>
      <c r="AX82" s="2339">
        <v>2</v>
      </c>
      <c r="AY82" s="2339"/>
      <c r="AZ82" s="2339">
        <v>2</v>
      </c>
      <c r="BA82" s="2339">
        <v>4</v>
      </c>
      <c r="BB82" s="2339"/>
      <c r="BC82" s="2339">
        <v>102</v>
      </c>
      <c r="BD82" s="2339"/>
      <c r="BE82" s="2339">
        <v>0</v>
      </c>
      <c r="BF82" s="2339"/>
      <c r="BG82" s="2339"/>
      <c r="BH82" s="2339">
        <v>1</v>
      </c>
      <c r="BI82" s="2339"/>
      <c r="BJ82" s="2339"/>
      <c r="BK82" s="2339"/>
      <c r="BL82" s="2339"/>
      <c r="BM82" s="2339">
        <v>0</v>
      </c>
      <c r="BN82" s="2339">
        <v>0</v>
      </c>
      <c r="BO82" s="2339"/>
      <c r="BP82" s="2339"/>
      <c r="BQ82" s="2339"/>
      <c r="BR82" s="2339"/>
      <c r="BS82" s="2339">
        <v>1</v>
      </c>
      <c r="BT82" s="2339"/>
      <c r="BU82" s="2339">
        <v>1</v>
      </c>
      <c r="BV82" s="2339"/>
      <c r="BW82" s="2339"/>
      <c r="BX82" s="2339"/>
      <c r="BY82" s="2339"/>
      <c r="BZ82" s="2339"/>
      <c r="CA82" s="2339"/>
      <c r="CB82" s="2339"/>
      <c r="CC82" s="2339"/>
      <c r="CD82" s="2339"/>
      <c r="CE82" s="2339"/>
      <c r="CF82" s="2339"/>
      <c r="CG82" s="2339"/>
      <c r="CH82" s="2339"/>
      <c r="CI82" s="2339"/>
      <c r="CJ82" s="2339">
        <v>1</v>
      </c>
      <c r="CK82" s="2339">
        <v>0</v>
      </c>
      <c r="CL82" s="2339">
        <v>1</v>
      </c>
      <c r="CM82" s="2339">
        <v>0</v>
      </c>
      <c r="CN82" s="2339">
        <v>0</v>
      </c>
      <c r="CO82" s="2339"/>
      <c r="CP82" s="2339"/>
      <c r="CQ82" s="2339"/>
      <c r="CR82" s="2339"/>
      <c r="CS82" s="2339"/>
      <c r="CT82" s="2339"/>
      <c r="CU82" s="2339">
        <v>2</v>
      </c>
      <c r="CV82" s="2339"/>
      <c r="CW82" s="2339">
        <v>0</v>
      </c>
      <c r="CX82" s="2339"/>
      <c r="CZ82" s="1516">
        <v>1</v>
      </c>
      <c r="DB82" s="1516">
        <v>1</v>
      </c>
      <c r="DD82" s="1516">
        <v>1</v>
      </c>
    </row>
    <row r="83" spans="1:108">
      <c r="A83" s="1516"/>
      <c r="B83" s="2339">
        <v>127</v>
      </c>
      <c r="C83" s="2339">
        <v>34</v>
      </c>
      <c r="D83" s="2339">
        <v>2784.7</v>
      </c>
      <c r="E83" s="2339">
        <v>28</v>
      </c>
      <c r="F83" s="2339"/>
      <c r="G83" s="2339"/>
      <c r="H83" s="2339"/>
      <c r="I83" s="2339">
        <v>6</v>
      </c>
      <c r="J83" s="2339" t="s">
        <v>663</v>
      </c>
      <c r="K83" s="2339" t="s">
        <v>5249</v>
      </c>
      <c r="L83" s="2339">
        <v>1</v>
      </c>
      <c r="M83" s="2339"/>
      <c r="N83" s="2339">
        <v>1</v>
      </c>
      <c r="O83" s="2339"/>
      <c r="P83" s="2339"/>
      <c r="Q83" s="2339"/>
      <c r="R83" s="2339">
        <v>1</v>
      </c>
      <c r="S83" s="2339"/>
      <c r="T83" s="2339"/>
      <c r="U83" s="2339"/>
      <c r="V83" s="2339"/>
      <c r="W83" s="2339"/>
      <c r="X83" s="2339"/>
      <c r="Y83" s="2339"/>
      <c r="Z83" s="2339"/>
      <c r="AA83" s="2339"/>
      <c r="AB83" s="2339"/>
      <c r="AC83" s="2339"/>
      <c r="AD83" s="2339">
        <v>1</v>
      </c>
      <c r="AE83" s="2339"/>
      <c r="AF83" s="2339">
        <v>3</v>
      </c>
      <c r="AG83" s="2339"/>
      <c r="AH83" s="2339"/>
      <c r="AI83" s="2339">
        <v>2</v>
      </c>
      <c r="AJ83" s="2339"/>
      <c r="AK83" s="2339"/>
      <c r="AL83" s="2339">
        <v>1</v>
      </c>
      <c r="AM83" s="2339">
        <v>2</v>
      </c>
      <c r="AN83" s="2339">
        <v>2</v>
      </c>
      <c r="AO83" s="2339"/>
      <c r="AP83" s="2339"/>
      <c r="AQ83" s="2339">
        <v>4</v>
      </c>
      <c r="AR83" s="2339">
        <v>2</v>
      </c>
      <c r="AS83" s="2339"/>
      <c r="AT83" s="2339">
        <v>3</v>
      </c>
      <c r="AU83" s="2339"/>
      <c r="AV83" s="2339"/>
      <c r="AW83" s="2339"/>
      <c r="AX83" s="2339"/>
      <c r="AY83" s="2339"/>
      <c r="AZ83" s="2339"/>
      <c r="BA83" s="2339"/>
      <c r="BB83" s="2339"/>
      <c r="BC83" s="2339">
        <v>102</v>
      </c>
      <c r="BD83" s="2339"/>
      <c r="BE83" s="2339">
        <v>28</v>
      </c>
      <c r="BF83" s="2339">
        <v>1</v>
      </c>
      <c r="BG83" s="2339"/>
      <c r="BH83" s="2339"/>
      <c r="BI83" s="2339">
        <v>1</v>
      </c>
      <c r="BJ83" s="2339">
        <v>1</v>
      </c>
      <c r="BK83" s="2339"/>
      <c r="BL83" s="2339"/>
      <c r="BM83" s="2339">
        <v>0</v>
      </c>
      <c r="BN83" s="2339">
        <v>0</v>
      </c>
      <c r="BO83" s="2339"/>
      <c r="BP83" s="2339"/>
      <c r="BQ83" s="2339">
        <v>2</v>
      </c>
      <c r="BR83" s="2339">
        <v>1</v>
      </c>
      <c r="BS83" s="2339"/>
      <c r="BT83" s="2339"/>
      <c r="BU83" s="2339"/>
      <c r="BV83" s="2339"/>
      <c r="BW83" s="2339"/>
      <c r="BX83" s="2339"/>
      <c r="BY83" s="2339">
        <v>1</v>
      </c>
      <c r="BZ83" s="2339"/>
      <c r="CA83" s="2339">
        <v>1</v>
      </c>
      <c r="CB83" s="2339"/>
      <c r="CC83" s="2339">
        <v>1</v>
      </c>
      <c r="CD83" s="2339">
        <v>1</v>
      </c>
      <c r="CE83" s="2339"/>
      <c r="CF83" s="2339"/>
      <c r="CG83" s="2339">
        <v>1</v>
      </c>
      <c r="CH83" s="2339"/>
      <c r="CI83" s="2339"/>
      <c r="CJ83" s="2339"/>
      <c r="CK83" s="2339"/>
      <c r="CL83" s="2339">
        <v>0</v>
      </c>
      <c r="CM83" s="2339"/>
      <c r="CN83" s="2339"/>
      <c r="CO83" s="2339">
        <v>1</v>
      </c>
      <c r="CP83" s="2339"/>
      <c r="CQ83" s="2339">
        <v>1</v>
      </c>
      <c r="CR83" s="2339"/>
      <c r="CS83" s="2339">
        <v>1</v>
      </c>
      <c r="CT83" s="2339"/>
      <c r="CU83" s="2339"/>
      <c r="CV83" s="2339"/>
      <c r="CW83" s="2339">
        <v>2</v>
      </c>
      <c r="CX83" s="2339" t="s">
        <v>5250</v>
      </c>
      <c r="CZ83" s="1516">
        <v>1</v>
      </c>
      <c r="DA83" s="1516"/>
      <c r="DB83" s="1516">
        <v>1</v>
      </c>
      <c r="DD83" s="1516">
        <v>1</v>
      </c>
    </row>
    <row r="84" spans="1:108">
      <c r="A84" s="1516"/>
      <c r="B84" s="2339" t="s">
        <v>5251</v>
      </c>
      <c r="C84" s="2339">
        <v>34.9</v>
      </c>
      <c r="D84" s="2339">
        <v>2819.6</v>
      </c>
      <c r="E84" s="2339"/>
      <c r="F84" s="2339"/>
      <c r="G84" s="2339"/>
      <c r="H84" s="2339"/>
      <c r="I84" s="2339"/>
      <c r="J84" s="2339"/>
      <c r="K84" s="2339" t="s">
        <v>504</v>
      </c>
      <c r="L84" s="2339"/>
      <c r="M84" s="2339">
        <v>1</v>
      </c>
      <c r="N84" s="2339"/>
      <c r="O84" s="2339">
        <v>1</v>
      </c>
      <c r="P84" s="2339"/>
      <c r="Q84" s="2339"/>
      <c r="R84" s="2339"/>
      <c r="S84" s="2339"/>
      <c r="T84" s="2339"/>
      <c r="U84" s="2339"/>
      <c r="V84" s="2339"/>
      <c r="W84" s="2339"/>
      <c r="X84" s="2339"/>
      <c r="Y84" s="2339">
        <v>1</v>
      </c>
      <c r="Z84" s="2339"/>
      <c r="AA84" s="2339"/>
      <c r="AB84" s="2339"/>
      <c r="AC84" s="2339"/>
      <c r="AD84" s="2339">
        <v>1</v>
      </c>
      <c r="AE84" s="2339"/>
      <c r="AF84" s="2339">
        <v>3</v>
      </c>
      <c r="AG84" s="2339"/>
      <c r="AH84" s="2339"/>
      <c r="AI84" s="2339"/>
      <c r="AJ84" s="2339"/>
      <c r="AK84" s="2339"/>
      <c r="AL84" s="2339">
        <v>1</v>
      </c>
      <c r="AM84" s="2339"/>
      <c r="AN84" s="2339"/>
      <c r="AO84" s="2339"/>
      <c r="AP84" s="2339"/>
      <c r="AQ84" s="2339"/>
      <c r="AR84" s="2339"/>
      <c r="AS84" s="2339"/>
      <c r="AT84" s="2339">
        <v>3</v>
      </c>
      <c r="AU84" s="2339"/>
      <c r="AV84" s="2339"/>
      <c r="AW84" s="2339"/>
      <c r="AX84" s="2339">
        <v>2</v>
      </c>
      <c r="AY84" s="2339"/>
      <c r="AZ84" s="2339">
        <v>4</v>
      </c>
      <c r="BA84" s="2339">
        <v>4</v>
      </c>
      <c r="BB84" s="2339"/>
      <c r="BC84" s="2339">
        <v>104.7</v>
      </c>
      <c r="BD84" s="2339"/>
      <c r="BE84" s="2339">
        <v>0</v>
      </c>
      <c r="BF84" s="2339"/>
      <c r="BG84" s="2339"/>
      <c r="BH84" s="2339">
        <v>1</v>
      </c>
      <c r="BI84" s="2339"/>
      <c r="BJ84" s="2339"/>
      <c r="BK84" s="2339"/>
      <c r="BL84" s="2339"/>
      <c r="BM84" s="2339">
        <v>0</v>
      </c>
      <c r="BN84" s="2339">
        <v>0</v>
      </c>
      <c r="BO84" s="2339"/>
      <c r="BP84" s="2339"/>
      <c r="BQ84" s="2339"/>
      <c r="BR84" s="2339"/>
      <c r="BS84" s="2339">
        <v>1</v>
      </c>
      <c r="BT84" s="2339"/>
      <c r="BU84" s="2339">
        <v>1</v>
      </c>
      <c r="BV84" s="2339"/>
      <c r="BW84" s="2339"/>
      <c r="BX84" s="2339"/>
      <c r="BY84" s="2339"/>
      <c r="BZ84" s="2339"/>
      <c r="CA84" s="2339"/>
      <c r="CB84" s="2339"/>
      <c r="CC84" s="2339"/>
      <c r="CD84" s="2339"/>
      <c r="CE84" s="2339"/>
      <c r="CF84" s="2339"/>
      <c r="CG84" s="2339"/>
      <c r="CH84" s="2339"/>
      <c r="CI84" s="2339"/>
      <c r="CJ84" s="2339">
        <v>1</v>
      </c>
      <c r="CK84" s="2339">
        <v>0</v>
      </c>
      <c r="CL84" s="2339">
        <v>1</v>
      </c>
      <c r="CM84" s="2339">
        <v>0</v>
      </c>
      <c r="CN84" s="2339">
        <v>0</v>
      </c>
      <c r="CO84" s="2339"/>
      <c r="CP84" s="2339"/>
      <c r="CQ84" s="2339"/>
      <c r="CR84" s="2339"/>
      <c r="CS84" s="2339"/>
      <c r="CT84" s="2339"/>
      <c r="CU84" s="2339">
        <v>2</v>
      </c>
      <c r="CV84" s="2339"/>
      <c r="CW84" s="2339">
        <v>0</v>
      </c>
      <c r="CX84" s="2339"/>
      <c r="CZ84" s="1516">
        <v>1</v>
      </c>
      <c r="DB84" s="1516">
        <v>1</v>
      </c>
      <c r="DD84" s="1516">
        <v>1</v>
      </c>
    </row>
    <row r="85" spans="1:108">
      <c r="A85" s="1516"/>
      <c r="B85" s="2339">
        <v>128</v>
      </c>
      <c r="C85" s="2339">
        <v>41.5</v>
      </c>
      <c r="D85" s="2339">
        <v>2861.1</v>
      </c>
      <c r="E85" s="2339"/>
      <c r="F85" s="2339"/>
      <c r="G85" s="2339"/>
      <c r="H85" s="2339"/>
      <c r="I85" s="2339"/>
      <c r="J85" s="2339" t="s">
        <v>550</v>
      </c>
      <c r="K85" s="2339" t="s">
        <v>550</v>
      </c>
      <c r="L85" s="2339">
        <v>1</v>
      </c>
      <c r="M85" s="2339">
        <v>1</v>
      </c>
      <c r="N85" s="2339"/>
      <c r="O85" s="2339"/>
      <c r="P85" s="2339">
        <v>1</v>
      </c>
      <c r="Q85" s="2339"/>
      <c r="R85" s="2339"/>
      <c r="S85" s="2339">
        <v>2</v>
      </c>
      <c r="T85" s="2339"/>
      <c r="U85" s="2339"/>
      <c r="V85" s="2339"/>
      <c r="W85" s="2339"/>
      <c r="X85" s="2339"/>
      <c r="Y85" s="2339"/>
      <c r="Z85" s="2339"/>
      <c r="AA85" s="2339"/>
      <c r="AB85" s="2339">
        <v>1</v>
      </c>
      <c r="AC85" s="2339"/>
      <c r="AD85" s="2339"/>
      <c r="AE85" s="2339"/>
      <c r="AF85" s="2339">
        <v>6</v>
      </c>
      <c r="AG85" s="2339">
        <v>6</v>
      </c>
      <c r="AH85" s="2339"/>
      <c r="AI85" s="2339"/>
      <c r="AJ85" s="2339">
        <v>6</v>
      </c>
      <c r="AK85" s="2339">
        <v>2</v>
      </c>
      <c r="AL85" s="2339"/>
      <c r="AM85" s="2339"/>
      <c r="AN85" s="2339"/>
      <c r="AO85" s="2339"/>
      <c r="AP85" s="2339"/>
      <c r="AQ85" s="2339">
        <v>2</v>
      </c>
      <c r="AR85" s="2339">
        <v>6</v>
      </c>
      <c r="AS85" s="2339"/>
      <c r="AT85" s="2339">
        <v>6</v>
      </c>
      <c r="AU85" s="2339"/>
      <c r="AV85" s="2339"/>
      <c r="AW85" s="2339"/>
      <c r="AX85" s="2339"/>
      <c r="AY85" s="2339"/>
      <c r="AZ85" s="2339"/>
      <c r="BA85" s="2339"/>
      <c r="BB85" s="2339">
        <v>1.2</v>
      </c>
      <c r="BC85" s="2339">
        <v>124.5</v>
      </c>
      <c r="BD85" s="2339"/>
      <c r="BE85" s="2339">
        <v>0</v>
      </c>
      <c r="BF85" s="2339">
        <v>1</v>
      </c>
      <c r="BG85" s="2339"/>
      <c r="BH85" s="2339"/>
      <c r="BI85" s="2339"/>
      <c r="BJ85" s="2339"/>
      <c r="BK85" s="2339"/>
      <c r="BL85" s="2339">
        <v>1</v>
      </c>
      <c r="BM85" s="2339">
        <v>0</v>
      </c>
      <c r="BN85" s="2339">
        <v>2</v>
      </c>
      <c r="BO85" s="2339">
        <v>6</v>
      </c>
      <c r="BP85" s="2339"/>
      <c r="BQ85" s="2339">
        <v>1</v>
      </c>
      <c r="BR85" s="2339"/>
      <c r="BS85" s="2339"/>
      <c r="BT85" s="2339"/>
      <c r="BU85" s="2339"/>
      <c r="BV85" s="2339"/>
      <c r="BW85" s="2339"/>
      <c r="BX85" s="2339"/>
      <c r="BY85" s="2339"/>
      <c r="BZ85" s="2339"/>
      <c r="CA85" s="2339"/>
      <c r="CB85" s="2339"/>
      <c r="CC85" s="2339"/>
      <c r="CD85" s="2339"/>
      <c r="CE85" s="2339">
        <v>1</v>
      </c>
      <c r="CF85" s="2339"/>
      <c r="CG85" s="2339"/>
      <c r="CH85" s="2339"/>
      <c r="CI85" s="2339"/>
      <c r="CJ85" s="2339"/>
      <c r="CK85" s="2339"/>
      <c r="CL85" s="2339">
        <v>0</v>
      </c>
      <c r="CM85" s="2339"/>
      <c r="CN85" s="2339"/>
      <c r="CO85" s="2339"/>
      <c r="CP85" s="2339"/>
      <c r="CQ85" s="2339"/>
      <c r="CR85" s="2339"/>
      <c r="CS85" s="2339"/>
      <c r="CT85" s="2339"/>
      <c r="CU85" s="2339"/>
      <c r="CV85" s="2339"/>
      <c r="CW85" s="2339">
        <v>0</v>
      </c>
      <c r="CX85" s="2339"/>
      <c r="CZ85" s="1516">
        <v>1</v>
      </c>
      <c r="DB85" s="1516">
        <v>1</v>
      </c>
      <c r="DD85" s="1516">
        <v>1</v>
      </c>
    </row>
    <row r="86" spans="1:108">
      <c r="A86" s="1516"/>
      <c r="B86" s="2339" t="s">
        <v>5252</v>
      </c>
      <c r="C86" s="2339">
        <v>34</v>
      </c>
      <c r="D86" s="2339">
        <v>2895.1</v>
      </c>
      <c r="E86" s="2339"/>
      <c r="F86" s="2339"/>
      <c r="G86" s="2339"/>
      <c r="H86" s="2339"/>
      <c r="I86" s="2339"/>
      <c r="J86" s="2339"/>
      <c r="K86" s="2339" t="s">
        <v>504</v>
      </c>
      <c r="L86" s="2339"/>
      <c r="M86" s="2339">
        <v>1</v>
      </c>
      <c r="N86" s="2339"/>
      <c r="O86" s="2339">
        <v>1</v>
      </c>
      <c r="P86" s="2339"/>
      <c r="Q86" s="2339"/>
      <c r="R86" s="2339"/>
      <c r="S86" s="2339"/>
      <c r="T86" s="2339"/>
      <c r="U86" s="2339"/>
      <c r="V86" s="2339"/>
      <c r="W86" s="2339"/>
      <c r="X86" s="2339"/>
      <c r="Y86" s="2339"/>
      <c r="Z86" s="2339"/>
      <c r="AA86" s="2339"/>
      <c r="AB86" s="2339"/>
      <c r="AC86" s="2339"/>
      <c r="AD86" s="2339">
        <v>1</v>
      </c>
      <c r="AE86" s="2339"/>
      <c r="AF86" s="2339">
        <v>3</v>
      </c>
      <c r="AG86" s="2339"/>
      <c r="AH86" s="2339"/>
      <c r="AI86" s="2339"/>
      <c r="AJ86" s="2339"/>
      <c r="AK86" s="2339"/>
      <c r="AL86" s="2339">
        <v>1</v>
      </c>
      <c r="AM86" s="2339"/>
      <c r="AN86" s="2339"/>
      <c r="AO86" s="2339"/>
      <c r="AP86" s="2339"/>
      <c r="AQ86" s="2339"/>
      <c r="AR86" s="2339"/>
      <c r="AS86" s="2339"/>
      <c r="AT86" s="2339">
        <v>3</v>
      </c>
      <c r="AU86" s="2339"/>
      <c r="AV86" s="2339"/>
      <c r="AW86" s="2339"/>
      <c r="AX86" s="2339">
        <v>2</v>
      </c>
      <c r="AY86" s="2339"/>
      <c r="AZ86" s="2339">
        <v>4</v>
      </c>
      <c r="BA86" s="2339">
        <v>4</v>
      </c>
      <c r="BB86" s="2339"/>
      <c r="BC86" s="2339">
        <v>102</v>
      </c>
      <c r="BD86" s="2339"/>
      <c r="BE86" s="2339">
        <v>0</v>
      </c>
      <c r="BF86" s="2339"/>
      <c r="BG86" s="2339"/>
      <c r="BH86" s="2339">
        <v>1</v>
      </c>
      <c r="BI86" s="2339"/>
      <c r="BJ86" s="2339"/>
      <c r="BK86" s="2339"/>
      <c r="BL86" s="2339"/>
      <c r="BM86" s="2339">
        <v>0</v>
      </c>
      <c r="BN86" s="2339">
        <v>0</v>
      </c>
      <c r="BO86" s="2339"/>
      <c r="BP86" s="2339"/>
      <c r="BQ86" s="2339"/>
      <c r="BR86" s="2339"/>
      <c r="BS86" s="2339">
        <v>1</v>
      </c>
      <c r="BT86" s="2339"/>
      <c r="BU86" s="2339">
        <v>1</v>
      </c>
      <c r="BV86" s="2339"/>
      <c r="BW86" s="2339"/>
      <c r="BX86" s="2339"/>
      <c r="BY86" s="2339"/>
      <c r="BZ86" s="2339"/>
      <c r="CA86" s="2339"/>
      <c r="CB86" s="2339"/>
      <c r="CC86" s="2339"/>
      <c r="CD86" s="2339"/>
      <c r="CE86" s="2339"/>
      <c r="CF86" s="2339"/>
      <c r="CG86" s="2339"/>
      <c r="CH86" s="2339"/>
      <c r="CI86" s="2339"/>
      <c r="CJ86" s="2339">
        <v>1</v>
      </c>
      <c r="CK86" s="2339">
        <v>0</v>
      </c>
      <c r="CL86" s="2339">
        <v>1</v>
      </c>
      <c r="CM86" s="2339">
        <v>0</v>
      </c>
      <c r="CN86" s="2339">
        <v>0</v>
      </c>
      <c r="CO86" s="2339"/>
      <c r="CP86" s="2339"/>
      <c r="CQ86" s="2339"/>
      <c r="CR86" s="2339"/>
      <c r="CS86" s="2339"/>
      <c r="CT86" s="2339"/>
      <c r="CU86" s="2339">
        <v>2</v>
      </c>
      <c r="CV86" s="2339"/>
      <c r="CW86" s="2339">
        <v>0</v>
      </c>
      <c r="CX86" s="2339"/>
      <c r="CZ86" s="1516">
        <v>1</v>
      </c>
      <c r="DB86" s="1516">
        <v>1</v>
      </c>
      <c r="DD86" s="1516">
        <v>1</v>
      </c>
    </row>
    <row r="87" spans="1:108">
      <c r="A87" s="1516"/>
      <c r="B87" s="2339">
        <v>129</v>
      </c>
      <c r="C87" s="2339">
        <v>33.299999999999997</v>
      </c>
      <c r="D87" s="2339">
        <v>2928.4</v>
      </c>
      <c r="E87" s="2339"/>
      <c r="F87" s="2339"/>
      <c r="G87" s="2339"/>
      <c r="H87" s="2339"/>
      <c r="I87" s="2339"/>
      <c r="J87" s="2339" t="s">
        <v>859</v>
      </c>
      <c r="K87" s="2339" t="s">
        <v>550</v>
      </c>
      <c r="L87" s="2339">
        <v>1</v>
      </c>
      <c r="M87" s="2339">
        <v>2</v>
      </c>
      <c r="N87" s="2339"/>
      <c r="O87" s="2339"/>
      <c r="P87" s="2339"/>
      <c r="Q87" s="2339">
        <v>1</v>
      </c>
      <c r="R87" s="2339"/>
      <c r="S87" s="2339"/>
      <c r="T87" s="2339"/>
      <c r="U87" s="2339"/>
      <c r="V87" s="2339"/>
      <c r="W87" s="2339"/>
      <c r="X87" s="2339"/>
      <c r="Y87" s="2339"/>
      <c r="Z87" s="2339">
        <v>1</v>
      </c>
      <c r="AA87" s="2339"/>
      <c r="AB87" s="2339">
        <v>1</v>
      </c>
      <c r="AC87" s="2339">
        <v>1</v>
      </c>
      <c r="AD87" s="2339"/>
      <c r="AE87" s="2339"/>
      <c r="AF87" s="2339">
        <v>6</v>
      </c>
      <c r="AG87" s="2339">
        <v>6</v>
      </c>
      <c r="AH87" s="2339"/>
      <c r="AI87" s="2339"/>
      <c r="AJ87" s="2339">
        <v>6</v>
      </c>
      <c r="AK87" s="2339">
        <v>2</v>
      </c>
      <c r="AL87" s="2339"/>
      <c r="AM87" s="2339"/>
      <c r="AN87" s="2339"/>
      <c r="AO87" s="2339"/>
      <c r="AP87" s="2339"/>
      <c r="AQ87" s="2339"/>
      <c r="AR87" s="2339"/>
      <c r="AS87" s="2339"/>
      <c r="AT87" s="2339">
        <v>6</v>
      </c>
      <c r="AU87" s="2339"/>
      <c r="AV87" s="2339"/>
      <c r="AW87" s="2339"/>
      <c r="AX87" s="2339"/>
      <c r="AY87" s="2339"/>
      <c r="AZ87" s="2339"/>
      <c r="BA87" s="2339">
        <v>4</v>
      </c>
      <c r="BB87" s="2339"/>
      <c r="BC87" s="2339">
        <v>99.9</v>
      </c>
      <c r="BD87" s="2339"/>
      <c r="BE87" s="2339">
        <v>0</v>
      </c>
      <c r="BF87" s="2339">
        <v>1</v>
      </c>
      <c r="BG87" s="2339"/>
      <c r="BH87" s="2339"/>
      <c r="BI87" s="2339"/>
      <c r="BJ87" s="2339"/>
      <c r="BK87" s="2339"/>
      <c r="BL87" s="2339"/>
      <c r="BM87" s="2339">
        <v>0</v>
      </c>
      <c r="BN87" s="2339">
        <v>0</v>
      </c>
      <c r="BO87" s="2339">
        <v>3</v>
      </c>
      <c r="BP87" s="2339"/>
      <c r="BQ87" s="2339"/>
      <c r="BR87" s="2339"/>
      <c r="BS87" s="2339">
        <v>1</v>
      </c>
      <c r="BT87" s="2339"/>
      <c r="BU87" s="2339">
        <v>1</v>
      </c>
      <c r="BV87" s="2339"/>
      <c r="BW87" s="2339"/>
      <c r="BX87" s="2339"/>
      <c r="BY87" s="2339"/>
      <c r="BZ87" s="2339"/>
      <c r="CA87" s="2339"/>
      <c r="CB87" s="2339"/>
      <c r="CC87" s="2339"/>
      <c r="CD87" s="2339">
        <v>1</v>
      </c>
      <c r="CE87" s="2339"/>
      <c r="CF87" s="2339"/>
      <c r="CG87" s="2339"/>
      <c r="CH87" s="2339"/>
      <c r="CI87" s="2339"/>
      <c r="CJ87" s="2339">
        <v>1</v>
      </c>
      <c r="CK87" s="2339">
        <v>0</v>
      </c>
      <c r="CL87" s="2339">
        <v>1</v>
      </c>
      <c r="CM87" s="2339"/>
      <c r="CN87" s="2339"/>
      <c r="CO87" s="2339"/>
      <c r="CP87" s="2339"/>
      <c r="CQ87" s="2339"/>
      <c r="CR87" s="2339"/>
      <c r="CS87" s="2339"/>
      <c r="CT87" s="2339"/>
      <c r="CU87" s="2339"/>
      <c r="CV87" s="2339"/>
      <c r="CW87" s="2339">
        <v>0</v>
      </c>
      <c r="CX87" s="2339"/>
      <c r="CZ87" s="1516">
        <v>1</v>
      </c>
      <c r="DB87" s="1516">
        <v>1</v>
      </c>
      <c r="DD87" s="1516">
        <v>1</v>
      </c>
    </row>
    <row r="88" spans="1:108">
      <c r="A88" s="1516"/>
      <c r="B88" s="2339" t="s">
        <v>5253</v>
      </c>
      <c r="C88" s="2339">
        <v>37</v>
      </c>
      <c r="D88" s="2339">
        <v>2965.4</v>
      </c>
      <c r="E88" s="2339"/>
      <c r="F88" s="2339"/>
      <c r="G88" s="2339"/>
      <c r="H88" s="2339"/>
      <c r="I88" s="2339"/>
      <c r="J88" s="2339"/>
      <c r="K88" s="2339" t="s">
        <v>504</v>
      </c>
      <c r="L88" s="2339"/>
      <c r="M88" s="2339">
        <v>1</v>
      </c>
      <c r="N88" s="2339"/>
      <c r="O88" s="2339"/>
      <c r="P88" s="2339">
        <v>1</v>
      </c>
      <c r="Q88" s="2339"/>
      <c r="R88" s="2339"/>
      <c r="S88" s="2339"/>
      <c r="T88" s="2339"/>
      <c r="U88" s="2339"/>
      <c r="V88" s="2339"/>
      <c r="W88" s="2339"/>
      <c r="X88" s="2339"/>
      <c r="Y88" s="2339"/>
      <c r="Z88" s="2339"/>
      <c r="AA88" s="2339"/>
      <c r="AB88" s="2339"/>
      <c r="AC88" s="2339"/>
      <c r="AD88" s="2339">
        <v>1</v>
      </c>
      <c r="AE88" s="2339"/>
      <c r="AF88" s="2339">
        <v>3</v>
      </c>
      <c r="AG88" s="2339"/>
      <c r="AH88" s="2339"/>
      <c r="AI88" s="2339"/>
      <c r="AJ88" s="2339"/>
      <c r="AK88" s="2339"/>
      <c r="AL88" s="2339">
        <v>1</v>
      </c>
      <c r="AM88" s="2339"/>
      <c r="AN88" s="2339"/>
      <c r="AO88" s="2339"/>
      <c r="AP88" s="2339"/>
      <c r="AQ88" s="2339"/>
      <c r="AR88" s="2339"/>
      <c r="AS88" s="2339"/>
      <c r="AT88" s="2339">
        <v>3</v>
      </c>
      <c r="AU88" s="2339"/>
      <c r="AV88" s="2339"/>
      <c r="AW88" s="2339"/>
      <c r="AX88" s="2339">
        <v>2</v>
      </c>
      <c r="AY88" s="2339"/>
      <c r="AZ88" s="2339">
        <v>3</v>
      </c>
      <c r="BA88" s="2339">
        <v>4</v>
      </c>
      <c r="BB88" s="2339"/>
      <c r="BC88" s="2339">
        <v>111</v>
      </c>
      <c r="BD88" s="2339"/>
      <c r="BE88" s="2339">
        <v>0</v>
      </c>
      <c r="BF88" s="2339"/>
      <c r="BG88" s="2339"/>
      <c r="BH88" s="2339">
        <v>1</v>
      </c>
      <c r="BI88" s="2339"/>
      <c r="BJ88" s="2339"/>
      <c r="BK88" s="2339"/>
      <c r="BL88" s="2339"/>
      <c r="BM88" s="2339">
        <v>0</v>
      </c>
      <c r="BN88" s="2339">
        <v>0</v>
      </c>
      <c r="BO88" s="2339"/>
      <c r="BP88" s="2339"/>
      <c r="BQ88" s="2339"/>
      <c r="BR88" s="2339"/>
      <c r="BS88" s="2339">
        <v>1</v>
      </c>
      <c r="BT88" s="2339"/>
      <c r="BU88" s="2339">
        <v>1</v>
      </c>
      <c r="BV88" s="2339"/>
      <c r="BW88" s="2339"/>
      <c r="BX88" s="2339"/>
      <c r="BY88" s="2339"/>
      <c r="BZ88" s="2339"/>
      <c r="CA88" s="2339"/>
      <c r="CB88" s="2339"/>
      <c r="CC88" s="2339"/>
      <c r="CD88" s="2339"/>
      <c r="CE88" s="2339"/>
      <c r="CF88" s="2339"/>
      <c r="CG88" s="2339"/>
      <c r="CH88" s="2339"/>
      <c r="CI88" s="2339"/>
      <c r="CJ88" s="2339">
        <v>1</v>
      </c>
      <c r="CK88" s="2339">
        <v>0</v>
      </c>
      <c r="CL88" s="2339">
        <v>1</v>
      </c>
      <c r="CM88" s="2339">
        <v>0</v>
      </c>
      <c r="CN88" s="2339">
        <v>0</v>
      </c>
      <c r="CO88" s="2339"/>
      <c r="CP88" s="2339"/>
      <c r="CQ88" s="2339"/>
      <c r="CR88" s="2339"/>
      <c r="CS88" s="2339"/>
      <c r="CT88" s="2339"/>
      <c r="CU88" s="2339">
        <v>2</v>
      </c>
      <c r="CV88" s="2339"/>
      <c r="CW88" s="2339">
        <v>0</v>
      </c>
      <c r="CX88" s="2339"/>
      <c r="CZ88" s="1516">
        <v>1</v>
      </c>
      <c r="DB88" s="1516">
        <v>1</v>
      </c>
      <c r="DD88" s="1516">
        <v>1</v>
      </c>
    </row>
    <row r="89" spans="1:108">
      <c r="A89" s="1516"/>
      <c r="B89" s="2339">
        <v>130</v>
      </c>
      <c r="C89" s="2339">
        <v>37.4</v>
      </c>
      <c r="D89" s="2339">
        <v>3002.8</v>
      </c>
      <c r="E89" s="2339"/>
      <c r="F89" s="2339"/>
      <c r="G89" s="2339"/>
      <c r="H89" s="2339"/>
      <c r="I89" s="2339"/>
      <c r="J89" s="2339" t="s">
        <v>504</v>
      </c>
      <c r="K89" s="2339" t="s">
        <v>504</v>
      </c>
      <c r="L89" s="2339">
        <v>1</v>
      </c>
      <c r="M89" s="2339"/>
      <c r="N89" s="2339"/>
      <c r="O89" s="2339"/>
      <c r="P89" s="2339"/>
      <c r="Q89" s="2339"/>
      <c r="R89" s="2339"/>
      <c r="S89" s="2339"/>
      <c r="T89" s="2339"/>
      <c r="U89" s="2339"/>
      <c r="V89" s="2339"/>
      <c r="W89" s="2339"/>
      <c r="X89" s="2339"/>
      <c r="Y89" s="2339"/>
      <c r="Z89" s="2339"/>
      <c r="AA89" s="2339"/>
      <c r="AB89" s="2339"/>
      <c r="AC89" s="2339"/>
      <c r="AD89" s="2339">
        <v>1</v>
      </c>
      <c r="AE89" s="2339"/>
      <c r="AF89" s="2339">
        <v>3</v>
      </c>
      <c r="AG89" s="2339"/>
      <c r="AH89" s="2339"/>
      <c r="AI89" s="2339"/>
      <c r="AJ89" s="2339"/>
      <c r="AK89" s="2339"/>
      <c r="AL89" s="2339">
        <v>1</v>
      </c>
      <c r="AM89" s="2339"/>
      <c r="AN89" s="2339"/>
      <c r="AO89" s="2339"/>
      <c r="AP89" s="2339"/>
      <c r="AQ89" s="2339"/>
      <c r="AR89" s="2339"/>
      <c r="AS89" s="2339"/>
      <c r="AT89" s="2339">
        <v>3</v>
      </c>
      <c r="AU89" s="2339"/>
      <c r="AV89" s="2339"/>
      <c r="AW89" s="2339"/>
      <c r="AX89" s="2339"/>
      <c r="AY89" s="2339"/>
      <c r="AZ89" s="2339"/>
      <c r="BA89" s="2339"/>
      <c r="BB89" s="2339"/>
      <c r="BC89" s="2339">
        <v>112.2</v>
      </c>
      <c r="BD89" s="2339"/>
      <c r="BE89" s="2339">
        <v>0</v>
      </c>
      <c r="BF89" s="2339"/>
      <c r="BG89" s="2339"/>
      <c r="BH89" s="2339"/>
      <c r="BI89" s="2339"/>
      <c r="BJ89" s="2339">
        <v>1</v>
      </c>
      <c r="BK89" s="2339"/>
      <c r="BL89" s="2339"/>
      <c r="BM89" s="2339">
        <v>0</v>
      </c>
      <c r="BN89" s="2339">
        <v>0</v>
      </c>
      <c r="BO89" s="2339"/>
      <c r="BP89" s="2339"/>
      <c r="BQ89" s="2339">
        <v>2</v>
      </c>
      <c r="BR89" s="2339">
        <v>1</v>
      </c>
      <c r="BS89" s="2339"/>
      <c r="BT89" s="2339"/>
      <c r="BU89" s="2339"/>
      <c r="BV89" s="2339"/>
      <c r="BW89" s="2339"/>
      <c r="BX89" s="2339"/>
      <c r="BY89" s="2339"/>
      <c r="BZ89" s="2339"/>
      <c r="CA89" s="2339"/>
      <c r="CB89" s="2339"/>
      <c r="CC89" s="2339"/>
      <c r="CD89" s="2339">
        <v>1</v>
      </c>
      <c r="CE89" s="2339"/>
      <c r="CF89" s="2339"/>
      <c r="CG89" s="2339"/>
      <c r="CH89" s="2339"/>
      <c r="CI89" s="2339"/>
      <c r="CJ89" s="2339"/>
      <c r="CK89" s="2339"/>
      <c r="CL89" s="2339">
        <v>0</v>
      </c>
      <c r="CM89" s="2339"/>
      <c r="CN89" s="2339"/>
      <c r="CO89" s="2339"/>
      <c r="CP89" s="2339"/>
      <c r="CQ89" s="2339"/>
      <c r="CR89" s="2339"/>
      <c r="CS89" s="2339"/>
      <c r="CT89" s="2339"/>
      <c r="CU89" s="2339"/>
      <c r="CV89" s="2339"/>
      <c r="CW89" s="2339">
        <v>0</v>
      </c>
      <c r="CX89" s="2339"/>
      <c r="CZ89" s="1516">
        <v>1</v>
      </c>
      <c r="DB89" s="1516">
        <v>1</v>
      </c>
      <c r="DD89" s="1516">
        <v>1</v>
      </c>
    </row>
    <row r="90" spans="1:108">
      <c r="A90" s="1516"/>
      <c r="B90" s="2339" t="s">
        <v>5254</v>
      </c>
      <c r="C90" s="2339">
        <v>33</v>
      </c>
      <c r="D90" s="2339">
        <v>3035.8</v>
      </c>
      <c r="E90" s="2339"/>
      <c r="F90" s="2339"/>
      <c r="G90" s="2339"/>
      <c r="H90" s="2339"/>
      <c r="I90" s="2339"/>
      <c r="J90" s="2339"/>
      <c r="K90" s="2339" t="s">
        <v>504</v>
      </c>
      <c r="L90" s="2339"/>
      <c r="M90" s="2339">
        <v>1</v>
      </c>
      <c r="N90" s="2339"/>
      <c r="O90" s="2339"/>
      <c r="P90" s="2339">
        <v>1</v>
      </c>
      <c r="Q90" s="2339"/>
      <c r="R90" s="2339"/>
      <c r="S90" s="2339"/>
      <c r="T90" s="2339"/>
      <c r="U90" s="2339"/>
      <c r="V90" s="2339"/>
      <c r="W90" s="2339"/>
      <c r="X90" s="2339"/>
      <c r="Y90" s="2339">
        <v>1</v>
      </c>
      <c r="Z90" s="2339"/>
      <c r="AA90" s="2339"/>
      <c r="AB90" s="2339"/>
      <c r="AC90" s="2339"/>
      <c r="AD90" s="2339">
        <v>1</v>
      </c>
      <c r="AE90" s="2339"/>
      <c r="AF90" s="2339">
        <v>3</v>
      </c>
      <c r="AG90" s="2339"/>
      <c r="AH90" s="2339"/>
      <c r="AI90" s="2339"/>
      <c r="AJ90" s="2339"/>
      <c r="AK90" s="2339"/>
      <c r="AL90" s="2339">
        <v>1</v>
      </c>
      <c r="AM90" s="2339"/>
      <c r="AN90" s="2339"/>
      <c r="AO90" s="2339"/>
      <c r="AP90" s="2339"/>
      <c r="AQ90" s="2339"/>
      <c r="AR90" s="2339"/>
      <c r="AS90" s="2339"/>
      <c r="AT90" s="2339">
        <v>3</v>
      </c>
      <c r="AU90" s="2339"/>
      <c r="AV90" s="2339"/>
      <c r="AW90" s="2339"/>
      <c r="AX90" s="2339">
        <v>2</v>
      </c>
      <c r="AY90" s="2339"/>
      <c r="AZ90" s="2339">
        <v>4</v>
      </c>
      <c r="BA90" s="2339">
        <v>4</v>
      </c>
      <c r="BB90" s="2339"/>
      <c r="BC90" s="2339">
        <v>99</v>
      </c>
      <c r="BD90" s="2339"/>
      <c r="BE90" s="2339">
        <v>0</v>
      </c>
      <c r="BF90" s="2339"/>
      <c r="BG90" s="2339"/>
      <c r="BH90" s="2339">
        <v>1</v>
      </c>
      <c r="BI90" s="2339"/>
      <c r="BJ90" s="2339"/>
      <c r="BK90" s="2339"/>
      <c r="BL90" s="2339"/>
      <c r="BM90" s="2339">
        <v>0</v>
      </c>
      <c r="BN90" s="2339">
        <v>0</v>
      </c>
      <c r="BO90" s="2339"/>
      <c r="BP90" s="2339"/>
      <c r="BQ90" s="2339"/>
      <c r="BR90" s="2339"/>
      <c r="BS90" s="2339">
        <v>1</v>
      </c>
      <c r="BT90" s="2339"/>
      <c r="BU90" s="2339">
        <v>1</v>
      </c>
      <c r="BV90" s="2339"/>
      <c r="BW90" s="2339"/>
      <c r="BX90" s="2339"/>
      <c r="BY90" s="2339"/>
      <c r="BZ90" s="2339"/>
      <c r="CA90" s="2339"/>
      <c r="CB90" s="2339"/>
      <c r="CC90" s="2339"/>
      <c r="CD90" s="2339"/>
      <c r="CE90" s="2339"/>
      <c r="CF90" s="2339"/>
      <c r="CG90" s="2339"/>
      <c r="CH90" s="2339"/>
      <c r="CI90" s="2339"/>
      <c r="CJ90" s="2339">
        <v>1</v>
      </c>
      <c r="CK90" s="2339">
        <v>0</v>
      </c>
      <c r="CL90" s="2339">
        <v>1</v>
      </c>
      <c r="CM90" s="2339">
        <v>0</v>
      </c>
      <c r="CN90" s="2339">
        <v>0</v>
      </c>
      <c r="CO90" s="2339"/>
      <c r="CP90" s="2339"/>
      <c r="CQ90" s="2339"/>
      <c r="CR90" s="2339"/>
      <c r="CS90" s="2339"/>
      <c r="CT90" s="2339"/>
      <c r="CU90" s="2339">
        <v>2</v>
      </c>
      <c r="CV90" s="2339"/>
      <c r="CW90" s="2339">
        <v>0</v>
      </c>
      <c r="CX90" s="2339"/>
      <c r="CZ90" s="1516">
        <v>1</v>
      </c>
      <c r="DB90" s="1516">
        <v>1</v>
      </c>
      <c r="DD90" s="1516">
        <v>1</v>
      </c>
    </row>
    <row r="91" spans="1:108">
      <c r="A91" s="1516"/>
      <c r="B91" s="2339">
        <v>131</v>
      </c>
      <c r="C91" s="2339">
        <v>33.5</v>
      </c>
      <c r="D91" s="2339">
        <v>3069.3</v>
      </c>
      <c r="E91" s="2339"/>
      <c r="F91" s="2339"/>
      <c r="G91" s="2339"/>
      <c r="H91" s="2339"/>
      <c r="I91" s="2339"/>
      <c r="J91" s="2339" t="s">
        <v>504</v>
      </c>
      <c r="K91" s="2339" t="s">
        <v>504</v>
      </c>
      <c r="L91" s="2339">
        <v>1</v>
      </c>
      <c r="M91" s="2339"/>
      <c r="N91" s="2339"/>
      <c r="O91" s="2339"/>
      <c r="P91" s="2339"/>
      <c r="Q91" s="2339"/>
      <c r="R91" s="2339"/>
      <c r="S91" s="2339"/>
      <c r="T91" s="2339"/>
      <c r="U91" s="2339"/>
      <c r="V91" s="2339"/>
      <c r="W91" s="2339"/>
      <c r="X91" s="2339"/>
      <c r="Y91" s="2339"/>
      <c r="Z91" s="2339"/>
      <c r="AA91" s="2339"/>
      <c r="AB91" s="2339"/>
      <c r="AC91" s="2339"/>
      <c r="AD91" s="2339">
        <v>1</v>
      </c>
      <c r="AE91" s="2339"/>
      <c r="AF91" s="2339">
        <v>3</v>
      </c>
      <c r="AG91" s="2339"/>
      <c r="AH91" s="2339"/>
      <c r="AI91" s="2339"/>
      <c r="AJ91" s="2339"/>
      <c r="AK91" s="2339"/>
      <c r="AL91" s="2339">
        <v>1</v>
      </c>
      <c r="AM91" s="2339"/>
      <c r="AN91" s="2339"/>
      <c r="AO91" s="2339"/>
      <c r="AP91" s="2339"/>
      <c r="AQ91" s="2339"/>
      <c r="AR91" s="2339"/>
      <c r="AS91" s="2339"/>
      <c r="AT91" s="2339">
        <v>3</v>
      </c>
      <c r="AU91" s="2339"/>
      <c r="AV91" s="2339"/>
      <c r="AW91" s="2339"/>
      <c r="AX91" s="2339"/>
      <c r="AY91" s="2339"/>
      <c r="AZ91" s="2339"/>
      <c r="BA91" s="2339"/>
      <c r="BB91" s="2339"/>
      <c r="BC91" s="2339">
        <v>100.5</v>
      </c>
      <c r="BD91" s="2339"/>
      <c r="BE91" s="2339">
        <v>0</v>
      </c>
      <c r="BF91" s="2339"/>
      <c r="BG91" s="2339"/>
      <c r="BH91" s="2339"/>
      <c r="BI91" s="2339"/>
      <c r="BJ91" s="2339">
        <v>1</v>
      </c>
      <c r="BK91" s="2339"/>
      <c r="BL91" s="2339"/>
      <c r="BM91" s="2339">
        <v>0</v>
      </c>
      <c r="BN91" s="2339">
        <v>0</v>
      </c>
      <c r="BO91" s="2339"/>
      <c r="BP91" s="2339"/>
      <c r="BQ91" s="2339">
        <v>2</v>
      </c>
      <c r="BR91" s="2339">
        <v>1</v>
      </c>
      <c r="BS91" s="2339"/>
      <c r="BT91" s="2339"/>
      <c r="BU91" s="2339"/>
      <c r="BV91" s="2339"/>
      <c r="BW91" s="2339"/>
      <c r="BX91" s="2339"/>
      <c r="BY91" s="2339"/>
      <c r="BZ91" s="2339"/>
      <c r="CA91" s="2339"/>
      <c r="CB91" s="2339"/>
      <c r="CC91" s="2339"/>
      <c r="CD91" s="2339">
        <v>1</v>
      </c>
      <c r="CE91" s="2339"/>
      <c r="CF91" s="2339"/>
      <c r="CG91" s="2339"/>
      <c r="CH91" s="2339"/>
      <c r="CI91" s="2339"/>
      <c r="CJ91" s="2339"/>
      <c r="CK91" s="2339"/>
      <c r="CL91" s="2339">
        <v>0</v>
      </c>
      <c r="CM91" s="2339"/>
      <c r="CN91" s="2339"/>
      <c r="CO91" s="2339"/>
      <c r="CP91" s="2339"/>
      <c r="CQ91" s="2339"/>
      <c r="CR91" s="2339"/>
      <c r="CS91" s="2339"/>
      <c r="CT91" s="2339"/>
      <c r="CU91" s="2339"/>
      <c r="CV91" s="2339"/>
      <c r="CW91" s="2339">
        <v>0</v>
      </c>
      <c r="CX91" s="2339"/>
      <c r="CZ91" s="1516">
        <v>1</v>
      </c>
      <c r="DB91" s="1516">
        <v>1</v>
      </c>
      <c r="DD91" s="1516">
        <v>1</v>
      </c>
    </row>
    <row r="92" spans="1:108">
      <c r="A92" s="1516"/>
      <c r="B92" s="2339" t="s">
        <v>5255</v>
      </c>
      <c r="C92" s="2339">
        <v>34</v>
      </c>
      <c r="D92" s="2339">
        <v>3103.3</v>
      </c>
      <c r="E92" s="2339"/>
      <c r="F92" s="2339"/>
      <c r="G92" s="2339"/>
      <c r="H92" s="2339"/>
      <c r="I92" s="2339"/>
      <c r="J92" s="2339"/>
      <c r="K92" s="2339" t="s">
        <v>504</v>
      </c>
      <c r="L92" s="2339"/>
      <c r="M92" s="2339">
        <v>1</v>
      </c>
      <c r="N92" s="2339"/>
      <c r="O92" s="2339">
        <v>1</v>
      </c>
      <c r="P92" s="2339"/>
      <c r="Q92" s="2339"/>
      <c r="R92" s="2339"/>
      <c r="S92" s="2339"/>
      <c r="T92" s="2339"/>
      <c r="U92" s="2339"/>
      <c r="V92" s="2339"/>
      <c r="W92" s="2339"/>
      <c r="X92" s="2339"/>
      <c r="Y92" s="2339"/>
      <c r="Z92" s="2339"/>
      <c r="AA92" s="2339"/>
      <c r="AB92" s="2339"/>
      <c r="AC92" s="2339"/>
      <c r="AD92" s="2339">
        <v>1</v>
      </c>
      <c r="AE92" s="2339"/>
      <c r="AF92" s="2339">
        <v>3</v>
      </c>
      <c r="AG92" s="2339"/>
      <c r="AH92" s="2339"/>
      <c r="AI92" s="2339"/>
      <c r="AJ92" s="2339"/>
      <c r="AK92" s="2339"/>
      <c r="AL92" s="2339">
        <v>1</v>
      </c>
      <c r="AM92" s="2339"/>
      <c r="AN92" s="2339"/>
      <c r="AO92" s="2339"/>
      <c r="AP92" s="2339"/>
      <c r="AQ92" s="2339"/>
      <c r="AR92" s="2339"/>
      <c r="AS92" s="2339"/>
      <c r="AT92" s="2339">
        <v>3</v>
      </c>
      <c r="AU92" s="2339"/>
      <c r="AV92" s="2339"/>
      <c r="AW92" s="2339"/>
      <c r="AX92" s="2339">
        <v>2</v>
      </c>
      <c r="AY92" s="2339"/>
      <c r="AZ92" s="2339">
        <v>8</v>
      </c>
      <c r="BA92" s="2339">
        <v>8</v>
      </c>
      <c r="BB92" s="2339"/>
      <c r="BC92" s="2339">
        <v>102</v>
      </c>
      <c r="BD92" s="2339"/>
      <c r="BE92" s="2339">
        <v>0</v>
      </c>
      <c r="BF92" s="2339"/>
      <c r="BG92" s="2339"/>
      <c r="BH92" s="2339">
        <v>1</v>
      </c>
      <c r="BI92" s="2339"/>
      <c r="BJ92" s="2339"/>
      <c r="BK92" s="2339"/>
      <c r="BL92" s="2339"/>
      <c r="BM92" s="2339">
        <v>0</v>
      </c>
      <c r="BN92" s="2339">
        <v>0</v>
      </c>
      <c r="BO92" s="2339"/>
      <c r="BP92" s="2339"/>
      <c r="BQ92" s="2339"/>
      <c r="BR92" s="2339"/>
      <c r="BS92" s="2339">
        <v>1</v>
      </c>
      <c r="BT92" s="2339"/>
      <c r="BU92" s="2339">
        <v>2</v>
      </c>
      <c r="BV92" s="2339"/>
      <c r="BW92" s="2339"/>
      <c r="BX92" s="2339"/>
      <c r="BY92" s="2339"/>
      <c r="BZ92" s="2339"/>
      <c r="CA92" s="2339"/>
      <c r="CB92" s="2339"/>
      <c r="CC92" s="2339"/>
      <c r="CD92" s="2339"/>
      <c r="CE92" s="2339"/>
      <c r="CF92" s="2339"/>
      <c r="CG92" s="2339"/>
      <c r="CH92" s="2339"/>
      <c r="CI92" s="2339"/>
      <c r="CJ92" s="2339">
        <v>1</v>
      </c>
      <c r="CK92" s="2339">
        <v>0</v>
      </c>
      <c r="CL92" s="2339">
        <v>2</v>
      </c>
      <c r="CM92" s="2339">
        <v>0</v>
      </c>
      <c r="CN92" s="2339">
        <v>0</v>
      </c>
      <c r="CO92" s="2339"/>
      <c r="CP92" s="2339"/>
      <c r="CQ92" s="2339"/>
      <c r="CR92" s="2339"/>
      <c r="CS92" s="2339"/>
      <c r="CT92" s="2339"/>
      <c r="CU92" s="2339">
        <v>2</v>
      </c>
      <c r="CV92" s="2339"/>
      <c r="CW92" s="2339">
        <v>0</v>
      </c>
      <c r="CX92" s="2339"/>
      <c r="CZ92" s="1516">
        <v>1</v>
      </c>
      <c r="DB92" s="1516">
        <v>1</v>
      </c>
      <c r="DD92" s="1516">
        <v>1</v>
      </c>
    </row>
    <row r="93" spans="1:108">
      <c r="A93" s="1516"/>
      <c r="B93" s="2339">
        <v>132</v>
      </c>
      <c r="C93" s="2339">
        <v>34.200000000000003</v>
      </c>
      <c r="D93" s="2339">
        <v>3137.5</v>
      </c>
      <c r="E93" s="2339"/>
      <c r="F93" s="2339"/>
      <c r="G93" s="2339"/>
      <c r="H93" s="2339"/>
      <c r="I93" s="2339"/>
      <c r="J93" s="2339" t="s">
        <v>504</v>
      </c>
      <c r="K93" s="2339" t="s">
        <v>504</v>
      </c>
      <c r="L93" s="2339">
        <v>1</v>
      </c>
      <c r="M93" s="2339"/>
      <c r="N93" s="2339"/>
      <c r="O93" s="2339"/>
      <c r="P93" s="2339"/>
      <c r="Q93" s="2339"/>
      <c r="R93" s="2339"/>
      <c r="S93" s="2339"/>
      <c r="T93" s="2339"/>
      <c r="U93" s="2339"/>
      <c r="V93" s="2339"/>
      <c r="W93" s="2339"/>
      <c r="X93" s="2339"/>
      <c r="Y93" s="2339"/>
      <c r="Z93" s="2339"/>
      <c r="AA93" s="2339"/>
      <c r="AB93" s="2339"/>
      <c r="AC93" s="2339"/>
      <c r="AD93" s="2339">
        <v>1</v>
      </c>
      <c r="AE93" s="2339"/>
      <c r="AF93" s="2339">
        <v>3</v>
      </c>
      <c r="AG93" s="2339"/>
      <c r="AH93" s="2339"/>
      <c r="AI93" s="2339"/>
      <c r="AJ93" s="2339"/>
      <c r="AK93" s="2339"/>
      <c r="AL93" s="2339">
        <v>1</v>
      </c>
      <c r="AM93" s="2339"/>
      <c r="AN93" s="2339"/>
      <c r="AO93" s="2339"/>
      <c r="AP93" s="2339"/>
      <c r="AQ93" s="2339"/>
      <c r="AR93" s="2339"/>
      <c r="AS93" s="2339"/>
      <c r="AT93" s="2339">
        <v>3</v>
      </c>
      <c r="AU93" s="2339"/>
      <c r="AV93" s="2339"/>
      <c r="AW93" s="2339"/>
      <c r="AX93" s="2339"/>
      <c r="AY93" s="2339"/>
      <c r="AZ93" s="2339"/>
      <c r="BA93" s="2339"/>
      <c r="BB93" s="2339"/>
      <c r="BC93" s="2339">
        <v>102.6</v>
      </c>
      <c r="BD93" s="2339"/>
      <c r="BE93" s="2339">
        <v>0</v>
      </c>
      <c r="BF93" s="2339"/>
      <c r="BG93" s="2339"/>
      <c r="BH93" s="2339"/>
      <c r="BI93" s="2339"/>
      <c r="BJ93" s="2339">
        <v>1</v>
      </c>
      <c r="BK93" s="2339"/>
      <c r="BL93" s="2339"/>
      <c r="BM93" s="2339">
        <v>0</v>
      </c>
      <c r="BN93" s="2339">
        <v>0</v>
      </c>
      <c r="BO93" s="2339"/>
      <c r="BP93" s="2339"/>
      <c r="BQ93" s="2339">
        <v>2</v>
      </c>
      <c r="BR93" s="2339">
        <v>1</v>
      </c>
      <c r="BS93" s="2339"/>
      <c r="BT93" s="2339"/>
      <c r="BU93" s="2339"/>
      <c r="BV93" s="2339"/>
      <c r="BW93" s="2339"/>
      <c r="BX93" s="2339"/>
      <c r="BY93" s="2339"/>
      <c r="BZ93" s="2339"/>
      <c r="CA93" s="2339"/>
      <c r="CB93" s="2339"/>
      <c r="CC93" s="2339"/>
      <c r="CD93" s="2339">
        <v>1</v>
      </c>
      <c r="CE93" s="2339"/>
      <c r="CF93" s="2339"/>
      <c r="CG93" s="2339"/>
      <c r="CH93" s="2339"/>
      <c r="CI93" s="2339"/>
      <c r="CJ93" s="2339"/>
      <c r="CK93" s="2339"/>
      <c r="CL93" s="2339">
        <v>0</v>
      </c>
      <c r="CM93" s="2339"/>
      <c r="CN93" s="2339"/>
      <c r="CO93" s="2339"/>
      <c r="CP93" s="2339"/>
      <c r="CQ93" s="2339"/>
      <c r="CR93" s="2339"/>
      <c r="CS93" s="2339"/>
      <c r="CT93" s="2339"/>
      <c r="CU93" s="2339"/>
      <c r="CV93" s="2339"/>
      <c r="CW93" s="2339">
        <v>0</v>
      </c>
      <c r="CX93" s="2339"/>
      <c r="CZ93" s="1516">
        <v>1</v>
      </c>
      <c r="DB93" s="1516">
        <v>1</v>
      </c>
      <c r="DD93" s="1516">
        <v>1</v>
      </c>
    </row>
    <row r="94" spans="1:108">
      <c r="A94" s="1516"/>
      <c r="B94" s="2339" t="s">
        <v>5256</v>
      </c>
      <c r="C94" s="2339">
        <v>38.200000000000003</v>
      </c>
      <c r="D94" s="2339">
        <v>3175.7</v>
      </c>
      <c r="E94" s="2339">
        <v>3</v>
      </c>
      <c r="F94" s="2339">
        <v>1</v>
      </c>
      <c r="G94" s="2339"/>
      <c r="H94" s="2339"/>
      <c r="I94" s="2339"/>
      <c r="J94" s="2339" t="s">
        <v>663</v>
      </c>
      <c r="K94" s="2339" t="s">
        <v>663</v>
      </c>
      <c r="L94" s="2339">
        <v>1</v>
      </c>
      <c r="M94" s="2339"/>
      <c r="N94" s="2339"/>
      <c r="O94" s="2339"/>
      <c r="P94" s="2339"/>
      <c r="Q94" s="2339"/>
      <c r="R94" s="2339"/>
      <c r="S94" s="2339"/>
      <c r="T94" s="2339"/>
      <c r="U94" s="2339"/>
      <c r="V94" s="2339"/>
      <c r="W94" s="2339"/>
      <c r="X94" s="2339"/>
      <c r="Y94" s="2339"/>
      <c r="Z94" s="2339"/>
      <c r="AA94" s="2339"/>
      <c r="AB94" s="2339"/>
      <c r="AC94" s="2339"/>
      <c r="AD94" s="2339">
        <v>1</v>
      </c>
      <c r="AE94" s="2339"/>
      <c r="AF94" s="2339">
        <v>3</v>
      </c>
      <c r="AG94" s="2339"/>
      <c r="AH94" s="2339"/>
      <c r="AI94" s="2339">
        <v>1</v>
      </c>
      <c r="AJ94" s="2339"/>
      <c r="AK94" s="2339"/>
      <c r="AL94" s="2339">
        <v>1</v>
      </c>
      <c r="AM94" s="2339"/>
      <c r="AN94" s="2339"/>
      <c r="AO94" s="2339"/>
      <c r="AP94" s="2339">
        <v>2</v>
      </c>
      <c r="AQ94" s="2339"/>
      <c r="AR94" s="2339">
        <v>2</v>
      </c>
      <c r="AS94" s="2339"/>
      <c r="AT94" s="2339">
        <v>3</v>
      </c>
      <c r="AU94" s="2339"/>
      <c r="AV94" s="2339"/>
      <c r="AW94" s="2339"/>
      <c r="AX94" s="2339"/>
      <c r="AY94" s="2339"/>
      <c r="AZ94" s="2339"/>
      <c r="BA94" s="2339"/>
      <c r="BB94" s="2339"/>
      <c r="BC94" s="2339">
        <v>114.6</v>
      </c>
      <c r="BD94" s="2339"/>
      <c r="BE94" s="2339">
        <v>3</v>
      </c>
      <c r="BF94" s="2339"/>
      <c r="BG94" s="2339"/>
      <c r="BH94" s="2339"/>
      <c r="BI94" s="2339"/>
      <c r="BJ94" s="2339">
        <v>1</v>
      </c>
      <c r="BK94" s="2339"/>
      <c r="BL94" s="2339"/>
      <c r="BM94" s="2339">
        <v>0</v>
      </c>
      <c r="BN94" s="2339">
        <v>0</v>
      </c>
      <c r="BO94" s="2339"/>
      <c r="BP94" s="2339"/>
      <c r="BQ94" s="2339">
        <v>2</v>
      </c>
      <c r="BR94" s="2339">
        <v>1</v>
      </c>
      <c r="BS94" s="2339"/>
      <c r="BT94" s="2339"/>
      <c r="BU94" s="2339"/>
      <c r="BV94" s="2339"/>
      <c r="BW94" s="2339"/>
      <c r="BX94" s="2339"/>
      <c r="BY94" s="2339"/>
      <c r="BZ94" s="2339"/>
      <c r="CA94" s="2339"/>
      <c r="CB94" s="2339"/>
      <c r="CC94" s="2339"/>
      <c r="CD94" s="2339">
        <v>1</v>
      </c>
      <c r="CE94" s="2339"/>
      <c r="CF94" s="2339"/>
      <c r="CG94" s="2339"/>
      <c r="CH94" s="2339"/>
      <c r="CI94" s="2339"/>
      <c r="CJ94" s="2339"/>
      <c r="CK94" s="2339"/>
      <c r="CL94" s="2339">
        <v>0</v>
      </c>
      <c r="CM94" s="2339"/>
      <c r="CN94" s="2339"/>
      <c r="CO94" s="2339"/>
      <c r="CP94" s="2339"/>
      <c r="CQ94" s="2339"/>
      <c r="CR94" s="2339"/>
      <c r="CS94" s="2339"/>
      <c r="CT94" s="2339"/>
      <c r="CU94" s="2339"/>
      <c r="CV94" s="2339"/>
      <c r="CW94" s="2339">
        <v>1</v>
      </c>
      <c r="CX94" s="2339" t="s">
        <v>5224</v>
      </c>
      <c r="CZ94" s="1516">
        <v>1</v>
      </c>
      <c r="DB94" s="1516">
        <v>1</v>
      </c>
      <c r="DD94" s="1516">
        <v>1</v>
      </c>
    </row>
    <row r="95" spans="1:108">
      <c r="A95" s="1516"/>
      <c r="B95" s="2339" t="s">
        <v>5257</v>
      </c>
      <c r="C95" s="2339">
        <v>12</v>
      </c>
      <c r="D95" s="2339">
        <v>3187.7</v>
      </c>
      <c r="E95" s="2339">
        <v>9</v>
      </c>
      <c r="F95" s="2339">
        <v>3</v>
      </c>
      <c r="G95" s="2339"/>
      <c r="H95" s="2339"/>
      <c r="I95" s="2339"/>
      <c r="J95" s="2339" t="s">
        <v>663</v>
      </c>
      <c r="K95" s="2339" t="s">
        <v>663</v>
      </c>
      <c r="L95" s="2339">
        <v>1</v>
      </c>
      <c r="M95" s="2339"/>
      <c r="N95" s="2339"/>
      <c r="O95" s="2339"/>
      <c r="P95" s="2339"/>
      <c r="Q95" s="2339"/>
      <c r="R95" s="2339"/>
      <c r="S95" s="2339"/>
      <c r="T95" s="2339"/>
      <c r="U95" s="2339"/>
      <c r="V95" s="2339"/>
      <c r="W95" s="2339"/>
      <c r="X95" s="2339"/>
      <c r="Y95" s="2339"/>
      <c r="Z95" s="2339"/>
      <c r="AA95" s="2339"/>
      <c r="AB95" s="2339"/>
      <c r="AC95" s="2339"/>
      <c r="AD95" s="2339">
        <v>1</v>
      </c>
      <c r="AE95" s="2339"/>
      <c r="AF95" s="2339">
        <v>3</v>
      </c>
      <c r="AG95" s="2339"/>
      <c r="AH95" s="2339"/>
      <c r="AI95" s="2339">
        <v>3</v>
      </c>
      <c r="AJ95" s="2339"/>
      <c r="AK95" s="2339"/>
      <c r="AL95" s="2339">
        <v>1</v>
      </c>
      <c r="AM95" s="2339"/>
      <c r="AN95" s="2339"/>
      <c r="AO95" s="2339"/>
      <c r="AP95" s="2339">
        <v>2</v>
      </c>
      <c r="AQ95" s="2339"/>
      <c r="AR95" s="2339">
        <v>6</v>
      </c>
      <c r="AS95" s="2339"/>
      <c r="AT95" s="2339">
        <v>3</v>
      </c>
      <c r="AU95" s="2339"/>
      <c r="AV95" s="2339"/>
      <c r="AW95" s="2339"/>
      <c r="AX95" s="2339"/>
      <c r="AY95" s="2339"/>
      <c r="AZ95" s="2339"/>
      <c r="BA95" s="2339"/>
      <c r="BB95" s="2339"/>
      <c r="BC95" s="2339">
        <v>36</v>
      </c>
      <c r="BD95" s="2339"/>
      <c r="BE95" s="2339">
        <v>9</v>
      </c>
      <c r="BF95" s="2339"/>
      <c r="BG95" s="2339"/>
      <c r="BH95" s="2339"/>
      <c r="BI95" s="2339"/>
      <c r="BJ95" s="2339">
        <v>1</v>
      </c>
      <c r="BK95" s="2339"/>
      <c r="BL95" s="2339"/>
      <c r="BM95" s="2339">
        <v>0</v>
      </c>
      <c r="BN95" s="2339">
        <v>0</v>
      </c>
      <c r="BO95" s="2339"/>
      <c r="BP95" s="2339"/>
      <c r="BQ95" s="2339">
        <v>2</v>
      </c>
      <c r="BR95" s="2339">
        <v>1</v>
      </c>
      <c r="BS95" s="2339"/>
      <c r="BT95" s="2339"/>
      <c r="BU95" s="2339"/>
      <c r="BV95" s="2339"/>
      <c r="BW95" s="2339"/>
      <c r="BX95" s="2339"/>
      <c r="BY95" s="2339"/>
      <c r="BZ95" s="2339"/>
      <c r="CA95" s="2339"/>
      <c r="CB95" s="2339"/>
      <c r="CC95" s="2339"/>
      <c r="CD95" s="2339">
        <v>1</v>
      </c>
      <c r="CE95" s="2339"/>
      <c r="CF95" s="2339"/>
      <c r="CG95" s="2339"/>
      <c r="CH95" s="2339"/>
      <c r="CI95" s="2339"/>
      <c r="CJ95" s="2339"/>
      <c r="CK95" s="2339"/>
      <c r="CL95" s="2339">
        <v>0</v>
      </c>
      <c r="CM95" s="2339"/>
      <c r="CN95" s="2339"/>
      <c r="CO95" s="2339"/>
      <c r="CP95" s="2339"/>
      <c r="CQ95" s="2339"/>
      <c r="CR95" s="2339"/>
      <c r="CS95" s="2339"/>
      <c r="CT95" s="2339"/>
      <c r="CU95" s="2339"/>
      <c r="CV95" s="2339"/>
      <c r="CW95" s="2339">
        <v>3</v>
      </c>
      <c r="CX95" s="2339" t="s">
        <v>5231</v>
      </c>
      <c r="CZ95" s="1516">
        <v>1</v>
      </c>
      <c r="DB95" s="1516">
        <v>1</v>
      </c>
      <c r="DD95" s="1516">
        <v>1</v>
      </c>
    </row>
    <row r="96" spans="1:108">
      <c r="A96" s="1516"/>
      <c r="B96" s="2339">
        <v>133</v>
      </c>
      <c r="C96" s="2339">
        <v>27.9</v>
      </c>
      <c r="D96" s="2339">
        <v>3215.6</v>
      </c>
      <c r="E96" s="2339"/>
      <c r="F96" s="2339"/>
      <c r="G96" s="2339"/>
      <c r="H96" s="2339"/>
      <c r="I96" s="2339"/>
      <c r="J96" s="2339" t="s">
        <v>504</v>
      </c>
      <c r="K96" s="2339" t="s">
        <v>504</v>
      </c>
      <c r="L96" s="2339">
        <v>1</v>
      </c>
      <c r="M96" s="2339"/>
      <c r="N96" s="2339"/>
      <c r="O96" s="2339"/>
      <c r="P96" s="2339"/>
      <c r="Q96" s="2339"/>
      <c r="R96" s="2339"/>
      <c r="S96" s="2339"/>
      <c r="T96" s="2339"/>
      <c r="U96" s="2339"/>
      <c r="V96" s="2339"/>
      <c r="W96" s="2339"/>
      <c r="X96" s="2339"/>
      <c r="Y96" s="2339"/>
      <c r="Z96" s="2339"/>
      <c r="AA96" s="2339"/>
      <c r="AB96" s="2339"/>
      <c r="AC96" s="2339"/>
      <c r="AD96" s="2339">
        <v>1</v>
      </c>
      <c r="AE96" s="2339"/>
      <c r="AF96" s="2339">
        <v>3</v>
      </c>
      <c r="AG96" s="2339"/>
      <c r="AH96" s="2339"/>
      <c r="AI96" s="2339"/>
      <c r="AJ96" s="2339"/>
      <c r="AK96" s="2339"/>
      <c r="AL96" s="2339">
        <v>1</v>
      </c>
      <c r="AM96" s="2339"/>
      <c r="AN96" s="2339"/>
      <c r="AO96" s="2339"/>
      <c r="AP96" s="2339"/>
      <c r="AQ96" s="2339"/>
      <c r="AR96" s="2339"/>
      <c r="AS96" s="2339"/>
      <c r="AT96" s="2339">
        <v>3</v>
      </c>
      <c r="AU96" s="2339"/>
      <c r="AV96" s="2339"/>
      <c r="AW96" s="2339"/>
      <c r="AX96" s="2339"/>
      <c r="AY96" s="2339"/>
      <c r="AZ96" s="2339"/>
      <c r="BA96" s="2339"/>
      <c r="BB96" s="2339"/>
      <c r="BC96" s="2339">
        <v>83.7</v>
      </c>
      <c r="BD96" s="2339"/>
      <c r="BE96" s="2339">
        <v>0</v>
      </c>
      <c r="BF96" s="2339"/>
      <c r="BG96" s="2339"/>
      <c r="BH96" s="2339"/>
      <c r="BI96" s="2339"/>
      <c r="BJ96" s="2339">
        <v>1</v>
      </c>
      <c r="BK96" s="2339"/>
      <c r="BL96" s="2339"/>
      <c r="BM96" s="2339">
        <v>0</v>
      </c>
      <c r="BN96" s="2339">
        <v>0</v>
      </c>
      <c r="BO96" s="2339"/>
      <c r="BP96" s="2339"/>
      <c r="BQ96" s="2339">
        <v>2</v>
      </c>
      <c r="BR96" s="2339">
        <v>1</v>
      </c>
      <c r="BS96" s="2339"/>
      <c r="BT96" s="2339"/>
      <c r="BU96" s="2339"/>
      <c r="BV96" s="2339"/>
      <c r="BW96" s="2339"/>
      <c r="BX96" s="2339"/>
      <c r="BY96" s="2339"/>
      <c r="BZ96" s="2339"/>
      <c r="CA96" s="2339"/>
      <c r="CB96" s="2339"/>
      <c r="CC96" s="2339"/>
      <c r="CD96" s="2339">
        <v>1</v>
      </c>
      <c r="CE96" s="2339"/>
      <c r="CF96" s="2339"/>
      <c r="CG96" s="2339"/>
      <c r="CH96" s="2339"/>
      <c r="CI96" s="2339"/>
      <c r="CJ96" s="2339"/>
      <c r="CK96" s="2339"/>
      <c r="CL96" s="2339">
        <v>0</v>
      </c>
      <c r="CM96" s="2339"/>
      <c r="CN96" s="2339"/>
      <c r="CO96" s="2339"/>
      <c r="CP96" s="2339"/>
      <c r="CQ96" s="2339"/>
      <c r="CR96" s="2339"/>
      <c r="CS96" s="2339"/>
      <c r="CT96" s="2339"/>
      <c r="CU96" s="2339"/>
      <c r="CV96" s="2339"/>
      <c r="CW96" s="2339">
        <v>0</v>
      </c>
      <c r="CX96" s="2339"/>
      <c r="CZ96" s="1516">
        <v>1</v>
      </c>
      <c r="DB96" s="1516">
        <v>1</v>
      </c>
      <c r="DD96" s="1516">
        <v>1</v>
      </c>
    </row>
    <row r="97" spans="1:108">
      <c r="A97" s="1516"/>
      <c r="B97" s="2339" t="s">
        <v>5258</v>
      </c>
      <c r="C97" s="2339">
        <v>40</v>
      </c>
      <c r="D97" s="2339">
        <v>3255.6</v>
      </c>
      <c r="E97" s="2339"/>
      <c r="F97" s="2339"/>
      <c r="G97" s="2339"/>
      <c r="H97" s="2339"/>
      <c r="I97" s="2339"/>
      <c r="J97" s="2339"/>
      <c r="K97" s="2339" t="s">
        <v>504</v>
      </c>
      <c r="L97" s="2339"/>
      <c r="M97" s="2339">
        <v>1</v>
      </c>
      <c r="N97" s="2339"/>
      <c r="O97" s="2339">
        <v>1</v>
      </c>
      <c r="P97" s="2339"/>
      <c r="Q97" s="2339"/>
      <c r="R97" s="2339"/>
      <c r="S97" s="2339"/>
      <c r="T97" s="2339"/>
      <c r="U97" s="2339"/>
      <c r="V97" s="2339"/>
      <c r="W97" s="2339"/>
      <c r="X97" s="2339"/>
      <c r="Y97" s="2339">
        <v>1</v>
      </c>
      <c r="Z97" s="2339"/>
      <c r="AA97" s="2339"/>
      <c r="AB97" s="2339"/>
      <c r="AC97" s="2339"/>
      <c r="AD97" s="2339">
        <v>1</v>
      </c>
      <c r="AE97" s="2339"/>
      <c r="AF97" s="2339">
        <v>3</v>
      </c>
      <c r="AG97" s="2339"/>
      <c r="AH97" s="2339"/>
      <c r="AI97" s="2339"/>
      <c r="AJ97" s="2339"/>
      <c r="AK97" s="2339"/>
      <c r="AL97" s="2339">
        <v>1</v>
      </c>
      <c r="AM97" s="2339"/>
      <c r="AN97" s="2339"/>
      <c r="AO97" s="2339"/>
      <c r="AP97" s="2339"/>
      <c r="AQ97" s="2339"/>
      <c r="AR97" s="2339"/>
      <c r="AS97" s="2339"/>
      <c r="AT97" s="2339">
        <v>3</v>
      </c>
      <c r="AU97" s="2339"/>
      <c r="AV97" s="2339"/>
      <c r="AW97" s="2339"/>
      <c r="AX97" s="2339">
        <v>2</v>
      </c>
      <c r="AY97" s="2339"/>
      <c r="AZ97" s="2339">
        <v>4</v>
      </c>
      <c r="BA97" s="2339">
        <v>4</v>
      </c>
      <c r="BB97" s="2339"/>
      <c r="BC97" s="2339">
        <v>120</v>
      </c>
      <c r="BD97" s="2339"/>
      <c r="BE97" s="2339">
        <v>0</v>
      </c>
      <c r="BF97" s="2339"/>
      <c r="BG97" s="2339"/>
      <c r="BH97" s="2339">
        <v>1</v>
      </c>
      <c r="BI97" s="2339"/>
      <c r="BJ97" s="2339"/>
      <c r="BK97" s="2339"/>
      <c r="BL97" s="2339"/>
      <c r="BM97" s="2339">
        <v>0</v>
      </c>
      <c r="BN97" s="2339">
        <v>0</v>
      </c>
      <c r="BO97" s="2339"/>
      <c r="BP97" s="2339"/>
      <c r="BQ97" s="2339"/>
      <c r="BR97" s="2339"/>
      <c r="BS97" s="2339">
        <v>2</v>
      </c>
      <c r="BT97" s="2339"/>
      <c r="BU97" s="2339">
        <v>1</v>
      </c>
      <c r="BV97" s="2339"/>
      <c r="BW97" s="2339"/>
      <c r="BX97" s="2339"/>
      <c r="BY97" s="2339"/>
      <c r="BZ97" s="2339"/>
      <c r="CA97" s="2339"/>
      <c r="CB97" s="2339"/>
      <c r="CC97" s="2339"/>
      <c r="CD97" s="2339"/>
      <c r="CE97" s="2339"/>
      <c r="CF97" s="2339"/>
      <c r="CG97" s="2339"/>
      <c r="CH97" s="2339"/>
      <c r="CI97" s="2339"/>
      <c r="CJ97" s="2339">
        <v>2</v>
      </c>
      <c r="CK97" s="2339">
        <v>0</v>
      </c>
      <c r="CL97" s="2339">
        <v>1</v>
      </c>
      <c r="CM97" s="2339">
        <v>0</v>
      </c>
      <c r="CN97" s="2339">
        <v>0</v>
      </c>
      <c r="CO97" s="2339"/>
      <c r="CP97" s="2339"/>
      <c r="CQ97" s="2339"/>
      <c r="CR97" s="2339"/>
      <c r="CS97" s="2339"/>
      <c r="CT97" s="2339"/>
      <c r="CU97" s="2339">
        <v>2</v>
      </c>
      <c r="CV97" s="2339"/>
      <c r="CW97" s="2339">
        <v>0</v>
      </c>
      <c r="CX97" s="2339"/>
      <c r="CZ97" s="1516">
        <v>1</v>
      </c>
      <c r="DB97" s="1516">
        <v>1</v>
      </c>
      <c r="DD97" s="1516">
        <v>1</v>
      </c>
    </row>
    <row r="98" spans="1:108">
      <c r="A98" s="1516"/>
      <c r="B98" s="2339">
        <v>134</v>
      </c>
      <c r="C98" s="2339">
        <v>39.4</v>
      </c>
      <c r="D98" s="2339">
        <v>3295</v>
      </c>
      <c r="E98" s="2339"/>
      <c r="F98" s="2339"/>
      <c r="G98" s="2339"/>
      <c r="H98" s="2339"/>
      <c r="I98" s="2339"/>
      <c r="J98" s="2339" t="s">
        <v>4512</v>
      </c>
      <c r="K98" s="2339" t="s">
        <v>4512</v>
      </c>
      <c r="L98" s="2339">
        <v>1</v>
      </c>
      <c r="M98" s="2339"/>
      <c r="N98" s="2339"/>
      <c r="O98" s="2339"/>
      <c r="P98" s="2339"/>
      <c r="Q98" s="2339"/>
      <c r="R98" s="2339"/>
      <c r="S98" s="2339">
        <v>1</v>
      </c>
      <c r="T98" s="2339"/>
      <c r="U98" s="2339"/>
      <c r="V98" s="2339"/>
      <c r="W98" s="2339"/>
      <c r="X98" s="2339"/>
      <c r="Y98" s="2339"/>
      <c r="Z98" s="2339"/>
      <c r="AA98" s="2339"/>
      <c r="AB98" s="2339"/>
      <c r="AC98" s="2339"/>
      <c r="AD98" s="2339"/>
      <c r="AE98" s="2339">
        <v>1</v>
      </c>
      <c r="AF98" s="2339">
        <v>6</v>
      </c>
      <c r="AG98" s="2339"/>
      <c r="AH98" s="2339"/>
      <c r="AI98" s="2339"/>
      <c r="AJ98" s="2339"/>
      <c r="AK98" s="2339"/>
      <c r="AL98" s="2339">
        <v>1</v>
      </c>
      <c r="AM98" s="2339"/>
      <c r="AN98" s="2339"/>
      <c r="AO98" s="2339"/>
      <c r="AP98" s="2339"/>
      <c r="AQ98" s="2339"/>
      <c r="AR98" s="2339"/>
      <c r="AS98" s="2339">
        <v>6</v>
      </c>
      <c r="AT98" s="2339"/>
      <c r="AU98" s="2339"/>
      <c r="AV98" s="2339"/>
      <c r="AW98" s="2339"/>
      <c r="AX98" s="2339"/>
      <c r="AY98" s="2339"/>
      <c r="AZ98" s="2339"/>
      <c r="BA98" s="2339"/>
      <c r="BB98" s="2339"/>
      <c r="BC98" s="2339">
        <v>118.2</v>
      </c>
      <c r="BD98" s="2339"/>
      <c r="BE98" s="2339">
        <v>0</v>
      </c>
      <c r="BF98" s="2339"/>
      <c r="BG98" s="2339"/>
      <c r="BH98" s="2339"/>
      <c r="BI98" s="2339"/>
      <c r="BJ98" s="2339"/>
      <c r="BK98" s="2339">
        <v>1</v>
      </c>
      <c r="BL98" s="2339"/>
      <c r="BM98" s="2339">
        <v>0</v>
      </c>
      <c r="BN98" s="2339">
        <v>1</v>
      </c>
      <c r="BO98" s="2339"/>
      <c r="BP98" s="2339"/>
      <c r="BQ98" s="2339">
        <v>4</v>
      </c>
      <c r="BR98" s="2339">
        <v>2</v>
      </c>
      <c r="BS98" s="2339"/>
      <c r="BT98" s="2339"/>
      <c r="BU98" s="2339"/>
      <c r="BV98" s="2339"/>
      <c r="BW98" s="2339"/>
      <c r="BX98" s="2339"/>
      <c r="BY98" s="2339"/>
      <c r="BZ98" s="2339"/>
      <c r="CA98" s="2339"/>
      <c r="CB98" s="2339"/>
      <c r="CC98" s="2339"/>
      <c r="CD98" s="2339">
        <v>1</v>
      </c>
      <c r="CE98" s="2339"/>
      <c r="CF98" s="2339"/>
      <c r="CG98" s="2339"/>
      <c r="CH98" s="2339"/>
      <c r="CI98" s="2339"/>
      <c r="CJ98" s="2339"/>
      <c r="CK98" s="2339"/>
      <c r="CL98" s="2339">
        <v>0</v>
      </c>
      <c r="CM98" s="2339"/>
      <c r="CN98" s="2339"/>
      <c r="CO98" s="2339"/>
      <c r="CP98" s="2339"/>
      <c r="CQ98" s="2339"/>
      <c r="CR98" s="2339"/>
      <c r="CS98" s="2339"/>
      <c r="CT98" s="2339"/>
      <c r="CU98" s="2339"/>
      <c r="CV98" s="2339"/>
      <c r="CW98" s="2339">
        <v>0</v>
      </c>
      <c r="CX98" s="2339"/>
      <c r="CZ98" s="1516">
        <v>1</v>
      </c>
      <c r="DB98" s="1516">
        <v>1</v>
      </c>
      <c r="DD98" s="1516">
        <v>1</v>
      </c>
    </row>
    <row r="99" spans="1:108">
      <c r="A99" s="1516"/>
      <c r="B99" s="2339" t="s">
        <v>5259</v>
      </c>
      <c r="C99" s="2339">
        <v>40</v>
      </c>
      <c r="D99" s="2339">
        <v>3335</v>
      </c>
      <c r="E99" s="2339"/>
      <c r="F99" s="2339"/>
      <c r="G99" s="2339"/>
      <c r="H99" s="2339"/>
      <c r="I99" s="2339"/>
      <c r="J99" s="2339"/>
      <c r="K99" s="2339" t="s">
        <v>504</v>
      </c>
      <c r="L99" s="2339"/>
      <c r="M99" s="2339">
        <v>1</v>
      </c>
      <c r="N99" s="2339"/>
      <c r="O99" s="2339"/>
      <c r="P99" s="2339">
        <v>1</v>
      </c>
      <c r="Q99" s="2339"/>
      <c r="R99" s="2339"/>
      <c r="S99" s="2339"/>
      <c r="T99" s="2339"/>
      <c r="U99" s="2339"/>
      <c r="V99" s="2339"/>
      <c r="W99" s="2339"/>
      <c r="X99" s="2339"/>
      <c r="Y99" s="2339"/>
      <c r="Z99" s="2339"/>
      <c r="AA99" s="2339"/>
      <c r="AB99" s="2339"/>
      <c r="AC99" s="2339"/>
      <c r="AD99" s="2339">
        <v>1</v>
      </c>
      <c r="AE99" s="2339"/>
      <c r="AF99" s="2339">
        <v>3</v>
      </c>
      <c r="AG99" s="2339"/>
      <c r="AH99" s="2339"/>
      <c r="AI99" s="2339"/>
      <c r="AJ99" s="2339"/>
      <c r="AK99" s="2339"/>
      <c r="AL99" s="2339">
        <v>1</v>
      </c>
      <c r="AM99" s="2339"/>
      <c r="AN99" s="2339"/>
      <c r="AO99" s="2339"/>
      <c r="AP99" s="2339"/>
      <c r="AQ99" s="2339"/>
      <c r="AR99" s="2339"/>
      <c r="AS99" s="2339"/>
      <c r="AT99" s="2339">
        <v>3</v>
      </c>
      <c r="AU99" s="2339"/>
      <c r="AV99" s="2339"/>
      <c r="AW99" s="2339"/>
      <c r="AX99" s="2339">
        <v>2</v>
      </c>
      <c r="AY99" s="2339"/>
      <c r="AZ99" s="2339">
        <v>5</v>
      </c>
      <c r="BA99" s="2339">
        <v>4</v>
      </c>
      <c r="BB99" s="2339"/>
      <c r="BC99" s="2339">
        <v>120</v>
      </c>
      <c r="BD99" s="2339"/>
      <c r="BE99" s="2339">
        <v>0</v>
      </c>
      <c r="BF99" s="2339"/>
      <c r="BG99" s="2339"/>
      <c r="BH99" s="2339">
        <v>1</v>
      </c>
      <c r="BI99" s="2339"/>
      <c r="BJ99" s="2339"/>
      <c r="BK99" s="2339"/>
      <c r="BL99" s="2339"/>
      <c r="BM99" s="2339">
        <v>0</v>
      </c>
      <c r="BN99" s="2339">
        <v>0</v>
      </c>
      <c r="BO99" s="2339"/>
      <c r="BP99" s="2339"/>
      <c r="BQ99" s="2339"/>
      <c r="BR99" s="2339"/>
      <c r="BS99" s="2339">
        <v>1</v>
      </c>
      <c r="BT99" s="2339"/>
      <c r="BU99" s="2339">
        <v>1</v>
      </c>
      <c r="BV99" s="2339"/>
      <c r="BW99" s="2339"/>
      <c r="BX99" s="2339"/>
      <c r="BY99" s="2339"/>
      <c r="BZ99" s="2339"/>
      <c r="CA99" s="2339"/>
      <c r="CB99" s="2339"/>
      <c r="CC99" s="2339"/>
      <c r="CD99" s="2339"/>
      <c r="CE99" s="2339"/>
      <c r="CF99" s="2339"/>
      <c r="CG99" s="2339"/>
      <c r="CH99" s="2339"/>
      <c r="CI99" s="2339"/>
      <c r="CJ99" s="2339">
        <v>1</v>
      </c>
      <c r="CK99" s="2339">
        <v>0</v>
      </c>
      <c r="CL99" s="2339">
        <v>1</v>
      </c>
      <c r="CM99" s="2339">
        <v>0</v>
      </c>
      <c r="CN99" s="2339">
        <v>0</v>
      </c>
      <c r="CO99" s="2339"/>
      <c r="CP99" s="2339"/>
      <c r="CQ99" s="2339"/>
      <c r="CR99" s="2339"/>
      <c r="CS99" s="2339"/>
      <c r="CT99" s="2339"/>
      <c r="CU99" s="2339">
        <v>2</v>
      </c>
      <c r="CV99" s="2339"/>
      <c r="CW99" s="2339">
        <v>0</v>
      </c>
      <c r="CX99" s="2339"/>
      <c r="CZ99" s="1516">
        <v>1</v>
      </c>
      <c r="DB99" s="1516">
        <v>1</v>
      </c>
      <c r="DD99" s="1516">
        <v>1</v>
      </c>
    </row>
    <row r="100" spans="1:108">
      <c r="A100" s="1516"/>
      <c r="B100" s="2339">
        <v>135</v>
      </c>
      <c r="C100" s="2339">
        <v>40.1</v>
      </c>
      <c r="D100" s="2339">
        <v>3375.1</v>
      </c>
      <c r="E100" s="2339"/>
      <c r="F100" s="2339"/>
      <c r="G100" s="2339"/>
      <c r="H100" s="2339"/>
      <c r="I100" s="2339"/>
      <c r="J100" s="2339" t="s">
        <v>504</v>
      </c>
      <c r="K100" s="2339" t="s">
        <v>504</v>
      </c>
      <c r="L100" s="2339">
        <v>1</v>
      </c>
      <c r="M100" s="2339"/>
      <c r="N100" s="2339"/>
      <c r="O100" s="2339"/>
      <c r="P100" s="2339"/>
      <c r="Q100" s="2339"/>
      <c r="R100" s="2339"/>
      <c r="S100" s="2339"/>
      <c r="T100" s="2339"/>
      <c r="U100" s="2339"/>
      <c r="V100" s="2339"/>
      <c r="W100" s="2339"/>
      <c r="X100" s="2339"/>
      <c r="Y100" s="2339"/>
      <c r="Z100" s="2339"/>
      <c r="AA100" s="2339"/>
      <c r="AB100" s="2339"/>
      <c r="AC100" s="2339"/>
      <c r="AD100" s="2339">
        <v>1</v>
      </c>
      <c r="AE100" s="2339"/>
      <c r="AF100" s="2339">
        <v>3</v>
      </c>
      <c r="AG100" s="2339"/>
      <c r="AH100" s="2339"/>
      <c r="AI100" s="2339"/>
      <c r="AJ100" s="2339"/>
      <c r="AK100" s="2339"/>
      <c r="AL100" s="2339">
        <v>1</v>
      </c>
      <c r="AM100" s="2339"/>
      <c r="AN100" s="2339"/>
      <c r="AO100" s="2339"/>
      <c r="AP100" s="2339"/>
      <c r="AQ100" s="2339"/>
      <c r="AR100" s="2339"/>
      <c r="AS100" s="2339"/>
      <c r="AT100" s="2339">
        <v>3</v>
      </c>
      <c r="AU100" s="2339"/>
      <c r="AV100" s="2339"/>
      <c r="AW100" s="2339"/>
      <c r="AX100" s="2339"/>
      <c r="AY100" s="2339"/>
      <c r="AZ100" s="2339"/>
      <c r="BA100" s="2339"/>
      <c r="BB100" s="2339"/>
      <c r="BC100" s="2339">
        <v>120.3</v>
      </c>
      <c r="BD100" s="2339"/>
      <c r="BE100" s="2339">
        <v>0</v>
      </c>
      <c r="BF100" s="2339"/>
      <c r="BG100" s="2339"/>
      <c r="BH100" s="2339"/>
      <c r="BI100" s="2339"/>
      <c r="BJ100" s="2339">
        <v>1</v>
      </c>
      <c r="BK100" s="2339"/>
      <c r="BL100" s="2339"/>
      <c r="BM100" s="2339">
        <v>0</v>
      </c>
      <c r="BN100" s="2339">
        <v>0</v>
      </c>
      <c r="BO100" s="2339"/>
      <c r="BP100" s="2339"/>
      <c r="BQ100" s="2339">
        <v>2</v>
      </c>
      <c r="BR100" s="2339">
        <v>1</v>
      </c>
      <c r="BS100" s="2339"/>
      <c r="BT100" s="2339"/>
      <c r="BU100" s="2339"/>
      <c r="BV100" s="2339"/>
      <c r="BW100" s="2339"/>
      <c r="BX100" s="2339"/>
      <c r="BY100" s="2339"/>
      <c r="BZ100" s="2339"/>
      <c r="CA100" s="2339"/>
      <c r="CB100" s="2339"/>
      <c r="CC100" s="2339"/>
      <c r="CD100" s="2339">
        <v>1</v>
      </c>
      <c r="CE100" s="2339"/>
      <c r="CF100" s="2339"/>
      <c r="CG100" s="2339"/>
      <c r="CH100" s="2339"/>
      <c r="CI100" s="2339"/>
      <c r="CJ100" s="2339"/>
      <c r="CK100" s="2339"/>
      <c r="CL100" s="2339">
        <v>0</v>
      </c>
      <c r="CM100" s="2339"/>
      <c r="CN100" s="2339"/>
      <c r="CO100" s="2339"/>
      <c r="CP100" s="2339"/>
      <c r="CQ100" s="2339"/>
      <c r="CR100" s="2339"/>
      <c r="CS100" s="2339"/>
      <c r="CT100" s="2339"/>
      <c r="CU100" s="2339"/>
      <c r="CV100" s="2339"/>
      <c r="CW100" s="2339">
        <v>0</v>
      </c>
      <c r="CX100" s="2339"/>
      <c r="CZ100" s="1516">
        <v>1</v>
      </c>
      <c r="DB100" s="1516">
        <v>1</v>
      </c>
      <c r="DD100" s="1516">
        <v>1</v>
      </c>
    </row>
    <row r="101" spans="1:108">
      <c r="A101" s="1516"/>
      <c r="B101" s="2339" t="s">
        <v>5260</v>
      </c>
      <c r="C101" s="2339">
        <v>37</v>
      </c>
      <c r="D101" s="2339">
        <v>3412.1</v>
      </c>
      <c r="E101" s="2339"/>
      <c r="F101" s="2339"/>
      <c r="G101" s="2339"/>
      <c r="H101" s="2339"/>
      <c r="I101" s="2339"/>
      <c r="J101" s="2339"/>
      <c r="K101" s="2339" t="s">
        <v>504</v>
      </c>
      <c r="L101" s="2339"/>
      <c r="M101" s="2339">
        <v>1</v>
      </c>
      <c r="N101" s="2339"/>
      <c r="O101" s="2339"/>
      <c r="P101" s="2339">
        <v>1</v>
      </c>
      <c r="Q101" s="2339"/>
      <c r="R101" s="2339"/>
      <c r="S101" s="2339"/>
      <c r="T101" s="2339"/>
      <c r="U101" s="2339"/>
      <c r="V101" s="2339"/>
      <c r="W101" s="2339"/>
      <c r="X101" s="2339"/>
      <c r="Y101" s="2339"/>
      <c r="Z101" s="2339"/>
      <c r="AA101" s="2339"/>
      <c r="AB101" s="2339"/>
      <c r="AC101" s="2339"/>
      <c r="AD101" s="2339">
        <v>1</v>
      </c>
      <c r="AE101" s="2339"/>
      <c r="AF101" s="2339">
        <v>3</v>
      </c>
      <c r="AG101" s="2339"/>
      <c r="AH101" s="2339"/>
      <c r="AI101" s="2339"/>
      <c r="AJ101" s="2339"/>
      <c r="AK101" s="2339"/>
      <c r="AL101" s="2339">
        <v>1</v>
      </c>
      <c r="AM101" s="2339"/>
      <c r="AN101" s="2339"/>
      <c r="AO101" s="2339"/>
      <c r="AP101" s="2339"/>
      <c r="AQ101" s="2339"/>
      <c r="AR101" s="2339"/>
      <c r="AS101" s="2339"/>
      <c r="AT101" s="2339">
        <v>3</v>
      </c>
      <c r="AU101" s="2339"/>
      <c r="AV101" s="2339"/>
      <c r="AW101" s="2339"/>
      <c r="AX101" s="2339">
        <v>2</v>
      </c>
      <c r="AY101" s="2339"/>
      <c r="AZ101" s="2339">
        <v>5</v>
      </c>
      <c r="BA101" s="2339">
        <v>4</v>
      </c>
      <c r="BB101" s="2339"/>
      <c r="BC101" s="2339">
        <v>111</v>
      </c>
      <c r="BD101" s="2339"/>
      <c r="BE101" s="2339">
        <v>0</v>
      </c>
      <c r="BF101" s="2339"/>
      <c r="BG101" s="2339"/>
      <c r="BH101" s="2339">
        <v>1</v>
      </c>
      <c r="BI101" s="2339"/>
      <c r="BJ101" s="2339"/>
      <c r="BK101" s="2339"/>
      <c r="BL101" s="2339"/>
      <c r="BM101" s="2339">
        <v>0</v>
      </c>
      <c r="BN101" s="2339">
        <v>0</v>
      </c>
      <c r="BO101" s="2339"/>
      <c r="BP101" s="2339"/>
      <c r="BQ101" s="2339"/>
      <c r="BR101" s="2339"/>
      <c r="BS101" s="2339">
        <v>1</v>
      </c>
      <c r="BT101" s="2339"/>
      <c r="BU101" s="2339">
        <v>1</v>
      </c>
      <c r="BV101" s="2339"/>
      <c r="BW101" s="2339"/>
      <c r="BX101" s="2339"/>
      <c r="BY101" s="2339"/>
      <c r="BZ101" s="2339"/>
      <c r="CA101" s="2339"/>
      <c r="CB101" s="2339"/>
      <c r="CC101" s="2339"/>
      <c r="CD101" s="2339"/>
      <c r="CE101" s="2339"/>
      <c r="CF101" s="2339"/>
      <c r="CG101" s="2339"/>
      <c r="CH101" s="2339"/>
      <c r="CI101" s="2339"/>
      <c r="CJ101" s="2339">
        <v>1</v>
      </c>
      <c r="CK101" s="2339">
        <v>0</v>
      </c>
      <c r="CL101" s="2339">
        <v>1</v>
      </c>
      <c r="CM101" s="2339">
        <v>0</v>
      </c>
      <c r="CN101" s="2339">
        <v>0</v>
      </c>
      <c r="CO101" s="2339"/>
      <c r="CP101" s="2339"/>
      <c r="CQ101" s="2339"/>
      <c r="CR101" s="2339"/>
      <c r="CS101" s="2339"/>
      <c r="CT101" s="2339"/>
      <c r="CU101" s="2339">
        <v>2</v>
      </c>
      <c r="CV101" s="2339"/>
      <c r="CW101" s="2339">
        <v>0</v>
      </c>
      <c r="CX101" s="2339"/>
      <c r="CZ101" s="1516">
        <v>1</v>
      </c>
      <c r="DB101" s="1516">
        <v>1</v>
      </c>
      <c r="DD101" s="1516">
        <v>1</v>
      </c>
    </row>
    <row r="102" spans="1:108">
      <c r="B102" s="2339">
        <v>136</v>
      </c>
      <c r="C102" s="2339">
        <v>36.6</v>
      </c>
      <c r="D102" s="2339">
        <v>3448.7</v>
      </c>
      <c r="E102" s="2339"/>
      <c r="F102" s="2339"/>
      <c r="G102" s="2339"/>
      <c r="H102" s="2339"/>
      <c r="I102" s="2339"/>
      <c r="J102" s="2339" t="s">
        <v>504</v>
      </c>
      <c r="K102" s="2339" t="s">
        <v>504</v>
      </c>
      <c r="L102" s="2339">
        <v>1</v>
      </c>
      <c r="M102" s="2339"/>
      <c r="N102" s="2339"/>
      <c r="O102" s="2339"/>
      <c r="P102" s="2339"/>
      <c r="Q102" s="2339"/>
      <c r="R102" s="2339"/>
      <c r="S102" s="2339"/>
      <c r="T102" s="2339"/>
      <c r="U102" s="2339"/>
      <c r="V102" s="2339"/>
      <c r="W102" s="2339"/>
      <c r="X102" s="2339"/>
      <c r="Y102" s="2339"/>
      <c r="Z102" s="2339">
        <v>1</v>
      </c>
      <c r="AA102" s="2339"/>
      <c r="AB102" s="2339"/>
      <c r="AC102" s="2339"/>
      <c r="AD102" s="2339">
        <v>1</v>
      </c>
      <c r="AE102" s="2339"/>
      <c r="AF102" s="2339">
        <v>3</v>
      </c>
      <c r="AG102" s="2339"/>
      <c r="AH102" s="2339"/>
      <c r="AI102" s="2339"/>
      <c r="AJ102" s="2339"/>
      <c r="AK102" s="2339"/>
      <c r="AL102" s="2339">
        <v>1</v>
      </c>
      <c r="AM102" s="2339"/>
      <c r="AN102" s="2339"/>
      <c r="AO102" s="2339"/>
      <c r="AP102" s="2339"/>
      <c r="AQ102" s="2339"/>
      <c r="AR102" s="2339"/>
      <c r="AS102" s="2339"/>
      <c r="AT102" s="2339">
        <v>3</v>
      </c>
      <c r="AU102" s="2339"/>
      <c r="AV102" s="2339"/>
      <c r="AW102" s="2339"/>
      <c r="AX102" s="2339"/>
      <c r="AY102" s="2339"/>
      <c r="AZ102" s="2339"/>
      <c r="BA102" s="2339"/>
      <c r="BB102" s="2339"/>
      <c r="BC102" s="2339">
        <v>109.8</v>
      </c>
      <c r="BD102" s="2339"/>
      <c r="BE102" s="2339">
        <v>0</v>
      </c>
      <c r="BF102" s="2339"/>
      <c r="BG102" s="2339"/>
      <c r="BH102" s="2339"/>
      <c r="BI102" s="2339"/>
      <c r="BJ102" s="2339">
        <v>1</v>
      </c>
      <c r="BK102" s="2339"/>
      <c r="BL102" s="2339"/>
      <c r="BM102" s="2339">
        <v>0</v>
      </c>
      <c r="BN102" s="2339">
        <v>0</v>
      </c>
      <c r="BO102" s="2339"/>
      <c r="BP102" s="2339"/>
      <c r="BQ102" s="2339">
        <v>2</v>
      </c>
      <c r="BR102" s="2339">
        <v>1</v>
      </c>
      <c r="BS102" s="2339"/>
      <c r="BT102" s="2339"/>
      <c r="BU102" s="2339"/>
      <c r="BV102" s="2339"/>
      <c r="BW102" s="2339"/>
      <c r="BX102" s="2339"/>
      <c r="BY102" s="2339"/>
      <c r="BZ102" s="2339"/>
      <c r="CA102" s="2339"/>
      <c r="CB102" s="2339"/>
      <c r="CC102" s="2339"/>
      <c r="CD102" s="2339">
        <v>1</v>
      </c>
      <c r="CE102" s="2339"/>
      <c r="CF102" s="2339"/>
      <c r="CG102" s="2339"/>
      <c r="CH102" s="2339"/>
      <c r="CI102" s="2339"/>
      <c r="CJ102" s="2339"/>
      <c r="CK102" s="2339"/>
      <c r="CL102" s="2339">
        <v>0</v>
      </c>
      <c r="CM102" s="2339"/>
      <c r="CN102" s="2339"/>
      <c r="CO102" s="2339"/>
      <c r="CP102" s="2339"/>
      <c r="CQ102" s="2339"/>
      <c r="CR102" s="2339"/>
      <c r="CS102" s="2339"/>
      <c r="CT102" s="2339"/>
      <c r="CU102" s="2339"/>
      <c r="CV102" s="2339"/>
      <c r="CW102" s="2339">
        <v>0</v>
      </c>
      <c r="CX102" s="2339"/>
      <c r="CZ102" s="1516">
        <v>1</v>
      </c>
      <c r="DB102" s="1516">
        <v>1</v>
      </c>
      <c r="DD102" s="1516">
        <v>1</v>
      </c>
    </row>
    <row r="103" spans="1:108">
      <c r="B103" s="2339" t="s">
        <v>5261</v>
      </c>
      <c r="C103" s="2339">
        <v>42</v>
      </c>
      <c r="D103" s="2339">
        <v>3490.7</v>
      </c>
      <c r="E103" s="2339"/>
      <c r="F103" s="2339"/>
      <c r="G103" s="2339">
        <v>12</v>
      </c>
      <c r="H103" s="2339">
        <v>6</v>
      </c>
      <c r="I103" s="2339"/>
      <c r="J103" s="2339"/>
      <c r="K103" s="2339" t="s">
        <v>550</v>
      </c>
      <c r="L103" s="2339"/>
      <c r="M103" s="2339">
        <v>2</v>
      </c>
      <c r="N103" s="2339"/>
      <c r="O103" s="2339"/>
      <c r="P103" s="2339"/>
      <c r="Q103" s="2339">
        <v>1</v>
      </c>
      <c r="R103" s="2339"/>
      <c r="S103" s="2339"/>
      <c r="T103" s="2339"/>
      <c r="U103" s="2339"/>
      <c r="V103" s="2339"/>
      <c r="W103" s="2339"/>
      <c r="X103" s="2339"/>
      <c r="Y103" s="2339"/>
      <c r="Z103" s="2339"/>
      <c r="AA103" s="2339"/>
      <c r="AB103" s="2339"/>
      <c r="AC103" s="2339">
        <v>1</v>
      </c>
      <c r="AD103" s="2339"/>
      <c r="AE103" s="2339"/>
      <c r="AF103" s="2339">
        <v>6</v>
      </c>
      <c r="AG103" s="2339">
        <v>9</v>
      </c>
      <c r="AH103" s="2339"/>
      <c r="AI103" s="2339"/>
      <c r="AJ103" s="2339">
        <v>6</v>
      </c>
      <c r="AK103" s="2339">
        <v>2</v>
      </c>
      <c r="AL103" s="2339"/>
      <c r="AM103" s="2339"/>
      <c r="AN103" s="2339"/>
      <c r="AO103" s="2339"/>
      <c r="AP103" s="2339"/>
      <c r="AQ103" s="2339">
        <v>2</v>
      </c>
      <c r="AR103" s="2339">
        <v>6</v>
      </c>
      <c r="AS103" s="2339"/>
      <c r="AT103" s="2339">
        <v>6</v>
      </c>
      <c r="AU103" s="2339">
        <v>3</v>
      </c>
      <c r="AV103" s="2339"/>
      <c r="AW103" s="2339"/>
      <c r="AX103" s="2339">
        <v>2</v>
      </c>
      <c r="AY103" s="2339"/>
      <c r="AZ103" s="2339">
        <v>8</v>
      </c>
      <c r="BA103" s="2339">
        <v>8</v>
      </c>
      <c r="BB103" s="2339">
        <v>1.2</v>
      </c>
      <c r="BC103" s="2339">
        <v>126</v>
      </c>
      <c r="BD103" s="2339"/>
      <c r="BE103" s="2339">
        <v>0</v>
      </c>
      <c r="BF103" s="2339"/>
      <c r="BG103" s="2339"/>
      <c r="BH103" s="2339">
        <v>1</v>
      </c>
      <c r="BI103" s="2339"/>
      <c r="BJ103" s="2339"/>
      <c r="BK103" s="2339"/>
      <c r="BL103" s="2339"/>
      <c r="BM103" s="2339">
        <v>0</v>
      </c>
      <c r="BN103" s="2339">
        <v>0</v>
      </c>
      <c r="BO103" s="2339"/>
      <c r="BP103" s="2339"/>
      <c r="BQ103" s="2339"/>
      <c r="BR103" s="2339"/>
      <c r="BS103" s="2339">
        <v>1</v>
      </c>
      <c r="BT103" s="2339"/>
      <c r="BU103" s="2339">
        <v>2</v>
      </c>
      <c r="BV103" s="2339"/>
      <c r="BW103" s="2339"/>
      <c r="BX103" s="2339"/>
      <c r="BY103" s="2339"/>
      <c r="BZ103" s="2339"/>
      <c r="CA103" s="2339"/>
      <c r="CB103" s="2339"/>
      <c r="CC103" s="2339"/>
      <c r="CD103" s="2339"/>
      <c r="CE103" s="2339"/>
      <c r="CF103" s="2339"/>
      <c r="CG103" s="2339"/>
      <c r="CH103" s="2339"/>
      <c r="CI103" s="2339"/>
      <c r="CJ103" s="2339">
        <v>1</v>
      </c>
      <c r="CK103" s="2339">
        <v>0</v>
      </c>
      <c r="CL103" s="2339">
        <v>2</v>
      </c>
      <c r="CM103" s="2339">
        <v>0</v>
      </c>
      <c r="CN103" s="2339">
        <v>0</v>
      </c>
      <c r="CO103" s="2339"/>
      <c r="CP103" s="2339"/>
      <c r="CQ103" s="2339"/>
      <c r="CR103" s="2339"/>
      <c r="CS103" s="2339"/>
      <c r="CT103" s="2339"/>
      <c r="CU103" s="2339">
        <v>2</v>
      </c>
      <c r="CV103" s="2339"/>
      <c r="CW103" s="2339">
        <v>0</v>
      </c>
      <c r="CX103" s="2339"/>
      <c r="CZ103" s="1516">
        <v>1</v>
      </c>
      <c r="DB103" s="1516">
        <v>1</v>
      </c>
      <c r="DD103" s="1516">
        <v>1</v>
      </c>
    </row>
    <row r="104" spans="1:108">
      <c r="B104" s="2339">
        <v>137</v>
      </c>
      <c r="C104" s="2339">
        <v>41.8</v>
      </c>
      <c r="D104" s="2339">
        <v>3532.5</v>
      </c>
      <c r="E104" s="2339"/>
      <c r="F104" s="2339"/>
      <c r="G104" s="2339"/>
      <c r="H104" s="2339"/>
      <c r="I104" s="2339">
        <v>5</v>
      </c>
      <c r="J104" s="2339" t="s">
        <v>504</v>
      </c>
      <c r="K104" s="2339" t="s">
        <v>504</v>
      </c>
      <c r="L104" s="2339">
        <v>1</v>
      </c>
      <c r="M104" s="2339"/>
      <c r="N104" s="2339">
        <v>1</v>
      </c>
      <c r="O104" s="2339"/>
      <c r="P104" s="2339"/>
      <c r="Q104" s="2339"/>
      <c r="R104" s="2339">
        <v>1</v>
      </c>
      <c r="S104" s="2339"/>
      <c r="T104" s="2339"/>
      <c r="U104" s="2339"/>
      <c r="V104" s="2339"/>
      <c r="W104" s="2339"/>
      <c r="X104" s="2339"/>
      <c r="Y104" s="2339"/>
      <c r="Z104" s="2339"/>
      <c r="AA104" s="2339">
        <v>1</v>
      </c>
      <c r="AB104" s="2339"/>
      <c r="AC104" s="2339"/>
      <c r="AD104" s="2339">
        <v>1</v>
      </c>
      <c r="AE104" s="2339"/>
      <c r="AF104" s="2339">
        <v>3</v>
      </c>
      <c r="AG104" s="2339"/>
      <c r="AH104" s="2339"/>
      <c r="AI104" s="2339"/>
      <c r="AJ104" s="2339"/>
      <c r="AK104" s="2339"/>
      <c r="AL104" s="2339">
        <v>1</v>
      </c>
      <c r="AM104" s="2339">
        <v>1</v>
      </c>
      <c r="AN104" s="2339">
        <v>1</v>
      </c>
      <c r="AO104" s="2339"/>
      <c r="AP104" s="2339"/>
      <c r="AQ104" s="2339">
        <v>2</v>
      </c>
      <c r="AR104" s="2339"/>
      <c r="AS104" s="2339"/>
      <c r="AT104" s="2339">
        <v>3</v>
      </c>
      <c r="AU104" s="2339"/>
      <c r="AV104" s="2339"/>
      <c r="AW104" s="2339"/>
      <c r="AX104" s="2339"/>
      <c r="AY104" s="2339"/>
      <c r="AZ104" s="2339"/>
      <c r="BA104" s="2339"/>
      <c r="BB104" s="2339"/>
      <c r="BC104" s="2339">
        <v>125.4</v>
      </c>
      <c r="BD104" s="2339"/>
      <c r="BE104" s="2339">
        <v>0</v>
      </c>
      <c r="BF104" s="2339">
        <v>1</v>
      </c>
      <c r="BG104" s="2339"/>
      <c r="BH104" s="2339"/>
      <c r="BI104" s="2339">
        <v>1</v>
      </c>
      <c r="BJ104" s="2339">
        <v>1</v>
      </c>
      <c r="BK104" s="2339"/>
      <c r="BL104" s="2339"/>
      <c r="BM104" s="2339">
        <v>0</v>
      </c>
      <c r="BN104" s="2339">
        <v>0</v>
      </c>
      <c r="BO104" s="2339"/>
      <c r="BP104" s="2339"/>
      <c r="BQ104" s="2339">
        <v>2</v>
      </c>
      <c r="BR104" s="2339">
        <v>1</v>
      </c>
      <c r="BS104" s="2339"/>
      <c r="BT104" s="2339"/>
      <c r="BU104" s="2339"/>
      <c r="BV104" s="2339"/>
      <c r="BW104" s="2339"/>
      <c r="BX104" s="2339">
        <v>1</v>
      </c>
      <c r="BY104" s="2339">
        <v>1</v>
      </c>
      <c r="BZ104" s="2339"/>
      <c r="CA104" s="2339">
        <v>1</v>
      </c>
      <c r="CB104" s="2339">
        <v>1</v>
      </c>
      <c r="CC104" s="2339"/>
      <c r="CD104" s="2339">
        <v>1</v>
      </c>
      <c r="CE104" s="2339"/>
      <c r="CF104" s="2339"/>
      <c r="CG104" s="2339">
        <v>1</v>
      </c>
      <c r="CH104" s="2339"/>
      <c r="CI104" s="2339"/>
      <c r="CJ104" s="2339"/>
      <c r="CK104" s="2339"/>
      <c r="CL104" s="2339">
        <v>0</v>
      </c>
      <c r="CM104" s="2339"/>
      <c r="CN104" s="2339"/>
      <c r="CO104" s="2339">
        <v>1</v>
      </c>
      <c r="CP104" s="2339"/>
      <c r="CQ104" s="2339">
        <v>1</v>
      </c>
      <c r="CR104" s="2339">
        <v>1</v>
      </c>
      <c r="CS104" s="2339"/>
      <c r="CT104" s="2339"/>
      <c r="CU104" s="2339"/>
      <c r="CV104" s="2339"/>
      <c r="CW104" s="2339">
        <v>0</v>
      </c>
      <c r="CX104" s="2339" t="s">
        <v>5218</v>
      </c>
      <c r="CZ104" s="1516">
        <v>1</v>
      </c>
      <c r="DA104" s="1516"/>
      <c r="DB104" s="1516">
        <v>1</v>
      </c>
      <c r="DD104" s="1516">
        <v>1</v>
      </c>
    </row>
    <row r="105" spans="1:108">
      <c r="B105" s="2339" t="s">
        <v>5262</v>
      </c>
      <c r="C105" s="2339">
        <v>36</v>
      </c>
      <c r="D105" s="2339">
        <v>3568.5</v>
      </c>
      <c r="E105" s="2339"/>
      <c r="F105" s="2339"/>
      <c r="G105" s="2339"/>
      <c r="H105" s="2339"/>
      <c r="I105" s="2339"/>
      <c r="J105" s="2339"/>
      <c r="K105" s="2339" t="s">
        <v>504</v>
      </c>
      <c r="L105" s="2339"/>
      <c r="M105" s="2339">
        <v>1</v>
      </c>
      <c r="N105" s="2339"/>
      <c r="O105" s="2339"/>
      <c r="P105" s="2339">
        <v>1</v>
      </c>
      <c r="Q105" s="2339"/>
      <c r="R105" s="2339"/>
      <c r="S105" s="2339"/>
      <c r="T105" s="2339"/>
      <c r="U105" s="2339"/>
      <c r="V105" s="2339"/>
      <c r="W105" s="2339"/>
      <c r="X105" s="2339"/>
      <c r="Y105" s="2339"/>
      <c r="Z105" s="2339"/>
      <c r="AA105" s="2339"/>
      <c r="AB105" s="2339"/>
      <c r="AC105" s="2339"/>
      <c r="AD105" s="2339">
        <v>1</v>
      </c>
      <c r="AE105" s="2339"/>
      <c r="AF105" s="2339">
        <v>3</v>
      </c>
      <c r="AG105" s="2339"/>
      <c r="AH105" s="2339"/>
      <c r="AI105" s="2339"/>
      <c r="AJ105" s="2339"/>
      <c r="AK105" s="2339"/>
      <c r="AL105" s="2339">
        <v>1</v>
      </c>
      <c r="AM105" s="2339"/>
      <c r="AN105" s="2339"/>
      <c r="AO105" s="2339"/>
      <c r="AP105" s="2339"/>
      <c r="AQ105" s="2339"/>
      <c r="AR105" s="2339"/>
      <c r="AS105" s="2339"/>
      <c r="AT105" s="2339">
        <v>3</v>
      </c>
      <c r="AU105" s="2339"/>
      <c r="AV105" s="2339"/>
      <c r="AW105" s="2339"/>
      <c r="AX105" s="2339">
        <v>2</v>
      </c>
      <c r="AY105" s="2339"/>
      <c r="AZ105" s="2339">
        <v>2</v>
      </c>
      <c r="BA105" s="2339">
        <v>4</v>
      </c>
      <c r="BB105" s="2339"/>
      <c r="BC105" s="2339">
        <v>108</v>
      </c>
      <c r="BD105" s="2339"/>
      <c r="BE105" s="2339">
        <v>0</v>
      </c>
      <c r="BF105" s="2339"/>
      <c r="BG105" s="2339"/>
      <c r="BH105" s="2339">
        <v>1</v>
      </c>
      <c r="BI105" s="2339"/>
      <c r="BJ105" s="2339"/>
      <c r="BK105" s="2339"/>
      <c r="BL105" s="2339"/>
      <c r="BM105" s="2339">
        <v>0</v>
      </c>
      <c r="BN105" s="2339">
        <v>0</v>
      </c>
      <c r="BO105" s="2339"/>
      <c r="BP105" s="2339"/>
      <c r="BQ105" s="2339"/>
      <c r="BR105" s="2339"/>
      <c r="BS105" s="2339">
        <v>1</v>
      </c>
      <c r="BT105" s="2339"/>
      <c r="BU105" s="2339">
        <v>1</v>
      </c>
      <c r="BV105" s="2339"/>
      <c r="BW105" s="2339"/>
      <c r="BX105" s="2339"/>
      <c r="BY105" s="2339"/>
      <c r="BZ105" s="2339"/>
      <c r="CA105" s="2339"/>
      <c r="CB105" s="2339"/>
      <c r="CC105" s="2339"/>
      <c r="CD105" s="2339"/>
      <c r="CE105" s="2339"/>
      <c r="CF105" s="2339"/>
      <c r="CG105" s="2339"/>
      <c r="CH105" s="2339"/>
      <c r="CI105" s="2339"/>
      <c r="CJ105" s="2339">
        <v>1</v>
      </c>
      <c r="CK105" s="2339">
        <v>0</v>
      </c>
      <c r="CL105" s="2339">
        <v>1</v>
      </c>
      <c r="CM105" s="2339">
        <v>0</v>
      </c>
      <c r="CN105" s="2339">
        <v>0</v>
      </c>
      <c r="CO105" s="2339"/>
      <c r="CP105" s="2339"/>
      <c r="CQ105" s="2339"/>
      <c r="CR105" s="2339"/>
      <c r="CS105" s="2339"/>
      <c r="CT105" s="2339"/>
      <c r="CU105" s="2339">
        <v>2</v>
      </c>
      <c r="CV105" s="2339"/>
      <c r="CW105" s="2339">
        <v>0</v>
      </c>
      <c r="CX105" s="2339"/>
      <c r="DA105">
        <v>1</v>
      </c>
      <c r="DC105">
        <v>1</v>
      </c>
    </row>
    <row r="106" spans="1:108">
      <c r="B106" s="2339">
        <v>138</v>
      </c>
      <c r="C106" s="2339">
        <v>36.4</v>
      </c>
      <c r="D106" s="2339">
        <v>3604.9</v>
      </c>
      <c r="E106" s="2339"/>
      <c r="F106" s="2339"/>
      <c r="G106" s="2339"/>
      <c r="H106" s="2339"/>
      <c r="I106" s="2339"/>
      <c r="J106" s="2339" t="s">
        <v>504</v>
      </c>
      <c r="K106" s="2339" t="s">
        <v>504</v>
      </c>
      <c r="L106" s="2339">
        <v>1</v>
      </c>
      <c r="M106" s="2339"/>
      <c r="N106" s="2339"/>
      <c r="O106" s="2339"/>
      <c r="P106" s="2339"/>
      <c r="Q106" s="2339"/>
      <c r="R106" s="2339"/>
      <c r="S106" s="2339"/>
      <c r="T106" s="2339"/>
      <c r="U106" s="2339"/>
      <c r="V106" s="2339"/>
      <c r="W106" s="2339"/>
      <c r="X106" s="2339"/>
      <c r="Y106" s="2339"/>
      <c r="Z106" s="2339"/>
      <c r="AA106" s="2339"/>
      <c r="AB106" s="2339"/>
      <c r="AC106" s="2339"/>
      <c r="AD106" s="2339">
        <v>1</v>
      </c>
      <c r="AE106" s="2339"/>
      <c r="AF106" s="2339">
        <v>3</v>
      </c>
      <c r="AG106" s="2339"/>
      <c r="AH106" s="2339"/>
      <c r="AI106" s="2339"/>
      <c r="AJ106" s="2339"/>
      <c r="AK106" s="2339"/>
      <c r="AL106" s="2339">
        <v>1</v>
      </c>
      <c r="AM106" s="2339"/>
      <c r="AN106" s="2339"/>
      <c r="AO106" s="2339"/>
      <c r="AP106" s="2339"/>
      <c r="AQ106" s="2339"/>
      <c r="AR106" s="2339"/>
      <c r="AS106" s="2339"/>
      <c r="AT106" s="2339">
        <v>3</v>
      </c>
      <c r="AU106" s="2339"/>
      <c r="AV106" s="2339">
        <v>6</v>
      </c>
      <c r="AW106" s="2339"/>
      <c r="AX106" s="2339"/>
      <c r="AY106" s="2339"/>
      <c r="AZ106" s="2339"/>
      <c r="BA106" s="2339"/>
      <c r="BB106" s="2339"/>
      <c r="BC106" s="2339">
        <v>109.2</v>
      </c>
      <c r="BD106" s="2339"/>
      <c r="BE106" s="2339">
        <v>0</v>
      </c>
      <c r="BF106" s="2339"/>
      <c r="BG106" s="2339"/>
      <c r="BH106" s="2339"/>
      <c r="BI106" s="2339"/>
      <c r="BJ106" s="2339">
        <v>1</v>
      </c>
      <c r="BK106" s="2339"/>
      <c r="BL106" s="2339"/>
      <c r="BM106" s="2339">
        <v>0</v>
      </c>
      <c r="BN106" s="2339">
        <v>0</v>
      </c>
      <c r="BO106" s="2339"/>
      <c r="BP106" s="2339"/>
      <c r="BQ106" s="2339">
        <v>2</v>
      </c>
      <c r="BR106" s="2339">
        <v>1</v>
      </c>
      <c r="BS106" s="2339"/>
      <c r="BT106" s="2339"/>
      <c r="BU106" s="2339"/>
      <c r="BV106" s="2339"/>
      <c r="BW106" s="2339"/>
      <c r="BX106" s="2339"/>
      <c r="BY106" s="2339"/>
      <c r="BZ106" s="2339"/>
      <c r="CA106" s="2339"/>
      <c r="CB106" s="2339"/>
      <c r="CC106" s="2339"/>
      <c r="CD106" s="2339"/>
      <c r="CE106" s="2339"/>
      <c r="CF106" s="2339"/>
      <c r="CG106" s="2339"/>
      <c r="CH106" s="2339"/>
      <c r="CI106" s="2339">
        <v>1</v>
      </c>
      <c r="CJ106" s="2339"/>
      <c r="CK106" s="2339"/>
      <c r="CL106" s="2339">
        <v>0</v>
      </c>
      <c r="CM106" s="2339"/>
      <c r="CN106" s="2339"/>
      <c r="CO106" s="2339"/>
      <c r="CP106" s="2339"/>
      <c r="CQ106" s="2339"/>
      <c r="CR106" s="2339"/>
      <c r="CS106" s="2339"/>
      <c r="CT106" s="2339"/>
      <c r="CU106" s="2339"/>
      <c r="CV106" s="2339"/>
      <c r="CW106" s="2339">
        <v>0</v>
      </c>
      <c r="CX106" s="2339"/>
      <c r="DA106" s="1516">
        <v>1</v>
      </c>
      <c r="DC106" s="1516">
        <v>1</v>
      </c>
    </row>
    <row r="107" spans="1:108">
      <c r="B107" s="2339" t="s">
        <v>5263</v>
      </c>
      <c r="C107" s="2339">
        <v>43</v>
      </c>
      <c r="D107" s="2339">
        <v>3647.9</v>
      </c>
      <c r="E107" s="2339"/>
      <c r="F107" s="2339"/>
      <c r="G107" s="2339"/>
      <c r="H107" s="2339"/>
      <c r="I107" s="2339"/>
      <c r="J107" s="2339"/>
      <c r="K107" s="2339" t="s">
        <v>504</v>
      </c>
      <c r="L107" s="2339"/>
      <c r="M107" s="2339">
        <v>1</v>
      </c>
      <c r="N107" s="2339"/>
      <c r="O107" s="2339"/>
      <c r="P107" s="2339">
        <v>1</v>
      </c>
      <c r="Q107" s="2339"/>
      <c r="R107" s="2339"/>
      <c r="S107" s="2339"/>
      <c r="T107" s="2339"/>
      <c r="U107" s="2339"/>
      <c r="V107" s="2339"/>
      <c r="W107" s="2339"/>
      <c r="X107" s="2339"/>
      <c r="Y107" s="2339"/>
      <c r="Z107" s="2339"/>
      <c r="AA107" s="2339"/>
      <c r="AB107" s="2339"/>
      <c r="AC107" s="2339"/>
      <c r="AD107" s="2339">
        <v>1</v>
      </c>
      <c r="AE107" s="2339"/>
      <c r="AF107" s="2339">
        <v>3</v>
      </c>
      <c r="AG107" s="2339"/>
      <c r="AH107" s="2339"/>
      <c r="AI107" s="2339"/>
      <c r="AJ107" s="2339"/>
      <c r="AK107" s="2339"/>
      <c r="AL107" s="2339">
        <v>1</v>
      </c>
      <c r="AM107" s="2339"/>
      <c r="AN107" s="2339"/>
      <c r="AO107" s="2339"/>
      <c r="AP107" s="2339"/>
      <c r="AQ107" s="2339"/>
      <c r="AR107" s="2339"/>
      <c r="AS107" s="2339"/>
      <c r="AT107" s="2339">
        <v>3</v>
      </c>
      <c r="AU107" s="2339"/>
      <c r="AV107" s="2339"/>
      <c r="AW107" s="2339"/>
      <c r="AX107" s="2339">
        <v>2</v>
      </c>
      <c r="AY107" s="2339"/>
      <c r="AZ107" s="2339">
        <v>6</v>
      </c>
      <c r="BA107" s="2339">
        <v>4</v>
      </c>
      <c r="BB107" s="2339"/>
      <c r="BC107" s="2339">
        <v>129</v>
      </c>
      <c r="BD107" s="2339"/>
      <c r="BE107" s="2339">
        <v>0</v>
      </c>
      <c r="BF107" s="2339"/>
      <c r="BG107" s="2339"/>
      <c r="BH107" s="2339">
        <v>1</v>
      </c>
      <c r="BI107" s="2339"/>
      <c r="BJ107" s="2339"/>
      <c r="BK107" s="2339"/>
      <c r="BL107" s="2339"/>
      <c r="BM107" s="2339">
        <v>0</v>
      </c>
      <c r="BN107" s="2339">
        <v>0</v>
      </c>
      <c r="BO107" s="2339"/>
      <c r="BP107" s="2339"/>
      <c r="BQ107" s="2339"/>
      <c r="BR107" s="2339"/>
      <c r="BS107" s="2339">
        <v>1</v>
      </c>
      <c r="BT107" s="2339"/>
      <c r="BU107" s="2339">
        <v>1</v>
      </c>
      <c r="BV107" s="2339"/>
      <c r="BW107" s="2339"/>
      <c r="BX107" s="2339"/>
      <c r="BY107" s="2339"/>
      <c r="BZ107" s="2339"/>
      <c r="CA107" s="2339"/>
      <c r="CB107" s="2339"/>
      <c r="CC107" s="2339"/>
      <c r="CD107" s="2339"/>
      <c r="CE107" s="2339"/>
      <c r="CF107" s="2339"/>
      <c r="CG107" s="2339"/>
      <c r="CH107" s="2339"/>
      <c r="CI107" s="2339"/>
      <c r="CJ107" s="2339">
        <v>1</v>
      </c>
      <c r="CK107" s="2339">
        <v>0</v>
      </c>
      <c r="CL107" s="2339">
        <v>1</v>
      </c>
      <c r="CM107" s="2339">
        <v>0</v>
      </c>
      <c r="CN107" s="2339">
        <v>0</v>
      </c>
      <c r="CO107" s="2339"/>
      <c r="CP107" s="2339"/>
      <c r="CQ107" s="2339"/>
      <c r="CR107" s="2339"/>
      <c r="CS107" s="2339"/>
      <c r="CT107" s="2339"/>
      <c r="CU107" s="2339">
        <v>2</v>
      </c>
      <c r="CV107" s="2339"/>
      <c r="CW107" s="2339">
        <v>0</v>
      </c>
      <c r="CX107" s="2339"/>
      <c r="DA107" s="1516">
        <v>1</v>
      </c>
      <c r="DC107" s="1516">
        <v>1</v>
      </c>
    </row>
    <row r="108" spans="1:108">
      <c r="B108" s="2339">
        <v>139</v>
      </c>
      <c r="C108" s="2339">
        <v>43.7</v>
      </c>
      <c r="D108" s="2339">
        <v>3691.6</v>
      </c>
      <c r="E108" s="2339"/>
      <c r="F108" s="2339"/>
      <c r="G108" s="2339"/>
      <c r="H108" s="2339"/>
      <c r="I108" s="2339"/>
      <c r="J108" s="2339" t="s">
        <v>504</v>
      </c>
      <c r="K108" s="2339" t="s">
        <v>504</v>
      </c>
      <c r="L108" s="2339">
        <v>1</v>
      </c>
      <c r="M108" s="2339"/>
      <c r="N108" s="2339"/>
      <c r="O108" s="2339"/>
      <c r="P108" s="2339"/>
      <c r="Q108" s="2339"/>
      <c r="R108" s="2339"/>
      <c r="S108" s="2339"/>
      <c r="T108" s="2339"/>
      <c r="U108" s="2339"/>
      <c r="V108" s="2339"/>
      <c r="W108" s="2339"/>
      <c r="X108" s="2339"/>
      <c r="Y108" s="2339"/>
      <c r="Z108" s="2339">
        <v>1</v>
      </c>
      <c r="AA108" s="2339"/>
      <c r="AB108" s="2339"/>
      <c r="AC108" s="2339"/>
      <c r="AD108" s="2339">
        <v>1</v>
      </c>
      <c r="AE108" s="2339"/>
      <c r="AF108" s="2339">
        <v>3</v>
      </c>
      <c r="AG108" s="2339"/>
      <c r="AH108" s="2339"/>
      <c r="AI108" s="2339"/>
      <c r="AJ108" s="2339"/>
      <c r="AK108" s="2339"/>
      <c r="AL108" s="2339">
        <v>1</v>
      </c>
      <c r="AM108" s="2339"/>
      <c r="AN108" s="2339"/>
      <c r="AO108" s="2339"/>
      <c r="AP108" s="2339"/>
      <c r="AQ108" s="2339"/>
      <c r="AR108" s="2339"/>
      <c r="AS108" s="2339"/>
      <c r="AT108" s="2339">
        <v>3</v>
      </c>
      <c r="AU108" s="2339"/>
      <c r="AV108" s="2339"/>
      <c r="AW108" s="2339"/>
      <c r="AX108" s="2339"/>
      <c r="AY108" s="2339"/>
      <c r="AZ108" s="2339"/>
      <c r="BA108" s="2339"/>
      <c r="BB108" s="2339"/>
      <c r="BC108" s="2339">
        <v>131.1</v>
      </c>
      <c r="BD108" s="2339"/>
      <c r="BE108" s="2339">
        <v>0</v>
      </c>
      <c r="BF108" s="2339"/>
      <c r="BG108" s="2339"/>
      <c r="BH108" s="2339"/>
      <c r="BI108" s="2339"/>
      <c r="BJ108" s="2339">
        <v>1</v>
      </c>
      <c r="BK108" s="2339"/>
      <c r="BL108" s="2339"/>
      <c r="BM108" s="2339">
        <v>0</v>
      </c>
      <c r="BN108" s="2339">
        <v>0</v>
      </c>
      <c r="BO108" s="2339"/>
      <c r="BP108" s="2339"/>
      <c r="BQ108" s="2339">
        <v>2</v>
      </c>
      <c r="BR108" s="2339">
        <v>1</v>
      </c>
      <c r="BS108" s="2339"/>
      <c r="BT108" s="2339"/>
      <c r="BU108" s="2339"/>
      <c r="BV108" s="2339"/>
      <c r="BW108" s="2339"/>
      <c r="BX108" s="2339"/>
      <c r="BY108" s="2339"/>
      <c r="BZ108" s="2339"/>
      <c r="CA108" s="2339"/>
      <c r="CB108" s="2339"/>
      <c r="CC108" s="2339"/>
      <c r="CD108" s="2339">
        <v>1</v>
      </c>
      <c r="CE108" s="2339"/>
      <c r="CF108" s="2339"/>
      <c r="CG108" s="2339"/>
      <c r="CH108" s="2339"/>
      <c r="CI108" s="2339"/>
      <c r="CJ108" s="2339"/>
      <c r="CK108" s="2339"/>
      <c r="CL108" s="2339">
        <v>0</v>
      </c>
      <c r="CM108" s="2339"/>
      <c r="CN108" s="2339"/>
      <c r="CO108" s="2339"/>
      <c r="CP108" s="2339"/>
      <c r="CQ108" s="2339"/>
      <c r="CR108" s="2339"/>
      <c r="CS108" s="2339"/>
      <c r="CT108" s="2339"/>
      <c r="CU108" s="2339"/>
      <c r="CV108" s="2339"/>
      <c r="CW108" s="2339">
        <v>0</v>
      </c>
      <c r="CX108" s="2339"/>
      <c r="DA108" s="1516">
        <v>1</v>
      </c>
      <c r="DC108" s="1516">
        <v>1</v>
      </c>
    </row>
    <row r="109" spans="1:108">
      <c r="B109" s="2339" t="s">
        <v>5264</v>
      </c>
      <c r="C109" s="2339">
        <v>32</v>
      </c>
      <c r="D109" s="2339">
        <v>3723.6</v>
      </c>
      <c r="E109" s="2339"/>
      <c r="F109" s="2339"/>
      <c r="G109" s="2339"/>
      <c r="H109" s="2339"/>
      <c r="I109" s="2339"/>
      <c r="J109" s="2339"/>
      <c r="K109" s="2339" t="s">
        <v>504</v>
      </c>
      <c r="L109" s="2339"/>
      <c r="M109" s="2339">
        <v>1</v>
      </c>
      <c r="N109" s="2339"/>
      <c r="O109" s="2339"/>
      <c r="P109" s="2339">
        <v>1</v>
      </c>
      <c r="Q109" s="2339"/>
      <c r="R109" s="2339"/>
      <c r="S109" s="2339"/>
      <c r="T109" s="2339"/>
      <c r="U109" s="2339"/>
      <c r="V109" s="2339"/>
      <c r="W109" s="2339"/>
      <c r="X109" s="2339"/>
      <c r="Y109" s="2339"/>
      <c r="Z109" s="2339"/>
      <c r="AA109" s="2339"/>
      <c r="AB109" s="2339"/>
      <c r="AC109" s="2339"/>
      <c r="AD109" s="2339">
        <v>1</v>
      </c>
      <c r="AE109" s="2339"/>
      <c r="AF109" s="2339">
        <v>3</v>
      </c>
      <c r="AG109" s="2339"/>
      <c r="AH109" s="2339"/>
      <c r="AI109" s="2339"/>
      <c r="AJ109" s="2339"/>
      <c r="AK109" s="2339"/>
      <c r="AL109" s="2339">
        <v>1</v>
      </c>
      <c r="AM109" s="2339"/>
      <c r="AN109" s="2339"/>
      <c r="AO109" s="2339"/>
      <c r="AP109" s="2339"/>
      <c r="AQ109" s="2339"/>
      <c r="AR109" s="2339"/>
      <c r="AS109" s="2339"/>
      <c r="AT109" s="2339">
        <v>3</v>
      </c>
      <c r="AU109" s="2339"/>
      <c r="AV109" s="2339"/>
      <c r="AW109" s="2339"/>
      <c r="AX109" s="2339">
        <v>2</v>
      </c>
      <c r="AY109" s="2339"/>
      <c r="AZ109" s="2339">
        <v>2</v>
      </c>
      <c r="BA109" s="2339">
        <v>4</v>
      </c>
      <c r="BB109" s="2339"/>
      <c r="BC109" s="2339">
        <v>96</v>
      </c>
      <c r="BD109" s="2339"/>
      <c r="BE109" s="2339">
        <v>0</v>
      </c>
      <c r="BF109" s="2339"/>
      <c r="BG109" s="2339"/>
      <c r="BH109" s="2339">
        <v>1</v>
      </c>
      <c r="BI109" s="2339"/>
      <c r="BJ109" s="2339"/>
      <c r="BK109" s="2339"/>
      <c r="BL109" s="2339"/>
      <c r="BM109" s="2339">
        <v>0</v>
      </c>
      <c r="BN109" s="2339">
        <v>0</v>
      </c>
      <c r="BO109" s="2339"/>
      <c r="BP109" s="2339"/>
      <c r="BQ109" s="2339"/>
      <c r="BR109" s="2339"/>
      <c r="BS109" s="2339">
        <v>1</v>
      </c>
      <c r="BT109" s="2339"/>
      <c r="BU109" s="2339">
        <v>1</v>
      </c>
      <c r="BV109" s="2339"/>
      <c r="BW109" s="2339"/>
      <c r="BX109" s="2339"/>
      <c r="BY109" s="2339"/>
      <c r="BZ109" s="2339"/>
      <c r="CA109" s="2339"/>
      <c r="CB109" s="2339"/>
      <c r="CC109" s="2339"/>
      <c r="CD109" s="2339"/>
      <c r="CE109" s="2339"/>
      <c r="CF109" s="2339"/>
      <c r="CG109" s="2339"/>
      <c r="CH109" s="2339"/>
      <c r="CI109" s="2339"/>
      <c r="CJ109" s="2339">
        <v>1</v>
      </c>
      <c r="CK109" s="2339">
        <v>0</v>
      </c>
      <c r="CL109" s="2339">
        <v>1</v>
      </c>
      <c r="CM109" s="2339">
        <v>0</v>
      </c>
      <c r="CN109" s="2339">
        <v>0</v>
      </c>
      <c r="CO109" s="2339"/>
      <c r="CP109" s="2339"/>
      <c r="CQ109" s="2339"/>
      <c r="CR109" s="2339"/>
      <c r="CS109" s="2339"/>
      <c r="CT109" s="2339"/>
      <c r="CU109" s="2339">
        <v>2</v>
      </c>
      <c r="CV109" s="2339"/>
      <c r="CW109" s="2339">
        <v>0</v>
      </c>
      <c r="CX109" s="2339"/>
      <c r="DA109" s="1516">
        <v>1</v>
      </c>
      <c r="DC109" s="1516">
        <v>1</v>
      </c>
    </row>
    <row r="110" spans="1:108">
      <c r="B110" s="2339" t="s">
        <v>5265</v>
      </c>
      <c r="C110" s="2339">
        <v>31.5</v>
      </c>
      <c r="D110" s="2339">
        <v>3755.1</v>
      </c>
      <c r="E110" s="2339">
        <v>9</v>
      </c>
      <c r="F110" s="2339">
        <v>3</v>
      </c>
      <c r="G110" s="2339"/>
      <c r="H110" s="2339"/>
      <c r="I110" s="2339"/>
      <c r="J110" s="2339" t="s">
        <v>663</v>
      </c>
      <c r="K110" s="2339" t="s">
        <v>663</v>
      </c>
      <c r="L110" s="2339">
        <v>1</v>
      </c>
      <c r="M110" s="2339"/>
      <c r="N110" s="2339"/>
      <c r="O110" s="2339"/>
      <c r="P110" s="2339"/>
      <c r="Q110" s="2339"/>
      <c r="R110" s="2339"/>
      <c r="S110" s="2339"/>
      <c r="T110" s="2339"/>
      <c r="U110" s="2339"/>
      <c r="V110" s="2339"/>
      <c r="W110" s="2339"/>
      <c r="X110" s="2339"/>
      <c r="Y110" s="2339"/>
      <c r="Z110" s="2339"/>
      <c r="AA110" s="2339"/>
      <c r="AB110" s="2339"/>
      <c r="AC110" s="2339"/>
      <c r="AD110" s="2339">
        <v>1</v>
      </c>
      <c r="AE110" s="2339"/>
      <c r="AF110" s="2339">
        <v>3</v>
      </c>
      <c r="AG110" s="2339"/>
      <c r="AH110" s="2339"/>
      <c r="AI110" s="2339">
        <v>3</v>
      </c>
      <c r="AJ110" s="2339"/>
      <c r="AK110" s="2339"/>
      <c r="AL110" s="2339">
        <v>1</v>
      </c>
      <c r="AM110" s="2339"/>
      <c r="AN110" s="2339"/>
      <c r="AO110" s="2339"/>
      <c r="AP110" s="2339"/>
      <c r="AQ110" s="2339">
        <v>2</v>
      </c>
      <c r="AR110" s="2339">
        <v>6</v>
      </c>
      <c r="AS110" s="2339"/>
      <c r="AT110" s="2339">
        <v>3</v>
      </c>
      <c r="AU110" s="2339"/>
      <c r="AV110" s="2339"/>
      <c r="AW110" s="2339"/>
      <c r="AX110" s="2339"/>
      <c r="AY110" s="2339"/>
      <c r="AZ110" s="2339"/>
      <c r="BA110" s="2339"/>
      <c r="BB110" s="2339"/>
      <c r="BC110" s="2339">
        <v>94.5</v>
      </c>
      <c r="BD110" s="2339"/>
      <c r="BE110" s="2339">
        <v>9</v>
      </c>
      <c r="BF110" s="2339"/>
      <c r="BG110" s="2339"/>
      <c r="BH110" s="2339"/>
      <c r="BI110" s="2339"/>
      <c r="BJ110" s="2339">
        <v>1</v>
      </c>
      <c r="BK110" s="2339"/>
      <c r="BL110" s="2339"/>
      <c r="BM110" s="2339">
        <v>0</v>
      </c>
      <c r="BN110" s="2339">
        <v>0</v>
      </c>
      <c r="BO110" s="2339"/>
      <c r="BP110" s="2339"/>
      <c r="BQ110" s="2339">
        <v>2</v>
      </c>
      <c r="BR110" s="2339">
        <v>1</v>
      </c>
      <c r="BS110" s="2339"/>
      <c r="BT110" s="2339"/>
      <c r="BU110" s="2339"/>
      <c r="BV110" s="2339"/>
      <c r="BW110" s="2339"/>
      <c r="BX110" s="2339"/>
      <c r="BY110" s="2339"/>
      <c r="BZ110" s="2339"/>
      <c r="CA110" s="2339"/>
      <c r="CB110" s="2339"/>
      <c r="CC110" s="2339"/>
      <c r="CD110" s="2339">
        <v>1</v>
      </c>
      <c r="CE110" s="2339"/>
      <c r="CF110" s="2339"/>
      <c r="CG110" s="2339"/>
      <c r="CH110" s="2339"/>
      <c r="CI110" s="2339"/>
      <c r="CJ110" s="2339"/>
      <c r="CK110" s="2339"/>
      <c r="CL110" s="2339">
        <v>0</v>
      </c>
      <c r="CM110" s="2339"/>
      <c r="CN110" s="2339"/>
      <c r="CO110" s="2339"/>
      <c r="CP110" s="2339"/>
      <c r="CQ110" s="2339"/>
      <c r="CR110" s="2339"/>
      <c r="CS110" s="2339"/>
      <c r="CT110" s="2339"/>
      <c r="CU110" s="2339"/>
      <c r="CV110" s="2339"/>
      <c r="CW110" s="2339">
        <v>3</v>
      </c>
      <c r="CX110" s="2339" t="s">
        <v>5266</v>
      </c>
      <c r="DA110" s="1516">
        <v>1</v>
      </c>
      <c r="DC110" s="1516">
        <v>1</v>
      </c>
    </row>
    <row r="111" spans="1:108">
      <c r="B111" s="2339">
        <v>140</v>
      </c>
      <c r="C111" s="2339">
        <v>7</v>
      </c>
      <c r="D111" s="2339">
        <v>3762.1</v>
      </c>
      <c r="E111" s="2339"/>
      <c r="F111" s="2339"/>
      <c r="G111" s="2339"/>
      <c r="H111" s="2339"/>
      <c r="I111" s="2339"/>
      <c r="J111" s="2339" t="s">
        <v>504</v>
      </c>
      <c r="K111" s="2339" t="s">
        <v>504</v>
      </c>
      <c r="L111" s="2339">
        <v>1</v>
      </c>
      <c r="M111" s="2339"/>
      <c r="N111" s="2339"/>
      <c r="O111" s="2339"/>
      <c r="P111" s="2339"/>
      <c r="Q111" s="2339"/>
      <c r="R111" s="2339"/>
      <c r="S111" s="2339"/>
      <c r="T111" s="2339"/>
      <c r="U111" s="2339"/>
      <c r="V111" s="2339"/>
      <c r="W111" s="2339"/>
      <c r="X111" s="2339"/>
      <c r="Y111" s="2339"/>
      <c r="Z111" s="2339"/>
      <c r="AA111" s="2339"/>
      <c r="AB111" s="2339"/>
      <c r="AC111" s="2339"/>
      <c r="AD111" s="2339">
        <v>1</v>
      </c>
      <c r="AE111" s="2339"/>
      <c r="AF111" s="2339">
        <v>3</v>
      </c>
      <c r="AG111" s="2339"/>
      <c r="AH111" s="2339"/>
      <c r="AI111" s="2339"/>
      <c r="AJ111" s="2339"/>
      <c r="AK111" s="2339">
        <v>1</v>
      </c>
      <c r="AL111" s="2339">
        <v>1</v>
      </c>
      <c r="AM111" s="2339"/>
      <c r="AN111" s="2339"/>
      <c r="AO111" s="2339"/>
      <c r="AP111" s="2339"/>
      <c r="AQ111" s="2339"/>
      <c r="AR111" s="2339"/>
      <c r="AS111" s="2339"/>
      <c r="AT111" s="2339">
        <v>3</v>
      </c>
      <c r="AU111" s="2339"/>
      <c r="AV111" s="2339"/>
      <c r="AW111" s="2339"/>
      <c r="AX111" s="2339"/>
      <c r="AY111" s="2339"/>
      <c r="AZ111" s="2339"/>
      <c r="BA111" s="2339"/>
      <c r="BB111" s="2339"/>
      <c r="BC111" s="2339">
        <v>21</v>
      </c>
      <c r="BD111" s="2339"/>
      <c r="BE111" s="2339">
        <v>0</v>
      </c>
      <c r="BF111" s="2339"/>
      <c r="BG111" s="2339"/>
      <c r="BH111" s="2339"/>
      <c r="BI111" s="2339"/>
      <c r="BJ111" s="2339">
        <v>1</v>
      </c>
      <c r="BK111" s="2339"/>
      <c r="BL111" s="2339"/>
      <c r="BM111" s="2339">
        <v>0</v>
      </c>
      <c r="BN111" s="2339">
        <v>0</v>
      </c>
      <c r="BO111" s="2339"/>
      <c r="BP111" s="2339"/>
      <c r="BQ111" s="2339">
        <v>2</v>
      </c>
      <c r="BR111" s="2339">
        <v>1</v>
      </c>
      <c r="BS111" s="2339"/>
      <c r="BT111" s="2339"/>
      <c r="BU111" s="2339"/>
      <c r="BV111" s="2339"/>
      <c r="BW111" s="2339"/>
      <c r="BX111" s="2339"/>
      <c r="BY111" s="2339"/>
      <c r="BZ111" s="2339"/>
      <c r="CA111" s="2339"/>
      <c r="CB111" s="2339"/>
      <c r="CC111" s="2339"/>
      <c r="CD111" s="2339">
        <v>1</v>
      </c>
      <c r="CE111" s="2339"/>
      <c r="CF111" s="2339"/>
      <c r="CG111" s="2339"/>
      <c r="CH111" s="2339"/>
      <c r="CI111" s="2339"/>
      <c r="CJ111" s="2339"/>
      <c r="CK111" s="2339"/>
      <c r="CL111" s="2339">
        <v>0</v>
      </c>
      <c r="CM111" s="2339"/>
      <c r="CN111" s="2339"/>
      <c r="CO111" s="2339"/>
      <c r="CP111" s="2339"/>
      <c r="CQ111" s="2339"/>
      <c r="CR111" s="2339"/>
      <c r="CS111" s="2339"/>
      <c r="CT111" s="2339"/>
      <c r="CU111" s="2339"/>
      <c r="CV111" s="2339"/>
      <c r="CW111" s="2339">
        <v>0</v>
      </c>
      <c r="CX111" s="2339"/>
      <c r="DA111" s="1516">
        <v>1</v>
      </c>
      <c r="DC111" s="1516">
        <v>1</v>
      </c>
    </row>
    <row r="112" spans="1:108">
      <c r="B112" s="2339" t="s">
        <v>5267</v>
      </c>
      <c r="C112" s="2339">
        <v>39</v>
      </c>
      <c r="D112" s="2339">
        <v>3801.1</v>
      </c>
      <c r="E112" s="2339"/>
      <c r="F112" s="2339"/>
      <c r="G112" s="2339"/>
      <c r="H112" s="2339"/>
      <c r="I112" s="2339"/>
      <c r="J112" s="2339"/>
      <c r="K112" s="2339" t="s">
        <v>504</v>
      </c>
      <c r="L112" s="2339"/>
      <c r="M112" s="2339">
        <v>1</v>
      </c>
      <c r="N112" s="2339"/>
      <c r="O112" s="2339">
        <v>1</v>
      </c>
      <c r="P112" s="2339"/>
      <c r="Q112" s="2339"/>
      <c r="R112" s="2339"/>
      <c r="S112" s="2339"/>
      <c r="T112" s="2339"/>
      <c r="U112" s="2339"/>
      <c r="V112" s="2339"/>
      <c r="W112" s="2339"/>
      <c r="X112" s="2339"/>
      <c r="Y112" s="2339"/>
      <c r="Z112" s="2339"/>
      <c r="AA112" s="2339"/>
      <c r="AB112" s="2339"/>
      <c r="AC112" s="2339"/>
      <c r="AD112" s="2339">
        <v>1</v>
      </c>
      <c r="AE112" s="2339"/>
      <c r="AF112" s="2339">
        <v>3</v>
      </c>
      <c r="AG112" s="2339"/>
      <c r="AH112" s="2339"/>
      <c r="AI112" s="2339"/>
      <c r="AJ112" s="2339"/>
      <c r="AK112" s="2339"/>
      <c r="AL112" s="2339">
        <v>1</v>
      </c>
      <c r="AM112" s="2339"/>
      <c r="AN112" s="2339"/>
      <c r="AO112" s="2339"/>
      <c r="AP112" s="2339"/>
      <c r="AQ112" s="2339"/>
      <c r="AR112" s="2339"/>
      <c r="AS112" s="2339"/>
      <c r="AT112" s="2339">
        <v>3</v>
      </c>
      <c r="AU112" s="2339"/>
      <c r="AV112" s="2339"/>
      <c r="AW112" s="2339"/>
      <c r="AX112" s="2339"/>
      <c r="AY112" s="2339"/>
      <c r="AZ112" s="2339"/>
      <c r="BA112" s="2339"/>
      <c r="BB112" s="2339"/>
      <c r="BC112" s="2339">
        <v>117</v>
      </c>
      <c r="BD112" s="2339">
        <v>39</v>
      </c>
      <c r="BE112" s="2339">
        <v>0</v>
      </c>
      <c r="BF112" s="2339"/>
      <c r="BG112" s="2339"/>
      <c r="BH112" s="2339"/>
      <c r="BI112" s="2339"/>
      <c r="BJ112" s="2339"/>
      <c r="BK112" s="2339"/>
      <c r="BL112" s="2339"/>
      <c r="BM112" s="2339">
        <v>0</v>
      </c>
      <c r="BN112" s="2339">
        <v>0</v>
      </c>
      <c r="BO112" s="2339"/>
      <c r="BP112" s="2339"/>
      <c r="BQ112" s="2339"/>
      <c r="BR112" s="2339"/>
      <c r="BS112" s="2339"/>
      <c r="BT112" s="2339"/>
      <c r="BU112" s="2339"/>
      <c r="BV112" s="2339"/>
      <c r="BW112" s="2339"/>
      <c r="BX112" s="2339"/>
      <c r="BY112" s="2339"/>
      <c r="BZ112" s="2339"/>
      <c r="CA112" s="2339"/>
      <c r="CB112" s="2339"/>
      <c r="CC112" s="2339"/>
      <c r="CD112" s="2339"/>
      <c r="CE112" s="2339"/>
      <c r="CF112" s="2339"/>
      <c r="CG112" s="2339"/>
      <c r="CH112" s="2339"/>
      <c r="CI112" s="2339"/>
      <c r="CJ112" s="2339"/>
      <c r="CK112" s="2339"/>
      <c r="CL112" s="2339">
        <v>0</v>
      </c>
      <c r="CM112" s="2339"/>
      <c r="CN112" s="2339"/>
      <c r="CO112" s="2339"/>
      <c r="CP112" s="2339"/>
      <c r="CQ112" s="2339"/>
      <c r="CR112" s="2339"/>
      <c r="CS112" s="2339"/>
      <c r="CT112" s="2339"/>
      <c r="CU112" s="2339"/>
      <c r="CV112" s="2339"/>
      <c r="CW112" s="2339">
        <v>0</v>
      </c>
      <c r="CX112" s="2339"/>
      <c r="DA112" s="1516">
        <v>1</v>
      </c>
      <c r="DC112" s="1516">
        <v>1</v>
      </c>
    </row>
    <row r="113" spans="2:107">
      <c r="B113" s="2339">
        <v>141</v>
      </c>
      <c r="C113" s="2339">
        <v>38.9</v>
      </c>
      <c r="D113" s="2339">
        <v>3840</v>
      </c>
      <c r="E113" s="2339"/>
      <c r="F113" s="2339"/>
      <c r="G113" s="2339"/>
      <c r="H113" s="2339"/>
      <c r="I113" s="2339"/>
      <c r="J113" s="2339" t="s">
        <v>504</v>
      </c>
      <c r="K113" s="2339" t="s">
        <v>504</v>
      </c>
      <c r="L113" s="2339">
        <v>1</v>
      </c>
      <c r="M113" s="2339"/>
      <c r="N113" s="2339"/>
      <c r="O113" s="2339"/>
      <c r="P113" s="2339"/>
      <c r="Q113" s="2339"/>
      <c r="R113" s="2339"/>
      <c r="S113" s="2339"/>
      <c r="T113" s="2339"/>
      <c r="U113" s="2339"/>
      <c r="V113" s="2339"/>
      <c r="W113" s="2339"/>
      <c r="X113" s="2339"/>
      <c r="Y113" s="2339"/>
      <c r="Z113" s="2339"/>
      <c r="AA113" s="2339"/>
      <c r="AB113" s="2339"/>
      <c r="AC113" s="2339"/>
      <c r="AD113" s="2339">
        <v>1</v>
      </c>
      <c r="AE113" s="2339"/>
      <c r="AF113" s="2339">
        <v>3</v>
      </c>
      <c r="AG113" s="2339"/>
      <c r="AH113" s="2339"/>
      <c r="AI113" s="2339"/>
      <c r="AJ113" s="2339"/>
      <c r="AK113" s="2339"/>
      <c r="AL113" s="2339">
        <v>1</v>
      </c>
      <c r="AM113" s="2339"/>
      <c r="AN113" s="2339"/>
      <c r="AO113" s="2339"/>
      <c r="AP113" s="2339"/>
      <c r="AQ113" s="2339"/>
      <c r="AR113" s="2339"/>
      <c r="AS113" s="2339"/>
      <c r="AT113" s="2339">
        <v>3</v>
      </c>
      <c r="AU113" s="2339"/>
      <c r="AV113" s="2339"/>
      <c r="AW113" s="2339"/>
      <c r="AX113" s="2339"/>
      <c r="AY113" s="2339"/>
      <c r="AZ113" s="2339"/>
      <c r="BA113" s="2339"/>
      <c r="BB113" s="2339"/>
      <c r="BC113" s="2339">
        <v>116.7</v>
      </c>
      <c r="BD113" s="2339">
        <v>38.9</v>
      </c>
      <c r="BE113" s="2339">
        <v>0</v>
      </c>
      <c r="BF113" s="2339"/>
      <c r="BG113" s="2339"/>
      <c r="BH113" s="2339"/>
      <c r="BI113" s="2339"/>
      <c r="BJ113" s="2339">
        <v>1</v>
      </c>
      <c r="BK113" s="2339"/>
      <c r="BL113" s="2339"/>
      <c r="BM113" s="2339">
        <v>0</v>
      </c>
      <c r="BN113" s="2339">
        <v>0</v>
      </c>
      <c r="BO113" s="2339"/>
      <c r="BP113" s="2339"/>
      <c r="BQ113" s="2339">
        <v>2</v>
      </c>
      <c r="BR113" s="2339">
        <v>1</v>
      </c>
      <c r="BS113" s="2339"/>
      <c r="BT113" s="2339"/>
      <c r="BU113" s="2339"/>
      <c r="BV113" s="2339"/>
      <c r="BW113" s="2339"/>
      <c r="BX113" s="2339"/>
      <c r="BY113" s="2339"/>
      <c r="BZ113" s="2339"/>
      <c r="CA113" s="2339"/>
      <c r="CB113" s="2339"/>
      <c r="CC113" s="2339"/>
      <c r="CD113" s="2339">
        <v>1</v>
      </c>
      <c r="CE113" s="2339"/>
      <c r="CF113" s="2339"/>
      <c r="CG113" s="2339"/>
      <c r="CH113" s="2339"/>
      <c r="CI113" s="2339"/>
      <c r="CJ113" s="2339"/>
      <c r="CK113" s="2339"/>
      <c r="CL113" s="2339">
        <v>0</v>
      </c>
      <c r="CM113" s="2339"/>
      <c r="CN113" s="2339"/>
      <c r="CO113" s="2339"/>
      <c r="CP113" s="2339"/>
      <c r="CQ113" s="2339"/>
      <c r="CR113" s="2339"/>
      <c r="CS113" s="2339"/>
      <c r="CT113" s="2339"/>
      <c r="CU113" s="2339"/>
      <c r="CV113" s="2339"/>
      <c r="CW113" s="2339">
        <v>0</v>
      </c>
      <c r="CX113" s="2339"/>
      <c r="DA113" s="1516">
        <v>1</v>
      </c>
      <c r="DC113" s="1516">
        <v>1</v>
      </c>
    </row>
    <row r="114" spans="2:107">
      <c r="B114" s="2339" t="s">
        <v>5268</v>
      </c>
      <c r="C114" s="2339">
        <v>40</v>
      </c>
      <c r="D114" s="2339">
        <v>3880</v>
      </c>
      <c r="E114" s="2339"/>
      <c r="F114" s="2339"/>
      <c r="G114" s="2339"/>
      <c r="H114" s="2339"/>
      <c r="I114" s="2339"/>
      <c r="J114" s="2339"/>
      <c r="K114" s="2339" t="s">
        <v>504</v>
      </c>
      <c r="L114" s="2339"/>
      <c r="M114" s="2339">
        <v>1</v>
      </c>
      <c r="N114" s="2339"/>
      <c r="O114" s="2339">
        <v>1</v>
      </c>
      <c r="P114" s="2339"/>
      <c r="Q114" s="2339"/>
      <c r="R114" s="2339"/>
      <c r="S114" s="2339"/>
      <c r="T114" s="2339"/>
      <c r="U114" s="2339"/>
      <c r="V114" s="2339"/>
      <c r="W114" s="2339"/>
      <c r="X114" s="2339"/>
      <c r="Y114" s="2339"/>
      <c r="Z114" s="2339"/>
      <c r="AA114" s="2339"/>
      <c r="AB114" s="2339"/>
      <c r="AC114" s="2339"/>
      <c r="AD114" s="2339">
        <v>1</v>
      </c>
      <c r="AE114" s="2339"/>
      <c r="AF114" s="2339">
        <v>3</v>
      </c>
      <c r="AG114" s="2339"/>
      <c r="AH114" s="2339"/>
      <c r="AI114" s="2339"/>
      <c r="AJ114" s="2339"/>
      <c r="AK114" s="2339"/>
      <c r="AL114" s="2339">
        <v>1</v>
      </c>
      <c r="AM114" s="2339"/>
      <c r="AN114" s="2339"/>
      <c r="AO114" s="2339"/>
      <c r="AP114" s="2339"/>
      <c r="AQ114" s="2339"/>
      <c r="AR114" s="2339"/>
      <c r="AS114" s="2339"/>
      <c r="AT114" s="2339">
        <v>3</v>
      </c>
      <c r="AU114" s="2339"/>
      <c r="AV114" s="2339"/>
      <c r="AW114" s="2339">
        <v>1</v>
      </c>
      <c r="AX114" s="2339"/>
      <c r="AY114" s="2339"/>
      <c r="AZ114" s="2339">
        <v>5</v>
      </c>
      <c r="BA114" s="2339">
        <v>4</v>
      </c>
      <c r="BB114" s="2339"/>
      <c r="BC114" s="2339">
        <v>120</v>
      </c>
      <c r="BD114" s="2339">
        <v>40</v>
      </c>
      <c r="BE114" s="2339">
        <v>0</v>
      </c>
      <c r="BF114" s="2339"/>
      <c r="BG114" s="2339"/>
      <c r="BH114" s="2339">
        <v>1</v>
      </c>
      <c r="BI114" s="2339"/>
      <c r="BJ114" s="2339"/>
      <c r="BK114" s="2339"/>
      <c r="BL114" s="2339"/>
      <c r="BM114" s="2339">
        <v>0</v>
      </c>
      <c r="BN114" s="2339">
        <v>0</v>
      </c>
      <c r="BO114" s="2339"/>
      <c r="BP114" s="2339"/>
      <c r="BQ114" s="2339"/>
      <c r="BR114" s="2339"/>
      <c r="BS114" s="2339"/>
      <c r="BT114" s="2339"/>
      <c r="BU114" s="2339">
        <v>1</v>
      </c>
      <c r="BV114" s="2339"/>
      <c r="BW114" s="2339">
        <v>1</v>
      </c>
      <c r="BX114" s="2339"/>
      <c r="BY114" s="2339"/>
      <c r="BZ114" s="2339"/>
      <c r="CA114" s="2339"/>
      <c r="CB114" s="2339"/>
      <c r="CC114" s="2339"/>
      <c r="CD114" s="2339"/>
      <c r="CE114" s="2339"/>
      <c r="CF114" s="2339"/>
      <c r="CG114" s="2339"/>
      <c r="CH114" s="2339"/>
      <c r="CI114" s="2339"/>
      <c r="CJ114" s="2339"/>
      <c r="CK114" s="2339"/>
      <c r="CL114" s="2339">
        <v>1</v>
      </c>
      <c r="CM114" s="2339">
        <v>0</v>
      </c>
      <c r="CN114" s="2339">
        <v>1</v>
      </c>
      <c r="CO114" s="2339"/>
      <c r="CP114" s="2339"/>
      <c r="CQ114" s="2339"/>
      <c r="CR114" s="2339"/>
      <c r="CS114" s="2339"/>
      <c r="CT114" s="2339"/>
      <c r="CU114" s="2339"/>
      <c r="CV114" s="2339">
        <v>1</v>
      </c>
      <c r="CW114" s="2339">
        <v>0</v>
      </c>
      <c r="CX114" s="2339"/>
      <c r="DA114" s="1516">
        <v>1</v>
      </c>
      <c r="DC114" s="1516">
        <v>1</v>
      </c>
    </row>
    <row r="115" spans="2:107">
      <c r="B115" s="2339">
        <v>142</v>
      </c>
      <c r="C115" s="2339">
        <v>39.200000000000003</v>
      </c>
      <c r="D115" s="2339">
        <v>3919.2</v>
      </c>
      <c r="E115" s="2339"/>
      <c r="F115" s="2339"/>
      <c r="G115" s="2339"/>
      <c r="H115" s="2339"/>
      <c r="I115" s="2339"/>
      <c r="J115" s="2339" t="s">
        <v>663</v>
      </c>
      <c r="K115" s="2339" t="s">
        <v>663</v>
      </c>
      <c r="L115" s="2339">
        <v>1</v>
      </c>
      <c r="M115" s="2339"/>
      <c r="N115" s="2339"/>
      <c r="O115" s="2339"/>
      <c r="P115" s="2339"/>
      <c r="Q115" s="2339"/>
      <c r="R115" s="2339"/>
      <c r="S115" s="2339"/>
      <c r="T115" s="2339"/>
      <c r="U115" s="2339"/>
      <c r="V115" s="2339"/>
      <c r="W115" s="2339"/>
      <c r="X115" s="2339"/>
      <c r="Y115" s="2339"/>
      <c r="Z115" s="2339">
        <v>1</v>
      </c>
      <c r="AA115" s="2339"/>
      <c r="AB115" s="2339"/>
      <c r="AC115" s="2339"/>
      <c r="AD115" s="2339">
        <v>1</v>
      </c>
      <c r="AE115" s="2339"/>
      <c r="AF115" s="2339">
        <v>3</v>
      </c>
      <c r="AG115" s="2339"/>
      <c r="AH115" s="2339"/>
      <c r="AI115" s="2339"/>
      <c r="AJ115" s="2339"/>
      <c r="AK115" s="2339"/>
      <c r="AL115" s="2339">
        <v>1</v>
      </c>
      <c r="AM115" s="2339">
        <v>3</v>
      </c>
      <c r="AN115" s="2339">
        <v>3</v>
      </c>
      <c r="AO115" s="2339"/>
      <c r="AP115" s="2339"/>
      <c r="AQ115" s="2339">
        <v>2</v>
      </c>
      <c r="AR115" s="2339"/>
      <c r="AS115" s="2339"/>
      <c r="AT115" s="2339">
        <v>3</v>
      </c>
      <c r="AU115" s="2339"/>
      <c r="AV115" s="2339"/>
      <c r="AW115" s="2339"/>
      <c r="AX115" s="2339"/>
      <c r="AY115" s="2339"/>
      <c r="AZ115" s="2339"/>
      <c r="BA115" s="2339"/>
      <c r="BB115" s="2339"/>
      <c r="BC115" s="2339">
        <v>117.6</v>
      </c>
      <c r="BD115" s="2339">
        <v>39.200000000000003</v>
      </c>
      <c r="BE115" s="2339">
        <v>0</v>
      </c>
      <c r="BF115" s="2339"/>
      <c r="BG115" s="2339"/>
      <c r="BH115" s="2339"/>
      <c r="BI115" s="2339"/>
      <c r="BJ115" s="2339">
        <v>1</v>
      </c>
      <c r="BK115" s="2339"/>
      <c r="BL115" s="2339"/>
      <c r="BM115" s="2339">
        <v>0</v>
      </c>
      <c r="BN115" s="2339">
        <v>0</v>
      </c>
      <c r="BO115" s="2339"/>
      <c r="BP115" s="2339"/>
      <c r="BQ115" s="2339">
        <v>2</v>
      </c>
      <c r="BR115" s="2339">
        <v>1</v>
      </c>
      <c r="BS115" s="2339"/>
      <c r="BT115" s="2339"/>
      <c r="BU115" s="2339"/>
      <c r="BV115" s="2339"/>
      <c r="BW115" s="2339"/>
      <c r="BX115" s="2339"/>
      <c r="BY115" s="2339"/>
      <c r="BZ115" s="2339"/>
      <c r="CA115" s="2339"/>
      <c r="CB115" s="2339"/>
      <c r="CC115" s="2339"/>
      <c r="CD115" s="2339">
        <v>1</v>
      </c>
      <c r="CE115" s="2339"/>
      <c r="CF115" s="2339"/>
      <c r="CG115" s="2339"/>
      <c r="CH115" s="2339"/>
      <c r="CI115" s="2339"/>
      <c r="CJ115" s="2339"/>
      <c r="CK115" s="2339"/>
      <c r="CL115" s="2339">
        <v>0</v>
      </c>
      <c r="CM115" s="2339"/>
      <c r="CN115" s="2339"/>
      <c r="CO115" s="2339"/>
      <c r="CP115" s="2339"/>
      <c r="CQ115" s="2339"/>
      <c r="CR115" s="2339"/>
      <c r="CS115" s="2339"/>
      <c r="CT115" s="2339"/>
      <c r="CU115" s="2339"/>
      <c r="CV115" s="2339"/>
      <c r="CW115" s="2339">
        <v>0</v>
      </c>
      <c r="CX115" s="2339" t="s">
        <v>5231</v>
      </c>
      <c r="DA115" s="1516">
        <v>1</v>
      </c>
      <c r="DC115" s="1516">
        <v>1</v>
      </c>
    </row>
    <row r="116" spans="2:107">
      <c r="B116" s="2339" t="s">
        <v>5269</v>
      </c>
      <c r="C116" s="2339">
        <v>41</v>
      </c>
      <c r="D116" s="2339">
        <v>3960.2</v>
      </c>
      <c r="E116" s="2339"/>
      <c r="F116" s="2339"/>
      <c r="G116" s="2339"/>
      <c r="H116" s="2339"/>
      <c r="I116" s="2339"/>
      <c r="J116" s="2339"/>
      <c r="K116" s="2339" t="s">
        <v>550</v>
      </c>
      <c r="L116" s="2339"/>
      <c r="M116" s="2339">
        <v>2</v>
      </c>
      <c r="N116" s="2339"/>
      <c r="O116" s="2339"/>
      <c r="P116" s="2339"/>
      <c r="Q116" s="2339">
        <v>1</v>
      </c>
      <c r="R116" s="2339"/>
      <c r="S116" s="2339"/>
      <c r="T116" s="2339"/>
      <c r="U116" s="2339"/>
      <c r="V116" s="2339"/>
      <c r="W116" s="2339"/>
      <c r="X116" s="2339"/>
      <c r="Y116" s="2339"/>
      <c r="Z116" s="2339"/>
      <c r="AA116" s="2339"/>
      <c r="AB116" s="2339"/>
      <c r="AC116" s="2339">
        <v>1</v>
      </c>
      <c r="AD116" s="2339"/>
      <c r="AE116" s="2339"/>
      <c r="AF116" s="2339">
        <v>6</v>
      </c>
      <c r="AG116" s="2339">
        <v>6</v>
      </c>
      <c r="AH116" s="2339"/>
      <c r="AI116" s="2339"/>
      <c r="AJ116" s="2339">
        <v>6</v>
      </c>
      <c r="AK116" s="2339">
        <v>2</v>
      </c>
      <c r="AL116" s="2339"/>
      <c r="AM116" s="2339"/>
      <c r="AN116" s="2339"/>
      <c r="AO116" s="2339"/>
      <c r="AP116" s="2339"/>
      <c r="AQ116" s="2339">
        <v>2</v>
      </c>
      <c r="AR116" s="2339">
        <v>6</v>
      </c>
      <c r="AS116" s="2339"/>
      <c r="AT116" s="2339">
        <v>6</v>
      </c>
      <c r="AU116" s="2339"/>
      <c r="AV116" s="2339"/>
      <c r="AW116" s="2339">
        <v>1</v>
      </c>
      <c r="AX116" s="2339"/>
      <c r="AY116" s="2339"/>
      <c r="AZ116" s="2339">
        <v>7</v>
      </c>
      <c r="BA116" s="2339">
        <v>4</v>
      </c>
      <c r="BB116" s="2339">
        <v>1.2</v>
      </c>
      <c r="BC116" s="2339">
        <v>123</v>
      </c>
      <c r="BD116" s="2339">
        <v>41</v>
      </c>
      <c r="BE116" s="2339">
        <v>0</v>
      </c>
      <c r="BF116" s="2339"/>
      <c r="BG116" s="2339"/>
      <c r="BH116" s="2339">
        <v>1</v>
      </c>
      <c r="BI116" s="2339"/>
      <c r="BJ116" s="2339"/>
      <c r="BK116" s="2339"/>
      <c r="BL116" s="2339"/>
      <c r="BM116" s="2339">
        <v>0</v>
      </c>
      <c r="BN116" s="2339">
        <v>0</v>
      </c>
      <c r="BO116" s="2339"/>
      <c r="BP116" s="2339"/>
      <c r="BQ116" s="2339"/>
      <c r="BR116" s="2339"/>
      <c r="BS116" s="2339"/>
      <c r="BT116" s="2339"/>
      <c r="BU116" s="2339">
        <v>1</v>
      </c>
      <c r="BV116" s="2339"/>
      <c r="BW116" s="2339">
        <v>1</v>
      </c>
      <c r="BX116" s="2339"/>
      <c r="BY116" s="2339"/>
      <c r="BZ116" s="2339"/>
      <c r="CA116" s="2339"/>
      <c r="CB116" s="2339"/>
      <c r="CC116" s="2339"/>
      <c r="CD116" s="2339"/>
      <c r="CE116" s="2339"/>
      <c r="CF116" s="2339"/>
      <c r="CG116" s="2339"/>
      <c r="CH116" s="2339"/>
      <c r="CI116" s="2339"/>
      <c r="CJ116" s="2339"/>
      <c r="CK116" s="2339"/>
      <c r="CL116" s="2339">
        <v>1</v>
      </c>
      <c r="CM116" s="2339">
        <v>0</v>
      </c>
      <c r="CN116" s="2339">
        <v>1</v>
      </c>
      <c r="CO116" s="2339"/>
      <c r="CP116" s="2339"/>
      <c r="CQ116" s="2339"/>
      <c r="CR116" s="2339"/>
      <c r="CS116" s="2339"/>
      <c r="CT116" s="2339"/>
      <c r="CU116" s="2339"/>
      <c r="CV116" s="2339">
        <v>1</v>
      </c>
      <c r="CW116" s="2339">
        <v>0</v>
      </c>
      <c r="CX116" s="2339"/>
      <c r="DA116" s="1516">
        <v>1</v>
      </c>
      <c r="DC116" s="1516">
        <v>1</v>
      </c>
    </row>
    <row r="117" spans="2:107">
      <c r="B117" s="2339">
        <v>143</v>
      </c>
      <c r="C117" s="2339">
        <v>41.3</v>
      </c>
      <c r="D117" s="2339">
        <v>4001.5</v>
      </c>
      <c r="E117" s="2339"/>
      <c r="F117" s="2339"/>
      <c r="G117" s="2339"/>
      <c r="H117" s="2339"/>
      <c r="I117" s="2339"/>
      <c r="J117" s="2339" t="s">
        <v>504</v>
      </c>
      <c r="K117" s="2339" t="s">
        <v>504</v>
      </c>
      <c r="L117" s="2339">
        <v>1</v>
      </c>
      <c r="M117" s="2339"/>
      <c r="N117" s="2339"/>
      <c r="O117" s="2339"/>
      <c r="P117" s="2339"/>
      <c r="Q117" s="2339"/>
      <c r="R117" s="2339"/>
      <c r="S117" s="2339"/>
      <c r="T117" s="2339"/>
      <c r="U117" s="2339"/>
      <c r="V117" s="2339"/>
      <c r="W117" s="2339"/>
      <c r="X117" s="2339"/>
      <c r="Y117" s="2339"/>
      <c r="Z117" s="2339"/>
      <c r="AA117" s="2339"/>
      <c r="AB117" s="2339"/>
      <c r="AC117" s="2339"/>
      <c r="AD117" s="2339">
        <v>1</v>
      </c>
      <c r="AE117" s="2339"/>
      <c r="AF117" s="2339">
        <v>3</v>
      </c>
      <c r="AG117" s="2339"/>
      <c r="AH117" s="2339"/>
      <c r="AI117" s="2339"/>
      <c r="AJ117" s="2339"/>
      <c r="AK117" s="2339"/>
      <c r="AL117" s="2339">
        <v>1</v>
      </c>
      <c r="AM117" s="2339"/>
      <c r="AN117" s="2339"/>
      <c r="AO117" s="2339"/>
      <c r="AP117" s="2339"/>
      <c r="AQ117" s="2339"/>
      <c r="AR117" s="2339"/>
      <c r="AS117" s="2339"/>
      <c r="AT117" s="2339">
        <v>3</v>
      </c>
      <c r="AU117" s="2339"/>
      <c r="AV117" s="2339"/>
      <c r="AW117" s="2339"/>
      <c r="AX117" s="2339"/>
      <c r="AY117" s="2339"/>
      <c r="AZ117" s="2339"/>
      <c r="BA117" s="2339"/>
      <c r="BB117" s="2339"/>
      <c r="BC117" s="2339">
        <v>123.9</v>
      </c>
      <c r="BD117" s="2339">
        <v>41.3</v>
      </c>
      <c r="BE117" s="2339">
        <v>0</v>
      </c>
      <c r="BF117" s="2339"/>
      <c r="BG117" s="2339"/>
      <c r="BH117" s="2339"/>
      <c r="BI117" s="2339"/>
      <c r="BJ117" s="2339">
        <v>1</v>
      </c>
      <c r="BK117" s="2339"/>
      <c r="BL117" s="2339"/>
      <c r="BM117" s="2339">
        <v>0</v>
      </c>
      <c r="BN117" s="2339">
        <v>0</v>
      </c>
      <c r="BO117" s="2339"/>
      <c r="BP117" s="2339"/>
      <c r="BQ117" s="2339">
        <v>2</v>
      </c>
      <c r="BR117" s="2339">
        <v>1</v>
      </c>
      <c r="BS117" s="2339"/>
      <c r="BT117" s="2339"/>
      <c r="BU117" s="2339"/>
      <c r="BV117" s="2339"/>
      <c r="BW117" s="2339"/>
      <c r="BX117" s="2339"/>
      <c r="BY117" s="2339"/>
      <c r="BZ117" s="2339"/>
      <c r="CA117" s="2339"/>
      <c r="CB117" s="2339"/>
      <c r="CC117" s="2339"/>
      <c r="CD117" s="2339">
        <v>1</v>
      </c>
      <c r="CE117" s="2339"/>
      <c r="CF117" s="2339"/>
      <c r="CG117" s="2339"/>
      <c r="CH117" s="2339"/>
      <c r="CI117" s="2339"/>
      <c r="CJ117" s="2339"/>
      <c r="CK117" s="2339"/>
      <c r="CL117" s="2339">
        <v>0</v>
      </c>
      <c r="CM117" s="2339"/>
      <c r="CN117" s="2339"/>
      <c r="CO117" s="2339"/>
      <c r="CP117" s="2339"/>
      <c r="CQ117" s="2339"/>
      <c r="CR117" s="2339"/>
      <c r="CS117" s="2339"/>
      <c r="CT117" s="2339"/>
      <c r="CU117" s="2339"/>
      <c r="CV117" s="2339"/>
      <c r="CW117" s="2339">
        <v>0</v>
      </c>
      <c r="CX117" s="2339"/>
      <c r="DA117" s="1516">
        <v>1</v>
      </c>
      <c r="DC117" s="1516">
        <v>1</v>
      </c>
    </row>
    <row r="118" spans="2:107">
      <c r="B118" s="2339" t="s">
        <v>5270</v>
      </c>
      <c r="C118" s="2339">
        <v>44</v>
      </c>
      <c r="D118" s="2339">
        <v>4045.5</v>
      </c>
      <c r="E118" s="2339"/>
      <c r="F118" s="2339"/>
      <c r="G118" s="2339"/>
      <c r="H118" s="2339"/>
      <c r="I118" s="2339"/>
      <c r="J118" s="2339"/>
      <c r="K118" s="2339" t="s">
        <v>504</v>
      </c>
      <c r="L118" s="2339"/>
      <c r="M118" s="2339">
        <v>1</v>
      </c>
      <c r="N118" s="2339"/>
      <c r="O118" s="2339">
        <v>1</v>
      </c>
      <c r="P118" s="2339"/>
      <c r="Q118" s="2339"/>
      <c r="R118" s="2339"/>
      <c r="S118" s="2339"/>
      <c r="T118" s="2339"/>
      <c r="U118" s="2339"/>
      <c r="V118" s="2339"/>
      <c r="W118" s="2339"/>
      <c r="X118" s="2339"/>
      <c r="Y118" s="2339"/>
      <c r="Z118" s="2339"/>
      <c r="AA118" s="2339"/>
      <c r="AB118" s="2339"/>
      <c r="AC118" s="2339"/>
      <c r="AD118" s="2339">
        <v>1</v>
      </c>
      <c r="AE118" s="2339"/>
      <c r="AF118" s="2339">
        <v>3</v>
      </c>
      <c r="AG118" s="2339"/>
      <c r="AH118" s="2339"/>
      <c r="AI118" s="2339"/>
      <c r="AJ118" s="2339"/>
      <c r="AK118" s="2339"/>
      <c r="AL118" s="2339">
        <v>1</v>
      </c>
      <c r="AM118" s="2339"/>
      <c r="AN118" s="2339"/>
      <c r="AO118" s="2339"/>
      <c r="AP118" s="2339"/>
      <c r="AQ118" s="2339"/>
      <c r="AR118" s="2339"/>
      <c r="AS118" s="2339"/>
      <c r="AT118" s="2339">
        <v>3</v>
      </c>
      <c r="AU118" s="2339"/>
      <c r="AV118" s="2339"/>
      <c r="AW118" s="2339">
        <v>1</v>
      </c>
      <c r="AX118" s="2339"/>
      <c r="AY118" s="2339"/>
      <c r="AZ118" s="2339">
        <v>6</v>
      </c>
      <c r="BA118" s="2339">
        <v>4</v>
      </c>
      <c r="BB118" s="2339"/>
      <c r="BC118" s="2339">
        <v>132</v>
      </c>
      <c r="BD118" s="2339">
        <v>44</v>
      </c>
      <c r="BE118" s="2339">
        <v>0</v>
      </c>
      <c r="BF118" s="2339"/>
      <c r="BG118" s="2339"/>
      <c r="BH118" s="2339">
        <v>1</v>
      </c>
      <c r="BI118" s="2339"/>
      <c r="BJ118" s="2339"/>
      <c r="BK118" s="2339"/>
      <c r="BL118" s="2339"/>
      <c r="BM118" s="2339">
        <v>0</v>
      </c>
      <c r="BN118" s="2339">
        <v>0</v>
      </c>
      <c r="BO118" s="2339"/>
      <c r="BP118" s="2339"/>
      <c r="BQ118" s="2339"/>
      <c r="BR118" s="2339"/>
      <c r="BS118" s="2339"/>
      <c r="BT118" s="2339"/>
      <c r="BU118" s="2339">
        <v>1</v>
      </c>
      <c r="BV118" s="2339"/>
      <c r="BW118" s="2339">
        <v>1</v>
      </c>
      <c r="BX118" s="2339"/>
      <c r="BY118" s="2339"/>
      <c r="BZ118" s="2339"/>
      <c r="CA118" s="2339"/>
      <c r="CB118" s="2339"/>
      <c r="CC118" s="2339"/>
      <c r="CD118" s="2339"/>
      <c r="CE118" s="2339"/>
      <c r="CF118" s="2339"/>
      <c r="CG118" s="2339"/>
      <c r="CH118" s="2339"/>
      <c r="CI118" s="2339"/>
      <c r="CJ118" s="2339"/>
      <c r="CK118" s="2339"/>
      <c r="CL118" s="2339">
        <v>1</v>
      </c>
      <c r="CM118" s="2339">
        <v>0</v>
      </c>
      <c r="CN118" s="2339">
        <v>1</v>
      </c>
      <c r="CO118" s="2339"/>
      <c r="CP118" s="2339"/>
      <c r="CQ118" s="2339"/>
      <c r="CR118" s="2339"/>
      <c r="CS118" s="2339"/>
      <c r="CT118" s="2339"/>
      <c r="CU118" s="2339"/>
      <c r="CV118" s="2339">
        <v>1</v>
      </c>
      <c r="CW118" s="2339">
        <v>0</v>
      </c>
      <c r="CX118" s="2339"/>
      <c r="DA118" s="1516">
        <v>1</v>
      </c>
      <c r="DC118" s="1516">
        <v>1</v>
      </c>
    </row>
    <row r="119" spans="2:107">
      <c r="B119" s="2339">
        <v>144</v>
      </c>
      <c r="C119" s="2339">
        <v>43.8</v>
      </c>
      <c r="D119" s="2339">
        <v>4089.3</v>
      </c>
      <c r="E119" s="2339"/>
      <c r="F119" s="2339"/>
      <c r="G119" s="2339"/>
      <c r="H119" s="2339"/>
      <c r="I119" s="2339"/>
      <c r="J119" s="2339" t="s">
        <v>504</v>
      </c>
      <c r="K119" s="2339" t="s">
        <v>504</v>
      </c>
      <c r="L119" s="2339">
        <v>1</v>
      </c>
      <c r="M119" s="2339"/>
      <c r="N119" s="2339"/>
      <c r="O119" s="2339"/>
      <c r="P119" s="2339"/>
      <c r="Q119" s="2339"/>
      <c r="R119" s="2339"/>
      <c r="S119" s="2339"/>
      <c r="T119" s="2339"/>
      <c r="U119" s="2339"/>
      <c r="V119" s="2339"/>
      <c r="W119" s="2339"/>
      <c r="X119" s="2339"/>
      <c r="Y119" s="2339"/>
      <c r="Z119" s="2339"/>
      <c r="AA119" s="2339"/>
      <c r="AB119" s="2339"/>
      <c r="AC119" s="2339"/>
      <c r="AD119" s="2339">
        <v>1</v>
      </c>
      <c r="AE119" s="2339"/>
      <c r="AF119" s="2339">
        <v>3</v>
      </c>
      <c r="AG119" s="2339"/>
      <c r="AH119" s="2339"/>
      <c r="AI119" s="2339"/>
      <c r="AJ119" s="2339"/>
      <c r="AK119" s="2339"/>
      <c r="AL119" s="2339">
        <v>1</v>
      </c>
      <c r="AM119" s="2339">
        <v>3</v>
      </c>
      <c r="AN119" s="2339"/>
      <c r="AO119" s="2339"/>
      <c r="AP119" s="2339"/>
      <c r="AQ119" s="2339"/>
      <c r="AR119" s="2339"/>
      <c r="AS119" s="2339"/>
      <c r="AT119" s="2339">
        <v>3</v>
      </c>
      <c r="AU119" s="2339"/>
      <c r="AV119" s="2339"/>
      <c r="AW119" s="2339"/>
      <c r="AX119" s="2339"/>
      <c r="AY119" s="2339"/>
      <c r="AZ119" s="2339"/>
      <c r="BA119" s="2339"/>
      <c r="BB119" s="2339"/>
      <c r="BC119" s="2339">
        <v>131.4</v>
      </c>
      <c r="BD119" s="2339">
        <v>43.8</v>
      </c>
      <c r="BE119" s="2339">
        <v>0</v>
      </c>
      <c r="BF119" s="2339"/>
      <c r="BG119" s="2339"/>
      <c r="BH119" s="2339"/>
      <c r="BI119" s="2339"/>
      <c r="BJ119" s="2339">
        <v>1</v>
      </c>
      <c r="BK119" s="2339"/>
      <c r="BL119" s="2339"/>
      <c r="BM119" s="2339">
        <v>0</v>
      </c>
      <c r="BN119" s="2339">
        <v>0</v>
      </c>
      <c r="BO119" s="2339"/>
      <c r="BP119" s="2339"/>
      <c r="BQ119" s="2339">
        <v>2</v>
      </c>
      <c r="BR119" s="2339">
        <v>1</v>
      </c>
      <c r="BS119" s="2339"/>
      <c r="BT119" s="2339"/>
      <c r="BU119" s="2339"/>
      <c r="BV119" s="2339"/>
      <c r="BW119" s="2339"/>
      <c r="BX119" s="2339"/>
      <c r="BY119" s="2339"/>
      <c r="BZ119" s="2339"/>
      <c r="CA119" s="2339"/>
      <c r="CB119" s="2339"/>
      <c r="CC119" s="2339"/>
      <c r="CD119" s="2339">
        <v>1</v>
      </c>
      <c r="CE119" s="2339"/>
      <c r="CF119" s="2339"/>
      <c r="CG119" s="2339"/>
      <c r="CH119" s="2339"/>
      <c r="CI119" s="2339"/>
      <c r="CJ119" s="2339"/>
      <c r="CK119" s="2339"/>
      <c r="CL119" s="2339">
        <v>0</v>
      </c>
      <c r="CM119" s="2339"/>
      <c r="CN119" s="2339"/>
      <c r="CO119" s="2339"/>
      <c r="CP119" s="2339"/>
      <c r="CQ119" s="2339"/>
      <c r="CR119" s="2339"/>
      <c r="CS119" s="2339"/>
      <c r="CT119" s="2339"/>
      <c r="CU119" s="2339"/>
      <c r="CV119" s="2339"/>
      <c r="CW119" s="2339">
        <v>0</v>
      </c>
      <c r="CX119" s="2339"/>
      <c r="DA119" s="1516">
        <v>1</v>
      </c>
      <c r="DC119" s="1516">
        <v>1</v>
      </c>
    </row>
    <row r="120" spans="2:107">
      <c r="B120" s="2339" t="s">
        <v>5271</v>
      </c>
      <c r="C120" s="2339">
        <v>38</v>
      </c>
      <c r="D120" s="2339">
        <v>4127.3</v>
      </c>
      <c r="E120" s="2339"/>
      <c r="F120" s="2339"/>
      <c r="G120" s="2339"/>
      <c r="H120" s="2339"/>
      <c r="I120" s="2339"/>
      <c r="J120" s="2339"/>
      <c r="K120" s="2339" t="s">
        <v>504</v>
      </c>
      <c r="L120" s="2339"/>
      <c r="M120" s="2339">
        <v>1</v>
      </c>
      <c r="N120" s="2339"/>
      <c r="O120" s="2339">
        <v>1</v>
      </c>
      <c r="P120" s="2339"/>
      <c r="Q120" s="2339"/>
      <c r="R120" s="2339"/>
      <c r="S120" s="2339"/>
      <c r="T120" s="2339"/>
      <c r="U120" s="2339"/>
      <c r="V120" s="2339"/>
      <c r="W120" s="2339"/>
      <c r="X120" s="2339"/>
      <c r="Y120" s="2339">
        <v>1</v>
      </c>
      <c r="Z120" s="2339"/>
      <c r="AA120" s="2339"/>
      <c r="AB120" s="2339"/>
      <c r="AC120" s="2339"/>
      <c r="AD120" s="2339">
        <v>1</v>
      </c>
      <c r="AE120" s="2339"/>
      <c r="AF120" s="2339">
        <v>3</v>
      </c>
      <c r="AG120" s="2339"/>
      <c r="AH120" s="2339"/>
      <c r="AI120" s="2339"/>
      <c r="AJ120" s="2339"/>
      <c r="AK120" s="2339"/>
      <c r="AL120" s="2339">
        <v>1</v>
      </c>
      <c r="AM120" s="2339"/>
      <c r="AN120" s="2339"/>
      <c r="AO120" s="2339"/>
      <c r="AP120" s="2339"/>
      <c r="AQ120" s="2339"/>
      <c r="AR120" s="2339"/>
      <c r="AS120" s="2339"/>
      <c r="AT120" s="2339">
        <v>3</v>
      </c>
      <c r="AU120" s="2339"/>
      <c r="AV120" s="2339"/>
      <c r="AW120" s="2339">
        <v>1</v>
      </c>
      <c r="AX120" s="2339"/>
      <c r="AY120" s="2339"/>
      <c r="AZ120" s="2339">
        <v>6</v>
      </c>
      <c r="BA120" s="2339">
        <v>4</v>
      </c>
      <c r="BB120" s="2339"/>
      <c r="BC120" s="2339">
        <v>114</v>
      </c>
      <c r="BD120" s="2339">
        <v>38</v>
      </c>
      <c r="BE120" s="2339">
        <v>0</v>
      </c>
      <c r="BF120" s="2339"/>
      <c r="BG120" s="2339"/>
      <c r="BH120" s="2339">
        <v>1</v>
      </c>
      <c r="BI120" s="2339"/>
      <c r="BJ120" s="2339"/>
      <c r="BK120" s="2339"/>
      <c r="BL120" s="2339"/>
      <c r="BM120" s="2339">
        <v>0</v>
      </c>
      <c r="BN120" s="2339">
        <v>0</v>
      </c>
      <c r="BO120" s="2339"/>
      <c r="BP120" s="2339"/>
      <c r="BQ120" s="2339"/>
      <c r="BR120" s="2339"/>
      <c r="BS120" s="2339"/>
      <c r="BT120" s="2339"/>
      <c r="BU120" s="2339">
        <v>1</v>
      </c>
      <c r="BV120" s="2339"/>
      <c r="BW120" s="2339">
        <v>1</v>
      </c>
      <c r="BX120" s="2339"/>
      <c r="BY120" s="2339"/>
      <c r="BZ120" s="2339"/>
      <c r="CA120" s="2339"/>
      <c r="CB120" s="2339"/>
      <c r="CC120" s="2339"/>
      <c r="CD120" s="2339"/>
      <c r="CE120" s="2339"/>
      <c r="CF120" s="2339"/>
      <c r="CG120" s="2339"/>
      <c r="CH120" s="2339"/>
      <c r="CI120" s="2339"/>
      <c r="CJ120" s="2339"/>
      <c r="CK120" s="2339"/>
      <c r="CL120" s="2339">
        <v>1</v>
      </c>
      <c r="CM120" s="2339">
        <v>0</v>
      </c>
      <c r="CN120" s="2339">
        <v>1</v>
      </c>
      <c r="CO120" s="2339"/>
      <c r="CP120" s="2339"/>
      <c r="CQ120" s="2339"/>
      <c r="CR120" s="2339"/>
      <c r="CS120" s="2339"/>
      <c r="CT120" s="2339"/>
      <c r="CU120" s="2339"/>
      <c r="CV120" s="2339">
        <v>1</v>
      </c>
      <c r="CW120" s="2339">
        <v>0</v>
      </c>
      <c r="CX120" s="2339"/>
      <c r="DA120" s="1516">
        <v>1</v>
      </c>
      <c r="DC120" s="1516">
        <v>1</v>
      </c>
    </row>
    <row r="121" spans="2:107">
      <c r="B121" s="2339">
        <v>145</v>
      </c>
      <c r="C121" s="2339">
        <v>37.799999999999997</v>
      </c>
      <c r="D121" s="2339">
        <v>4165.1000000000004</v>
      </c>
      <c r="E121" s="2339"/>
      <c r="F121" s="2339"/>
      <c r="G121" s="2339"/>
      <c r="H121" s="2339"/>
      <c r="I121" s="2339"/>
      <c r="J121" s="2339" t="s">
        <v>4512</v>
      </c>
      <c r="K121" s="2339" t="s">
        <v>4512</v>
      </c>
      <c r="L121" s="2339">
        <v>1</v>
      </c>
      <c r="M121" s="2339"/>
      <c r="N121" s="2339"/>
      <c r="O121" s="2339"/>
      <c r="P121" s="2339"/>
      <c r="Q121" s="2339"/>
      <c r="R121" s="2339"/>
      <c r="S121" s="2339">
        <v>1</v>
      </c>
      <c r="T121" s="2339"/>
      <c r="U121" s="2339"/>
      <c r="V121" s="2339"/>
      <c r="W121" s="2339"/>
      <c r="X121" s="2339"/>
      <c r="Y121" s="2339"/>
      <c r="Z121" s="2339"/>
      <c r="AA121" s="2339"/>
      <c r="AB121" s="2339"/>
      <c r="AC121" s="2339"/>
      <c r="AD121" s="2339"/>
      <c r="AE121" s="2339">
        <v>1</v>
      </c>
      <c r="AF121" s="2339">
        <v>6</v>
      </c>
      <c r="AG121" s="2339"/>
      <c r="AH121" s="2339"/>
      <c r="AI121" s="2339"/>
      <c r="AJ121" s="2339"/>
      <c r="AK121" s="2339"/>
      <c r="AL121" s="2339">
        <v>1</v>
      </c>
      <c r="AM121" s="2339"/>
      <c r="AN121" s="2339"/>
      <c r="AO121" s="2339"/>
      <c r="AP121" s="2339"/>
      <c r="AQ121" s="2339"/>
      <c r="AR121" s="2339"/>
      <c r="AS121" s="2339">
        <v>6</v>
      </c>
      <c r="AT121" s="2339"/>
      <c r="AU121" s="2339"/>
      <c r="AV121" s="2339"/>
      <c r="AW121" s="2339"/>
      <c r="AX121" s="2339"/>
      <c r="AY121" s="2339"/>
      <c r="AZ121" s="2339"/>
      <c r="BA121" s="2339"/>
      <c r="BB121" s="2339"/>
      <c r="BC121" s="2339">
        <v>113.4</v>
      </c>
      <c r="BD121" s="2339">
        <v>37.799999999999997</v>
      </c>
      <c r="BE121" s="2339">
        <v>0</v>
      </c>
      <c r="BF121" s="2339"/>
      <c r="BG121" s="2339"/>
      <c r="BH121" s="2339"/>
      <c r="BI121" s="2339"/>
      <c r="BJ121" s="2339"/>
      <c r="BK121" s="2339">
        <v>1</v>
      </c>
      <c r="BL121" s="2339"/>
      <c r="BM121" s="2339">
        <v>0</v>
      </c>
      <c r="BN121" s="2339">
        <v>1</v>
      </c>
      <c r="BO121" s="2339"/>
      <c r="BP121" s="2339"/>
      <c r="BQ121" s="2339">
        <v>4</v>
      </c>
      <c r="BR121" s="2339">
        <v>2</v>
      </c>
      <c r="BS121" s="2339"/>
      <c r="BT121" s="2339"/>
      <c r="BU121" s="2339"/>
      <c r="BV121" s="2339"/>
      <c r="BW121" s="2339"/>
      <c r="BX121" s="2339"/>
      <c r="BY121" s="2339"/>
      <c r="BZ121" s="2339"/>
      <c r="CA121" s="2339"/>
      <c r="CB121" s="2339"/>
      <c r="CC121" s="2339"/>
      <c r="CD121" s="2339">
        <v>1</v>
      </c>
      <c r="CE121" s="2339"/>
      <c r="CF121" s="2339"/>
      <c r="CG121" s="2339"/>
      <c r="CH121" s="2339"/>
      <c r="CI121" s="2339"/>
      <c r="CJ121" s="2339"/>
      <c r="CK121" s="2339"/>
      <c r="CL121" s="2339">
        <v>0</v>
      </c>
      <c r="CM121" s="2339"/>
      <c r="CN121" s="2339"/>
      <c r="CO121" s="2339"/>
      <c r="CP121" s="2339"/>
      <c r="CQ121" s="2339"/>
      <c r="CR121" s="2339"/>
      <c r="CS121" s="2339"/>
      <c r="CT121" s="2339"/>
      <c r="CU121" s="2339"/>
      <c r="CV121" s="2339"/>
      <c r="CW121" s="2339">
        <v>0</v>
      </c>
      <c r="CX121" s="2339"/>
      <c r="DA121" s="1516">
        <v>1</v>
      </c>
      <c r="DC121" s="1516">
        <v>1</v>
      </c>
    </row>
    <row r="122" spans="2:107">
      <c r="B122" s="2339" t="s">
        <v>5272</v>
      </c>
      <c r="C122" s="2339">
        <v>27</v>
      </c>
      <c r="D122" s="2339">
        <v>4192.1000000000004</v>
      </c>
      <c r="E122" s="2339"/>
      <c r="F122" s="2339"/>
      <c r="G122" s="2339"/>
      <c r="H122" s="2339"/>
      <c r="I122" s="2339"/>
      <c r="J122" s="2339"/>
      <c r="K122" s="2339" t="s">
        <v>504</v>
      </c>
      <c r="L122" s="2339"/>
      <c r="M122" s="2339">
        <v>1</v>
      </c>
      <c r="N122" s="2339"/>
      <c r="O122" s="2339">
        <v>1</v>
      </c>
      <c r="P122" s="2339"/>
      <c r="Q122" s="2339"/>
      <c r="R122" s="2339"/>
      <c r="S122" s="2339"/>
      <c r="T122" s="2339"/>
      <c r="U122" s="2339"/>
      <c r="V122" s="2339"/>
      <c r="W122" s="2339"/>
      <c r="X122" s="2339"/>
      <c r="Y122" s="2339"/>
      <c r="Z122" s="2339"/>
      <c r="AA122" s="2339"/>
      <c r="AB122" s="2339"/>
      <c r="AC122" s="2339"/>
      <c r="AD122" s="2339">
        <v>1</v>
      </c>
      <c r="AE122" s="2339"/>
      <c r="AF122" s="2339">
        <v>3</v>
      </c>
      <c r="AG122" s="2339"/>
      <c r="AH122" s="2339"/>
      <c r="AI122" s="2339"/>
      <c r="AJ122" s="2339"/>
      <c r="AK122" s="2339"/>
      <c r="AL122" s="2339">
        <v>1</v>
      </c>
      <c r="AM122" s="2339"/>
      <c r="AN122" s="2339"/>
      <c r="AO122" s="2339"/>
      <c r="AP122" s="2339"/>
      <c r="AQ122" s="2339"/>
      <c r="AR122" s="2339"/>
      <c r="AS122" s="2339"/>
      <c r="AT122" s="2339">
        <v>3</v>
      </c>
      <c r="AU122" s="2339"/>
      <c r="AV122" s="2339"/>
      <c r="AW122" s="2339">
        <v>1</v>
      </c>
      <c r="AX122" s="2339"/>
      <c r="AY122" s="2339"/>
      <c r="AZ122" s="2339">
        <v>4</v>
      </c>
      <c r="BA122" s="2339">
        <v>4</v>
      </c>
      <c r="BB122" s="2339"/>
      <c r="BC122" s="2339">
        <v>81</v>
      </c>
      <c r="BD122" s="2339">
        <v>27</v>
      </c>
      <c r="BE122" s="2339">
        <v>0</v>
      </c>
      <c r="BF122" s="2339"/>
      <c r="BG122" s="2339"/>
      <c r="BH122" s="2339">
        <v>1</v>
      </c>
      <c r="BI122" s="2339"/>
      <c r="BJ122" s="2339"/>
      <c r="BK122" s="2339"/>
      <c r="BL122" s="2339"/>
      <c r="BM122" s="2339">
        <v>0</v>
      </c>
      <c r="BN122" s="2339">
        <v>0</v>
      </c>
      <c r="BO122" s="2339"/>
      <c r="BP122" s="2339"/>
      <c r="BQ122" s="2339"/>
      <c r="BR122" s="2339"/>
      <c r="BS122" s="2339"/>
      <c r="BT122" s="2339"/>
      <c r="BU122" s="2339">
        <v>1</v>
      </c>
      <c r="BV122" s="2339"/>
      <c r="BW122" s="2339">
        <v>1</v>
      </c>
      <c r="BX122" s="2339"/>
      <c r="BY122" s="2339"/>
      <c r="BZ122" s="2339"/>
      <c r="CA122" s="2339"/>
      <c r="CB122" s="2339"/>
      <c r="CC122" s="2339"/>
      <c r="CD122" s="2339"/>
      <c r="CE122" s="2339"/>
      <c r="CF122" s="2339"/>
      <c r="CG122" s="2339"/>
      <c r="CH122" s="2339"/>
      <c r="CI122" s="2339"/>
      <c r="CJ122" s="2339"/>
      <c r="CK122" s="2339"/>
      <c r="CL122" s="2339">
        <v>1</v>
      </c>
      <c r="CM122" s="2339">
        <v>0</v>
      </c>
      <c r="CN122" s="2339">
        <v>1</v>
      </c>
      <c r="CO122" s="2339"/>
      <c r="CP122" s="2339"/>
      <c r="CQ122" s="2339"/>
      <c r="CR122" s="2339"/>
      <c r="CS122" s="2339"/>
      <c r="CT122" s="2339"/>
      <c r="CU122" s="2339"/>
      <c r="CV122" s="2339">
        <v>1</v>
      </c>
      <c r="CW122" s="2339">
        <v>0</v>
      </c>
      <c r="CX122" s="2339"/>
      <c r="DA122" s="1516">
        <v>1</v>
      </c>
      <c r="DC122" s="1516">
        <v>1</v>
      </c>
    </row>
    <row r="123" spans="2:107">
      <c r="B123" s="2339" t="s">
        <v>5273</v>
      </c>
      <c r="C123" s="2339">
        <v>26.5</v>
      </c>
      <c r="D123" s="2339">
        <v>4218.6000000000004</v>
      </c>
      <c r="E123" s="2339"/>
      <c r="F123" s="2339"/>
      <c r="G123" s="2339"/>
      <c r="H123" s="2339"/>
      <c r="I123" s="2339"/>
      <c r="J123" s="2339" t="s">
        <v>663</v>
      </c>
      <c r="K123" s="2339" t="s">
        <v>663</v>
      </c>
      <c r="L123" s="2339">
        <v>1</v>
      </c>
      <c r="M123" s="2339"/>
      <c r="N123" s="2339"/>
      <c r="O123" s="2339"/>
      <c r="P123" s="2339"/>
      <c r="Q123" s="2339"/>
      <c r="R123" s="2339"/>
      <c r="S123" s="2339"/>
      <c r="T123" s="2339"/>
      <c r="U123" s="2339"/>
      <c r="V123" s="2339"/>
      <c r="W123" s="2339"/>
      <c r="X123" s="2339"/>
      <c r="Y123" s="2339"/>
      <c r="Z123" s="2339"/>
      <c r="AA123" s="2339"/>
      <c r="AB123" s="2339"/>
      <c r="AC123" s="2339"/>
      <c r="AD123" s="2339">
        <v>1</v>
      </c>
      <c r="AE123" s="2339"/>
      <c r="AF123" s="2339">
        <v>3</v>
      </c>
      <c r="AG123" s="2339"/>
      <c r="AH123" s="2339"/>
      <c r="AI123" s="2339"/>
      <c r="AJ123" s="2339"/>
      <c r="AK123" s="2339"/>
      <c r="AL123" s="2339">
        <v>1</v>
      </c>
      <c r="AM123" s="2339">
        <v>3</v>
      </c>
      <c r="AN123" s="2339">
        <v>3</v>
      </c>
      <c r="AO123" s="2339"/>
      <c r="AP123" s="2339"/>
      <c r="AQ123" s="2339">
        <v>2</v>
      </c>
      <c r="AR123" s="2339"/>
      <c r="AS123" s="2339"/>
      <c r="AT123" s="2339">
        <v>3</v>
      </c>
      <c r="AU123" s="2339"/>
      <c r="AV123" s="2339"/>
      <c r="AW123" s="2339"/>
      <c r="AX123" s="2339"/>
      <c r="AY123" s="2339"/>
      <c r="AZ123" s="2339"/>
      <c r="BA123" s="2339"/>
      <c r="BB123" s="2339"/>
      <c r="BC123" s="2339">
        <v>79.5</v>
      </c>
      <c r="BD123" s="2339">
        <v>26.5</v>
      </c>
      <c r="BE123" s="2339">
        <v>0</v>
      </c>
      <c r="BF123" s="2339"/>
      <c r="BG123" s="2339"/>
      <c r="BH123" s="2339"/>
      <c r="BI123" s="2339"/>
      <c r="BJ123" s="2339">
        <v>1</v>
      </c>
      <c r="BK123" s="2339"/>
      <c r="BL123" s="2339"/>
      <c r="BM123" s="2339">
        <v>0</v>
      </c>
      <c r="BN123" s="2339">
        <v>0</v>
      </c>
      <c r="BO123" s="2339"/>
      <c r="BP123" s="2339"/>
      <c r="BQ123" s="2339">
        <v>2</v>
      </c>
      <c r="BR123" s="2339">
        <v>1</v>
      </c>
      <c r="BS123" s="2339"/>
      <c r="BT123" s="2339"/>
      <c r="BU123" s="2339"/>
      <c r="BV123" s="2339"/>
      <c r="BW123" s="2339"/>
      <c r="BX123" s="2339"/>
      <c r="BY123" s="2339"/>
      <c r="BZ123" s="2339"/>
      <c r="CA123" s="2339"/>
      <c r="CB123" s="2339"/>
      <c r="CC123" s="2339"/>
      <c r="CD123" s="2339">
        <v>1</v>
      </c>
      <c r="CE123" s="2339"/>
      <c r="CF123" s="2339"/>
      <c r="CG123" s="2339"/>
      <c r="CH123" s="2339"/>
      <c r="CI123" s="2339"/>
      <c r="CJ123" s="2339"/>
      <c r="CK123" s="2339"/>
      <c r="CL123" s="2339">
        <v>0</v>
      </c>
      <c r="CM123" s="2339"/>
      <c r="CN123" s="2339"/>
      <c r="CO123" s="2339"/>
      <c r="CP123" s="2339"/>
      <c r="CQ123" s="2339"/>
      <c r="CR123" s="2339"/>
      <c r="CS123" s="2339"/>
      <c r="CT123" s="2339"/>
      <c r="CU123" s="2339"/>
      <c r="CV123" s="2339"/>
      <c r="CW123" s="2339">
        <v>0</v>
      </c>
      <c r="CX123" s="2339" t="s">
        <v>5231</v>
      </c>
      <c r="DA123" s="1516">
        <v>1</v>
      </c>
      <c r="DC123" s="1516">
        <v>1</v>
      </c>
    </row>
    <row r="124" spans="2:107">
      <c r="B124" s="2339">
        <v>146</v>
      </c>
      <c r="C124" s="2339">
        <v>15.6</v>
      </c>
      <c r="D124" s="2339">
        <v>4234.2</v>
      </c>
      <c r="E124" s="2339">
        <v>32</v>
      </c>
      <c r="F124" s="2339"/>
      <c r="G124" s="2339"/>
      <c r="H124" s="2339"/>
      <c r="I124" s="2339">
        <v>1</v>
      </c>
      <c r="J124" s="2339" t="s">
        <v>663</v>
      </c>
      <c r="K124" s="2339" t="s">
        <v>663</v>
      </c>
      <c r="L124" s="2339">
        <v>1</v>
      </c>
      <c r="M124" s="2339"/>
      <c r="N124" s="2339"/>
      <c r="O124" s="2339"/>
      <c r="P124" s="2339"/>
      <c r="Q124" s="2339"/>
      <c r="R124" s="2339"/>
      <c r="S124" s="2339"/>
      <c r="T124" s="2339"/>
      <c r="U124" s="2339"/>
      <c r="V124" s="2339"/>
      <c r="W124" s="2339"/>
      <c r="X124" s="2339"/>
      <c r="Y124" s="2339"/>
      <c r="Z124" s="2339"/>
      <c r="AA124" s="2339"/>
      <c r="AB124" s="2339"/>
      <c r="AC124" s="2339"/>
      <c r="AD124" s="2339">
        <v>1</v>
      </c>
      <c r="AE124" s="2339"/>
      <c r="AF124" s="2339">
        <v>3</v>
      </c>
      <c r="AG124" s="2339"/>
      <c r="AH124" s="2339"/>
      <c r="AI124" s="2339">
        <v>2</v>
      </c>
      <c r="AJ124" s="2339"/>
      <c r="AK124" s="2339"/>
      <c r="AL124" s="2339">
        <v>1</v>
      </c>
      <c r="AM124" s="2339">
        <v>1</v>
      </c>
      <c r="AN124" s="2339">
        <v>1</v>
      </c>
      <c r="AO124" s="2339">
        <v>2</v>
      </c>
      <c r="AP124" s="2339"/>
      <c r="AQ124" s="2339">
        <v>2</v>
      </c>
      <c r="AR124" s="2339"/>
      <c r="AS124" s="2339"/>
      <c r="AT124" s="2339">
        <v>3</v>
      </c>
      <c r="AU124" s="2339"/>
      <c r="AV124" s="2339"/>
      <c r="AW124" s="2339"/>
      <c r="AX124" s="2339"/>
      <c r="AY124" s="2339"/>
      <c r="AZ124" s="2339"/>
      <c r="BA124" s="2339"/>
      <c r="BB124" s="2339"/>
      <c r="BC124" s="2339">
        <v>46.8</v>
      </c>
      <c r="BD124" s="2339">
        <v>15.6</v>
      </c>
      <c r="BE124" s="2339">
        <v>32</v>
      </c>
      <c r="BF124" s="2339"/>
      <c r="BG124" s="2339"/>
      <c r="BH124" s="2339"/>
      <c r="BI124" s="2339"/>
      <c r="BJ124" s="2339">
        <v>1</v>
      </c>
      <c r="BK124" s="2339"/>
      <c r="BL124" s="2339"/>
      <c r="BM124" s="2339">
        <v>0</v>
      </c>
      <c r="BN124" s="2339">
        <v>0</v>
      </c>
      <c r="BO124" s="2339"/>
      <c r="BP124" s="2339"/>
      <c r="BQ124" s="2339">
        <v>2</v>
      </c>
      <c r="BR124" s="2339">
        <v>1</v>
      </c>
      <c r="BS124" s="2339"/>
      <c r="BT124" s="2339"/>
      <c r="BU124" s="2339"/>
      <c r="BV124" s="2339"/>
      <c r="BW124" s="2339"/>
      <c r="BX124" s="2339"/>
      <c r="BY124" s="2339"/>
      <c r="BZ124" s="2339"/>
      <c r="CA124" s="2339"/>
      <c r="CB124" s="2339"/>
      <c r="CC124" s="2339"/>
      <c r="CD124" s="2339">
        <v>1</v>
      </c>
      <c r="CE124" s="2339"/>
      <c r="CF124" s="2339"/>
      <c r="CG124" s="2339"/>
      <c r="CH124" s="2339"/>
      <c r="CI124" s="2339"/>
      <c r="CJ124" s="2339"/>
      <c r="CK124" s="2339"/>
      <c r="CL124" s="2339">
        <v>0</v>
      </c>
      <c r="CM124" s="2339"/>
      <c r="CN124" s="2339"/>
      <c r="CO124" s="2339"/>
      <c r="CP124" s="2339"/>
      <c r="CQ124" s="2339"/>
      <c r="CR124" s="2339"/>
      <c r="CS124" s="2339"/>
      <c r="CT124" s="2339"/>
      <c r="CU124" s="2339"/>
      <c r="CV124" s="2339"/>
      <c r="CW124" s="2339">
        <v>2</v>
      </c>
      <c r="CX124" s="2339" t="s">
        <v>5224</v>
      </c>
      <c r="DA124" s="1516">
        <v>1</v>
      </c>
      <c r="DC124" s="1516">
        <v>1</v>
      </c>
    </row>
    <row r="125" spans="2:107">
      <c r="B125" s="2339" t="s">
        <v>5274</v>
      </c>
      <c r="C125" s="2339">
        <v>33</v>
      </c>
      <c r="D125" s="2339">
        <v>4267.2</v>
      </c>
      <c r="E125" s="2339"/>
      <c r="F125" s="2339"/>
      <c r="G125" s="2339"/>
      <c r="H125" s="2339"/>
      <c r="I125" s="2339"/>
      <c r="J125" s="2339"/>
      <c r="K125" s="2339" t="s">
        <v>504</v>
      </c>
      <c r="L125" s="2339"/>
      <c r="M125" s="2339">
        <v>1</v>
      </c>
      <c r="N125" s="2339"/>
      <c r="O125" s="2339">
        <v>1</v>
      </c>
      <c r="P125" s="2339"/>
      <c r="Q125" s="2339"/>
      <c r="R125" s="2339"/>
      <c r="S125" s="2339"/>
      <c r="T125" s="2339"/>
      <c r="U125" s="2339"/>
      <c r="V125" s="2339"/>
      <c r="W125" s="2339"/>
      <c r="X125" s="2339"/>
      <c r="Y125" s="2339"/>
      <c r="Z125" s="2339"/>
      <c r="AA125" s="2339"/>
      <c r="AB125" s="2339"/>
      <c r="AC125" s="2339"/>
      <c r="AD125" s="2339">
        <v>1</v>
      </c>
      <c r="AE125" s="2339"/>
      <c r="AF125" s="2339">
        <v>3</v>
      </c>
      <c r="AG125" s="2339"/>
      <c r="AH125" s="2339"/>
      <c r="AI125" s="2339"/>
      <c r="AJ125" s="2339"/>
      <c r="AK125" s="2339"/>
      <c r="AL125" s="2339">
        <v>1</v>
      </c>
      <c r="AM125" s="2339"/>
      <c r="AN125" s="2339"/>
      <c r="AO125" s="2339"/>
      <c r="AP125" s="2339"/>
      <c r="AQ125" s="2339"/>
      <c r="AR125" s="2339"/>
      <c r="AS125" s="2339"/>
      <c r="AT125" s="2339">
        <v>3</v>
      </c>
      <c r="AU125" s="2339"/>
      <c r="AV125" s="2339"/>
      <c r="AW125" s="2339">
        <v>1</v>
      </c>
      <c r="AX125" s="2339"/>
      <c r="AY125" s="2339"/>
      <c r="AZ125" s="2339">
        <v>7</v>
      </c>
      <c r="BA125" s="2339">
        <v>4</v>
      </c>
      <c r="BB125" s="2339"/>
      <c r="BC125" s="2339">
        <v>99</v>
      </c>
      <c r="BD125" s="2339">
        <v>33</v>
      </c>
      <c r="BE125" s="2339">
        <v>0</v>
      </c>
      <c r="BF125" s="2339"/>
      <c r="BG125" s="2339"/>
      <c r="BH125" s="2339">
        <v>1</v>
      </c>
      <c r="BI125" s="2339"/>
      <c r="BJ125" s="2339"/>
      <c r="BK125" s="2339"/>
      <c r="BL125" s="2339"/>
      <c r="BM125" s="2339">
        <v>0</v>
      </c>
      <c r="BN125" s="2339">
        <v>0</v>
      </c>
      <c r="BO125" s="2339"/>
      <c r="BP125" s="2339"/>
      <c r="BQ125" s="2339"/>
      <c r="BR125" s="2339"/>
      <c r="BS125" s="2339"/>
      <c r="BT125" s="2339"/>
      <c r="BU125" s="2339">
        <v>1</v>
      </c>
      <c r="BV125" s="2339"/>
      <c r="BW125" s="2339">
        <v>1</v>
      </c>
      <c r="BX125" s="2339"/>
      <c r="BY125" s="2339"/>
      <c r="BZ125" s="2339"/>
      <c r="CA125" s="2339"/>
      <c r="CB125" s="2339"/>
      <c r="CC125" s="2339"/>
      <c r="CD125" s="2339"/>
      <c r="CE125" s="2339"/>
      <c r="CF125" s="2339"/>
      <c r="CG125" s="2339"/>
      <c r="CH125" s="2339"/>
      <c r="CI125" s="2339"/>
      <c r="CJ125" s="2339"/>
      <c r="CK125" s="2339"/>
      <c r="CL125" s="2339">
        <v>1</v>
      </c>
      <c r="CM125" s="2339">
        <v>0</v>
      </c>
      <c r="CN125" s="2339">
        <v>1</v>
      </c>
      <c r="CO125" s="2339"/>
      <c r="CP125" s="2339"/>
      <c r="CQ125" s="2339"/>
      <c r="CR125" s="2339"/>
      <c r="CS125" s="2339"/>
      <c r="CT125" s="2339"/>
      <c r="CU125" s="2339"/>
      <c r="CV125" s="2339">
        <v>1</v>
      </c>
      <c r="CW125" s="2339">
        <v>0</v>
      </c>
      <c r="CX125" s="2339"/>
      <c r="DA125" s="1516">
        <v>1</v>
      </c>
      <c r="DC125" s="1516">
        <v>1</v>
      </c>
    </row>
    <row r="126" spans="2:107">
      <c r="B126" s="2339">
        <v>147</v>
      </c>
      <c r="C126" s="2339">
        <v>31.9</v>
      </c>
      <c r="D126" s="2339">
        <v>4299.1000000000004</v>
      </c>
      <c r="E126" s="2339"/>
      <c r="F126" s="2339"/>
      <c r="G126" s="2339"/>
      <c r="H126" s="2339"/>
      <c r="I126" s="2339">
        <v>5</v>
      </c>
      <c r="J126" s="2339" t="s">
        <v>504</v>
      </c>
      <c r="K126" s="2339" t="s">
        <v>504</v>
      </c>
      <c r="L126" s="2339">
        <v>1</v>
      </c>
      <c r="M126" s="2339"/>
      <c r="N126" s="2339">
        <v>1</v>
      </c>
      <c r="O126" s="2339"/>
      <c r="P126" s="2339"/>
      <c r="Q126" s="2339"/>
      <c r="R126" s="2339">
        <v>1</v>
      </c>
      <c r="S126" s="2339"/>
      <c r="T126" s="2339"/>
      <c r="U126" s="2339"/>
      <c r="V126" s="2339"/>
      <c r="W126" s="2339"/>
      <c r="X126" s="2339"/>
      <c r="Y126" s="2339"/>
      <c r="Z126" s="2339"/>
      <c r="AA126" s="2339">
        <v>1</v>
      </c>
      <c r="AB126" s="2339"/>
      <c r="AC126" s="2339"/>
      <c r="AD126" s="2339">
        <v>1</v>
      </c>
      <c r="AE126" s="2339"/>
      <c r="AF126" s="2339">
        <v>3</v>
      </c>
      <c r="AG126" s="2339"/>
      <c r="AH126" s="2339"/>
      <c r="AI126" s="2339"/>
      <c r="AJ126" s="2339"/>
      <c r="AK126" s="2339"/>
      <c r="AL126" s="2339">
        <v>1</v>
      </c>
      <c r="AM126" s="2339">
        <v>1</v>
      </c>
      <c r="AN126" s="2339">
        <v>1</v>
      </c>
      <c r="AO126" s="2339"/>
      <c r="AP126" s="2339"/>
      <c r="AQ126" s="2339">
        <v>2</v>
      </c>
      <c r="AR126" s="2339"/>
      <c r="AS126" s="2339"/>
      <c r="AT126" s="2339">
        <v>3</v>
      </c>
      <c r="AU126" s="2339"/>
      <c r="AV126" s="2339"/>
      <c r="AW126" s="2339"/>
      <c r="AX126" s="2339"/>
      <c r="AY126" s="2339"/>
      <c r="AZ126" s="2339"/>
      <c r="BA126" s="2339"/>
      <c r="BB126" s="2339"/>
      <c r="BC126" s="2339">
        <v>95.7</v>
      </c>
      <c r="BD126" s="2339">
        <v>31.9</v>
      </c>
      <c r="BE126" s="2339">
        <v>0</v>
      </c>
      <c r="BF126" s="2339">
        <v>1</v>
      </c>
      <c r="BG126" s="2339"/>
      <c r="BH126" s="2339"/>
      <c r="BI126" s="2339">
        <v>1</v>
      </c>
      <c r="BJ126" s="2339">
        <v>1</v>
      </c>
      <c r="BK126" s="2339"/>
      <c r="BL126" s="2339"/>
      <c r="BM126" s="2339">
        <v>0</v>
      </c>
      <c r="BN126" s="2339">
        <v>0</v>
      </c>
      <c r="BO126" s="2339"/>
      <c r="BP126" s="2339"/>
      <c r="BQ126" s="2339">
        <v>2</v>
      </c>
      <c r="BR126" s="2339">
        <v>1</v>
      </c>
      <c r="BS126" s="2339"/>
      <c r="BT126" s="2339"/>
      <c r="BU126" s="2339"/>
      <c r="BV126" s="2339"/>
      <c r="BW126" s="2339"/>
      <c r="BX126" s="2339">
        <v>1</v>
      </c>
      <c r="BY126" s="2339">
        <v>1</v>
      </c>
      <c r="BZ126" s="2339"/>
      <c r="CA126" s="2339">
        <v>1</v>
      </c>
      <c r="CB126" s="2339"/>
      <c r="CC126" s="2339">
        <v>1</v>
      </c>
      <c r="CD126" s="2339">
        <v>1</v>
      </c>
      <c r="CE126" s="2339"/>
      <c r="CF126" s="2339"/>
      <c r="CG126" s="2339"/>
      <c r="CH126" s="2339"/>
      <c r="CI126" s="2339"/>
      <c r="CJ126" s="2339"/>
      <c r="CK126" s="2339"/>
      <c r="CL126" s="2339">
        <v>0</v>
      </c>
      <c r="CM126" s="2339"/>
      <c r="CN126" s="2339"/>
      <c r="CO126" s="2339">
        <v>1</v>
      </c>
      <c r="CP126" s="2339"/>
      <c r="CQ126" s="2339">
        <v>1</v>
      </c>
      <c r="CR126" s="2339"/>
      <c r="CS126" s="2339">
        <v>1</v>
      </c>
      <c r="CT126" s="2339"/>
      <c r="CU126" s="2339"/>
      <c r="CV126" s="2339"/>
      <c r="CW126" s="2339">
        <v>0</v>
      </c>
      <c r="CX126" s="2339" t="s">
        <v>5218</v>
      </c>
      <c r="DA126" s="1516">
        <v>1</v>
      </c>
      <c r="DC126" s="1516">
        <v>1</v>
      </c>
    </row>
    <row r="127" spans="2:107">
      <c r="B127" s="2339" t="s">
        <v>5275</v>
      </c>
      <c r="C127" s="2339">
        <v>34</v>
      </c>
      <c r="D127" s="2339">
        <v>4333.1000000000004</v>
      </c>
      <c r="E127" s="2339"/>
      <c r="F127" s="2339"/>
      <c r="G127" s="2339"/>
      <c r="H127" s="2339"/>
      <c r="I127" s="2339"/>
      <c r="J127" s="2339"/>
      <c r="K127" s="2339" t="s">
        <v>504</v>
      </c>
      <c r="L127" s="2339"/>
      <c r="M127" s="2339">
        <v>1</v>
      </c>
      <c r="N127" s="2339"/>
      <c r="O127" s="2339"/>
      <c r="P127" s="2339">
        <v>1</v>
      </c>
      <c r="Q127" s="2339"/>
      <c r="R127" s="2339"/>
      <c r="S127" s="2339"/>
      <c r="T127" s="2339"/>
      <c r="U127" s="2339"/>
      <c r="V127" s="2339"/>
      <c r="W127" s="2339"/>
      <c r="X127" s="2339"/>
      <c r="Y127" s="2339">
        <v>1</v>
      </c>
      <c r="Z127" s="2339"/>
      <c r="AA127" s="2339"/>
      <c r="AB127" s="2339"/>
      <c r="AC127" s="2339"/>
      <c r="AD127" s="2339">
        <v>1</v>
      </c>
      <c r="AE127" s="2339"/>
      <c r="AF127" s="2339">
        <v>3</v>
      </c>
      <c r="AG127" s="2339"/>
      <c r="AH127" s="2339"/>
      <c r="AI127" s="2339"/>
      <c r="AJ127" s="2339"/>
      <c r="AK127" s="2339"/>
      <c r="AL127" s="2339">
        <v>1</v>
      </c>
      <c r="AM127" s="2339"/>
      <c r="AN127" s="2339"/>
      <c r="AO127" s="2339"/>
      <c r="AP127" s="2339"/>
      <c r="AQ127" s="2339"/>
      <c r="AR127" s="2339"/>
      <c r="AS127" s="2339"/>
      <c r="AT127" s="2339">
        <v>3</v>
      </c>
      <c r="AU127" s="2339"/>
      <c r="AV127" s="2339"/>
      <c r="AW127" s="2339">
        <v>1</v>
      </c>
      <c r="AX127" s="2339"/>
      <c r="AY127" s="2339"/>
      <c r="AZ127" s="2339">
        <v>3</v>
      </c>
      <c r="BA127" s="2339">
        <v>4</v>
      </c>
      <c r="BB127" s="2339"/>
      <c r="BC127" s="2339">
        <v>102</v>
      </c>
      <c r="BD127" s="2339">
        <v>34</v>
      </c>
      <c r="BE127" s="2339">
        <v>0</v>
      </c>
      <c r="BF127" s="2339"/>
      <c r="BG127" s="2339"/>
      <c r="BH127" s="2339">
        <v>1</v>
      </c>
      <c r="BI127" s="2339"/>
      <c r="BJ127" s="2339"/>
      <c r="BK127" s="2339"/>
      <c r="BL127" s="2339"/>
      <c r="BM127" s="2339">
        <v>0</v>
      </c>
      <c r="BN127" s="2339">
        <v>0</v>
      </c>
      <c r="BO127" s="2339"/>
      <c r="BP127" s="2339"/>
      <c r="BQ127" s="2339"/>
      <c r="BR127" s="2339"/>
      <c r="BS127" s="2339"/>
      <c r="BT127" s="2339"/>
      <c r="BU127" s="2339"/>
      <c r="BV127" s="2339"/>
      <c r="BW127" s="2339"/>
      <c r="BX127" s="2339"/>
      <c r="BY127" s="2339"/>
      <c r="BZ127" s="2339"/>
      <c r="CA127" s="2339"/>
      <c r="CB127" s="2339"/>
      <c r="CC127" s="2339"/>
      <c r="CD127" s="2339"/>
      <c r="CE127" s="2339"/>
      <c r="CF127" s="2339"/>
      <c r="CG127" s="2339"/>
      <c r="CH127" s="2339"/>
      <c r="CI127" s="2339"/>
      <c r="CJ127" s="2339"/>
      <c r="CK127" s="2339"/>
      <c r="CL127" s="2339">
        <v>0</v>
      </c>
      <c r="CM127" s="2339">
        <v>0</v>
      </c>
      <c r="CN127" s="2339">
        <v>0</v>
      </c>
      <c r="CO127" s="2339"/>
      <c r="CP127" s="2339"/>
      <c r="CQ127" s="2339"/>
      <c r="CR127" s="2339"/>
      <c r="CS127" s="2339"/>
      <c r="CT127" s="2339"/>
      <c r="CU127" s="2339"/>
      <c r="CV127" s="2339"/>
      <c r="CW127" s="2339">
        <v>0</v>
      </c>
      <c r="CX127" s="2339"/>
      <c r="DA127" s="1516">
        <v>1</v>
      </c>
      <c r="DC127" s="1516">
        <v>1</v>
      </c>
    </row>
    <row r="128" spans="2:107">
      <c r="B128" s="2339">
        <v>148</v>
      </c>
      <c r="C128" s="2339">
        <v>34.6</v>
      </c>
      <c r="D128" s="2339">
        <v>4367.7</v>
      </c>
      <c r="E128" s="2339"/>
      <c r="F128" s="2339"/>
      <c r="G128" s="2339"/>
      <c r="H128" s="2339"/>
      <c r="I128" s="2339"/>
      <c r="J128" s="2339" t="s">
        <v>663</v>
      </c>
      <c r="K128" s="2339" t="s">
        <v>663</v>
      </c>
      <c r="L128" s="2339">
        <v>1</v>
      </c>
      <c r="M128" s="2339"/>
      <c r="N128" s="2339">
        <v>1</v>
      </c>
      <c r="O128" s="2339"/>
      <c r="P128" s="2339"/>
      <c r="Q128" s="2339"/>
      <c r="R128" s="2339">
        <v>1</v>
      </c>
      <c r="S128" s="2339"/>
      <c r="T128" s="2339"/>
      <c r="U128" s="2339"/>
      <c r="V128" s="2339"/>
      <c r="W128" s="2339"/>
      <c r="X128" s="2339"/>
      <c r="Y128" s="2339"/>
      <c r="Z128" s="2339"/>
      <c r="AA128" s="2339"/>
      <c r="AB128" s="2339"/>
      <c r="AC128" s="2339"/>
      <c r="AD128" s="2339">
        <v>1</v>
      </c>
      <c r="AE128" s="2339"/>
      <c r="AF128" s="2339">
        <v>3</v>
      </c>
      <c r="AG128" s="2339"/>
      <c r="AH128" s="2339"/>
      <c r="AI128" s="2339"/>
      <c r="AJ128" s="2339"/>
      <c r="AK128" s="2339"/>
      <c r="AL128" s="2339">
        <v>1</v>
      </c>
      <c r="AM128" s="2339">
        <v>3</v>
      </c>
      <c r="AN128" s="2339">
        <v>3</v>
      </c>
      <c r="AO128" s="2339"/>
      <c r="AP128" s="2339"/>
      <c r="AQ128" s="2339">
        <v>2</v>
      </c>
      <c r="AR128" s="2339"/>
      <c r="AS128" s="2339"/>
      <c r="AT128" s="2339">
        <v>3</v>
      </c>
      <c r="AU128" s="2339"/>
      <c r="AV128" s="2339"/>
      <c r="AW128" s="2339"/>
      <c r="AX128" s="2339"/>
      <c r="AY128" s="2339"/>
      <c r="AZ128" s="2339"/>
      <c r="BA128" s="2339">
        <v>4</v>
      </c>
      <c r="BB128" s="2339"/>
      <c r="BC128" s="2339">
        <v>103.8</v>
      </c>
      <c r="BD128" s="2339">
        <v>34.6</v>
      </c>
      <c r="BE128" s="2339">
        <v>0</v>
      </c>
      <c r="BF128" s="2339">
        <v>1</v>
      </c>
      <c r="BG128" s="2339"/>
      <c r="BH128" s="2339"/>
      <c r="BI128" s="2339"/>
      <c r="BJ128" s="2339">
        <v>1</v>
      </c>
      <c r="BK128" s="2339"/>
      <c r="BL128" s="2339">
        <v>1</v>
      </c>
      <c r="BM128" s="2339">
        <v>0</v>
      </c>
      <c r="BN128" s="2339">
        <v>0</v>
      </c>
      <c r="BO128" s="2339"/>
      <c r="BP128" s="2339">
        <v>3</v>
      </c>
      <c r="BQ128" s="2339">
        <v>2</v>
      </c>
      <c r="BR128" s="2339">
        <v>1</v>
      </c>
      <c r="BS128" s="2339">
        <v>1</v>
      </c>
      <c r="BT128" s="2339"/>
      <c r="BU128" s="2339">
        <v>1</v>
      </c>
      <c r="BV128" s="2339"/>
      <c r="BW128" s="2339">
        <v>1</v>
      </c>
      <c r="BX128" s="2339"/>
      <c r="BY128" s="2339"/>
      <c r="BZ128" s="2339"/>
      <c r="CA128" s="2339"/>
      <c r="CB128" s="2339"/>
      <c r="CC128" s="2339"/>
      <c r="CD128" s="2339">
        <v>1</v>
      </c>
      <c r="CE128" s="2339"/>
      <c r="CF128" s="2339">
        <v>1</v>
      </c>
      <c r="CG128" s="2339"/>
      <c r="CH128" s="2339">
        <v>2</v>
      </c>
      <c r="CI128" s="2339"/>
      <c r="CJ128" s="2339">
        <v>1</v>
      </c>
      <c r="CK128" s="2339"/>
      <c r="CL128" s="2339">
        <v>1</v>
      </c>
      <c r="CM128" s="2339"/>
      <c r="CN128" s="2339">
        <v>1</v>
      </c>
      <c r="CO128" s="2339"/>
      <c r="CP128" s="2339"/>
      <c r="CQ128" s="2339"/>
      <c r="CR128" s="2339"/>
      <c r="CS128" s="2339"/>
      <c r="CT128" s="2339"/>
      <c r="CU128" s="2339"/>
      <c r="CV128" s="2339"/>
      <c r="CW128" s="2339">
        <v>0</v>
      </c>
      <c r="CX128" s="2339" t="s">
        <v>5231</v>
      </c>
      <c r="DA128" s="1516">
        <v>1</v>
      </c>
      <c r="DC128" s="1516">
        <v>1</v>
      </c>
    </row>
    <row r="129" spans="2:107">
      <c r="B129" s="2339" t="s">
        <v>5276</v>
      </c>
      <c r="C129" s="2339">
        <v>32</v>
      </c>
      <c r="D129" s="2339">
        <v>4399.7</v>
      </c>
      <c r="E129" s="2339"/>
      <c r="F129" s="2339"/>
      <c r="G129" s="2339"/>
      <c r="H129" s="2339"/>
      <c r="I129" s="2339"/>
      <c r="J129" s="2339"/>
      <c r="K129" s="2339" t="s">
        <v>504</v>
      </c>
      <c r="L129" s="2339"/>
      <c r="M129" s="2339">
        <v>1</v>
      </c>
      <c r="N129" s="2339"/>
      <c r="O129" s="2339"/>
      <c r="P129" s="2339">
        <v>1</v>
      </c>
      <c r="Q129" s="2339"/>
      <c r="R129" s="2339"/>
      <c r="S129" s="2339"/>
      <c r="T129" s="2339"/>
      <c r="U129" s="2339"/>
      <c r="V129" s="2339"/>
      <c r="W129" s="2339"/>
      <c r="X129" s="2339"/>
      <c r="Y129" s="2339"/>
      <c r="Z129" s="2339"/>
      <c r="AA129" s="2339"/>
      <c r="AB129" s="2339"/>
      <c r="AC129" s="2339"/>
      <c r="AD129" s="2339">
        <v>1</v>
      </c>
      <c r="AE129" s="2339"/>
      <c r="AF129" s="2339">
        <v>3</v>
      </c>
      <c r="AG129" s="2339"/>
      <c r="AH129" s="2339"/>
      <c r="AI129" s="2339"/>
      <c r="AJ129" s="2339"/>
      <c r="AK129" s="2339"/>
      <c r="AL129" s="2339">
        <v>1</v>
      </c>
      <c r="AM129" s="2339"/>
      <c r="AN129" s="2339"/>
      <c r="AO129" s="2339"/>
      <c r="AP129" s="2339"/>
      <c r="AQ129" s="2339"/>
      <c r="AR129" s="2339"/>
      <c r="AS129" s="2339"/>
      <c r="AT129" s="2339">
        <v>3</v>
      </c>
      <c r="AU129" s="2339"/>
      <c r="AV129" s="2339"/>
      <c r="AW129" s="2339"/>
      <c r="AX129" s="2339"/>
      <c r="AY129" s="2339"/>
      <c r="AZ129" s="2339"/>
      <c r="BA129" s="2339"/>
      <c r="BB129" s="2339"/>
      <c r="BC129" s="2339">
        <v>96</v>
      </c>
      <c r="BD129" s="2339">
        <v>32</v>
      </c>
      <c r="BE129" s="2339">
        <v>0</v>
      </c>
      <c r="BF129" s="2339"/>
      <c r="BG129" s="2339"/>
      <c r="BH129" s="2339">
        <v>1</v>
      </c>
      <c r="BI129" s="2339"/>
      <c r="BJ129" s="2339"/>
      <c r="BK129" s="2339"/>
      <c r="BL129" s="2339"/>
      <c r="BM129" s="2339">
        <v>0</v>
      </c>
      <c r="BN129" s="2339">
        <v>0</v>
      </c>
      <c r="BO129" s="2339"/>
      <c r="BP129" s="2339"/>
      <c r="BQ129" s="2339"/>
      <c r="BR129" s="2339"/>
      <c r="BS129" s="2339"/>
      <c r="BT129" s="2339"/>
      <c r="BU129" s="2339"/>
      <c r="BV129" s="2339"/>
      <c r="BW129" s="2339"/>
      <c r="BX129" s="2339"/>
      <c r="BY129" s="2339"/>
      <c r="BZ129" s="2339"/>
      <c r="CA129" s="2339"/>
      <c r="CB129" s="2339"/>
      <c r="CC129" s="2339"/>
      <c r="CD129" s="2339"/>
      <c r="CE129" s="2339"/>
      <c r="CF129" s="2339"/>
      <c r="CG129" s="2339"/>
      <c r="CH129" s="2339"/>
      <c r="CI129" s="2339"/>
      <c r="CJ129" s="2339"/>
      <c r="CK129" s="2339"/>
      <c r="CL129" s="2339">
        <v>0</v>
      </c>
      <c r="CM129" s="2339">
        <v>0</v>
      </c>
      <c r="CN129" s="2339">
        <v>0</v>
      </c>
      <c r="CO129" s="2339"/>
      <c r="CP129" s="2339"/>
      <c r="CQ129" s="2339"/>
      <c r="CR129" s="2339"/>
      <c r="CS129" s="2339"/>
      <c r="CT129" s="2339"/>
      <c r="CU129" s="2339"/>
      <c r="CV129" s="2339"/>
      <c r="CW129" s="2339">
        <v>0</v>
      </c>
      <c r="CX129" s="2339"/>
      <c r="DA129" s="1516">
        <v>1</v>
      </c>
      <c r="DC129" s="1516">
        <v>1</v>
      </c>
    </row>
    <row r="130" spans="2:107">
      <c r="B130" s="2339">
        <v>149</v>
      </c>
      <c r="C130" s="2339">
        <v>30.5</v>
      </c>
      <c r="D130" s="2339">
        <v>4430.2</v>
      </c>
      <c r="E130" s="2339"/>
      <c r="F130" s="2339"/>
      <c r="G130" s="2339"/>
      <c r="H130" s="2339"/>
      <c r="I130" s="2339"/>
      <c r="J130" s="2339" t="s">
        <v>504</v>
      </c>
      <c r="K130" s="2339" t="s">
        <v>504</v>
      </c>
      <c r="L130" s="2339">
        <v>1</v>
      </c>
      <c r="M130" s="2339"/>
      <c r="N130" s="2339"/>
      <c r="O130" s="2339"/>
      <c r="P130" s="2339"/>
      <c r="Q130" s="2339"/>
      <c r="R130" s="2339"/>
      <c r="S130" s="2339"/>
      <c r="T130" s="2339"/>
      <c r="U130" s="2339"/>
      <c r="V130" s="2339"/>
      <c r="W130" s="2339"/>
      <c r="X130" s="2339"/>
      <c r="Y130" s="2339"/>
      <c r="Z130" s="2339"/>
      <c r="AA130" s="2339"/>
      <c r="AB130" s="2339"/>
      <c r="AC130" s="2339"/>
      <c r="AD130" s="2339">
        <v>1</v>
      </c>
      <c r="AE130" s="2339"/>
      <c r="AF130" s="2339">
        <v>3</v>
      </c>
      <c r="AG130" s="2339"/>
      <c r="AH130" s="2339"/>
      <c r="AI130" s="2339"/>
      <c r="AJ130" s="2339"/>
      <c r="AK130" s="2339"/>
      <c r="AL130" s="2339">
        <v>1</v>
      </c>
      <c r="AM130" s="2339"/>
      <c r="AN130" s="2339"/>
      <c r="AO130" s="2339"/>
      <c r="AP130" s="2339"/>
      <c r="AQ130" s="2339"/>
      <c r="AR130" s="2339"/>
      <c r="AS130" s="2339"/>
      <c r="AT130" s="2339">
        <v>3</v>
      </c>
      <c r="AU130" s="2339"/>
      <c r="AV130" s="2339"/>
      <c r="AW130" s="2339"/>
      <c r="AX130" s="2339"/>
      <c r="AY130" s="2339"/>
      <c r="AZ130" s="2339"/>
      <c r="BA130" s="2339"/>
      <c r="BB130" s="2339"/>
      <c r="BC130" s="2339">
        <v>91.5</v>
      </c>
      <c r="BD130" s="2339">
        <v>30.5</v>
      </c>
      <c r="BE130" s="2339">
        <v>0</v>
      </c>
      <c r="BF130" s="2339"/>
      <c r="BG130" s="2339"/>
      <c r="BH130" s="2339"/>
      <c r="BI130" s="2339"/>
      <c r="BJ130" s="2339">
        <v>1</v>
      </c>
      <c r="BK130" s="2339"/>
      <c r="BL130" s="2339"/>
      <c r="BM130" s="2339">
        <v>0</v>
      </c>
      <c r="BN130" s="2339">
        <v>0</v>
      </c>
      <c r="BO130" s="2339"/>
      <c r="BP130" s="2339"/>
      <c r="BQ130" s="2339">
        <v>2</v>
      </c>
      <c r="BR130" s="2339">
        <v>1</v>
      </c>
      <c r="BS130" s="2339"/>
      <c r="BT130" s="2339"/>
      <c r="BU130" s="2339"/>
      <c r="BV130" s="2339"/>
      <c r="BW130" s="2339"/>
      <c r="BX130" s="2339"/>
      <c r="BY130" s="2339"/>
      <c r="BZ130" s="2339"/>
      <c r="CA130" s="2339"/>
      <c r="CB130" s="2339"/>
      <c r="CC130" s="2339"/>
      <c r="CD130" s="2339">
        <v>1</v>
      </c>
      <c r="CE130" s="2339"/>
      <c r="CF130" s="2339"/>
      <c r="CG130" s="2339"/>
      <c r="CH130" s="2339"/>
      <c r="CI130" s="2339"/>
      <c r="CJ130" s="2339"/>
      <c r="CK130" s="2339"/>
      <c r="CL130" s="2339">
        <v>0</v>
      </c>
      <c r="CM130" s="2339"/>
      <c r="CN130" s="2339"/>
      <c r="CO130" s="2339"/>
      <c r="CP130" s="2339"/>
      <c r="CQ130" s="2339"/>
      <c r="CR130" s="2339"/>
      <c r="CS130" s="2339"/>
      <c r="CT130" s="2339"/>
      <c r="CU130" s="2339"/>
      <c r="CV130" s="2339"/>
      <c r="CW130" s="2339">
        <v>0</v>
      </c>
      <c r="CX130" s="2339"/>
      <c r="DA130" s="1516">
        <v>1</v>
      </c>
      <c r="DC130" s="1516">
        <v>1</v>
      </c>
    </row>
    <row r="131" spans="2:107">
      <c r="B131" s="2339" t="s">
        <v>5277</v>
      </c>
      <c r="C131" s="2339">
        <v>27</v>
      </c>
      <c r="D131" s="2339">
        <v>4457.2</v>
      </c>
      <c r="E131" s="2339"/>
      <c r="F131" s="2339"/>
      <c r="G131" s="2339"/>
      <c r="H131" s="2339"/>
      <c r="I131" s="2339"/>
      <c r="J131" s="2339"/>
      <c r="K131" s="2339" t="s">
        <v>504</v>
      </c>
      <c r="L131" s="2339"/>
      <c r="M131" s="2339">
        <v>1</v>
      </c>
      <c r="N131" s="2339"/>
      <c r="O131" s="2339"/>
      <c r="P131" s="2339">
        <v>1</v>
      </c>
      <c r="Q131" s="2339"/>
      <c r="R131" s="2339"/>
      <c r="S131" s="2339"/>
      <c r="T131" s="2339"/>
      <c r="U131" s="2339"/>
      <c r="V131" s="2339"/>
      <c r="W131" s="2339"/>
      <c r="X131" s="2339"/>
      <c r="Y131" s="2339"/>
      <c r="Z131" s="2339"/>
      <c r="AA131" s="2339"/>
      <c r="AB131" s="2339"/>
      <c r="AC131" s="2339"/>
      <c r="AD131" s="2339">
        <v>1</v>
      </c>
      <c r="AE131" s="2339"/>
      <c r="AF131" s="2339">
        <v>3</v>
      </c>
      <c r="AG131" s="2339"/>
      <c r="AH131" s="2339"/>
      <c r="AI131" s="2339"/>
      <c r="AJ131" s="2339"/>
      <c r="AK131" s="2339"/>
      <c r="AL131" s="2339">
        <v>1</v>
      </c>
      <c r="AM131" s="2339"/>
      <c r="AN131" s="2339"/>
      <c r="AO131" s="2339"/>
      <c r="AP131" s="2339"/>
      <c r="AQ131" s="2339"/>
      <c r="AR131" s="2339"/>
      <c r="AS131" s="2339"/>
      <c r="AT131" s="2339">
        <v>3</v>
      </c>
      <c r="AU131" s="2339"/>
      <c r="AV131" s="2339"/>
      <c r="AW131" s="2339">
        <v>1</v>
      </c>
      <c r="AX131" s="2339"/>
      <c r="AY131" s="2339"/>
      <c r="AZ131" s="2339">
        <v>2</v>
      </c>
      <c r="BA131" s="2339">
        <v>4</v>
      </c>
      <c r="BB131" s="2339"/>
      <c r="BC131" s="2339">
        <v>81</v>
      </c>
      <c r="BD131" s="2339">
        <v>27</v>
      </c>
      <c r="BE131" s="2339">
        <v>0</v>
      </c>
      <c r="BF131" s="2339"/>
      <c r="BG131" s="2339"/>
      <c r="BH131" s="2339">
        <v>1</v>
      </c>
      <c r="BI131" s="2339"/>
      <c r="BJ131" s="2339"/>
      <c r="BK131" s="2339"/>
      <c r="BL131" s="2339"/>
      <c r="BM131" s="2339">
        <v>0</v>
      </c>
      <c r="BN131" s="2339">
        <v>0</v>
      </c>
      <c r="BO131" s="2339"/>
      <c r="BP131" s="2339"/>
      <c r="BQ131" s="2339"/>
      <c r="BR131" s="2339"/>
      <c r="BS131" s="2339"/>
      <c r="BT131" s="2339"/>
      <c r="BU131" s="2339">
        <v>1</v>
      </c>
      <c r="BV131" s="2339"/>
      <c r="BW131" s="2339">
        <v>1</v>
      </c>
      <c r="BX131" s="2339"/>
      <c r="BY131" s="2339"/>
      <c r="BZ131" s="2339"/>
      <c r="CA131" s="2339"/>
      <c r="CB131" s="2339"/>
      <c r="CC131" s="2339"/>
      <c r="CD131" s="2339"/>
      <c r="CE131" s="2339"/>
      <c r="CF131" s="2339"/>
      <c r="CG131" s="2339"/>
      <c r="CH131" s="2339"/>
      <c r="CI131" s="2339"/>
      <c r="CJ131" s="2339"/>
      <c r="CK131" s="2339"/>
      <c r="CL131" s="2339">
        <v>1</v>
      </c>
      <c r="CM131" s="2339">
        <v>0</v>
      </c>
      <c r="CN131" s="2339">
        <v>1</v>
      </c>
      <c r="CO131" s="2339"/>
      <c r="CP131" s="2339"/>
      <c r="CQ131" s="2339"/>
      <c r="CR131" s="2339"/>
      <c r="CS131" s="2339"/>
      <c r="CT131" s="2339"/>
      <c r="CU131" s="2339"/>
      <c r="CV131" s="2339">
        <v>1</v>
      </c>
      <c r="CW131" s="2339">
        <v>0</v>
      </c>
      <c r="CX131" s="2339"/>
      <c r="DA131" s="1516">
        <v>1</v>
      </c>
      <c r="DC131" s="1516">
        <v>1</v>
      </c>
    </row>
    <row r="132" spans="2:107">
      <c r="B132" s="2339">
        <v>150</v>
      </c>
      <c r="C132" s="2339">
        <v>28.3</v>
      </c>
      <c r="D132" s="2339">
        <v>4485.5</v>
      </c>
      <c r="E132" s="2339"/>
      <c r="F132" s="2339"/>
      <c r="G132" s="2339"/>
      <c r="H132" s="2339"/>
      <c r="I132" s="2339"/>
      <c r="J132" s="2339" t="s">
        <v>1670</v>
      </c>
      <c r="K132" s="2339" t="s">
        <v>1670</v>
      </c>
      <c r="L132" s="2339">
        <v>1</v>
      </c>
      <c r="M132" s="2339"/>
      <c r="N132" s="2339">
        <v>1</v>
      </c>
      <c r="O132" s="2339"/>
      <c r="P132" s="2339"/>
      <c r="Q132" s="2339"/>
      <c r="R132" s="2339">
        <v>1</v>
      </c>
      <c r="S132" s="2339"/>
      <c r="T132" s="2339"/>
      <c r="U132" s="2339">
        <v>2</v>
      </c>
      <c r="V132" s="2339"/>
      <c r="W132" s="2339"/>
      <c r="X132" s="2339"/>
      <c r="Y132" s="2339"/>
      <c r="Z132" s="2339"/>
      <c r="AA132" s="2339"/>
      <c r="AB132" s="2339">
        <v>1</v>
      </c>
      <c r="AC132" s="2339"/>
      <c r="AD132" s="2339"/>
      <c r="AE132" s="2339"/>
      <c r="AF132" s="2339">
        <v>6</v>
      </c>
      <c r="AG132" s="2339">
        <v>6</v>
      </c>
      <c r="AH132" s="2339"/>
      <c r="AI132" s="2339"/>
      <c r="AJ132" s="2339">
        <v>6</v>
      </c>
      <c r="AK132" s="2339">
        <v>2</v>
      </c>
      <c r="AL132" s="2339"/>
      <c r="AM132" s="2339">
        <v>3</v>
      </c>
      <c r="AN132" s="2339">
        <v>3</v>
      </c>
      <c r="AO132" s="2339"/>
      <c r="AP132" s="2339"/>
      <c r="AQ132" s="2339">
        <v>4</v>
      </c>
      <c r="AR132" s="2339">
        <v>6</v>
      </c>
      <c r="AS132" s="2339"/>
      <c r="AT132" s="2339">
        <v>6</v>
      </c>
      <c r="AU132" s="2339"/>
      <c r="AV132" s="2339"/>
      <c r="AW132" s="2339"/>
      <c r="AX132" s="2339"/>
      <c r="AY132" s="2339"/>
      <c r="AZ132" s="2339"/>
      <c r="BA132" s="2339">
        <v>4</v>
      </c>
      <c r="BB132" s="2339">
        <v>1.2</v>
      </c>
      <c r="BC132" s="2339">
        <v>84.9</v>
      </c>
      <c r="BD132" s="2339">
        <v>28.3</v>
      </c>
      <c r="BE132" s="2339">
        <v>0</v>
      </c>
      <c r="BF132" s="2339">
        <v>1</v>
      </c>
      <c r="BG132" s="2339"/>
      <c r="BH132" s="2339"/>
      <c r="BI132" s="2339"/>
      <c r="BJ132" s="2339"/>
      <c r="BK132" s="2339"/>
      <c r="BL132" s="2339">
        <v>2</v>
      </c>
      <c r="BM132" s="2339">
        <v>0</v>
      </c>
      <c r="BN132" s="2339">
        <v>0</v>
      </c>
      <c r="BO132" s="2339">
        <v>6</v>
      </c>
      <c r="BP132" s="2339">
        <v>3</v>
      </c>
      <c r="BQ132" s="2339">
        <v>1</v>
      </c>
      <c r="BR132" s="2339"/>
      <c r="BS132" s="2339"/>
      <c r="BT132" s="2339"/>
      <c r="BU132" s="2339">
        <v>1</v>
      </c>
      <c r="BV132" s="2339"/>
      <c r="BW132" s="2339">
        <v>1</v>
      </c>
      <c r="BX132" s="2339"/>
      <c r="BY132" s="2339">
        <v>3</v>
      </c>
      <c r="BZ132" s="2339"/>
      <c r="CA132" s="2339"/>
      <c r="CB132" s="2339"/>
      <c r="CC132" s="2339"/>
      <c r="CD132" s="2339">
        <v>1</v>
      </c>
      <c r="CE132" s="2339"/>
      <c r="CF132" s="2339">
        <v>1</v>
      </c>
      <c r="CG132" s="2339"/>
      <c r="CH132" s="2339">
        <v>3</v>
      </c>
      <c r="CI132" s="2339"/>
      <c r="CJ132" s="2339"/>
      <c r="CK132" s="2339"/>
      <c r="CL132" s="2339">
        <v>1</v>
      </c>
      <c r="CM132" s="2339"/>
      <c r="CN132" s="2339">
        <v>1</v>
      </c>
      <c r="CO132" s="2339">
        <v>3</v>
      </c>
      <c r="CP132" s="2339"/>
      <c r="CQ132" s="2339"/>
      <c r="CR132" s="2339"/>
      <c r="CS132" s="2339"/>
      <c r="CT132" s="2339"/>
      <c r="CU132" s="2339"/>
      <c r="CV132" s="2339"/>
      <c r="CW132" s="2339">
        <v>0</v>
      </c>
      <c r="CX132" s="2339"/>
      <c r="DA132" s="1516">
        <v>1</v>
      </c>
      <c r="DC132" s="1516">
        <v>1</v>
      </c>
    </row>
    <row r="133" spans="2:107">
      <c r="B133" s="2339" t="s">
        <v>5278</v>
      </c>
      <c r="C133" s="2339">
        <v>37</v>
      </c>
      <c r="D133" s="2339">
        <v>4522.5</v>
      </c>
      <c r="E133" s="2339"/>
      <c r="F133" s="2339"/>
      <c r="G133" s="2339"/>
      <c r="H133" s="2339"/>
      <c r="I133" s="2339"/>
      <c r="J133" s="2339"/>
      <c r="K133" s="2339" t="s">
        <v>504</v>
      </c>
      <c r="L133" s="2339"/>
      <c r="M133" s="2339">
        <v>1</v>
      </c>
      <c r="N133" s="2339"/>
      <c r="O133" s="2339">
        <v>1</v>
      </c>
      <c r="P133" s="2339"/>
      <c r="Q133" s="2339"/>
      <c r="R133" s="2339"/>
      <c r="S133" s="2339"/>
      <c r="T133" s="2339"/>
      <c r="U133" s="2339"/>
      <c r="V133" s="2339"/>
      <c r="W133" s="2339"/>
      <c r="X133" s="2339"/>
      <c r="Y133" s="2339">
        <v>1</v>
      </c>
      <c r="Z133" s="2339"/>
      <c r="AA133" s="2339"/>
      <c r="AB133" s="2339"/>
      <c r="AC133" s="2339"/>
      <c r="AD133" s="2339">
        <v>1</v>
      </c>
      <c r="AE133" s="2339"/>
      <c r="AF133" s="2339">
        <v>3</v>
      </c>
      <c r="AG133" s="2339"/>
      <c r="AH133" s="2339"/>
      <c r="AI133" s="2339"/>
      <c r="AJ133" s="2339"/>
      <c r="AK133" s="2339"/>
      <c r="AL133" s="2339">
        <v>1</v>
      </c>
      <c r="AM133" s="2339"/>
      <c r="AN133" s="2339"/>
      <c r="AO133" s="2339"/>
      <c r="AP133" s="2339"/>
      <c r="AQ133" s="2339"/>
      <c r="AR133" s="2339"/>
      <c r="AS133" s="2339"/>
      <c r="AT133" s="2339">
        <v>3</v>
      </c>
      <c r="AU133" s="2339"/>
      <c r="AV133" s="2339"/>
      <c r="AW133" s="2339">
        <v>1</v>
      </c>
      <c r="AX133" s="2339"/>
      <c r="AY133" s="2339"/>
      <c r="AZ133" s="2339">
        <v>1</v>
      </c>
      <c r="BA133" s="2339">
        <v>4</v>
      </c>
      <c r="BB133" s="2339"/>
      <c r="BC133" s="2339">
        <v>111</v>
      </c>
      <c r="BD133" s="2339">
        <v>37</v>
      </c>
      <c r="BE133" s="2339">
        <v>0</v>
      </c>
      <c r="BF133" s="2339"/>
      <c r="BG133" s="2339"/>
      <c r="BH133" s="2339">
        <v>1</v>
      </c>
      <c r="BI133" s="2339"/>
      <c r="BJ133" s="2339"/>
      <c r="BK133" s="2339"/>
      <c r="BL133" s="2339"/>
      <c r="BM133" s="2339">
        <v>0</v>
      </c>
      <c r="BN133" s="2339">
        <v>0</v>
      </c>
      <c r="BO133" s="2339"/>
      <c r="BP133" s="2339"/>
      <c r="BQ133" s="2339"/>
      <c r="BR133" s="2339"/>
      <c r="BS133" s="2339"/>
      <c r="BT133" s="2339"/>
      <c r="BU133" s="2339">
        <v>1</v>
      </c>
      <c r="BV133" s="2339"/>
      <c r="BW133" s="2339">
        <v>1</v>
      </c>
      <c r="BX133" s="2339"/>
      <c r="BY133" s="2339"/>
      <c r="BZ133" s="2339"/>
      <c r="CA133" s="2339"/>
      <c r="CB133" s="2339"/>
      <c r="CC133" s="2339"/>
      <c r="CD133" s="2339"/>
      <c r="CE133" s="2339"/>
      <c r="CF133" s="2339"/>
      <c r="CG133" s="2339"/>
      <c r="CH133" s="2339"/>
      <c r="CI133" s="2339"/>
      <c r="CJ133" s="2339"/>
      <c r="CK133" s="2339"/>
      <c r="CL133" s="2339">
        <v>1</v>
      </c>
      <c r="CM133" s="2339">
        <v>0</v>
      </c>
      <c r="CN133" s="2339">
        <v>1</v>
      </c>
      <c r="CO133" s="2339"/>
      <c r="CP133" s="2339"/>
      <c r="CQ133" s="2339"/>
      <c r="CR133" s="2339"/>
      <c r="CS133" s="2339"/>
      <c r="CT133" s="2339"/>
      <c r="CU133" s="2339"/>
      <c r="CV133" s="2339">
        <v>1</v>
      </c>
      <c r="CW133" s="2339">
        <v>0</v>
      </c>
      <c r="CX133" s="2339"/>
      <c r="DA133" s="1516">
        <v>1</v>
      </c>
      <c r="DC133" s="1516">
        <v>1</v>
      </c>
    </row>
    <row r="134" spans="2:107">
      <c r="B134" s="2339">
        <v>151</v>
      </c>
      <c r="C134" s="2339">
        <v>37.1</v>
      </c>
      <c r="D134" s="2339">
        <v>4559.6000000000004</v>
      </c>
      <c r="E134" s="2339">
        <v>12</v>
      </c>
      <c r="F134" s="2339">
        <v>3</v>
      </c>
      <c r="G134" s="2339"/>
      <c r="H134" s="2339"/>
      <c r="I134" s="2339">
        <v>3</v>
      </c>
      <c r="J134" s="2339" t="s">
        <v>663</v>
      </c>
      <c r="K134" s="2339" t="s">
        <v>663</v>
      </c>
      <c r="L134" s="2339">
        <v>1</v>
      </c>
      <c r="M134" s="2339"/>
      <c r="N134" s="2339"/>
      <c r="O134" s="2339"/>
      <c r="P134" s="2339"/>
      <c r="Q134" s="2339"/>
      <c r="R134" s="2339"/>
      <c r="S134" s="2339"/>
      <c r="T134" s="2339"/>
      <c r="U134" s="2339"/>
      <c r="V134" s="2339"/>
      <c r="W134" s="2339"/>
      <c r="X134" s="2339"/>
      <c r="Y134" s="2339"/>
      <c r="Z134" s="2339"/>
      <c r="AA134" s="2339"/>
      <c r="AB134" s="2339"/>
      <c r="AC134" s="2339"/>
      <c r="AD134" s="2339">
        <v>1</v>
      </c>
      <c r="AE134" s="2339"/>
      <c r="AF134" s="2339">
        <v>3</v>
      </c>
      <c r="AG134" s="2339"/>
      <c r="AH134" s="2339"/>
      <c r="AI134" s="2339">
        <v>3</v>
      </c>
      <c r="AJ134" s="2339"/>
      <c r="AK134" s="2339"/>
      <c r="AL134" s="2339">
        <v>1</v>
      </c>
      <c r="AM134" s="2339">
        <v>3</v>
      </c>
      <c r="AN134" s="2339">
        <v>3</v>
      </c>
      <c r="AO134" s="2339">
        <v>2</v>
      </c>
      <c r="AP134" s="2339"/>
      <c r="AQ134" s="2339">
        <v>2</v>
      </c>
      <c r="AR134" s="2339"/>
      <c r="AS134" s="2339"/>
      <c r="AT134" s="2339">
        <v>3</v>
      </c>
      <c r="AU134" s="2339"/>
      <c r="AV134" s="2339"/>
      <c r="AW134" s="2339"/>
      <c r="AX134" s="2339"/>
      <c r="AY134" s="2339"/>
      <c r="AZ134" s="2339"/>
      <c r="BA134" s="2339"/>
      <c r="BB134" s="2339"/>
      <c r="BC134" s="2339">
        <v>111.3</v>
      </c>
      <c r="BD134" s="2339">
        <v>37.1</v>
      </c>
      <c r="BE134" s="2339">
        <v>12</v>
      </c>
      <c r="BF134" s="2339"/>
      <c r="BG134" s="2339"/>
      <c r="BH134" s="2339"/>
      <c r="BI134" s="2339"/>
      <c r="BJ134" s="2339">
        <v>1</v>
      </c>
      <c r="BK134" s="2339"/>
      <c r="BL134" s="2339"/>
      <c r="BM134" s="2339">
        <v>0</v>
      </c>
      <c r="BN134" s="2339">
        <v>0</v>
      </c>
      <c r="BO134" s="2339"/>
      <c r="BP134" s="2339"/>
      <c r="BQ134" s="2339">
        <v>2</v>
      </c>
      <c r="BR134" s="2339">
        <v>1</v>
      </c>
      <c r="BS134" s="2339"/>
      <c r="BT134" s="2339"/>
      <c r="BU134" s="2339"/>
      <c r="BV134" s="2339"/>
      <c r="BW134" s="2339"/>
      <c r="BX134" s="2339"/>
      <c r="BY134" s="2339"/>
      <c r="BZ134" s="2339"/>
      <c r="CA134" s="2339"/>
      <c r="CB134" s="2339"/>
      <c r="CC134" s="2339"/>
      <c r="CD134" s="2339">
        <v>1</v>
      </c>
      <c r="CE134" s="2339"/>
      <c r="CF134" s="2339"/>
      <c r="CG134" s="2339"/>
      <c r="CH134" s="2339"/>
      <c r="CI134" s="2339"/>
      <c r="CJ134" s="2339"/>
      <c r="CK134" s="2339"/>
      <c r="CL134" s="2339">
        <v>0</v>
      </c>
      <c r="CM134" s="2339"/>
      <c r="CN134" s="2339"/>
      <c r="CO134" s="2339"/>
      <c r="CP134" s="2339"/>
      <c r="CQ134" s="2339"/>
      <c r="CR134" s="2339"/>
      <c r="CS134" s="2339"/>
      <c r="CT134" s="2339"/>
      <c r="CU134" s="2339"/>
      <c r="CV134" s="2339"/>
      <c r="CW134" s="2339">
        <v>3</v>
      </c>
      <c r="CX134" s="2339" t="s">
        <v>5231</v>
      </c>
      <c r="DA134" s="1516">
        <v>1</v>
      </c>
      <c r="DC134" s="1516">
        <v>1</v>
      </c>
    </row>
    <row r="135" spans="2:107">
      <c r="B135" s="2339" t="s">
        <v>5279</v>
      </c>
      <c r="C135" s="2339">
        <v>33</v>
      </c>
      <c r="D135" s="2339">
        <v>4592.6000000000004</v>
      </c>
      <c r="E135" s="2339"/>
      <c r="F135" s="2339"/>
      <c r="G135" s="2339"/>
      <c r="H135" s="2339"/>
      <c r="I135" s="2339"/>
      <c r="J135" s="2339"/>
      <c r="K135" s="2339" t="s">
        <v>504</v>
      </c>
      <c r="L135" s="2339"/>
      <c r="M135" s="2339">
        <v>1</v>
      </c>
      <c r="N135" s="2339"/>
      <c r="O135" s="2339">
        <v>1</v>
      </c>
      <c r="P135" s="2339"/>
      <c r="Q135" s="2339"/>
      <c r="R135" s="2339"/>
      <c r="S135" s="2339"/>
      <c r="T135" s="2339"/>
      <c r="U135" s="2339"/>
      <c r="V135" s="2339"/>
      <c r="W135" s="2339"/>
      <c r="X135" s="2339"/>
      <c r="Y135" s="2339"/>
      <c r="Z135" s="2339"/>
      <c r="AA135" s="2339"/>
      <c r="AB135" s="2339"/>
      <c r="AC135" s="2339"/>
      <c r="AD135" s="2339">
        <v>1</v>
      </c>
      <c r="AE135" s="2339"/>
      <c r="AF135" s="2339">
        <v>3</v>
      </c>
      <c r="AG135" s="2339"/>
      <c r="AH135" s="2339"/>
      <c r="AI135" s="2339"/>
      <c r="AJ135" s="2339"/>
      <c r="AK135" s="2339"/>
      <c r="AL135" s="2339">
        <v>1</v>
      </c>
      <c r="AM135" s="2339"/>
      <c r="AN135" s="2339"/>
      <c r="AO135" s="2339"/>
      <c r="AP135" s="2339"/>
      <c r="AQ135" s="2339"/>
      <c r="AR135" s="2339"/>
      <c r="AS135" s="2339"/>
      <c r="AT135" s="2339">
        <v>3</v>
      </c>
      <c r="AU135" s="2339"/>
      <c r="AV135" s="2339"/>
      <c r="AW135" s="2339"/>
      <c r="AX135" s="2339"/>
      <c r="AY135" s="2339"/>
      <c r="AZ135" s="2339"/>
      <c r="BA135" s="2339"/>
      <c r="BB135" s="2339"/>
      <c r="BC135" s="2339">
        <v>99</v>
      </c>
      <c r="BD135" s="2339">
        <v>33</v>
      </c>
      <c r="BE135" s="2339">
        <v>0</v>
      </c>
      <c r="BF135" s="2339"/>
      <c r="BG135" s="2339"/>
      <c r="BH135" s="2339">
        <v>1</v>
      </c>
      <c r="BI135" s="2339"/>
      <c r="BJ135" s="2339"/>
      <c r="BK135" s="2339"/>
      <c r="BL135" s="2339"/>
      <c r="BM135" s="2339">
        <v>0</v>
      </c>
      <c r="BN135" s="2339">
        <v>0</v>
      </c>
      <c r="BO135" s="2339"/>
      <c r="BP135" s="2339"/>
      <c r="BQ135" s="2339"/>
      <c r="BR135" s="2339"/>
      <c r="BS135" s="2339"/>
      <c r="BT135" s="2339"/>
      <c r="BU135" s="2339"/>
      <c r="BV135" s="2339"/>
      <c r="BW135" s="2339"/>
      <c r="BX135" s="2339"/>
      <c r="BY135" s="2339"/>
      <c r="BZ135" s="2339"/>
      <c r="CA135" s="2339"/>
      <c r="CB135" s="2339"/>
      <c r="CC135" s="2339"/>
      <c r="CD135" s="2339"/>
      <c r="CE135" s="2339"/>
      <c r="CF135" s="2339"/>
      <c r="CG135" s="2339"/>
      <c r="CH135" s="2339"/>
      <c r="CI135" s="2339"/>
      <c r="CJ135" s="2339"/>
      <c r="CK135" s="2339"/>
      <c r="CL135" s="2339">
        <v>0</v>
      </c>
      <c r="CM135" s="2339">
        <v>0</v>
      </c>
      <c r="CN135" s="2339">
        <v>0</v>
      </c>
      <c r="CO135" s="2339"/>
      <c r="CP135" s="2339"/>
      <c r="CQ135" s="2339"/>
      <c r="CR135" s="2339"/>
      <c r="CS135" s="2339"/>
      <c r="CT135" s="2339"/>
      <c r="CU135" s="2339"/>
      <c r="CV135" s="2339"/>
      <c r="CW135" s="2339">
        <v>0</v>
      </c>
      <c r="CX135" s="2339"/>
      <c r="DA135" s="1516">
        <v>1</v>
      </c>
      <c r="DC135" s="1516">
        <v>1</v>
      </c>
    </row>
    <row r="136" spans="2:107">
      <c r="B136" s="2339">
        <v>152</v>
      </c>
      <c r="C136" s="2339">
        <v>33.1</v>
      </c>
      <c r="D136" s="2339">
        <v>4625.7</v>
      </c>
      <c r="E136" s="2339"/>
      <c r="F136" s="2339"/>
      <c r="G136" s="2339"/>
      <c r="H136" s="2339"/>
      <c r="I136" s="2339"/>
      <c r="J136" s="2339" t="s">
        <v>504</v>
      </c>
      <c r="K136" s="2339" t="s">
        <v>504</v>
      </c>
      <c r="L136" s="2339">
        <v>1</v>
      </c>
      <c r="M136" s="2339"/>
      <c r="N136" s="2339"/>
      <c r="O136" s="2339"/>
      <c r="P136" s="2339"/>
      <c r="Q136" s="2339"/>
      <c r="R136" s="2339"/>
      <c r="S136" s="2339"/>
      <c r="T136" s="2339"/>
      <c r="U136" s="2339"/>
      <c r="V136" s="2339"/>
      <c r="W136" s="2339"/>
      <c r="X136" s="2339"/>
      <c r="Y136" s="2339"/>
      <c r="Z136" s="2339"/>
      <c r="AA136" s="2339"/>
      <c r="AB136" s="2339"/>
      <c r="AC136" s="2339"/>
      <c r="AD136" s="2339">
        <v>1</v>
      </c>
      <c r="AE136" s="2339"/>
      <c r="AF136" s="2339">
        <v>3</v>
      </c>
      <c r="AG136" s="2339"/>
      <c r="AH136" s="2339"/>
      <c r="AI136" s="2339"/>
      <c r="AJ136" s="2339"/>
      <c r="AK136" s="2339"/>
      <c r="AL136" s="2339">
        <v>1</v>
      </c>
      <c r="AM136" s="2339"/>
      <c r="AN136" s="2339"/>
      <c r="AO136" s="2339"/>
      <c r="AP136" s="2339"/>
      <c r="AQ136" s="2339"/>
      <c r="AR136" s="2339"/>
      <c r="AS136" s="2339"/>
      <c r="AT136" s="2339">
        <v>3</v>
      </c>
      <c r="AU136" s="2339"/>
      <c r="AV136" s="2339"/>
      <c r="AW136" s="2339"/>
      <c r="AX136" s="2339"/>
      <c r="AY136" s="2339"/>
      <c r="AZ136" s="2339"/>
      <c r="BA136" s="2339"/>
      <c r="BB136" s="2339"/>
      <c r="BC136" s="2339">
        <v>99.3</v>
      </c>
      <c r="BD136" s="2339">
        <v>33.1</v>
      </c>
      <c r="BE136" s="2339">
        <v>0</v>
      </c>
      <c r="BF136" s="2339"/>
      <c r="BG136" s="2339"/>
      <c r="BH136" s="2339"/>
      <c r="BI136" s="2339"/>
      <c r="BJ136" s="2339">
        <v>1</v>
      </c>
      <c r="BK136" s="2339"/>
      <c r="BL136" s="2339"/>
      <c r="BM136" s="2339">
        <v>0</v>
      </c>
      <c r="BN136" s="2339">
        <v>0</v>
      </c>
      <c r="BO136" s="2339"/>
      <c r="BP136" s="2339"/>
      <c r="BQ136" s="2339">
        <v>2</v>
      </c>
      <c r="BR136" s="2339">
        <v>1</v>
      </c>
      <c r="BS136" s="2339"/>
      <c r="BT136" s="2339"/>
      <c r="BU136" s="2339"/>
      <c r="BV136" s="2339"/>
      <c r="BW136" s="2339"/>
      <c r="BX136" s="2339"/>
      <c r="BY136" s="2339"/>
      <c r="BZ136" s="2339"/>
      <c r="CA136" s="2339"/>
      <c r="CB136" s="2339"/>
      <c r="CC136" s="2339"/>
      <c r="CD136" s="2339">
        <v>1</v>
      </c>
      <c r="CE136" s="2339"/>
      <c r="CF136" s="2339"/>
      <c r="CG136" s="2339"/>
      <c r="CH136" s="2339"/>
      <c r="CI136" s="2339"/>
      <c r="CJ136" s="2339"/>
      <c r="CK136" s="2339"/>
      <c r="CL136" s="2339">
        <v>0</v>
      </c>
      <c r="CM136" s="2339"/>
      <c r="CN136" s="2339"/>
      <c r="CO136" s="2339"/>
      <c r="CP136" s="2339"/>
      <c r="CQ136" s="2339"/>
      <c r="CR136" s="2339"/>
      <c r="CS136" s="2339"/>
      <c r="CT136" s="2339"/>
      <c r="CU136" s="2339"/>
      <c r="CV136" s="2339"/>
      <c r="CW136" s="2339">
        <v>0</v>
      </c>
      <c r="CX136" s="2339"/>
      <c r="DA136" s="1516">
        <v>1</v>
      </c>
      <c r="DC136" s="1516">
        <v>1</v>
      </c>
    </row>
    <row r="137" spans="2:107">
      <c r="B137" s="2339" t="s">
        <v>5280</v>
      </c>
      <c r="C137" s="2339">
        <v>34</v>
      </c>
      <c r="D137" s="2339">
        <v>4659.7</v>
      </c>
      <c r="E137" s="2339"/>
      <c r="F137" s="2339"/>
      <c r="G137" s="2339"/>
      <c r="H137" s="2339"/>
      <c r="I137" s="2339"/>
      <c r="J137" s="2339"/>
      <c r="K137" s="2339" t="s">
        <v>504</v>
      </c>
      <c r="L137" s="2339"/>
      <c r="M137" s="2339">
        <v>1</v>
      </c>
      <c r="N137" s="2339"/>
      <c r="O137" s="2339">
        <v>1</v>
      </c>
      <c r="P137" s="2339"/>
      <c r="Q137" s="2339"/>
      <c r="R137" s="2339"/>
      <c r="S137" s="2339"/>
      <c r="T137" s="2339"/>
      <c r="U137" s="2339"/>
      <c r="V137" s="2339"/>
      <c r="W137" s="2339"/>
      <c r="X137" s="2339"/>
      <c r="Y137" s="2339"/>
      <c r="Z137" s="2339"/>
      <c r="AA137" s="2339"/>
      <c r="AB137" s="2339"/>
      <c r="AC137" s="2339"/>
      <c r="AD137" s="2339">
        <v>1</v>
      </c>
      <c r="AE137" s="2339"/>
      <c r="AF137" s="2339">
        <v>3</v>
      </c>
      <c r="AG137" s="2339"/>
      <c r="AH137" s="2339"/>
      <c r="AI137" s="2339"/>
      <c r="AJ137" s="2339"/>
      <c r="AK137" s="2339"/>
      <c r="AL137" s="2339">
        <v>1</v>
      </c>
      <c r="AM137" s="2339"/>
      <c r="AN137" s="2339"/>
      <c r="AO137" s="2339"/>
      <c r="AP137" s="2339"/>
      <c r="AQ137" s="2339"/>
      <c r="AR137" s="2339"/>
      <c r="AS137" s="2339"/>
      <c r="AT137" s="2339">
        <v>3</v>
      </c>
      <c r="AU137" s="2339"/>
      <c r="AV137" s="2339"/>
      <c r="AW137" s="2339">
        <v>1</v>
      </c>
      <c r="AX137" s="2339"/>
      <c r="AY137" s="2339"/>
      <c r="AZ137" s="2339">
        <v>2</v>
      </c>
      <c r="BA137" s="2339">
        <v>4</v>
      </c>
      <c r="BB137" s="2339"/>
      <c r="BC137" s="2339">
        <v>102</v>
      </c>
      <c r="BD137" s="2339">
        <v>34</v>
      </c>
      <c r="BE137" s="2339">
        <v>0</v>
      </c>
      <c r="BF137" s="2339"/>
      <c r="BG137" s="2339"/>
      <c r="BH137" s="2339">
        <v>1</v>
      </c>
      <c r="BI137" s="2339"/>
      <c r="BJ137" s="2339"/>
      <c r="BK137" s="2339"/>
      <c r="BL137" s="2339"/>
      <c r="BM137" s="2339">
        <v>0</v>
      </c>
      <c r="BN137" s="2339">
        <v>0</v>
      </c>
      <c r="BO137" s="2339"/>
      <c r="BP137" s="2339"/>
      <c r="BQ137" s="2339"/>
      <c r="BR137" s="2339"/>
      <c r="BS137" s="2339"/>
      <c r="BT137" s="2339"/>
      <c r="BU137" s="2339">
        <v>1</v>
      </c>
      <c r="BV137" s="2339"/>
      <c r="BW137" s="2339">
        <v>1</v>
      </c>
      <c r="BX137" s="2339"/>
      <c r="BY137" s="2339"/>
      <c r="BZ137" s="2339"/>
      <c r="CA137" s="2339"/>
      <c r="CB137" s="2339"/>
      <c r="CC137" s="2339"/>
      <c r="CD137" s="2339"/>
      <c r="CE137" s="2339"/>
      <c r="CF137" s="2339"/>
      <c r="CG137" s="2339"/>
      <c r="CH137" s="2339"/>
      <c r="CI137" s="2339"/>
      <c r="CJ137" s="2339"/>
      <c r="CK137" s="2339"/>
      <c r="CL137" s="2339">
        <v>1</v>
      </c>
      <c r="CM137" s="2339">
        <v>0</v>
      </c>
      <c r="CN137" s="2339">
        <v>1</v>
      </c>
      <c r="CO137" s="2339"/>
      <c r="CP137" s="2339"/>
      <c r="CQ137" s="2339"/>
      <c r="CR137" s="2339"/>
      <c r="CS137" s="2339"/>
      <c r="CT137" s="2339"/>
      <c r="CU137" s="2339"/>
      <c r="CV137" s="2339">
        <v>1</v>
      </c>
      <c r="CW137" s="2339">
        <v>0</v>
      </c>
      <c r="CX137" s="2339"/>
      <c r="DA137" s="1516">
        <v>1</v>
      </c>
      <c r="DC137" s="1516">
        <v>1</v>
      </c>
    </row>
    <row r="138" spans="2:107">
      <c r="B138" s="2339">
        <v>153</v>
      </c>
      <c r="C138" s="2339">
        <v>33.200000000000003</v>
      </c>
      <c r="D138" s="2339">
        <v>4692.8999999999996</v>
      </c>
      <c r="E138" s="2339"/>
      <c r="F138" s="2339"/>
      <c r="G138" s="2339"/>
      <c r="H138" s="2339"/>
      <c r="I138" s="2339"/>
      <c r="J138" s="2339" t="s">
        <v>4512</v>
      </c>
      <c r="K138" s="2339" t="s">
        <v>4512</v>
      </c>
      <c r="L138" s="2339">
        <v>1</v>
      </c>
      <c r="M138" s="2339"/>
      <c r="N138" s="2339"/>
      <c r="O138" s="2339"/>
      <c r="P138" s="2339"/>
      <c r="Q138" s="2339"/>
      <c r="R138" s="2339"/>
      <c r="S138" s="2339">
        <v>1</v>
      </c>
      <c r="T138" s="2339"/>
      <c r="U138" s="2339"/>
      <c r="V138" s="2339"/>
      <c r="W138" s="2339"/>
      <c r="X138" s="2339"/>
      <c r="Y138" s="2339"/>
      <c r="Z138" s="2339">
        <v>1</v>
      </c>
      <c r="AA138" s="2339"/>
      <c r="AB138" s="2339"/>
      <c r="AC138" s="2339"/>
      <c r="AD138" s="2339"/>
      <c r="AE138" s="2339">
        <v>1</v>
      </c>
      <c r="AF138" s="2339">
        <v>6</v>
      </c>
      <c r="AG138" s="2339"/>
      <c r="AH138" s="2339"/>
      <c r="AI138" s="2339"/>
      <c r="AJ138" s="2339"/>
      <c r="AK138" s="2339"/>
      <c r="AL138" s="2339">
        <v>1</v>
      </c>
      <c r="AM138" s="2339"/>
      <c r="AN138" s="2339"/>
      <c r="AO138" s="2339"/>
      <c r="AP138" s="2339"/>
      <c r="AQ138" s="2339"/>
      <c r="AR138" s="2339"/>
      <c r="AS138" s="2339">
        <v>6</v>
      </c>
      <c r="AT138" s="2339"/>
      <c r="AU138" s="2339"/>
      <c r="AV138" s="2339"/>
      <c r="AW138" s="2339"/>
      <c r="AX138" s="2339"/>
      <c r="AY138" s="2339"/>
      <c r="AZ138" s="2339"/>
      <c r="BA138" s="2339"/>
      <c r="BB138" s="2339"/>
      <c r="BC138" s="2339">
        <v>99.6</v>
      </c>
      <c r="BD138" s="2339">
        <v>33.200000000000003</v>
      </c>
      <c r="BE138" s="2339">
        <v>0</v>
      </c>
      <c r="BF138" s="2339"/>
      <c r="BG138" s="2339"/>
      <c r="BH138" s="2339"/>
      <c r="BI138" s="2339"/>
      <c r="BJ138" s="2339"/>
      <c r="BK138" s="2339">
        <v>1</v>
      </c>
      <c r="BL138" s="2339"/>
      <c r="BM138" s="2339">
        <v>0</v>
      </c>
      <c r="BN138" s="2339">
        <v>1</v>
      </c>
      <c r="BO138" s="2339"/>
      <c r="BP138" s="2339"/>
      <c r="BQ138" s="2339">
        <v>4</v>
      </c>
      <c r="BR138" s="2339">
        <v>2</v>
      </c>
      <c r="BS138" s="2339"/>
      <c r="BT138" s="2339"/>
      <c r="BU138" s="2339"/>
      <c r="BV138" s="2339"/>
      <c r="BW138" s="2339"/>
      <c r="BX138" s="2339"/>
      <c r="BY138" s="2339"/>
      <c r="BZ138" s="2339"/>
      <c r="CA138" s="2339"/>
      <c r="CB138" s="2339"/>
      <c r="CC138" s="2339"/>
      <c r="CD138" s="2339">
        <v>1</v>
      </c>
      <c r="CE138" s="2339"/>
      <c r="CF138" s="2339"/>
      <c r="CG138" s="2339"/>
      <c r="CH138" s="2339"/>
      <c r="CI138" s="2339"/>
      <c r="CJ138" s="2339"/>
      <c r="CK138" s="2339"/>
      <c r="CL138" s="2339">
        <v>0</v>
      </c>
      <c r="CM138" s="2339"/>
      <c r="CN138" s="2339"/>
      <c r="CO138" s="2339"/>
      <c r="CP138" s="2339"/>
      <c r="CQ138" s="2339"/>
      <c r="CR138" s="2339"/>
      <c r="CS138" s="2339"/>
      <c r="CT138" s="2339"/>
      <c r="CU138" s="2339"/>
      <c r="CV138" s="2339"/>
      <c r="CW138" s="2339">
        <v>0</v>
      </c>
      <c r="CX138" s="2339"/>
      <c r="DA138" s="1516">
        <v>1</v>
      </c>
      <c r="DC138" s="1516">
        <v>1</v>
      </c>
    </row>
    <row r="139" spans="2:107">
      <c r="B139" s="2339" t="s">
        <v>5281</v>
      </c>
      <c r="C139" s="2339">
        <v>33</v>
      </c>
      <c r="D139" s="2339">
        <v>4725.8999999999996</v>
      </c>
      <c r="E139" s="2339"/>
      <c r="F139" s="2339"/>
      <c r="G139" s="2339"/>
      <c r="H139" s="2339"/>
      <c r="I139" s="2339"/>
      <c r="J139" s="2339"/>
      <c r="K139" s="2339" t="s">
        <v>504</v>
      </c>
      <c r="L139" s="2339"/>
      <c r="M139" s="2339">
        <v>1</v>
      </c>
      <c r="N139" s="2339"/>
      <c r="O139" s="2339"/>
      <c r="P139" s="2339">
        <v>1</v>
      </c>
      <c r="Q139" s="2339"/>
      <c r="R139" s="2339"/>
      <c r="S139" s="2339"/>
      <c r="T139" s="2339"/>
      <c r="U139" s="2339"/>
      <c r="V139" s="2339"/>
      <c r="W139" s="2339"/>
      <c r="X139" s="2339"/>
      <c r="Y139" s="2339"/>
      <c r="Z139" s="2339"/>
      <c r="AA139" s="2339"/>
      <c r="AB139" s="2339"/>
      <c r="AC139" s="2339"/>
      <c r="AD139" s="2339">
        <v>1</v>
      </c>
      <c r="AE139" s="2339"/>
      <c r="AF139" s="2339">
        <v>3</v>
      </c>
      <c r="AG139" s="2339"/>
      <c r="AH139" s="2339"/>
      <c r="AI139" s="2339"/>
      <c r="AJ139" s="2339"/>
      <c r="AK139" s="2339"/>
      <c r="AL139" s="2339">
        <v>1</v>
      </c>
      <c r="AM139" s="2339"/>
      <c r="AN139" s="2339"/>
      <c r="AO139" s="2339"/>
      <c r="AP139" s="2339"/>
      <c r="AQ139" s="2339"/>
      <c r="AR139" s="2339"/>
      <c r="AS139" s="2339"/>
      <c r="AT139" s="2339">
        <v>3</v>
      </c>
      <c r="AU139" s="2339"/>
      <c r="AV139" s="2339"/>
      <c r="AW139" s="2339">
        <v>1</v>
      </c>
      <c r="AX139" s="2339"/>
      <c r="AY139" s="2339"/>
      <c r="AZ139" s="2339">
        <v>6</v>
      </c>
      <c r="BA139" s="2339">
        <v>4</v>
      </c>
      <c r="BB139" s="2339"/>
      <c r="BC139" s="2339">
        <v>99</v>
      </c>
      <c r="BD139" s="2339">
        <v>33</v>
      </c>
      <c r="BE139" s="2339">
        <v>0</v>
      </c>
      <c r="BF139" s="2339"/>
      <c r="BG139" s="2339"/>
      <c r="BH139" s="2339">
        <v>1</v>
      </c>
      <c r="BI139" s="2339"/>
      <c r="BJ139" s="2339"/>
      <c r="BK139" s="2339"/>
      <c r="BL139" s="2339"/>
      <c r="BM139" s="2339">
        <v>0</v>
      </c>
      <c r="BN139" s="2339">
        <v>0</v>
      </c>
      <c r="BO139" s="2339"/>
      <c r="BP139" s="2339"/>
      <c r="BQ139" s="2339"/>
      <c r="BR139" s="2339"/>
      <c r="BS139" s="2339"/>
      <c r="BT139" s="2339"/>
      <c r="BU139" s="2339">
        <v>1</v>
      </c>
      <c r="BV139" s="2339"/>
      <c r="BW139" s="2339">
        <v>1</v>
      </c>
      <c r="BX139" s="2339"/>
      <c r="BY139" s="2339"/>
      <c r="BZ139" s="2339"/>
      <c r="CA139" s="2339"/>
      <c r="CB139" s="2339"/>
      <c r="CC139" s="2339"/>
      <c r="CD139" s="2339"/>
      <c r="CE139" s="2339"/>
      <c r="CF139" s="2339"/>
      <c r="CG139" s="2339"/>
      <c r="CH139" s="2339"/>
      <c r="CI139" s="2339"/>
      <c r="CJ139" s="2339"/>
      <c r="CK139" s="2339"/>
      <c r="CL139" s="2339">
        <v>1</v>
      </c>
      <c r="CM139" s="2339">
        <v>0</v>
      </c>
      <c r="CN139" s="2339">
        <v>1</v>
      </c>
      <c r="CO139" s="2339"/>
      <c r="CP139" s="2339"/>
      <c r="CQ139" s="2339"/>
      <c r="CR139" s="2339"/>
      <c r="CS139" s="2339"/>
      <c r="CT139" s="2339"/>
      <c r="CU139" s="2339"/>
      <c r="CV139" s="2339">
        <v>1</v>
      </c>
      <c r="CW139" s="2339">
        <v>0</v>
      </c>
      <c r="CX139" s="2339"/>
      <c r="DA139" s="1516">
        <v>1</v>
      </c>
      <c r="DC139" s="1516">
        <v>1</v>
      </c>
    </row>
    <row r="140" spans="2:107">
      <c r="B140" s="2339">
        <v>154</v>
      </c>
      <c r="C140" s="2339">
        <v>32.200000000000003</v>
      </c>
      <c r="D140" s="2339">
        <v>4758.1000000000004</v>
      </c>
      <c r="E140" s="2339"/>
      <c r="F140" s="2339"/>
      <c r="G140" s="2339"/>
      <c r="H140" s="2339"/>
      <c r="I140" s="2339"/>
      <c r="J140" s="2339" t="s">
        <v>504</v>
      </c>
      <c r="K140" s="2339" t="s">
        <v>504</v>
      </c>
      <c r="L140" s="2339">
        <v>1</v>
      </c>
      <c r="M140" s="2339"/>
      <c r="N140" s="2339"/>
      <c r="O140" s="2339"/>
      <c r="P140" s="2339"/>
      <c r="Q140" s="2339"/>
      <c r="R140" s="2339"/>
      <c r="S140" s="2339"/>
      <c r="T140" s="2339"/>
      <c r="U140" s="2339"/>
      <c r="V140" s="2339"/>
      <c r="W140" s="2339"/>
      <c r="X140" s="2339"/>
      <c r="Y140" s="2339"/>
      <c r="Z140" s="2339"/>
      <c r="AA140" s="2339"/>
      <c r="AB140" s="2339"/>
      <c r="AC140" s="2339"/>
      <c r="AD140" s="2339">
        <v>1</v>
      </c>
      <c r="AE140" s="2339"/>
      <c r="AF140" s="2339">
        <v>3</v>
      </c>
      <c r="AG140" s="2339"/>
      <c r="AH140" s="2339"/>
      <c r="AI140" s="2339"/>
      <c r="AJ140" s="2339"/>
      <c r="AK140" s="2339"/>
      <c r="AL140" s="2339">
        <v>1</v>
      </c>
      <c r="AM140" s="2339"/>
      <c r="AN140" s="2339"/>
      <c r="AO140" s="2339"/>
      <c r="AP140" s="2339"/>
      <c r="AQ140" s="2339"/>
      <c r="AR140" s="2339"/>
      <c r="AS140" s="2339"/>
      <c r="AT140" s="2339">
        <v>3</v>
      </c>
      <c r="AU140" s="2339"/>
      <c r="AV140" s="2339"/>
      <c r="AW140" s="2339"/>
      <c r="AX140" s="2339"/>
      <c r="AY140" s="2339"/>
      <c r="AZ140" s="2339"/>
      <c r="BA140" s="2339"/>
      <c r="BB140" s="2339"/>
      <c r="BC140" s="2339">
        <v>96.6</v>
      </c>
      <c r="BD140" s="2339">
        <v>32.200000000000003</v>
      </c>
      <c r="BE140" s="2339">
        <v>0</v>
      </c>
      <c r="BF140" s="2339"/>
      <c r="BG140" s="2339"/>
      <c r="BH140" s="2339"/>
      <c r="BI140" s="2339"/>
      <c r="BJ140" s="2339">
        <v>1</v>
      </c>
      <c r="BK140" s="2339"/>
      <c r="BL140" s="2339"/>
      <c r="BM140" s="2339">
        <v>0</v>
      </c>
      <c r="BN140" s="2339">
        <v>0</v>
      </c>
      <c r="BO140" s="2339"/>
      <c r="BP140" s="2339"/>
      <c r="BQ140" s="2339">
        <v>2</v>
      </c>
      <c r="BR140" s="2339">
        <v>1</v>
      </c>
      <c r="BS140" s="2339"/>
      <c r="BT140" s="2339"/>
      <c r="BU140" s="2339"/>
      <c r="BV140" s="2339"/>
      <c r="BW140" s="2339"/>
      <c r="BX140" s="2339"/>
      <c r="BY140" s="2339"/>
      <c r="BZ140" s="2339"/>
      <c r="CA140" s="2339"/>
      <c r="CB140" s="2339"/>
      <c r="CC140" s="2339"/>
      <c r="CD140" s="2339">
        <v>1</v>
      </c>
      <c r="CE140" s="2339"/>
      <c r="CF140" s="2339"/>
      <c r="CG140" s="2339"/>
      <c r="CH140" s="2339"/>
      <c r="CI140" s="2339"/>
      <c r="CJ140" s="2339"/>
      <c r="CK140" s="2339"/>
      <c r="CL140" s="2339">
        <v>0</v>
      </c>
      <c r="CM140" s="2339"/>
      <c r="CN140" s="2339"/>
      <c r="CO140" s="2339"/>
      <c r="CP140" s="2339"/>
      <c r="CQ140" s="2339"/>
      <c r="CR140" s="2339"/>
      <c r="CS140" s="2339"/>
      <c r="CT140" s="2339"/>
      <c r="CU140" s="2339"/>
      <c r="CV140" s="2339"/>
      <c r="CW140" s="2339">
        <v>0</v>
      </c>
      <c r="CX140" s="2339"/>
      <c r="DA140" s="1516">
        <v>1</v>
      </c>
      <c r="DC140" s="1516">
        <v>1</v>
      </c>
    </row>
    <row r="141" spans="2:107">
      <c r="B141" s="2339" t="s">
        <v>5282</v>
      </c>
      <c r="C141" s="2339">
        <v>31</v>
      </c>
      <c r="D141" s="2339">
        <v>4789.1000000000004</v>
      </c>
      <c r="E141" s="2339"/>
      <c r="F141" s="2339"/>
      <c r="G141" s="2339"/>
      <c r="H141" s="2339"/>
      <c r="I141" s="2339"/>
      <c r="J141" s="2339"/>
      <c r="K141" s="2339" t="s">
        <v>504</v>
      </c>
      <c r="L141" s="2339"/>
      <c r="M141" s="2339">
        <v>1</v>
      </c>
      <c r="N141" s="2339"/>
      <c r="O141" s="2339">
        <v>1</v>
      </c>
      <c r="P141" s="2339"/>
      <c r="Q141" s="2339"/>
      <c r="R141" s="2339"/>
      <c r="S141" s="2339"/>
      <c r="T141" s="2339"/>
      <c r="U141" s="2339"/>
      <c r="V141" s="2339"/>
      <c r="W141" s="2339"/>
      <c r="X141" s="2339"/>
      <c r="Y141" s="2339"/>
      <c r="Z141" s="2339"/>
      <c r="AA141" s="2339"/>
      <c r="AB141" s="2339"/>
      <c r="AC141" s="2339"/>
      <c r="AD141" s="2339">
        <v>1</v>
      </c>
      <c r="AE141" s="2339"/>
      <c r="AF141" s="2339">
        <v>3</v>
      </c>
      <c r="AG141" s="2339"/>
      <c r="AH141" s="2339"/>
      <c r="AI141" s="2339"/>
      <c r="AJ141" s="2339"/>
      <c r="AK141" s="2339"/>
      <c r="AL141" s="2339">
        <v>1</v>
      </c>
      <c r="AM141" s="2339"/>
      <c r="AN141" s="2339"/>
      <c r="AO141" s="2339"/>
      <c r="AP141" s="2339"/>
      <c r="AQ141" s="2339"/>
      <c r="AR141" s="2339"/>
      <c r="AS141" s="2339"/>
      <c r="AT141" s="2339">
        <v>3</v>
      </c>
      <c r="AU141" s="2339"/>
      <c r="AV141" s="2339"/>
      <c r="AW141" s="2339"/>
      <c r="AX141" s="2339"/>
      <c r="AY141" s="2339"/>
      <c r="AZ141" s="2339"/>
      <c r="BA141" s="2339"/>
      <c r="BB141" s="2339"/>
      <c r="BC141" s="2339">
        <v>93</v>
      </c>
      <c r="BD141" s="2339">
        <v>31</v>
      </c>
      <c r="BE141" s="2339">
        <v>0</v>
      </c>
      <c r="BF141" s="2339"/>
      <c r="BG141" s="2339"/>
      <c r="BH141" s="2339"/>
      <c r="BI141" s="2339"/>
      <c r="BJ141" s="2339"/>
      <c r="BK141" s="2339"/>
      <c r="BL141" s="2339"/>
      <c r="BM141" s="2339">
        <v>0</v>
      </c>
      <c r="BN141" s="2339">
        <v>0</v>
      </c>
      <c r="BO141" s="2339"/>
      <c r="BP141" s="2339"/>
      <c r="BQ141" s="2339"/>
      <c r="BR141" s="2339"/>
      <c r="BS141" s="2339"/>
      <c r="BT141" s="2339"/>
      <c r="BU141" s="2339"/>
      <c r="BV141" s="2339"/>
      <c r="BW141" s="2339"/>
      <c r="BX141" s="2339"/>
      <c r="BY141" s="2339"/>
      <c r="BZ141" s="2339"/>
      <c r="CA141" s="2339"/>
      <c r="CB141" s="2339"/>
      <c r="CC141" s="2339"/>
      <c r="CD141" s="2339"/>
      <c r="CE141" s="2339"/>
      <c r="CF141" s="2339"/>
      <c r="CG141" s="2339"/>
      <c r="CH141" s="2339"/>
      <c r="CI141" s="2339"/>
      <c r="CJ141" s="2339"/>
      <c r="CK141" s="2339"/>
      <c r="CL141" s="2339">
        <v>0</v>
      </c>
      <c r="CM141" s="2339"/>
      <c r="CN141" s="2339"/>
      <c r="CO141" s="2339"/>
      <c r="CP141" s="2339"/>
      <c r="CQ141" s="2339"/>
      <c r="CR141" s="2339"/>
      <c r="CS141" s="2339"/>
      <c r="CT141" s="2339"/>
      <c r="CU141" s="2339"/>
      <c r="CV141" s="2339"/>
      <c r="CW141" s="2339">
        <v>0</v>
      </c>
      <c r="CX141" s="2339"/>
      <c r="DA141" s="1516">
        <v>1</v>
      </c>
      <c r="DC141" s="1516">
        <v>1</v>
      </c>
    </row>
    <row r="142" spans="2:107">
      <c r="B142" s="2339">
        <v>155</v>
      </c>
      <c r="C142" s="2339">
        <v>31.5</v>
      </c>
      <c r="D142" s="2339">
        <v>4820.6000000000004</v>
      </c>
      <c r="E142" s="2339"/>
      <c r="F142" s="2339"/>
      <c r="G142" s="2339"/>
      <c r="H142" s="2339"/>
      <c r="I142" s="2339"/>
      <c r="J142" s="2339" t="s">
        <v>504</v>
      </c>
      <c r="K142" s="2339" t="s">
        <v>504</v>
      </c>
      <c r="L142" s="2339">
        <v>1</v>
      </c>
      <c r="M142" s="2339"/>
      <c r="N142" s="2339"/>
      <c r="O142" s="2339"/>
      <c r="P142" s="2339"/>
      <c r="Q142" s="2339"/>
      <c r="R142" s="2339"/>
      <c r="S142" s="2339"/>
      <c r="T142" s="2339"/>
      <c r="U142" s="2339"/>
      <c r="V142" s="2339"/>
      <c r="W142" s="2339"/>
      <c r="X142" s="2339"/>
      <c r="Y142" s="2339"/>
      <c r="Z142" s="2339"/>
      <c r="AA142" s="2339"/>
      <c r="AB142" s="2339"/>
      <c r="AC142" s="2339"/>
      <c r="AD142" s="2339">
        <v>1</v>
      </c>
      <c r="AE142" s="2339"/>
      <c r="AF142" s="2339">
        <v>3</v>
      </c>
      <c r="AG142" s="2339"/>
      <c r="AH142" s="2339"/>
      <c r="AI142" s="2339"/>
      <c r="AJ142" s="2339"/>
      <c r="AK142" s="2339">
        <v>1</v>
      </c>
      <c r="AL142" s="2339">
        <v>1</v>
      </c>
      <c r="AM142" s="2339"/>
      <c r="AN142" s="2339"/>
      <c r="AO142" s="2339"/>
      <c r="AP142" s="2339"/>
      <c r="AQ142" s="2339"/>
      <c r="AR142" s="2339"/>
      <c r="AS142" s="2339"/>
      <c r="AT142" s="2339">
        <v>3</v>
      </c>
      <c r="AU142" s="2339"/>
      <c r="AV142" s="2339"/>
      <c r="AW142" s="2339"/>
      <c r="AX142" s="2339"/>
      <c r="AY142" s="2339"/>
      <c r="AZ142" s="2339"/>
      <c r="BA142" s="2339"/>
      <c r="BB142" s="2339"/>
      <c r="BC142" s="2339">
        <v>94.5</v>
      </c>
      <c r="BD142" s="2339">
        <v>31.5</v>
      </c>
      <c r="BE142" s="2339">
        <v>0</v>
      </c>
      <c r="BF142" s="2339"/>
      <c r="BG142" s="2339"/>
      <c r="BH142" s="2339"/>
      <c r="BI142" s="2339"/>
      <c r="BJ142" s="2339">
        <v>1</v>
      </c>
      <c r="BK142" s="2339"/>
      <c r="BL142" s="2339"/>
      <c r="BM142" s="2339">
        <v>0</v>
      </c>
      <c r="BN142" s="2339">
        <v>0</v>
      </c>
      <c r="BO142" s="2339"/>
      <c r="BP142" s="2339"/>
      <c r="BQ142" s="2339">
        <v>2</v>
      </c>
      <c r="BR142" s="2339">
        <v>1</v>
      </c>
      <c r="BS142" s="2339"/>
      <c r="BT142" s="2339"/>
      <c r="BU142" s="2339"/>
      <c r="BV142" s="2339"/>
      <c r="BW142" s="2339"/>
      <c r="BX142" s="2339"/>
      <c r="BY142" s="2339"/>
      <c r="BZ142" s="2339"/>
      <c r="CA142" s="2339"/>
      <c r="CB142" s="2339"/>
      <c r="CC142" s="2339"/>
      <c r="CD142" s="2339">
        <v>1</v>
      </c>
      <c r="CE142" s="2339"/>
      <c r="CF142" s="2339"/>
      <c r="CG142" s="2339"/>
      <c r="CH142" s="2339"/>
      <c r="CI142" s="2339"/>
      <c r="CJ142" s="2339"/>
      <c r="CK142" s="2339"/>
      <c r="CL142" s="2339">
        <v>0</v>
      </c>
      <c r="CM142" s="2339"/>
      <c r="CN142" s="2339"/>
      <c r="CO142" s="2339"/>
      <c r="CP142" s="2339"/>
      <c r="CQ142" s="2339"/>
      <c r="CR142" s="2339"/>
      <c r="CS142" s="2339"/>
      <c r="CT142" s="2339"/>
      <c r="CU142" s="2339"/>
      <c r="CV142" s="2339"/>
      <c r="CW142" s="2339">
        <v>0</v>
      </c>
      <c r="CX142" s="2339"/>
      <c r="DA142" s="1516">
        <v>1</v>
      </c>
      <c r="DC142" s="1516">
        <v>1</v>
      </c>
    </row>
    <row r="143" spans="2:107">
      <c r="B143" s="2339" t="s">
        <v>5283</v>
      </c>
      <c r="C143" s="2339">
        <v>40</v>
      </c>
      <c r="D143" s="2339">
        <v>4860.6000000000004</v>
      </c>
      <c r="E143" s="2339"/>
      <c r="F143" s="2339"/>
      <c r="G143" s="2339"/>
      <c r="H143" s="2339"/>
      <c r="I143" s="2339"/>
      <c r="J143" s="2339"/>
      <c r="K143" s="2339" t="s">
        <v>504</v>
      </c>
      <c r="L143" s="2339"/>
      <c r="M143" s="2339">
        <v>1</v>
      </c>
      <c r="N143" s="2339"/>
      <c r="O143" s="2339"/>
      <c r="P143" s="2339">
        <v>1</v>
      </c>
      <c r="Q143" s="2339"/>
      <c r="R143" s="2339"/>
      <c r="S143" s="2339"/>
      <c r="T143" s="2339"/>
      <c r="U143" s="2339"/>
      <c r="V143" s="2339"/>
      <c r="W143" s="2339"/>
      <c r="X143" s="2339"/>
      <c r="Y143" s="2339">
        <v>1</v>
      </c>
      <c r="Z143" s="2339"/>
      <c r="AA143" s="2339"/>
      <c r="AB143" s="2339"/>
      <c r="AC143" s="2339"/>
      <c r="AD143" s="2339">
        <v>1</v>
      </c>
      <c r="AE143" s="2339"/>
      <c r="AF143" s="2339">
        <v>3</v>
      </c>
      <c r="AG143" s="2339"/>
      <c r="AH143" s="2339"/>
      <c r="AI143" s="2339"/>
      <c r="AJ143" s="2339"/>
      <c r="AK143" s="2339"/>
      <c r="AL143" s="2339">
        <v>1</v>
      </c>
      <c r="AM143" s="2339"/>
      <c r="AN143" s="2339"/>
      <c r="AO143" s="2339"/>
      <c r="AP143" s="2339"/>
      <c r="AQ143" s="2339"/>
      <c r="AR143" s="2339"/>
      <c r="AS143" s="2339"/>
      <c r="AT143" s="2339">
        <v>3</v>
      </c>
      <c r="AU143" s="2339"/>
      <c r="AV143" s="2339"/>
      <c r="AW143" s="2339"/>
      <c r="AX143" s="2339">
        <v>2</v>
      </c>
      <c r="AY143" s="2339"/>
      <c r="AZ143" s="2339">
        <v>7</v>
      </c>
      <c r="BA143" s="2339">
        <v>4</v>
      </c>
      <c r="BB143" s="2339"/>
      <c r="BC143" s="2339">
        <v>120</v>
      </c>
      <c r="BD143" s="2339"/>
      <c r="BE143" s="2339">
        <v>0</v>
      </c>
      <c r="BF143" s="2339"/>
      <c r="BG143" s="2339"/>
      <c r="BH143" s="2339">
        <v>1</v>
      </c>
      <c r="BI143" s="2339"/>
      <c r="BJ143" s="2339"/>
      <c r="BK143" s="2339"/>
      <c r="BL143" s="2339"/>
      <c r="BM143" s="2339">
        <v>0</v>
      </c>
      <c r="BN143" s="2339">
        <v>0</v>
      </c>
      <c r="BO143" s="2339"/>
      <c r="BP143" s="2339"/>
      <c r="BQ143" s="2339"/>
      <c r="BR143" s="2339"/>
      <c r="BS143" s="2339">
        <v>1</v>
      </c>
      <c r="BT143" s="2339"/>
      <c r="BU143" s="2339">
        <v>1</v>
      </c>
      <c r="BV143" s="2339"/>
      <c r="BW143" s="2339"/>
      <c r="BX143" s="2339"/>
      <c r="BY143" s="2339"/>
      <c r="BZ143" s="2339"/>
      <c r="CA143" s="2339"/>
      <c r="CB143" s="2339"/>
      <c r="CC143" s="2339"/>
      <c r="CD143" s="2339"/>
      <c r="CE143" s="2339"/>
      <c r="CF143" s="2339"/>
      <c r="CG143" s="2339"/>
      <c r="CH143" s="2339"/>
      <c r="CI143" s="2339"/>
      <c r="CJ143" s="2339">
        <v>1</v>
      </c>
      <c r="CK143" s="2339">
        <v>0</v>
      </c>
      <c r="CL143" s="2339">
        <v>1</v>
      </c>
      <c r="CM143" s="2339">
        <v>0</v>
      </c>
      <c r="CN143" s="2339">
        <v>0</v>
      </c>
      <c r="CO143" s="2339"/>
      <c r="CP143" s="2339"/>
      <c r="CQ143" s="2339"/>
      <c r="CR143" s="2339"/>
      <c r="CS143" s="2339"/>
      <c r="CT143" s="2339"/>
      <c r="CU143" s="2339">
        <v>2</v>
      </c>
      <c r="CV143" s="2339"/>
      <c r="CW143" s="2339">
        <v>0</v>
      </c>
      <c r="CX143" s="2339"/>
      <c r="DA143" s="1516">
        <v>1</v>
      </c>
      <c r="DC143" s="1516">
        <v>1</v>
      </c>
    </row>
    <row r="144" spans="2:107">
      <c r="B144" s="2339">
        <v>156</v>
      </c>
      <c r="C144" s="2339">
        <v>39.700000000000003</v>
      </c>
      <c r="D144" s="2339">
        <v>4900.3</v>
      </c>
      <c r="E144" s="2339"/>
      <c r="F144" s="2339"/>
      <c r="G144" s="2339"/>
      <c r="H144" s="2339"/>
      <c r="I144" s="2339"/>
      <c r="J144" s="2339" t="s">
        <v>504</v>
      </c>
      <c r="K144" s="2339" t="s">
        <v>504</v>
      </c>
      <c r="L144" s="2339">
        <v>1</v>
      </c>
      <c r="M144" s="2339"/>
      <c r="N144" s="2339"/>
      <c r="O144" s="2339"/>
      <c r="P144" s="2339"/>
      <c r="Q144" s="2339"/>
      <c r="R144" s="2339"/>
      <c r="S144" s="2339"/>
      <c r="T144" s="2339"/>
      <c r="U144" s="2339"/>
      <c r="V144" s="2339"/>
      <c r="W144" s="2339"/>
      <c r="X144" s="2339"/>
      <c r="Y144" s="2339"/>
      <c r="Z144" s="2339"/>
      <c r="AA144" s="2339"/>
      <c r="AB144" s="2339"/>
      <c r="AC144" s="2339"/>
      <c r="AD144" s="2339">
        <v>1</v>
      </c>
      <c r="AE144" s="2339"/>
      <c r="AF144" s="2339">
        <v>3</v>
      </c>
      <c r="AG144" s="2339"/>
      <c r="AH144" s="2339"/>
      <c r="AI144" s="2339"/>
      <c r="AJ144" s="2339"/>
      <c r="AK144" s="2339"/>
      <c r="AL144" s="2339">
        <v>1</v>
      </c>
      <c r="AM144" s="2339"/>
      <c r="AN144" s="2339"/>
      <c r="AO144" s="2339"/>
      <c r="AP144" s="2339"/>
      <c r="AQ144" s="2339"/>
      <c r="AR144" s="2339"/>
      <c r="AS144" s="2339"/>
      <c r="AT144" s="2339">
        <v>3</v>
      </c>
      <c r="AU144" s="2339"/>
      <c r="AV144" s="2339"/>
      <c r="AW144" s="2339"/>
      <c r="AX144" s="2339"/>
      <c r="AY144" s="2339"/>
      <c r="AZ144" s="2339"/>
      <c r="BA144" s="2339"/>
      <c r="BB144" s="2339"/>
      <c r="BC144" s="2339">
        <v>119.1</v>
      </c>
      <c r="BD144" s="2339"/>
      <c r="BE144" s="2339">
        <v>0</v>
      </c>
      <c r="BF144" s="2339"/>
      <c r="BG144" s="2339"/>
      <c r="BH144" s="2339"/>
      <c r="BI144" s="2339"/>
      <c r="BJ144" s="2339">
        <v>1</v>
      </c>
      <c r="BK144" s="2339"/>
      <c r="BL144" s="2339"/>
      <c r="BM144" s="2339">
        <v>0</v>
      </c>
      <c r="BN144" s="2339">
        <v>0</v>
      </c>
      <c r="BO144" s="2339"/>
      <c r="BP144" s="2339"/>
      <c r="BQ144" s="2339">
        <v>2</v>
      </c>
      <c r="BR144" s="2339">
        <v>1</v>
      </c>
      <c r="BS144" s="2339"/>
      <c r="BT144" s="2339"/>
      <c r="BU144" s="2339"/>
      <c r="BV144" s="2339"/>
      <c r="BW144" s="2339"/>
      <c r="BX144" s="2339"/>
      <c r="BY144" s="2339"/>
      <c r="BZ144" s="2339"/>
      <c r="CA144" s="2339"/>
      <c r="CB144" s="2339"/>
      <c r="CC144" s="2339"/>
      <c r="CD144" s="2339">
        <v>1</v>
      </c>
      <c r="CE144" s="2339"/>
      <c r="CF144" s="2339"/>
      <c r="CG144" s="2339"/>
      <c r="CH144" s="2339"/>
      <c r="CI144" s="2339"/>
      <c r="CJ144" s="2339"/>
      <c r="CK144" s="2339"/>
      <c r="CL144" s="2339">
        <v>0</v>
      </c>
      <c r="CM144" s="2339"/>
      <c r="CN144" s="2339"/>
      <c r="CO144" s="2339"/>
      <c r="CP144" s="2339"/>
      <c r="CQ144" s="2339"/>
      <c r="CR144" s="2339"/>
      <c r="CS144" s="2339"/>
      <c r="CT144" s="2339"/>
      <c r="CU144" s="2339"/>
      <c r="CV144" s="2339"/>
      <c r="CW144" s="2339">
        <v>0</v>
      </c>
      <c r="CX144" s="2339"/>
      <c r="DA144" s="1516">
        <v>1</v>
      </c>
      <c r="DC144" s="1516">
        <v>1</v>
      </c>
    </row>
    <row r="145" spans="2:107">
      <c r="B145" s="2339" t="s">
        <v>5284</v>
      </c>
      <c r="C145" s="2339">
        <v>37.200000000000003</v>
      </c>
      <c r="D145" s="2339">
        <v>4937.5</v>
      </c>
      <c r="E145" s="2339"/>
      <c r="F145" s="2339"/>
      <c r="G145" s="2339"/>
      <c r="H145" s="2339"/>
      <c r="I145" s="2339"/>
      <c r="J145" s="2339"/>
      <c r="K145" s="2339" t="s">
        <v>504</v>
      </c>
      <c r="L145" s="2339"/>
      <c r="M145" s="2339">
        <v>1</v>
      </c>
      <c r="N145" s="2339"/>
      <c r="O145" s="2339"/>
      <c r="P145" s="2339">
        <v>1</v>
      </c>
      <c r="Q145" s="2339"/>
      <c r="R145" s="2339"/>
      <c r="S145" s="2339"/>
      <c r="T145" s="2339"/>
      <c r="U145" s="2339"/>
      <c r="V145" s="2339"/>
      <c r="W145" s="2339"/>
      <c r="X145" s="2339"/>
      <c r="Y145" s="2339"/>
      <c r="Z145" s="2339"/>
      <c r="AA145" s="2339"/>
      <c r="AB145" s="2339"/>
      <c r="AC145" s="2339"/>
      <c r="AD145" s="2339">
        <v>1</v>
      </c>
      <c r="AE145" s="2339"/>
      <c r="AF145" s="2339">
        <v>3</v>
      </c>
      <c r="AG145" s="2339"/>
      <c r="AH145" s="2339"/>
      <c r="AI145" s="2339"/>
      <c r="AJ145" s="2339"/>
      <c r="AK145" s="2339"/>
      <c r="AL145" s="2339">
        <v>1</v>
      </c>
      <c r="AM145" s="2339"/>
      <c r="AN145" s="2339"/>
      <c r="AO145" s="2339"/>
      <c r="AP145" s="2339"/>
      <c r="AQ145" s="2339"/>
      <c r="AR145" s="2339"/>
      <c r="AS145" s="2339"/>
      <c r="AT145" s="2339">
        <v>3</v>
      </c>
      <c r="AU145" s="2339"/>
      <c r="AV145" s="2339"/>
      <c r="AW145" s="2339"/>
      <c r="AX145" s="2339">
        <v>2</v>
      </c>
      <c r="AY145" s="2339"/>
      <c r="AZ145" s="2339">
        <v>3</v>
      </c>
      <c r="BA145" s="2339">
        <v>4</v>
      </c>
      <c r="BB145" s="2339"/>
      <c r="BC145" s="2339">
        <v>111.6</v>
      </c>
      <c r="BD145" s="2339"/>
      <c r="BE145" s="2339">
        <v>0</v>
      </c>
      <c r="BF145" s="2339"/>
      <c r="BG145" s="2339"/>
      <c r="BH145" s="2339">
        <v>1</v>
      </c>
      <c r="BI145" s="2339"/>
      <c r="BJ145" s="2339"/>
      <c r="BK145" s="2339"/>
      <c r="BL145" s="2339"/>
      <c r="BM145" s="2339">
        <v>0</v>
      </c>
      <c r="BN145" s="2339">
        <v>0</v>
      </c>
      <c r="BO145" s="2339"/>
      <c r="BP145" s="2339"/>
      <c r="BQ145" s="2339"/>
      <c r="BR145" s="2339"/>
      <c r="BS145" s="2339">
        <v>1</v>
      </c>
      <c r="BT145" s="2339"/>
      <c r="BU145" s="2339">
        <v>1</v>
      </c>
      <c r="BV145" s="2339"/>
      <c r="BW145" s="2339"/>
      <c r="BX145" s="2339"/>
      <c r="BY145" s="2339"/>
      <c r="BZ145" s="2339"/>
      <c r="CA145" s="2339"/>
      <c r="CB145" s="2339"/>
      <c r="CC145" s="2339"/>
      <c r="CD145" s="2339"/>
      <c r="CE145" s="2339"/>
      <c r="CF145" s="2339"/>
      <c r="CG145" s="2339"/>
      <c r="CH145" s="2339"/>
      <c r="CI145" s="2339"/>
      <c r="CJ145" s="2339">
        <v>1</v>
      </c>
      <c r="CK145" s="2339">
        <v>0</v>
      </c>
      <c r="CL145" s="2339">
        <v>1</v>
      </c>
      <c r="CM145" s="2339">
        <v>0</v>
      </c>
      <c r="CN145" s="2339">
        <v>0</v>
      </c>
      <c r="CO145" s="2339"/>
      <c r="CP145" s="2339"/>
      <c r="CQ145" s="2339"/>
      <c r="CR145" s="2339"/>
      <c r="CS145" s="2339"/>
      <c r="CT145" s="2339"/>
      <c r="CU145" s="2339">
        <v>2</v>
      </c>
      <c r="CV145" s="2339"/>
      <c r="CW145" s="2339">
        <v>0</v>
      </c>
      <c r="CX145" s="2339" t="s">
        <v>5311</v>
      </c>
      <c r="DA145" s="1516">
        <v>1</v>
      </c>
      <c r="DC145" s="1516">
        <v>1</v>
      </c>
    </row>
    <row r="146" spans="2:107">
      <c r="B146" s="2339">
        <v>157</v>
      </c>
      <c r="C146" s="2339">
        <v>38</v>
      </c>
      <c r="D146" s="2339">
        <v>4975.5</v>
      </c>
      <c r="E146" s="2339"/>
      <c r="F146" s="2339"/>
      <c r="G146" s="2339"/>
      <c r="H146" s="2339"/>
      <c r="I146" s="2339"/>
      <c r="J146" s="2339" t="s">
        <v>504</v>
      </c>
      <c r="K146" s="2339" t="s">
        <v>504</v>
      </c>
      <c r="L146" s="2339">
        <v>1</v>
      </c>
      <c r="M146" s="2339"/>
      <c r="N146" s="2339"/>
      <c r="O146" s="2339"/>
      <c r="P146" s="2339"/>
      <c r="Q146" s="2339"/>
      <c r="R146" s="2339"/>
      <c r="S146" s="2339"/>
      <c r="T146" s="2339"/>
      <c r="U146" s="2339"/>
      <c r="V146" s="2339"/>
      <c r="W146" s="2339"/>
      <c r="X146" s="2339"/>
      <c r="Y146" s="2339"/>
      <c r="Z146" s="2339"/>
      <c r="AA146" s="2339"/>
      <c r="AB146" s="2339"/>
      <c r="AC146" s="2339"/>
      <c r="AD146" s="2339">
        <v>1</v>
      </c>
      <c r="AE146" s="2339"/>
      <c r="AF146" s="2339">
        <v>3</v>
      </c>
      <c r="AG146" s="2339"/>
      <c r="AH146" s="2339"/>
      <c r="AI146" s="2339"/>
      <c r="AJ146" s="2339"/>
      <c r="AK146" s="2339"/>
      <c r="AL146" s="2339">
        <v>1</v>
      </c>
      <c r="AM146" s="2339"/>
      <c r="AN146" s="2339"/>
      <c r="AO146" s="2339"/>
      <c r="AP146" s="2339"/>
      <c r="AQ146" s="2339"/>
      <c r="AR146" s="2339"/>
      <c r="AS146" s="2339"/>
      <c r="AT146" s="2339">
        <v>3</v>
      </c>
      <c r="AU146" s="2339"/>
      <c r="AV146" s="2339"/>
      <c r="AW146" s="2339"/>
      <c r="AX146" s="2339"/>
      <c r="AY146" s="2339"/>
      <c r="AZ146" s="2339"/>
      <c r="BA146" s="2339"/>
      <c r="BB146" s="2339"/>
      <c r="BC146" s="2339">
        <v>114</v>
      </c>
      <c r="BD146" s="2339"/>
      <c r="BE146" s="2339">
        <v>0</v>
      </c>
      <c r="BF146" s="2339"/>
      <c r="BG146" s="2339"/>
      <c r="BH146" s="2339"/>
      <c r="BI146" s="2339"/>
      <c r="BJ146" s="2339">
        <v>1</v>
      </c>
      <c r="BK146" s="2339"/>
      <c r="BL146" s="2339"/>
      <c r="BM146" s="2339">
        <v>0</v>
      </c>
      <c r="BN146" s="2339">
        <v>0</v>
      </c>
      <c r="BO146" s="2339"/>
      <c r="BP146" s="2339"/>
      <c r="BQ146" s="2339">
        <v>2</v>
      </c>
      <c r="BR146" s="2339">
        <v>1</v>
      </c>
      <c r="BS146" s="2339"/>
      <c r="BT146" s="2339"/>
      <c r="BU146" s="2339"/>
      <c r="BV146" s="2339"/>
      <c r="BW146" s="2339"/>
      <c r="BX146" s="2339"/>
      <c r="BY146" s="2339"/>
      <c r="BZ146" s="2339"/>
      <c r="CA146" s="2339"/>
      <c r="CB146" s="2339"/>
      <c r="CC146" s="2339"/>
      <c r="CD146" s="2339">
        <v>1</v>
      </c>
      <c r="CE146" s="2339"/>
      <c r="CF146" s="2339"/>
      <c r="CG146" s="2339"/>
      <c r="CH146" s="2339"/>
      <c r="CI146" s="2339"/>
      <c r="CJ146" s="2339"/>
      <c r="CK146" s="2339"/>
      <c r="CL146" s="2339">
        <v>0</v>
      </c>
      <c r="CM146" s="2339"/>
      <c r="CN146" s="2339"/>
      <c r="CO146" s="2339"/>
      <c r="CP146" s="2339"/>
      <c r="CQ146" s="2339"/>
      <c r="CR146" s="2339"/>
      <c r="CS146" s="2339"/>
      <c r="CT146" s="2339"/>
      <c r="CU146" s="2339"/>
      <c r="CV146" s="2339"/>
      <c r="CW146" s="2339">
        <v>0</v>
      </c>
      <c r="CX146" s="2339"/>
      <c r="DA146" s="1516">
        <v>1</v>
      </c>
      <c r="DC146" s="1516">
        <v>1</v>
      </c>
    </row>
    <row r="147" spans="2:107">
      <c r="B147" s="2339" t="s">
        <v>5285</v>
      </c>
      <c r="C147" s="2339">
        <v>41</v>
      </c>
      <c r="D147" s="2339">
        <v>5016.5</v>
      </c>
      <c r="E147" s="2339"/>
      <c r="F147" s="2339"/>
      <c r="G147" s="2339"/>
      <c r="H147" s="2339"/>
      <c r="I147" s="2339"/>
      <c r="J147" s="2339"/>
      <c r="K147" s="2339" t="s">
        <v>550</v>
      </c>
      <c r="L147" s="2339"/>
      <c r="M147" s="2339">
        <v>2</v>
      </c>
      <c r="N147" s="2339"/>
      <c r="O147" s="2339"/>
      <c r="P147" s="2339"/>
      <c r="Q147" s="2339">
        <v>1</v>
      </c>
      <c r="R147" s="2339"/>
      <c r="S147" s="2339"/>
      <c r="T147" s="2339"/>
      <c r="U147" s="2339"/>
      <c r="V147" s="2339"/>
      <c r="W147" s="2339"/>
      <c r="X147" s="2339"/>
      <c r="Y147" s="2339"/>
      <c r="Z147" s="2339"/>
      <c r="AA147" s="2339"/>
      <c r="AB147" s="2339"/>
      <c r="AC147" s="2339">
        <v>1</v>
      </c>
      <c r="AD147" s="2339"/>
      <c r="AE147" s="2339"/>
      <c r="AF147" s="2339">
        <v>6</v>
      </c>
      <c r="AG147" s="2339">
        <v>6</v>
      </c>
      <c r="AH147" s="2339"/>
      <c r="AI147" s="2339"/>
      <c r="AJ147" s="2339">
        <v>6</v>
      </c>
      <c r="AK147" s="2339">
        <v>2</v>
      </c>
      <c r="AL147" s="2339"/>
      <c r="AM147" s="2339"/>
      <c r="AN147" s="2339"/>
      <c r="AO147" s="2339"/>
      <c r="AP147" s="2339"/>
      <c r="AQ147" s="2339">
        <v>2</v>
      </c>
      <c r="AR147" s="2339">
        <v>6</v>
      </c>
      <c r="AS147" s="2339"/>
      <c r="AT147" s="2339">
        <v>6</v>
      </c>
      <c r="AU147" s="2339"/>
      <c r="AV147" s="2339"/>
      <c r="AW147" s="2339"/>
      <c r="AX147" s="2339">
        <v>2</v>
      </c>
      <c r="AY147" s="2339"/>
      <c r="AZ147" s="2339">
        <v>3</v>
      </c>
      <c r="BA147" s="2339">
        <v>4</v>
      </c>
      <c r="BB147" s="2339">
        <v>1.2</v>
      </c>
      <c r="BC147" s="2339">
        <v>123</v>
      </c>
      <c r="BD147" s="2339"/>
      <c r="BE147" s="2339">
        <v>0</v>
      </c>
      <c r="BF147" s="2339"/>
      <c r="BG147" s="2339"/>
      <c r="BH147" s="2339">
        <v>1</v>
      </c>
      <c r="BI147" s="2339"/>
      <c r="BJ147" s="2339"/>
      <c r="BK147" s="2339"/>
      <c r="BL147" s="2339"/>
      <c r="BM147" s="2339">
        <v>0</v>
      </c>
      <c r="BN147" s="2339">
        <v>0</v>
      </c>
      <c r="BO147" s="2339"/>
      <c r="BP147" s="2339"/>
      <c r="BQ147" s="2339"/>
      <c r="BR147" s="2339"/>
      <c r="BS147" s="2339">
        <v>1</v>
      </c>
      <c r="BT147" s="2339"/>
      <c r="BU147" s="2339">
        <v>1</v>
      </c>
      <c r="BV147" s="2339"/>
      <c r="BW147" s="2339"/>
      <c r="BX147" s="2339"/>
      <c r="BY147" s="2339"/>
      <c r="BZ147" s="2339"/>
      <c r="CA147" s="2339"/>
      <c r="CB147" s="2339"/>
      <c r="CC147" s="2339"/>
      <c r="CD147" s="2339"/>
      <c r="CE147" s="2339"/>
      <c r="CF147" s="2339"/>
      <c r="CG147" s="2339"/>
      <c r="CH147" s="2339"/>
      <c r="CI147" s="2339"/>
      <c r="CJ147" s="2339">
        <v>1</v>
      </c>
      <c r="CK147" s="2339">
        <v>0</v>
      </c>
      <c r="CL147" s="2339">
        <v>1</v>
      </c>
      <c r="CM147" s="2339">
        <v>0</v>
      </c>
      <c r="CN147" s="2339">
        <v>0</v>
      </c>
      <c r="CO147" s="2339"/>
      <c r="CP147" s="2339"/>
      <c r="CQ147" s="2339"/>
      <c r="CR147" s="2339"/>
      <c r="CS147" s="2339"/>
      <c r="CT147" s="2339"/>
      <c r="CU147" s="2339">
        <v>2</v>
      </c>
      <c r="CV147" s="2339"/>
      <c r="CW147" s="2339">
        <v>0</v>
      </c>
      <c r="CX147" s="2339"/>
      <c r="DA147" s="1516">
        <v>1</v>
      </c>
      <c r="DC147" s="1516">
        <v>1</v>
      </c>
    </row>
    <row r="148" spans="2:107">
      <c r="B148" s="2339">
        <v>158</v>
      </c>
      <c r="C148" s="2339">
        <v>40.200000000000003</v>
      </c>
      <c r="D148" s="2339">
        <v>5056.7</v>
      </c>
      <c r="E148" s="2339"/>
      <c r="F148" s="2339"/>
      <c r="G148" s="2339"/>
      <c r="H148" s="2339"/>
      <c r="I148" s="2339"/>
      <c r="J148" s="2339" t="s">
        <v>504</v>
      </c>
      <c r="K148" s="2339" t="s">
        <v>504</v>
      </c>
      <c r="L148" s="2339">
        <v>1</v>
      </c>
      <c r="M148" s="2339"/>
      <c r="N148" s="2339"/>
      <c r="O148" s="2339"/>
      <c r="P148" s="2339"/>
      <c r="Q148" s="2339"/>
      <c r="R148" s="2339"/>
      <c r="S148" s="2339"/>
      <c r="T148" s="2339"/>
      <c r="U148" s="2339"/>
      <c r="V148" s="2339"/>
      <c r="W148" s="2339"/>
      <c r="X148" s="2339"/>
      <c r="Y148" s="2339"/>
      <c r="Z148" s="2339"/>
      <c r="AA148" s="2339"/>
      <c r="AB148" s="2339"/>
      <c r="AC148" s="2339"/>
      <c r="AD148" s="2339">
        <v>1</v>
      </c>
      <c r="AE148" s="2339"/>
      <c r="AF148" s="2339">
        <v>3</v>
      </c>
      <c r="AG148" s="2339"/>
      <c r="AH148" s="2339"/>
      <c r="AI148" s="2339"/>
      <c r="AJ148" s="2339"/>
      <c r="AK148" s="2339"/>
      <c r="AL148" s="2339">
        <v>1</v>
      </c>
      <c r="AM148" s="2339"/>
      <c r="AN148" s="2339"/>
      <c r="AO148" s="2339"/>
      <c r="AP148" s="2339"/>
      <c r="AQ148" s="2339"/>
      <c r="AR148" s="2339"/>
      <c r="AS148" s="2339"/>
      <c r="AT148" s="2339">
        <v>3</v>
      </c>
      <c r="AU148" s="2339"/>
      <c r="AV148" s="2339"/>
      <c r="AW148" s="2339"/>
      <c r="AX148" s="2339"/>
      <c r="AY148" s="2339"/>
      <c r="AZ148" s="2339"/>
      <c r="BA148" s="2339"/>
      <c r="BB148" s="2339"/>
      <c r="BC148" s="2339">
        <v>120.6</v>
      </c>
      <c r="BD148" s="2339"/>
      <c r="BE148" s="2339">
        <v>0</v>
      </c>
      <c r="BF148" s="2339"/>
      <c r="BG148" s="2339"/>
      <c r="BH148" s="2339"/>
      <c r="BI148" s="2339"/>
      <c r="BJ148" s="2339">
        <v>1</v>
      </c>
      <c r="BK148" s="2339"/>
      <c r="BL148" s="2339"/>
      <c r="BM148" s="2339">
        <v>0</v>
      </c>
      <c r="BN148" s="2339">
        <v>0</v>
      </c>
      <c r="BO148" s="2339"/>
      <c r="BP148" s="2339"/>
      <c r="BQ148" s="2339">
        <v>2</v>
      </c>
      <c r="BR148" s="2339">
        <v>1</v>
      </c>
      <c r="BS148" s="2339"/>
      <c r="BT148" s="2339"/>
      <c r="BU148" s="2339"/>
      <c r="BV148" s="2339"/>
      <c r="BW148" s="2339"/>
      <c r="BX148" s="2339"/>
      <c r="BY148" s="2339"/>
      <c r="BZ148" s="2339"/>
      <c r="CA148" s="2339"/>
      <c r="CB148" s="2339"/>
      <c r="CC148" s="2339"/>
      <c r="CD148" s="2339">
        <v>1</v>
      </c>
      <c r="CE148" s="2339"/>
      <c r="CF148" s="2339"/>
      <c r="CG148" s="2339"/>
      <c r="CH148" s="2339"/>
      <c r="CI148" s="2339"/>
      <c r="CJ148" s="2339"/>
      <c r="CK148" s="2339"/>
      <c r="CL148" s="2339">
        <v>0</v>
      </c>
      <c r="CM148" s="2339"/>
      <c r="CN148" s="2339"/>
      <c r="CO148" s="2339"/>
      <c r="CP148" s="2339"/>
      <c r="CQ148" s="2339"/>
      <c r="CR148" s="2339"/>
      <c r="CS148" s="2339"/>
      <c r="CT148" s="2339"/>
      <c r="CU148" s="2339"/>
      <c r="CV148" s="2339"/>
      <c r="CW148" s="2339">
        <v>0</v>
      </c>
      <c r="CX148" s="2339"/>
      <c r="DA148" s="1516">
        <v>1</v>
      </c>
      <c r="DC148" s="1516">
        <v>1</v>
      </c>
    </row>
    <row r="149" spans="2:107">
      <c r="B149" s="2339" t="s">
        <v>5286</v>
      </c>
      <c r="C149" s="2339">
        <v>39</v>
      </c>
      <c r="D149" s="2339">
        <v>5095.7</v>
      </c>
      <c r="E149" s="2339"/>
      <c r="F149" s="2339"/>
      <c r="G149" s="2339"/>
      <c r="H149" s="2339"/>
      <c r="I149" s="2339"/>
      <c r="J149" s="2339"/>
      <c r="K149" s="2339" t="s">
        <v>504</v>
      </c>
      <c r="L149" s="2339"/>
      <c r="M149" s="2339">
        <v>1</v>
      </c>
      <c r="N149" s="2339"/>
      <c r="O149" s="2339"/>
      <c r="P149" s="2339">
        <v>1</v>
      </c>
      <c r="Q149" s="2339"/>
      <c r="R149" s="2339"/>
      <c r="S149" s="2339"/>
      <c r="T149" s="2339"/>
      <c r="U149" s="2339"/>
      <c r="V149" s="2339"/>
      <c r="W149" s="2339"/>
      <c r="X149" s="2339"/>
      <c r="Y149" s="2339">
        <v>1</v>
      </c>
      <c r="Z149" s="2339"/>
      <c r="AA149" s="2339"/>
      <c r="AB149" s="2339"/>
      <c r="AC149" s="2339"/>
      <c r="AD149" s="2339">
        <v>1</v>
      </c>
      <c r="AE149" s="2339"/>
      <c r="AF149" s="2339">
        <v>3</v>
      </c>
      <c r="AG149" s="2339"/>
      <c r="AH149" s="2339"/>
      <c r="AI149" s="2339"/>
      <c r="AJ149" s="2339"/>
      <c r="AK149" s="2339"/>
      <c r="AL149" s="2339">
        <v>1</v>
      </c>
      <c r="AM149" s="2339"/>
      <c r="AN149" s="2339"/>
      <c r="AO149" s="2339"/>
      <c r="AP149" s="2339"/>
      <c r="AQ149" s="2339"/>
      <c r="AR149" s="2339"/>
      <c r="AS149" s="2339"/>
      <c r="AT149" s="2339">
        <v>3</v>
      </c>
      <c r="AU149" s="2339"/>
      <c r="AV149" s="2339"/>
      <c r="AW149" s="2339"/>
      <c r="AX149" s="2339">
        <v>2</v>
      </c>
      <c r="AY149" s="2339"/>
      <c r="AZ149" s="2339">
        <v>5</v>
      </c>
      <c r="BA149" s="2339">
        <v>4</v>
      </c>
      <c r="BB149" s="2339"/>
      <c r="BC149" s="2339">
        <v>117</v>
      </c>
      <c r="BD149" s="2339"/>
      <c r="BE149" s="2339">
        <v>0</v>
      </c>
      <c r="BF149" s="2339"/>
      <c r="BG149" s="2339"/>
      <c r="BH149" s="2339">
        <v>1</v>
      </c>
      <c r="BI149" s="2339"/>
      <c r="BJ149" s="2339"/>
      <c r="BK149" s="2339"/>
      <c r="BL149" s="2339"/>
      <c r="BM149" s="2339">
        <v>0</v>
      </c>
      <c r="BN149" s="2339">
        <v>0</v>
      </c>
      <c r="BO149" s="2339"/>
      <c r="BP149" s="2339"/>
      <c r="BQ149" s="2339"/>
      <c r="BR149" s="2339"/>
      <c r="BS149" s="2339">
        <v>1</v>
      </c>
      <c r="BT149" s="2339"/>
      <c r="BU149" s="2339">
        <v>1</v>
      </c>
      <c r="BV149" s="2339"/>
      <c r="BW149" s="2339"/>
      <c r="BX149" s="2339"/>
      <c r="BY149" s="2339"/>
      <c r="BZ149" s="2339"/>
      <c r="CA149" s="2339"/>
      <c r="CB149" s="2339"/>
      <c r="CC149" s="2339"/>
      <c r="CD149" s="2339"/>
      <c r="CE149" s="2339"/>
      <c r="CF149" s="2339"/>
      <c r="CG149" s="2339"/>
      <c r="CH149" s="2339"/>
      <c r="CI149" s="2339"/>
      <c r="CJ149" s="2339">
        <v>1</v>
      </c>
      <c r="CK149" s="2339">
        <v>0</v>
      </c>
      <c r="CL149" s="2339">
        <v>1</v>
      </c>
      <c r="CM149" s="2339">
        <v>0</v>
      </c>
      <c r="CN149" s="2339">
        <v>0</v>
      </c>
      <c r="CO149" s="2339"/>
      <c r="CP149" s="2339"/>
      <c r="CQ149" s="2339"/>
      <c r="CR149" s="2339"/>
      <c r="CS149" s="2339"/>
      <c r="CT149" s="2339"/>
      <c r="CU149" s="2339">
        <v>2</v>
      </c>
      <c r="CV149" s="2339"/>
      <c r="CW149" s="2339">
        <v>0</v>
      </c>
      <c r="CX149" s="2339"/>
      <c r="DA149" s="1516">
        <v>1</v>
      </c>
      <c r="DC149" s="1516">
        <v>1</v>
      </c>
    </row>
    <row r="150" spans="2:107">
      <c r="B150" s="2339">
        <v>159</v>
      </c>
      <c r="C150" s="2339">
        <v>39.1</v>
      </c>
      <c r="D150" s="2339">
        <v>5134.8</v>
      </c>
      <c r="E150" s="2339"/>
      <c r="F150" s="2339"/>
      <c r="G150" s="2339"/>
      <c r="H150" s="2339"/>
      <c r="I150" s="2339"/>
      <c r="J150" s="2339" t="s">
        <v>504</v>
      </c>
      <c r="K150" s="2339" t="s">
        <v>504</v>
      </c>
      <c r="L150" s="2339">
        <v>1</v>
      </c>
      <c r="M150" s="2339"/>
      <c r="N150" s="2339"/>
      <c r="O150" s="2339"/>
      <c r="P150" s="2339"/>
      <c r="Q150" s="2339"/>
      <c r="R150" s="2339"/>
      <c r="S150" s="2339"/>
      <c r="T150" s="2339"/>
      <c r="U150" s="2339"/>
      <c r="V150" s="2339"/>
      <c r="W150" s="2339"/>
      <c r="X150" s="2339"/>
      <c r="Y150" s="2339"/>
      <c r="Z150" s="2339"/>
      <c r="AA150" s="2339"/>
      <c r="AB150" s="2339"/>
      <c r="AC150" s="2339"/>
      <c r="AD150" s="2339">
        <v>1</v>
      </c>
      <c r="AE150" s="2339"/>
      <c r="AF150" s="2339">
        <v>3</v>
      </c>
      <c r="AG150" s="2339"/>
      <c r="AH150" s="2339"/>
      <c r="AI150" s="2339"/>
      <c r="AJ150" s="2339"/>
      <c r="AK150" s="2339"/>
      <c r="AL150" s="2339">
        <v>1</v>
      </c>
      <c r="AM150" s="2339"/>
      <c r="AN150" s="2339"/>
      <c r="AO150" s="2339"/>
      <c r="AP150" s="2339"/>
      <c r="AQ150" s="2339"/>
      <c r="AR150" s="2339"/>
      <c r="AS150" s="2339"/>
      <c r="AT150" s="2339">
        <v>3</v>
      </c>
      <c r="AU150" s="2339"/>
      <c r="AV150" s="2339"/>
      <c r="AW150" s="2339"/>
      <c r="AX150" s="2339"/>
      <c r="AY150" s="2339"/>
      <c r="AZ150" s="2339"/>
      <c r="BA150" s="2339"/>
      <c r="BB150" s="2339"/>
      <c r="BC150" s="2339">
        <v>117.3</v>
      </c>
      <c r="BD150" s="2339"/>
      <c r="BE150" s="2339">
        <v>0</v>
      </c>
      <c r="BF150" s="2339"/>
      <c r="BG150" s="2339"/>
      <c r="BH150" s="2339"/>
      <c r="BI150" s="2339"/>
      <c r="BJ150" s="2339">
        <v>1</v>
      </c>
      <c r="BK150" s="2339"/>
      <c r="BL150" s="2339"/>
      <c r="BM150" s="2339">
        <v>0</v>
      </c>
      <c r="BN150" s="2339">
        <v>0</v>
      </c>
      <c r="BO150" s="2339"/>
      <c r="BP150" s="2339"/>
      <c r="BQ150" s="2339">
        <v>2</v>
      </c>
      <c r="BR150" s="2339">
        <v>1</v>
      </c>
      <c r="BS150" s="2339"/>
      <c r="BT150" s="2339"/>
      <c r="BU150" s="2339"/>
      <c r="BV150" s="2339"/>
      <c r="BW150" s="2339"/>
      <c r="BX150" s="2339"/>
      <c r="BY150" s="2339"/>
      <c r="BZ150" s="2339"/>
      <c r="CA150" s="2339"/>
      <c r="CB150" s="2339"/>
      <c r="CC150" s="2339"/>
      <c r="CD150" s="2339">
        <v>1</v>
      </c>
      <c r="CE150" s="2339"/>
      <c r="CF150" s="2339"/>
      <c r="CG150" s="2339"/>
      <c r="CH150" s="2339"/>
      <c r="CI150" s="2339"/>
      <c r="CJ150" s="2339"/>
      <c r="CK150" s="2339"/>
      <c r="CL150" s="2339">
        <v>0</v>
      </c>
      <c r="CM150" s="2339"/>
      <c r="CN150" s="2339"/>
      <c r="CO150" s="2339"/>
      <c r="CP150" s="2339"/>
      <c r="CQ150" s="2339"/>
      <c r="CR150" s="2339"/>
      <c r="CS150" s="2339"/>
      <c r="CT150" s="2339"/>
      <c r="CU150" s="2339"/>
      <c r="CV150" s="2339"/>
      <c r="CW150" s="2339">
        <v>0</v>
      </c>
      <c r="CX150" s="2339"/>
      <c r="DA150" s="1516">
        <v>1</v>
      </c>
      <c r="DC150" s="1516">
        <v>1</v>
      </c>
    </row>
    <row r="151" spans="2:107">
      <c r="B151" s="2339" t="s">
        <v>5287</v>
      </c>
      <c r="C151" s="2339">
        <v>42</v>
      </c>
      <c r="D151" s="2339">
        <v>5176.8</v>
      </c>
      <c r="E151" s="2339"/>
      <c r="F151" s="2339"/>
      <c r="G151" s="2339"/>
      <c r="H151" s="2339"/>
      <c r="I151" s="2339"/>
      <c r="J151" s="2339"/>
      <c r="K151" s="2339" t="s">
        <v>504</v>
      </c>
      <c r="L151" s="2339"/>
      <c r="M151" s="2339">
        <v>1</v>
      </c>
      <c r="N151" s="2339"/>
      <c r="O151" s="2339">
        <v>1</v>
      </c>
      <c r="P151" s="2339"/>
      <c r="Q151" s="2339"/>
      <c r="R151" s="2339"/>
      <c r="S151" s="2339"/>
      <c r="T151" s="2339"/>
      <c r="U151" s="2339"/>
      <c r="V151" s="2339"/>
      <c r="W151" s="2339"/>
      <c r="X151" s="2339"/>
      <c r="Y151" s="2339"/>
      <c r="Z151" s="2339"/>
      <c r="AA151" s="2339"/>
      <c r="AB151" s="2339"/>
      <c r="AC151" s="2339"/>
      <c r="AD151" s="2339">
        <v>1</v>
      </c>
      <c r="AE151" s="2339"/>
      <c r="AF151" s="2339">
        <v>3</v>
      </c>
      <c r="AG151" s="2339"/>
      <c r="AH151" s="2339"/>
      <c r="AI151" s="2339"/>
      <c r="AJ151" s="2339"/>
      <c r="AK151" s="2339"/>
      <c r="AL151" s="2339">
        <v>1</v>
      </c>
      <c r="AM151" s="2339"/>
      <c r="AN151" s="2339"/>
      <c r="AO151" s="2339"/>
      <c r="AP151" s="2339"/>
      <c r="AQ151" s="2339"/>
      <c r="AR151" s="2339"/>
      <c r="AS151" s="2339"/>
      <c r="AT151" s="2339">
        <v>3</v>
      </c>
      <c r="AU151" s="2339"/>
      <c r="AV151" s="2339"/>
      <c r="AW151" s="2339"/>
      <c r="AX151" s="2339">
        <v>2</v>
      </c>
      <c r="AY151" s="2339"/>
      <c r="AZ151" s="2339">
        <v>3</v>
      </c>
      <c r="BA151" s="2339">
        <v>4</v>
      </c>
      <c r="BB151" s="2339"/>
      <c r="BC151" s="2339">
        <v>126</v>
      </c>
      <c r="BD151" s="2339"/>
      <c r="BE151" s="2339">
        <v>0</v>
      </c>
      <c r="BF151" s="2339"/>
      <c r="BG151" s="2339"/>
      <c r="BH151" s="2339">
        <v>1</v>
      </c>
      <c r="BI151" s="2339"/>
      <c r="BJ151" s="2339"/>
      <c r="BK151" s="2339"/>
      <c r="BL151" s="2339"/>
      <c r="BM151" s="2339">
        <v>0</v>
      </c>
      <c r="BN151" s="2339">
        <v>0</v>
      </c>
      <c r="BO151" s="2339"/>
      <c r="BP151" s="2339"/>
      <c r="BQ151" s="2339"/>
      <c r="BR151" s="2339"/>
      <c r="BS151" s="2339">
        <v>1</v>
      </c>
      <c r="BT151" s="2339"/>
      <c r="BU151" s="2339">
        <v>1</v>
      </c>
      <c r="BV151" s="2339"/>
      <c r="BW151" s="2339"/>
      <c r="BX151" s="2339"/>
      <c r="BY151" s="2339"/>
      <c r="BZ151" s="2339"/>
      <c r="CA151" s="2339"/>
      <c r="CB151" s="2339"/>
      <c r="CC151" s="2339"/>
      <c r="CD151" s="2339"/>
      <c r="CE151" s="2339"/>
      <c r="CF151" s="2339"/>
      <c r="CG151" s="2339"/>
      <c r="CH151" s="2339"/>
      <c r="CI151" s="2339"/>
      <c r="CJ151" s="2339">
        <v>1</v>
      </c>
      <c r="CK151" s="2339">
        <v>0</v>
      </c>
      <c r="CL151" s="2339">
        <v>1</v>
      </c>
      <c r="CM151" s="2339">
        <v>0</v>
      </c>
      <c r="CN151" s="2339">
        <v>0</v>
      </c>
      <c r="CO151" s="2339"/>
      <c r="CP151" s="2339"/>
      <c r="CQ151" s="2339"/>
      <c r="CR151" s="2339"/>
      <c r="CS151" s="2339"/>
      <c r="CT151" s="2339"/>
      <c r="CU151" s="2339">
        <v>2</v>
      </c>
      <c r="CV151" s="2339"/>
      <c r="CW151" s="2339">
        <v>0</v>
      </c>
      <c r="CX151" s="2339"/>
      <c r="DA151" s="1516">
        <v>1</v>
      </c>
      <c r="DC151" s="1516">
        <v>1</v>
      </c>
    </row>
    <row r="152" spans="2:107">
      <c r="B152" s="2339">
        <v>160</v>
      </c>
      <c r="C152" s="2339">
        <v>42.3</v>
      </c>
      <c r="D152" s="2339">
        <v>5219.1000000000004</v>
      </c>
      <c r="E152" s="2339"/>
      <c r="F152" s="2339"/>
      <c r="G152" s="2339"/>
      <c r="H152" s="2339"/>
      <c r="I152" s="2339"/>
      <c r="J152" s="2339" t="s">
        <v>663</v>
      </c>
      <c r="K152" s="2339" t="s">
        <v>663</v>
      </c>
      <c r="L152" s="2339">
        <v>2</v>
      </c>
      <c r="M152" s="2339"/>
      <c r="N152" s="2339"/>
      <c r="O152" s="2339"/>
      <c r="P152" s="2339"/>
      <c r="Q152" s="2339"/>
      <c r="R152" s="2339"/>
      <c r="S152" s="2339"/>
      <c r="T152" s="2339"/>
      <c r="U152" s="2339"/>
      <c r="V152" s="2339"/>
      <c r="W152" s="2339"/>
      <c r="X152" s="2339"/>
      <c r="Y152" s="2339"/>
      <c r="Z152" s="2339"/>
      <c r="AA152" s="2339"/>
      <c r="AB152" s="2339"/>
      <c r="AC152" s="2339"/>
      <c r="AD152" s="2339">
        <v>1</v>
      </c>
      <c r="AE152" s="2339"/>
      <c r="AF152" s="2339">
        <v>3</v>
      </c>
      <c r="AG152" s="2339"/>
      <c r="AH152" s="2339"/>
      <c r="AI152" s="2339"/>
      <c r="AJ152" s="2339"/>
      <c r="AK152" s="2339"/>
      <c r="AL152" s="2339">
        <v>1</v>
      </c>
      <c r="AM152" s="2339">
        <v>1</v>
      </c>
      <c r="AN152" s="2339">
        <v>1</v>
      </c>
      <c r="AO152" s="2339"/>
      <c r="AP152" s="2339"/>
      <c r="AQ152" s="2339">
        <v>2</v>
      </c>
      <c r="AR152" s="2339"/>
      <c r="AS152" s="2339"/>
      <c r="AT152" s="2339">
        <v>3</v>
      </c>
      <c r="AU152" s="2339"/>
      <c r="AV152" s="2339"/>
      <c r="AW152" s="2339"/>
      <c r="AX152" s="2339"/>
      <c r="AY152" s="2339"/>
      <c r="AZ152" s="2339"/>
      <c r="BA152" s="2339"/>
      <c r="BB152" s="2339"/>
      <c r="BC152" s="2339">
        <v>126.9</v>
      </c>
      <c r="BD152" s="2339"/>
      <c r="BE152" s="2339">
        <v>0</v>
      </c>
      <c r="BF152" s="2339"/>
      <c r="BG152" s="2339"/>
      <c r="BH152" s="2339"/>
      <c r="BI152" s="2339"/>
      <c r="BJ152" s="2339">
        <v>1</v>
      </c>
      <c r="BK152" s="2339"/>
      <c r="BL152" s="2339"/>
      <c r="BM152" s="2339">
        <v>0</v>
      </c>
      <c r="BN152" s="2339">
        <v>0</v>
      </c>
      <c r="BO152" s="2339"/>
      <c r="BP152" s="2339"/>
      <c r="BQ152" s="2339">
        <v>2</v>
      </c>
      <c r="BR152" s="2339">
        <v>1</v>
      </c>
      <c r="BS152" s="2339"/>
      <c r="BT152" s="2339"/>
      <c r="BU152" s="2339"/>
      <c r="BV152" s="2339"/>
      <c r="BW152" s="2339"/>
      <c r="BX152" s="2339"/>
      <c r="BY152" s="2339"/>
      <c r="BZ152" s="2339"/>
      <c r="CA152" s="2339"/>
      <c r="CB152" s="2339"/>
      <c r="CC152" s="2339"/>
      <c r="CD152" s="2339">
        <v>1</v>
      </c>
      <c r="CE152" s="2339"/>
      <c r="CF152" s="2339"/>
      <c r="CG152" s="2339"/>
      <c r="CH152" s="2339"/>
      <c r="CI152" s="2339"/>
      <c r="CJ152" s="2339"/>
      <c r="CK152" s="2339"/>
      <c r="CL152" s="2339">
        <v>0</v>
      </c>
      <c r="CM152" s="2339"/>
      <c r="CN152" s="2339"/>
      <c r="CO152" s="2339"/>
      <c r="CP152" s="2339"/>
      <c r="CQ152" s="2339"/>
      <c r="CR152" s="2339"/>
      <c r="CS152" s="2339"/>
      <c r="CT152" s="2339"/>
      <c r="CU152" s="2339"/>
      <c r="CV152" s="2339"/>
      <c r="CW152" s="2339">
        <v>0</v>
      </c>
      <c r="CX152" s="2339" t="s">
        <v>5224</v>
      </c>
      <c r="DA152" s="1516">
        <v>1</v>
      </c>
      <c r="DC152" s="1516">
        <v>1</v>
      </c>
    </row>
    <row r="153" spans="2:107">
      <c r="B153" s="2339" t="s">
        <v>5288</v>
      </c>
      <c r="C153" s="2339">
        <v>38</v>
      </c>
      <c r="D153" s="2339">
        <v>5257.1</v>
      </c>
      <c r="E153" s="2339"/>
      <c r="F153" s="2339"/>
      <c r="G153" s="2339"/>
      <c r="H153" s="2339"/>
      <c r="I153" s="2339"/>
      <c r="J153" s="2339"/>
      <c r="K153" s="2339" t="s">
        <v>504</v>
      </c>
      <c r="L153" s="2339"/>
      <c r="M153" s="2339">
        <v>1</v>
      </c>
      <c r="N153" s="2339"/>
      <c r="O153" s="2339"/>
      <c r="P153" s="2339">
        <v>1</v>
      </c>
      <c r="Q153" s="2339"/>
      <c r="R153" s="2339"/>
      <c r="S153" s="2339"/>
      <c r="T153" s="2339"/>
      <c r="U153" s="2339"/>
      <c r="V153" s="2339"/>
      <c r="W153" s="2339"/>
      <c r="X153" s="2339"/>
      <c r="Y153" s="2339"/>
      <c r="Z153" s="2339"/>
      <c r="AA153" s="2339"/>
      <c r="AB153" s="2339"/>
      <c r="AC153" s="2339"/>
      <c r="AD153" s="2339">
        <v>1</v>
      </c>
      <c r="AE153" s="2339"/>
      <c r="AF153" s="2339">
        <v>3</v>
      </c>
      <c r="AG153" s="2339"/>
      <c r="AH153" s="2339"/>
      <c r="AI153" s="2339"/>
      <c r="AJ153" s="2339"/>
      <c r="AK153" s="2339"/>
      <c r="AL153" s="2339">
        <v>1</v>
      </c>
      <c r="AM153" s="2339"/>
      <c r="AN153" s="2339"/>
      <c r="AO153" s="2339"/>
      <c r="AP153" s="2339"/>
      <c r="AQ153" s="2339"/>
      <c r="AR153" s="2339"/>
      <c r="AS153" s="2339"/>
      <c r="AT153" s="2339">
        <v>3</v>
      </c>
      <c r="AU153" s="2339"/>
      <c r="AV153" s="2339"/>
      <c r="AW153" s="2339"/>
      <c r="AX153" s="2339">
        <v>2</v>
      </c>
      <c r="AY153" s="2339"/>
      <c r="AZ153" s="2339">
        <v>3</v>
      </c>
      <c r="BA153" s="2339">
        <v>4</v>
      </c>
      <c r="BB153" s="2339"/>
      <c r="BC153" s="2339">
        <v>114</v>
      </c>
      <c r="BD153" s="2339"/>
      <c r="BE153" s="2339">
        <v>0</v>
      </c>
      <c r="BF153" s="2339"/>
      <c r="BG153" s="2339"/>
      <c r="BH153" s="2339">
        <v>1</v>
      </c>
      <c r="BI153" s="2339"/>
      <c r="BJ153" s="2339"/>
      <c r="BK153" s="2339"/>
      <c r="BL153" s="2339"/>
      <c r="BM153" s="2339">
        <v>0</v>
      </c>
      <c r="BN153" s="2339">
        <v>0</v>
      </c>
      <c r="BO153" s="2339"/>
      <c r="BP153" s="2339"/>
      <c r="BQ153" s="2339"/>
      <c r="BR153" s="2339"/>
      <c r="BS153" s="2339">
        <v>1</v>
      </c>
      <c r="BT153" s="2339"/>
      <c r="BU153" s="2339">
        <v>1</v>
      </c>
      <c r="BV153" s="2339"/>
      <c r="BW153" s="2339"/>
      <c r="BX153" s="2339"/>
      <c r="BY153" s="2339"/>
      <c r="BZ153" s="2339"/>
      <c r="CA153" s="2339"/>
      <c r="CB153" s="2339"/>
      <c r="CC153" s="2339"/>
      <c r="CD153" s="2339"/>
      <c r="CE153" s="2339"/>
      <c r="CF153" s="2339"/>
      <c r="CG153" s="2339"/>
      <c r="CH153" s="2339"/>
      <c r="CI153" s="2339"/>
      <c r="CJ153" s="2339">
        <v>1</v>
      </c>
      <c r="CK153" s="2339">
        <v>0</v>
      </c>
      <c r="CL153" s="2339">
        <v>1</v>
      </c>
      <c r="CM153" s="2339">
        <v>0</v>
      </c>
      <c r="CN153" s="2339">
        <v>0</v>
      </c>
      <c r="CO153" s="2339"/>
      <c r="CP153" s="2339"/>
      <c r="CQ153" s="2339"/>
      <c r="CR153" s="2339"/>
      <c r="CS153" s="2339"/>
      <c r="CT153" s="2339"/>
      <c r="CU153" s="2339">
        <v>2</v>
      </c>
      <c r="CV153" s="2339"/>
      <c r="CW153" s="2339">
        <v>0</v>
      </c>
      <c r="CX153" s="2339"/>
      <c r="DA153" s="1516">
        <v>1</v>
      </c>
      <c r="DC153" s="1516">
        <v>1</v>
      </c>
    </row>
    <row r="154" spans="2:107">
      <c r="B154" s="2339">
        <v>161</v>
      </c>
      <c r="C154" s="2339">
        <v>37.9</v>
      </c>
      <c r="D154" s="2339">
        <v>5295</v>
      </c>
      <c r="E154" s="2339"/>
      <c r="F154" s="2339"/>
      <c r="G154" s="2339"/>
      <c r="H154" s="2339"/>
      <c r="I154" s="2339">
        <v>5</v>
      </c>
      <c r="J154" s="2339" t="s">
        <v>504</v>
      </c>
      <c r="K154" s="2339" t="s">
        <v>504</v>
      </c>
      <c r="L154" s="2339">
        <v>1</v>
      </c>
      <c r="M154" s="2339"/>
      <c r="N154" s="2339">
        <v>1</v>
      </c>
      <c r="O154" s="2339"/>
      <c r="P154" s="2339"/>
      <c r="Q154" s="2339"/>
      <c r="R154" s="2339">
        <v>1</v>
      </c>
      <c r="S154" s="2339"/>
      <c r="T154" s="2339"/>
      <c r="U154" s="2339"/>
      <c r="V154" s="2339"/>
      <c r="W154" s="2339"/>
      <c r="X154" s="2339"/>
      <c r="Y154" s="2339"/>
      <c r="Z154" s="2339"/>
      <c r="AA154" s="2339">
        <v>1</v>
      </c>
      <c r="AB154" s="2339"/>
      <c r="AC154" s="2339"/>
      <c r="AD154" s="2339">
        <v>1</v>
      </c>
      <c r="AE154" s="2339"/>
      <c r="AF154" s="2339">
        <v>3</v>
      </c>
      <c r="AG154" s="2339"/>
      <c r="AH154" s="2339"/>
      <c r="AI154" s="2339"/>
      <c r="AJ154" s="2339"/>
      <c r="AK154" s="2339"/>
      <c r="AL154" s="2339">
        <v>1</v>
      </c>
      <c r="AM154" s="2339">
        <v>1</v>
      </c>
      <c r="AN154" s="2339">
        <v>1</v>
      </c>
      <c r="AO154" s="2339"/>
      <c r="AP154" s="2339"/>
      <c r="AQ154" s="2339"/>
      <c r="AR154" s="2339"/>
      <c r="AS154" s="2339"/>
      <c r="AT154" s="2339">
        <v>3</v>
      </c>
      <c r="AU154" s="2339"/>
      <c r="AV154" s="2339"/>
      <c r="AW154" s="2339"/>
      <c r="AX154" s="2339"/>
      <c r="AY154" s="2339"/>
      <c r="AZ154" s="2339"/>
      <c r="BA154" s="2339"/>
      <c r="BB154" s="2339"/>
      <c r="BC154" s="2339">
        <v>113.7</v>
      </c>
      <c r="BD154" s="2339"/>
      <c r="BE154" s="2339">
        <v>0</v>
      </c>
      <c r="BF154" s="2339">
        <v>1</v>
      </c>
      <c r="BG154" s="2339"/>
      <c r="BH154" s="2339"/>
      <c r="BI154" s="2339">
        <v>1</v>
      </c>
      <c r="BJ154" s="2339">
        <v>1</v>
      </c>
      <c r="BK154" s="2339"/>
      <c r="BL154" s="2339"/>
      <c r="BM154" s="2339">
        <v>0</v>
      </c>
      <c r="BN154" s="2339">
        <v>0</v>
      </c>
      <c r="BO154" s="2339"/>
      <c r="BP154" s="2339"/>
      <c r="BQ154" s="2339">
        <v>2</v>
      </c>
      <c r="BR154" s="2339">
        <v>1</v>
      </c>
      <c r="BS154" s="2339"/>
      <c r="BT154" s="2339"/>
      <c r="BU154" s="2339"/>
      <c r="BV154" s="2339"/>
      <c r="BW154" s="2339"/>
      <c r="BX154" s="2339">
        <v>1</v>
      </c>
      <c r="BY154" s="2339">
        <v>1</v>
      </c>
      <c r="BZ154" s="2339"/>
      <c r="CA154" s="2339">
        <v>1</v>
      </c>
      <c r="CB154" s="2339"/>
      <c r="CC154" s="2339">
        <v>2</v>
      </c>
      <c r="CD154" s="2339">
        <v>1</v>
      </c>
      <c r="CE154" s="2339"/>
      <c r="CF154" s="2339"/>
      <c r="CG154" s="2339"/>
      <c r="CH154" s="2339"/>
      <c r="CI154" s="2339"/>
      <c r="CJ154" s="2339"/>
      <c r="CK154" s="2339"/>
      <c r="CL154" s="2339">
        <v>0</v>
      </c>
      <c r="CM154" s="2339"/>
      <c r="CN154" s="2339"/>
      <c r="CO154" s="2339">
        <v>1</v>
      </c>
      <c r="CP154" s="2339"/>
      <c r="CQ154" s="2339">
        <v>1</v>
      </c>
      <c r="CR154" s="2339"/>
      <c r="CS154" s="2339">
        <v>2</v>
      </c>
      <c r="CT154" s="2339"/>
      <c r="CU154" s="2339"/>
      <c r="CV154" s="2339"/>
      <c r="CW154" s="2339">
        <v>0</v>
      </c>
      <c r="CX154" s="2339" t="s">
        <v>5218</v>
      </c>
      <c r="DA154" s="1516">
        <v>1</v>
      </c>
      <c r="DC154" s="1516">
        <v>1</v>
      </c>
    </row>
    <row r="155" spans="2:107">
      <c r="B155" s="2339" t="s">
        <v>5289</v>
      </c>
      <c r="C155" s="2339">
        <v>30.4</v>
      </c>
      <c r="D155" s="2339">
        <v>5325.4</v>
      </c>
      <c r="E155" s="2339">
        <v>5</v>
      </c>
      <c r="F155" s="2339">
        <v>1</v>
      </c>
      <c r="G155" s="2339"/>
      <c r="H155" s="2339"/>
      <c r="I155" s="2339">
        <v>1</v>
      </c>
      <c r="J155" s="2339" t="s">
        <v>663</v>
      </c>
      <c r="K155" s="2339" t="s">
        <v>663</v>
      </c>
      <c r="L155" s="2339">
        <v>1</v>
      </c>
      <c r="M155" s="2339"/>
      <c r="N155" s="2339"/>
      <c r="O155" s="2339"/>
      <c r="P155" s="2339"/>
      <c r="Q155" s="2339"/>
      <c r="R155" s="2339"/>
      <c r="S155" s="2339"/>
      <c r="T155" s="2339"/>
      <c r="U155" s="2339"/>
      <c r="V155" s="2339"/>
      <c r="W155" s="2339"/>
      <c r="X155" s="2339"/>
      <c r="Y155" s="2339"/>
      <c r="Z155" s="2339"/>
      <c r="AA155" s="2339"/>
      <c r="AB155" s="2339"/>
      <c r="AC155" s="2339"/>
      <c r="AD155" s="2339">
        <v>1</v>
      </c>
      <c r="AE155" s="2339"/>
      <c r="AF155" s="2339">
        <v>3</v>
      </c>
      <c r="AG155" s="2339"/>
      <c r="AH155" s="2339"/>
      <c r="AI155" s="2339">
        <v>1</v>
      </c>
      <c r="AJ155" s="2339"/>
      <c r="AK155" s="2339"/>
      <c r="AL155" s="2339">
        <v>1</v>
      </c>
      <c r="AM155" s="2339">
        <v>1</v>
      </c>
      <c r="AN155" s="2339">
        <v>1</v>
      </c>
      <c r="AO155" s="2339">
        <v>2</v>
      </c>
      <c r="AP155" s="2339"/>
      <c r="AQ155" s="2339">
        <v>2</v>
      </c>
      <c r="AR155" s="2339"/>
      <c r="AS155" s="2339"/>
      <c r="AT155" s="2339">
        <v>3</v>
      </c>
      <c r="AU155" s="2339"/>
      <c r="AV155" s="2339"/>
      <c r="AW155" s="2339"/>
      <c r="AX155" s="2339"/>
      <c r="AY155" s="2339"/>
      <c r="AZ155" s="2339"/>
      <c r="BA155" s="2339"/>
      <c r="BB155" s="2339"/>
      <c r="BC155" s="2339">
        <v>91.2</v>
      </c>
      <c r="BD155" s="2339"/>
      <c r="BE155" s="2339">
        <v>5</v>
      </c>
      <c r="BF155" s="2339"/>
      <c r="BG155" s="2339"/>
      <c r="BH155" s="2339"/>
      <c r="BI155" s="2339"/>
      <c r="BJ155" s="2339">
        <v>1</v>
      </c>
      <c r="BK155" s="2339"/>
      <c r="BL155" s="2339"/>
      <c r="BM155" s="2339">
        <v>0</v>
      </c>
      <c r="BN155" s="2339">
        <v>0</v>
      </c>
      <c r="BO155" s="2339"/>
      <c r="BP155" s="2339"/>
      <c r="BQ155" s="2339">
        <v>2</v>
      </c>
      <c r="BR155" s="2339">
        <v>1</v>
      </c>
      <c r="BS155" s="2339"/>
      <c r="BT155" s="2339"/>
      <c r="BU155" s="2339"/>
      <c r="BV155" s="2339"/>
      <c r="BW155" s="2339"/>
      <c r="BX155" s="2339"/>
      <c r="BY155" s="2339"/>
      <c r="BZ155" s="2339"/>
      <c r="CA155" s="2339"/>
      <c r="CB155" s="2339"/>
      <c r="CC155" s="2339"/>
      <c r="CD155" s="2339">
        <v>1</v>
      </c>
      <c r="CE155" s="2339"/>
      <c r="CF155" s="2339"/>
      <c r="CG155" s="2339"/>
      <c r="CH155" s="2339"/>
      <c r="CI155" s="2339"/>
      <c r="CJ155" s="2339"/>
      <c r="CK155" s="2339"/>
      <c r="CL155" s="2339">
        <v>0</v>
      </c>
      <c r="CM155" s="2339"/>
      <c r="CN155" s="2339"/>
      <c r="CO155" s="2339"/>
      <c r="CP155" s="2339"/>
      <c r="CQ155" s="2339"/>
      <c r="CR155" s="2339"/>
      <c r="CS155" s="2339"/>
      <c r="CT155" s="2339"/>
      <c r="CU155" s="2339"/>
      <c r="CV155" s="2339"/>
      <c r="CW155" s="2339">
        <v>1</v>
      </c>
      <c r="CX155" s="2339" t="s">
        <v>5224</v>
      </c>
      <c r="DA155" s="1516">
        <v>1</v>
      </c>
      <c r="DC155" s="1516">
        <v>1</v>
      </c>
    </row>
    <row r="156" spans="2:107">
      <c r="B156" s="2339">
        <v>162</v>
      </c>
      <c r="C156" s="2339">
        <v>42.3</v>
      </c>
      <c r="D156" s="2339">
        <v>5367.7</v>
      </c>
      <c r="E156" s="2339"/>
      <c r="F156" s="2339"/>
      <c r="G156" s="2339"/>
      <c r="H156" s="2339"/>
      <c r="I156" s="2339"/>
      <c r="J156" s="2339" t="s">
        <v>504</v>
      </c>
      <c r="K156" s="2339" t="s">
        <v>504</v>
      </c>
      <c r="L156" s="2339">
        <v>1</v>
      </c>
      <c r="M156" s="2339"/>
      <c r="N156" s="2339"/>
      <c r="O156" s="2339"/>
      <c r="P156" s="2339"/>
      <c r="Q156" s="2339"/>
      <c r="R156" s="2339"/>
      <c r="S156" s="2339"/>
      <c r="T156" s="2339"/>
      <c r="U156" s="2339"/>
      <c r="V156" s="2339"/>
      <c r="W156" s="2339"/>
      <c r="X156" s="2339"/>
      <c r="Y156" s="2339"/>
      <c r="Z156" s="2339"/>
      <c r="AA156" s="2339"/>
      <c r="AB156" s="2339"/>
      <c r="AC156" s="2339"/>
      <c r="AD156" s="2339">
        <v>1</v>
      </c>
      <c r="AE156" s="2339"/>
      <c r="AF156" s="2339">
        <v>3</v>
      </c>
      <c r="AG156" s="2339"/>
      <c r="AH156" s="2339"/>
      <c r="AI156" s="2339"/>
      <c r="AJ156" s="2339"/>
      <c r="AK156" s="2339"/>
      <c r="AL156" s="2339">
        <v>1</v>
      </c>
      <c r="AM156" s="2339"/>
      <c r="AN156" s="2339"/>
      <c r="AO156" s="2339"/>
      <c r="AP156" s="2339"/>
      <c r="AQ156" s="2339"/>
      <c r="AR156" s="2339"/>
      <c r="AS156" s="2339"/>
      <c r="AT156" s="2339">
        <v>3</v>
      </c>
      <c r="AU156" s="2339"/>
      <c r="AV156" s="2339"/>
      <c r="AW156" s="2339"/>
      <c r="AX156" s="2339"/>
      <c r="AY156" s="2339"/>
      <c r="AZ156" s="2339"/>
      <c r="BA156" s="2339"/>
      <c r="BB156" s="2339"/>
      <c r="BC156" s="2339">
        <v>126.9</v>
      </c>
      <c r="BD156" s="2339"/>
      <c r="BE156" s="2339">
        <v>0</v>
      </c>
      <c r="BF156" s="2339"/>
      <c r="BG156" s="2339"/>
      <c r="BH156" s="2339"/>
      <c r="BI156" s="2339"/>
      <c r="BJ156" s="2339">
        <v>1</v>
      </c>
      <c r="BK156" s="2339"/>
      <c r="BL156" s="2339"/>
      <c r="BM156" s="2339">
        <v>0</v>
      </c>
      <c r="BN156" s="2339">
        <v>0</v>
      </c>
      <c r="BO156" s="2339"/>
      <c r="BP156" s="2339"/>
      <c r="BQ156" s="2339">
        <v>2</v>
      </c>
      <c r="BR156" s="2339">
        <v>1</v>
      </c>
      <c r="BS156" s="2339"/>
      <c r="BT156" s="2339"/>
      <c r="BU156" s="2339"/>
      <c r="BV156" s="2339"/>
      <c r="BW156" s="2339"/>
      <c r="BX156" s="2339"/>
      <c r="BY156" s="2339"/>
      <c r="BZ156" s="2339"/>
      <c r="CA156" s="2339"/>
      <c r="CB156" s="2339"/>
      <c r="CC156" s="2339"/>
      <c r="CD156" s="2339">
        <v>1</v>
      </c>
      <c r="CE156" s="2339"/>
      <c r="CF156" s="2339"/>
      <c r="CG156" s="2339"/>
      <c r="CH156" s="2339"/>
      <c r="CI156" s="2339"/>
      <c r="CJ156" s="2339"/>
      <c r="CK156" s="2339"/>
      <c r="CL156" s="2339">
        <v>0</v>
      </c>
      <c r="CM156" s="2339"/>
      <c r="CN156" s="2339"/>
      <c r="CO156" s="2339"/>
      <c r="CP156" s="2339"/>
      <c r="CQ156" s="2339"/>
      <c r="CR156" s="2339"/>
      <c r="CS156" s="2339"/>
      <c r="CT156" s="2339"/>
      <c r="CU156" s="2339"/>
      <c r="CV156" s="2339"/>
      <c r="CW156" s="2339">
        <v>0</v>
      </c>
      <c r="CX156" s="2339"/>
      <c r="DA156" s="1516">
        <v>1</v>
      </c>
      <c r="DC156" s="1516">
        <v>1</v>
      </c>
    </row>
    <row r="157" spans="2:107">
      <c r="B157" s="2339" t="s">
        <v>5290</v>
      </c>
      <c r="C157" s="2339">
        <v>39.1</v>
      </c>
      <c r="D157" s="2339">
        <v>5406.8</v>
      </c>
      <c r="E157" s="2339"/>
      <c r="F157" s="2339"/>
      <c r="G157" s="2339"/>
      <c r="H157" s="2339"/>
      <c r="I157" s="2339"/>
      <c r="J157" s="2339"/>
      <c r="K157" s="2339" t="s">
        <v>504</v>
      </c>
      <c r="L157" s="2339"/>
      <c r="M157" s="2339">
        <v>1</v>
      </c>
      <c r="N157" s="2339"/>
      <c r="O157" s="2339">
        <v>1</v>
      </c>
      <c r="P157" s="2339"/>
      <c r="Q157" s="2339"/>
      <c r="R157" s="2339"/>
      <c r="S157" s="2339"/>
      <c r="T157" s="2339"/>
      <c r="U157" s="2339"/>
      <c r="V157" s="2339"/>
      <c r="W157" s="2339"/>
      <c r="X157" s="2339"/>
      <c r="Y157" s="2339">
        <v>1</v>
      </c>
      <c r="Z157" s="2339"/>
      <c r="AA157" s="2339"/>
      <c r="AB157" s="2339"/>
      <c r="AC157" s="2339"/>
      <c r="AD157" s="2339">
        <v>1</v>
      </c>
      <c r="AE157" s="2339"/>
      <c r="AF157" s="2339">
        <v>3</v>
      </c>
      <c r="AG157" s="2339"/>
      <c r="AH157" s="2339"/>
      <c r="AI157" s="2339"/>
      <c r="AJ157" s="2339"/>
      <c r="AK157" s="2339"/>
      <c r="AL157" s="2339">
        <v>1</v>
      </c>
      <c r="AM157" s="2339"/>
      <c r="AN157" s="2339"/>
      <c r="AO157" s="2339"/>
      <c r="AP157" s="2339"/>
      <c r="AQ157" s="2339"/>
      <c r="AR157" s="2339"/>
      <c r="AS157" s="2339"/>
      <c r="AT157" s="2339">
        <v>3</v>
      </c>
      <c r="AU157" s="2339"/>
      <c r="AV157" s="2339"/>
      <c r="AW157" s="2339"/>
      <c r="AX157" s="2339">
        <v>2</v>
      </c>
      <c r="AY157" s="2339"/>
      <c r="AZ157" s="2339">
        <v>3</v>
      </c>
      <c r="BA157" s="2339">
        <v>4</v>
      </c>
      <c r="BB157" s="2339"/>
      <c r="BC157" s="2339">
        <v>117.3</v>
      </c>
      <c r="BD157" s="2339"/>
      <c r="BE157" s="2339">
        <v>0</v>
      </c>
      <c r="BF157" s="2339"/>
      <c r="BG157" s="2339"/>
      <c r="BH157" s="2339">
        <v>1</v>
      </c>
      <c r="BI157" s="2339"/>
      <c r="BJ157" s="2339"/>
      <c r="BK157" s="2339"/>
      <c r="BL157" s="2339"/>
      <c r="BM157" s="2339">
        <v>0</v>
      </c>
      <c r="BN157" s="2339">
        <v>0</v>
      </c>
      <c r="BO157" s="2339"/>
      <c r="BP157" s="2339"/>
      <c r="BQ157" s="2339"/>
      <c r="BR157" s="2339"/>
      <c r="BS157" s="2339">
        <v>1</v>
      </c>
      <c r="BT157" s="2339"/>
      <c r="BU157" s="2339">
        <v>1</v>
      </c>
      <c r="BV157" s="2339"/>
      <c r="BW157" s="2339"/>
      <c r="BX157" s="2339"/>
      <c r="BY157" s="2339"/>
      <c r="BZ157" s="2339"/>
      <c r="CA157" s="2339"/>
      <c r="CB157" s="2339"/>
      <c r="CC157" s="2339"/>
      <c r="CD157" s="2339"/>
      <c r="CE157" s="2339"/>
      <c r="CF157" s="2339"/>
      <c r="CG157" s="2339"/>
      <c r="CH157" s="2339"/>
      <c r="CI157" s="2339"/>
      <c r="CJ157" s="2339">
        <v>1</v>
      </c>
      <c r="CK157" s="2339">
        <v>0</v>
      </c>
      <c r="CL157" s="2339">
        <v>1</v>
      </c>
      <c r="CM157" s="2339">
        <v>0</v>
      </c>
      <c r="CN157" s="2339">
        <v>0</v>
      </c>
      <c r="CO157" s="2339"/>
      <c r="CP157" s="2339"/>
      <c r="CQ157" s="2339"/>
      <c r="CR157" s="2339"/>
      <c r="CS157" s="2339"/>
      <c r="CT157" s="2339"/>
      <c r="CU157" s="2339">
        <v>2</v>
      </c>
      <c r="CV157" s="2339"/>
      <c r="CW157" s="2339">
        <v>0</v>
      </c>
      <c r="CX157" s="2339"/>
      <c r="DA157" s="1516">
        <v>1</v>
      </c>
      <c r="DC157" s="1516">
        <v>1</v>
      </c>
    </row>
    <row r="158" spans="2:107">
      <c r="B158" s="2339">
        <v>163</v>
      </c>
      <c r="C158" s="2339">
        <v>39</v>
      </c>
      <c r="D158" s="2339">
        <v>5445.8</v>
      </c>
      <c r="E158" s="2339"/>
      <c r="F158" s="2339"/>
      <c r="G158" s="2339"/>
      <c r="H158" s="2339"/>
      <c r="I158" s="2339"/>
      <c r="J158" s="2339" t="s">
        <v>504</v>
      </c>
      <c r="K158" s="2339" t="s">
        <v>504</v>
      </c>
      <c r="L158" s="2339">
        <v>1</v>
      </c>
      <c r="M158" s="2339"/>
      <c r="N158" s="2339"/>
      <c r="O158" s="2339"/>
      <c r="P158" s="2339"/>
      <c r="Q158" s="2339"/>
      <c r="R158" s="2339"/>
      <c r="S158" s="2339"/>
      <c r="T158" s="2339"/>
      <c r="U158" s="2339"/>
      <c r="V158" s="2339"/>
      <c r="W158" s="2339"/>
      <c r="X158" s="2339"/>
      <c r="Y158" s="2339"/>
      <c r="Z158" s="2339"/>
      <c r="AA158" s="2339"/>
      <c r="AB158" s="2339"/>
      <c r="AC158" s="2339"/>
      <c r="AD158" s="2339">
        <v>1</v>
      </c>
      <c r="AE158" s="2339"/>
      <c r="AF158" s="2339">
        <v>3</v>
      </c>
      <c r="AG158" s="2339"/>
      <c r="AH158" s="2339"/>
      <c r="AI158" s="2339"/>
      <c r="AJ158" s="2339"/>
      <c r="AK158" s="2339"/>
      <c r="AL158" s="2339">
        <v>1</v>
      </c>
      <c r="AM158" s="2339"/>
      <c r="AN158" s="2339"/>
      <c r="AO158" s="2339"/>
      <c r="AP158" s="2339"/>
      <c r="AQ158" s="2339"/>
      <c r="AR158" s="2339"/>
      <c r="AS158" s="2339"/>
      <c r="AT158" s="2339">
        <v>3</v>
      </c>
      <c r="AU158" s="2339"/>
      <c r="AV158" s="2339"/>
      <c r="AW158" s="2339"/>
      <c r="AX158" s="2339"/>
      <c r="AY158" s="2339"/>
      <c r="AZ158" s="2339"/>
      <c r="BA158" s="2339"/>
      <c r="BB158" s="2339"/>
      <c r="BC158" s="2339">
        <v>117</v>
      </c>
      <c r="BD158" s="2339"/>
      <c r="BE158" s="2339">
        <v>0</v>
      </c>
      <c r="BF158" s="2339"/>
      <c r="BG158" s="2339"/>
      <c r="BH158" s="2339"/>
      <c r="BI158" s="2339"/>
      <c r="BJ158" s="2339">
        <v>1</v>
      </c>
      <c r="BK158" s="2339"/>
      <c r="BL158" s="2339"/>
      <c r="BM158" s="2339">
        <v>0</v>
      </c>
      <c r="BN158" s="2339">
        <v>0</v>
      </c>
      <c r="BO158" s="2339"/>
      <c r="BP158" s="2339"/>
      <c r="BQ158" s="2339">
        <v>2</v>
      </c>
      <c r="BR158" s="2339">
        <v>1</v>
      </c>
      <c r="BS158" s="2339"/>
      <c r="BT158" s="2339"/>
      <c r="BU158" s="2339"/>
      <c r="BV158" s="2339"/>
      <c r="BW158" s="2339"/>
      <c r="BX158" s="2339"/>
      <c r="BY158" s="2339"/>
      <c r="BZ158" s="2339"/>
      <c r="CA158" s="2339"/>
      <c r="CB158" s="2339"/>
      <c r="CC158" s="2339"/>
      <c r="CD158" s="2339">
        <v>1</v>
      </c>
      <c r="CE158" s="2339"/>
      <c r="CF158" s="2339"/>
      <c r="CG158" s="2339"/>
      <c r="CH158" s="2339"/>
      <c r="CI158" s="2339"/>
      <c r="CJ158" s="2339"/>
      <c r="CK158" s="2339"/>
      <c r="CL158" s="2339">
        <v>0</v>
      </c>
      <c r="CM158" s="2339"/>
      <c r="CN158" s="2339"/>
      <c r="CO158" s="2339"/>
      <c r="CP158" s="2339"/>
      <c r="CQ158" s="2339"/>
      <c r="CR158" s="2339"/>
      <c r="CS158" s="2339"/>
      <c r="CT158" s="2339"/>
      <c r="CU158" s="2339"/>
      <c r="CV158" s="2339"/>
      <c r="CW158" s="2339">
        <v>0</v>
      </c>
      <c r="CX158" s="2339"/>
      <c r="DA158" s="1516">
        <v>1</v>
      </c>
      <c r="DC158" s="1516">
        <v>1</v>
      </c>
    </row>
    <row r="159" spans="2:107">
      <c r="B159" s="2339" t="s">
        <v>5291</v>
      </c>
      <c r="C159" s="2339">
        <v>40</v>
      </c>
      <c r="D159" s="2339">
        <v>5485.8</v>
      </c>
      <c r="E159" s="2339"/>
      <c r="F159" s="2339"/>
      <c r="G159" s="2339"/>
      <c r="H159" s="2339"/>
      <c r="I159" s="2339"/>
      <c r="J159" s="2339"/>
      <c r="K159" s="2339" t="s">
        <v>504</v>
      </c>
      <c r="L159" s="2339"/>
      <c r="M159" s="2339">
        <v>1</v>
      </c>
      <c r="N159" s="2339"/>
      <c r="O159" s="2339">
        <v>1</v>
      </c>
      <c r="P159" s="2339"/>
      <c r="Q159" s="2339"/>
      <c r="R159" s="2339"/>
      <c r="S159" s="2339"/>
      <c r="T159" s="2339"/>
      <c r="U159" s="2339"/>
      <c r="V159" s="2339"/>
      <c r="W159" s="2339"/>
      <c r="X159" s="2339"/>
      <c r="Y159" s="2339"/>
      <c r="Z159" s="2339"/>
      <c r="AA159" s="2339"/>
      <c r="AB159" s="2339"/>
      <c r="AC159" s="2339"/>
      <c r="AD159" s="2339">
        <v>1</v>
      </c>
      <c r="AE159" s="2339"/>
      <c r="AF159" s="2339">
        <v>3</v>
      </c>
      <c r="AG159" s="2339"/>
      <c r="AH159" s="2339"/>
      <c r="AI159" s="2339"/>
      <c r="AJ159" s="2339"/>
      <c r="AK159" s="2339"/>
      <c r="AL159" s="2339">
        <v>1</v>
      </c>
      <c r="AM159" s="2339"/>
      <c r="AN159" s="2339"/>
      <c r="AO159" s="2339"/>
      <c r="AP159" s="2339"/>
      <c r="AQ159" s="2339"/>
      <c r="AR159" s="2339"/>
      <c r="AS159" s="2339"/>
      <c r="AT159" s="2339">
        <v>3</v>
      </c>
      <c r="AU159" s="2339"/>
      <c r="AV159" s="2339"/>
      <c r="AW159" s="2339"/>
      <c r="AX159" s="2339">
        <v>2</v>
      </c>
      <c r="AY159" s="2339"/>
      <c r="AZ159" s="2339">
        <v>6</v>
      </c>
      <c r="BA159" s="2339">
        <v>4</v>
      </c>
      <c r="BB159" s="2339"/>
      <c r="BC159" s="2339">
        <v>120</v>
      </c>
      <c r="BD159" s="2339"/>
      <c r="BE159" s="2339">
        <v>0</v>
      </c>
      <c r="BF159" s="2339"/>
      <c r="BG159" s="2339"/>
      <c r="BH159" s="2339">
        <v>1</v>
      </c>
      <c r="BI159" s="2339"/>
      <c r="BJ159" s="2339"/>
      <c r="BK159" s="2339"/>
      <c r="BL159" s="2339"/>
      <c r="BM159" s="2339">
        <v>0</v>
      </c>
      <c r="BN159" s="2339">
        <v>0</v>
      </c>
      <c r="BO159" s="2339"/>
      <c r="BP159" s="2339"/>
      <c r="BQ159" s="2339"/>
      <c r="BR159" s="2339"/>
      <c r="BS159" s="2339">
        <v>1</v>
      </c>
      <c r="BT159" s="2339"/>
      <c r="BU159" s="2339">
        <v>1</v>
      </c>
      <c r="BV159" s="2339"/>
      <c r="BW159" s="2339"/>
      <c r="BX159" s="2339"/>
      <c r="BY159" s="2339"/>
      <c r="BZ159" s="2339"/>
      <c r="CA159" s="2339"/>
      <c r="CB159" s="2339"/>
      <c r="CC159" s="2339"/>
      <c r="CD159" s="2339"/>
      <c r="CE159" s="2339"/>
      <c r="CF159" s="2339"/>
      <c r="CG159" s="2339"/>
      <c r="CH159" s="2339"/>
      <c r="CI159" s="2339"/>
      <c r="CJ159" s="2339">
        <v>1</v>
      </c>
      <c r="CK159" s="2339">
        <v>0</v>
      </c>
      <c r="CL159" s="2339">
        <v>1</v>
      </c>
      <c r="CM159" s="2339">
        <v>0</v>
      </c>
      <c r="CN159" s="2339">
        <v>0</v>
      </c>
      <c r="CO159" s="2339"/>
      <c r="CP159" s="2339"/>
      <c r="CQ159" s="2339"/>
      <c r="CR159" s="2339"/>
      <c r="CS159" s="2339"/>
      <c r="CT159" s="2339"/>
      <c r="CU159" s="2339">
        <v>2</v>
      </c>
      <c r="CV159" s="2339"/>
      <c r="CW159" s="2339">
        <v>0</v>
      </c>
      <c r="CX159" s="2339"/>
      <c r="DA159" s="1516">
        <v>1</v>
      </c>
      <c r="DC159" s="1516">
        <v>1</v>
      </c>
    </row>
    <row r="160" spans="2:107">
      <c r="B160" s="2339">
        <v>164</v>
      </c>
      <c r="C160" s="2339">
        <v>40.1</v>
      </c>
      <c r="D160" s="2339">
        <v>5525.9</v>
      </c>
      <c r="E160" s="2339"/>
      <c r="F160" s="2339"/>
      <c r="G160" s="2339"/>
      <c r="H160" s="2339"/>
      <c r="I160" s="2339">
        <v>5</v>
      </c>
      <c r="J160" s="2339" t="s">
        <v>504</v>
      </c>
      <c r="K160" s="2339" t="s">
        <v>504</v>
      </c>
      <c r="L160" s="2339">
        <v>1</v>
      </c>
      <c r="M160" s="2339"/>
      <c r="N160" s="2339">
        <v>1</v>
      </c>
      <c r="O160" s="2339"/>
      <c r="P160" s="2339"/>
      <c r="Q160" s="2339"/>
      <c r="R160" s="2339">
        <v>1</v>
      </c>
      <c r="S160" s="2339"/>
      <c r="T160" s="2339"/>
      <c r="U160" s="2339"/>
      <c r="V160" s="2339"/>
      <c r="W160" s="2339"/>
      <c r="X160" s="2339"/>
      <c r="Y160" s="2339"/>
      <c r="Z160" s="2339"/>
      <c r="AA160" s="2339">
        <v>1</v>
      </c>
      <c r="AB160" s="2339"/>
      <c r="AC160" s="2339"/>
      <c r="AD160" s="2339">
        <v>1</v>
      </c>
      <c r="AE160" s="2339"/>
      <c r="AF160" s="2339">
        <v>3</v>
      </c>
      <c r="AG160" s="2339"/>
      <c r="AH160" s="2339"/>
      <c r="AI160" s="2339"/>
      <c r="AJ160" s="2339"/>
      <c r="AK160" s="2339"/>
      <c r="AL160" s="2339">
        <v>1</v>
      </c>
      <c r="AM160" s="2339">
        <v>1</v>
      </c>
      <c r="AN160" s="2339">
        <v>1</v>
      </c>
      <c r="AO160" s="2339"/>
      <c r="AP160" s="2339"/>
      <c r="AQ160" s="2339">
        <v>2</v>
      </c>
      <c r="AR160" s="2339"/>
      <c r="AS160" s="2339"/>
      <c r="AT160" s="2339">
        <v>3</v>
      </c>
      <c r="AU160" s="2339"/>
      <c r="AV160" s="2339"/>
      <c r="AW160" s="2339"/>
      <c r="AX160" s="2339"/>
      <c r="AY160" s="2339"/>
      <c r="AZ160" s="2339"/>
      <c r="BA160" s="2339"/>
      <c r="BB160" s="2339"/>
      <c r="BC160" s="2339">
        <v>120.3</v>
      </c>
      <c r="BD160" s="2339"/>
      <c r="BE160" s="2339">
        <v>0</v>
      </c>
      <c r="BF160" s="2339">
        <v>1</v>
      </c>
      <c r="BG160" s="2339"/>
      <c r="BH160" s="2339"/>
      <c r="BI160" s="2339">
        <v>1</v>
      </c>
      <c r="BJ160" s="2339">
        <v>1</v>
      </c>
      <c r="BK160" s="2339"/>
      <c r="BL160" s="2339"/>
      <c r="BM160" s="2339">
        <v>0</v>
      </c>
      <c r="BN160" s="2339">
        <v>0</v>
      </c>
      <c r="BO160" s="2339"/>
      <c r="BP160" s="2339"/>
      <c r="BQ160" s="2339">
        <v>2</v>
      </c>
      <c r="BR160" s="2339">
        <v>1</v>
      </c>
      <c r="BS160" s="2339"/>
      <c r="BT160" s="2339"/>
      <c r="BU160" s="2339"/>
      <c r="BV160" s="2339"/>
      <c r="BW160" s="2339"/>
      <c r="BX160" s="2339"/>
      <c r="BY160" s="2339">
        <v>1</v>
      </c>
      <c r="BZ160" s="2339"/>
      <c r="CA160" s="2339">
        <v>1</v>
      </c>
      <c r="CB160" s="2339"/>
      <c r="CC160" s="2339">
        <v>1</v>
      </c>
      <c r="CD160" s="2339">
        <v>1</v>
      </c>
      <c r="CE160" s="2339"/>
      <c r="CF160" s="2339"/>
      <c r="CG160" s="2339">
        <v>1</v>
      </c>
      <c r="CH160" s="2339"/>
      <c r="CI160" s="2339"/>
      <c r="CJ160" s="2339"/>
      <c r="CK160" s="2339"/>
      <c r="CL160" s="2339">
        <v>0</v>
      </c>
      <c r="CM160" s="2339"/>
      <c r="CN160" s="2339"/>
      <c r="CO160" s="2339">
        <v>1</v>
      </c>
      <c r="CP160" s="2339"/>
      <c r="CQ160" s="2339">
        <v>1</v>
      </c>
      <c r="CR160" s="2339"/>
      <c r="CS160" s="2339">
        <v>1</v>
      </c>
      <c r="CT160" s="2339"/>
      <c r="CU160" s="2339"/>
      <c r="CV160" s="2339"/>
      <c r="CW160" s="2339">
        <v>0</v>
      </c>
      <c r="CX160" s="2339" t="s">
        <v>5218</v>
      </c>
      <c r="DA160" s="1516">
        <v>1</v>
      </c>
      <c r="DC160" s="1516">
        <v>1</v>
      </c>
    </row>
    <row r="161" spans="2:107">
      <c r="B161" s="2339" t="s">
        <v>5292</v>
      </c>
      <c r="C161" s="2339">
        <v>40</v>
      </c>
      <c r="D161" s="2339">
        <v>5565.9</v>
      </c>
      <c r="E161" s="2339"/>
      <c r="F161" s="2339"/>
      <c r="G161" s="2339"/>
      <c r="H161" s="2339"/>
      <c r="I161" s="2339"/>
      <c r="J161" s="2339"/>
      <c r="K161" s="2339" t="s">
        <v>550</v>
      </c>
      <c r="L161" s="2339"/>
      <c r="M161" s="2339">
        <v>2</v>
      </c>
      <c r="N161" s="2339"/>
      <c r="O161" s="2339"/>
      <c r="P161" s="2339"/>
      <c r="Q161" s="2339">
        <v>1</v>
      </c>
      <c r="R161" s="2339"/>
      <c r="S161" s="2339"/>
      <c r="T161" s="2339"/>
      <c r="U161" s="2339"/>
      <c r="V161" s="2339"/>
      <c r="W161" s="2339"/>
      <c r="X161" s="2339"/>
      <c r="Y161" s="2339"/>
      <c r="Z161" s="2339"/>
      <c r="AA161" s="2339"/>
      <c r="AB161" s="2339"/>
      <c r="AC161" s="2339">
        <v>1</v>
      </c>
      <c r="AD161" s="2339"/>
      <c r="AE161" s="2339"/>
      <c r="AF161" s="2339">
        <v>6</v>
      </c>
      <c r="AG161" s="2339">
        <v>6</v>
      </c>
      <c r="AH161" s="2339"/>
      <c r="AI161" s="2339"/>
      <c r="AJ161" s="2339">
        <v>6</v>
      </c>
      <c r="AK161" s="2339">
        <v>2</v>
      </c>
      <c r="AL161" s="2339"/>
      <c r="AM161" s="2339"/>
      <c r="AN161" s="2339"/>
      <c r="AO161" s="2339"/>
      <c r="AP161" s="2339"/>
      <c r="AQ161" s="2339">
        <v>2</v>
      </c>
      <c r="AR161" s="2339">
        <v>6</v>
      </c>
      <c r="AS161" s="2339"/>
      <c r="AT161" s="2339">
        <v>6</v>
      </c>
      <c r="AU161" s="2339"/>
      <c r="AV161" s="2339"/>
      <c r="AW161" s="2339"/>
      <c r="AX161" s="2339">
        <v>2</v>
      </c>
      <c r="AY161" s="2339"/>
      <c r="AZ161" s="2339">
        <v>15</v>
      </c>
      <c r="BA161" s="2339">
        <v>8</v>
      </c>
      <c r="BB161" s="2339">
        <v>1.2</v>
      </c>
      <c r="BC161" s="2339">
        <v>120</v>
      </c>
      <c r="BD161" s="2339"/>
      <c r="BE161" s="2339">
        <v>0</v>
      </c>
      <c r="BF161" s="2339"/>
      <c r="BG161" s="2339"/>
      <c r="BH161" s="2339">
        <v>1</v>
      </c>
      <c r="BI161" s="2339"/>
      <c r="BJ161" s="2339"/>
      <c r="BK161" s="2339"/>
      <c r="BL161" s="2339"/>
      <c r="BM161" s="2339">
        <v>0</v>
      </c>
      <c r="BN161" s="2339">
        <v>0</v>
      </c>
      <c r="BO161" s="2339"/>
      <c r="BP161" s="2339"/>
      <c r="BQ161" s="2339"/>
      <c r="BR161" s="2339"/>
      <c r="BS161" s="2339">
        <v>1</v>
      </c>
      <c r="BT161" s="2339"/>
      <c r="BU161" s="2339">
        <v>2</v>
      </c>
      <c r="BV161" s="2339"/>
      <c r="BW161" s="2339"/>
      <c r="BX161" s="2339"/>
      <c r="BY161" s="2339"/>
      <c r="BZ161" s="2339"/>
      <c r="CA161" s="2339"/>
      <c r="CB161" s="2339"/>
      <c r="CC161" s="2339"/>
      <c r="CD161" s="2339"/>
      <c r="CE161" s="2339"/>
      <c r="CF161" s="2339"/>
      <c r="CG161" s="2339"/>
      <c r="CH161" s="2339"/>
      <c r="CI161" s="2339"/>
      <c r="CJ161" s="2339">
        <v>1</v>
      </c>
      <c r="CK161" s="2339">
        <v>0</v>
      </c>
      <c r="CL161" s="2339">
        <v>2</v>
      </c>
      <c r="CM161" s="2339">
        <v>0</v>
      </c>
      <c r="CN161" s="2339">
        <v>0</v>
      </c>
      <c r="CO161" s="2339"/>
      <c r="CP161" s="2339"/>
      <c r="CQ161" s="2339"/>
      <c r="CR161" s="2339"/>
      <c r="CS161" s="2339"/>
      <c r="CT161" s="2339"/>
      <c r="CU161" s="2339">
        <v>2</v>
      </c>
      <c r="CV161" s="2339"/>
      <c r="CW161" s="2339">
        <v>0</v>
      </c>
      <c r="CX161" s="2339"/>
      <c r="DA161" s="1516">
        <v>1</v>
      </c>
      <c r="DC161" s="1516">
        <v>1</v>
      </c>
    </row>
    <row r="162" spans="2:107">
      <c r="B162" s="2339">
        <v>165</v>
      </c>
      <c r="C162" s="2339">
        <v>36.5</v>
      </c>
      <c r="D162" s="2339">
        <v>5602.4</v>
      </c>
      <c r="E162" s="2339"/>
      <c r="F162" s="2339"/>
      <c r="G162" s="2339"/>
      <c r="H162" s="2339"/>
      <c r="I162" s="2339"/>
      <c r="J162" s="2339" t="s">
        <v>504</v>
      </c>
      <c r="K162" s="2339" t="s">
        <v>504</v>
      </c>
      <c r="L162" s="2339">
        <v>1</v>
      </c>
      <c r="M162" s="2339"/>
      <c r="N162" s="2339"/>
      <c r="O162" s="2339"/>
      <c r="P162" s="2339"/>
      <c r="Q162" s="2339"/>
      <c r="R162" s="2339"/>
      <c r="S162" s="2339"/>
      <c r="T162" s="2339"/>
      <c r="U162" s="2339"/>
      <c r="V162" s="2339"/>
      <c r="W162" s="2339"/>
      <c r="X162" s="2339"/>
      <c r="Y162" s="2339"/>
      <c r="Z162" s="2339"/>
      <c r="AA162" s="2339"/>
      <c r="AB162" s="2339"/>
      <c r="AC162" s="2339"/>
      <c r="AD162" s="2339">
        <v>1</v>
      </c>
      <c r="AE162" s="2339"/>
      <c r="AF162" s="2339">
        <v>3</v>
      </c>
      <c r="AG162" s="2339"/>
      <c r="AH162" s="2339"/>
      <c r="AI162" s="2339"/>
      <c r="AJ162" s="2339"/>
      <c r="AK162" s="2339"/>
      <c r="AL162" s="2339">
        <v>1</v>
      </c>
      <c r="AM162" s="2339"/>
      <c r="AN162" s="2339"/>
      <c r="AO162" s="2339"/>
      <c r="AP162" s="2339"/>
      <c r="AQ162" s="2339"/>
      <c r="AR162" s="2339"/>
      <c r="AS162" s="2339"/>
      <c r="AT162" s="2339">
        <v>3</v>
      </c>
      <c r="AU162" s="2339"/>
      <c r="AV162" s="2339"/>
      <c r="AW162" s="2339"/>
      <c r="AX162" s="2339"/>
      <c r="AY162" s="2339"/>
      <c r="AZ162" s="2339"/>
      <c r="BA162" s="2339"/>
      <c r="BB162" s="2339"/>
      <c r="BC162" s="2339">
        <v>109.5</v>
      </c>
      <c r="BD162" s="2339"/>
      <c r="BE162" s="2339">
        <v>0</v>
      </c>
      <c r="BF162" s="2339"/>
      <c r="BG162" s="2339"/>
      <c r="BH162" s="2339"/>
      <c r="BI162" s="2339"/>
      <c r="BJ162" s="2339">
        <v>1</v>
      </c>
      <c r="BK162" s="2339"/>
      <c r="BL162" s="2339"/>
      <c r="BM162" s="2339">
        <v>0</v>
      </c>
      <c r="BN162" s="2339">
        <v>0</v>
      </c>
      <c r="BO162" s="2339"/>
      <c r="BP162" s="2339"/>
      <c r="BQ162" s="2339">
        <v>2</v>
      </c>
      <c r="BR162" s="2339">
        <v>1</v>
      </c>
      <c r="BS162" s="2339"/>
      <c r="BT162" s="2339"/>
      <c r="BU162" s="2339"/>
      <c r="BV162" s="2339"/>
      <c r="BW162" s="2339"/>
      <c r="BX162" s="2339"/>
      <c r="BY162" s="2339"/>
      <c r="BZ162" s="2339"/>
      <c r="CA162" s="2339"/>
      <c r="CB162" s="2339"/>
      <c r="CC162" s="2339"/>
      <c r="CD162" s="2339">
        <v>1</v>
      </c>
      <c r="CE162" s="2339"/>
      <c r="CF162" s="2339"/>
      <c r="CG162" s="2339"/>
      <c r="CH162" s="2339"/>
      <c r="CI162" s="2339"/>
      <c r="CJ162" s="2339"/>
      <c r="CK162" s="2339"/>
      <c r="CL162" s="2339">
        <v>0</v>
      </c>
      <c r="CM162" s="2339"/>
      <c r="CN162" s="2339"/>
      <c r="CO162" s="2339"/>
      <c r="CP162" s="2339"/>
      <c r="CQ162" s="2339"/>
      <c r="CR162" s="2339"/>
      <c r="CS162" s="2339"/>
      <c r="CT162" s="2339"/>
      <c r="CU162" s="2339"/>
      <c r="CV162" s="2339"/>
      <c r="CW162" s="2339">
        <v>0</v>
      </c>
      <c r="CX162" s="2339"/>
      <c r="DA162" s="1516">
        <v>1</v>
      </c>
      <c r="DC162" s="1516">
        <v>1</v>
      </c>
    </row>
    <row r="163" spans="2:107">
      <c r="B163" s="2339" t="s">
        <v>5293</v>
      </c>
      <c r="C163" s="2339">
        <v>36</v>
      </c>
      <c r="D163" s="2339">
        <v>5638.4</v>
      </c>
      <c r="E163" s="2339"/>
      <c r="F163" s="2339"/>
      <c r="G163" s="2339"/>
      <c r="H163" s="2339"/>
      <c r="I163" s="2339"/>
      <c r="J163" s="2339"/>
      <c r="K163" s="2339" t="s">
        <v>504</v>
      </c>
      <c r="L163" s="2339"/>
      <c r="M163" s="2339">
        <v>1</v>
      </c>
      <c r="N163" s="2339"/>
      <c r="O163" s="2339"/>
      <c r="P163" s="2339">
        <v>1</v>
      </c>
      <c r="Q163" s="2339"/>
      <c r="R163" s="2339"/>
      <c r="S163" s="2339"/>
      <c r="T163" s="2339"/>
      <c r="U163" s="2339"/>
      <c r="V163" s="2339"/>
      <c r="W163" s="2339"/>
      <c r="X163" s="2339"/>
      <c r="Y163" s="2339">
        <v>1</v>
      </c>
      <c r="Z163" s="2339"/>
      <c r="AA163" s="2339"/>
      <c r="AB163" s="2339"/>
      <c r="AC163" s="2339"/>
      <c r="AD163" s="2339">
        <v>1</v>
      </c>
      <c r="AE163" s="2339"/>
      <c r="AF163" s="2339">
        <v>3</v>
      </c>
      <c r="AG163" s="2339"/>
      <c r="AH163" s="2339"/>
      <c r="AI163" s="2339"/>
      <c r="AJ163" s="2339"/>
      <c r="AK163" s="2339"/>
      <c r="AL163" s="2339">
        <v>1</v>
      </c>
      <c r="AM163" s="2339"/>
      <c r="AN163" s="2339"/>
      <c r="AO163" s="2339"/>
      <c r="AP163" s="2339"/>
      <c r="AQ163" s="2339"/>
      <c r="AR163" s="2339"/>
      <c r="AS163" s="2339"/>
      <c r="AT163" s="2339">
        <v>3</v>
      </c>
      <c r="AU163" s="2339"/>
      <c r="AV163" s="2339"/>
      <c r="AW163" s="2339"/>
      <c r="AX163" s="2339">
        <v>2</v>
      </c>
      <c r="AY163" s="2339"/>
      <c r="AZ163" s="2339">
        <v>2</v>
      </c>
      <c r="BA163" s="2339">
        <v>4</v>
      </c>
      <c r="BB163" s="2339"/>
      <c r="BC163" s="2339">
        <v>108</v>
      </c>
      <c r="BD163" s="2339"/>
      <c r="BE163" s="2339">
        <v>0</v>
      </c>
      <c r="BF163" s="2339"/>
      <c r="BG163" s="2339"/>
      <c r="BH163" s="2339">
        <v>1</v>
      </c>
      <c r="BI163" s="2339"/>
      <c r="BJ163" s="2339"/>
      <c r="BK163" s="2339"/>
      <c r="BL163" s="2339"/>
      <c r="BM163" s="2339">
        <v>0</v>
      </c>
      <c r="BN163" s="2339">
        <v>0</v>
      </c>
      <c r="BO163" s="2339"/>
      <c r="BP163" s="2339"/>
      <c r="BQ163" s="2339"/>
      <c r="BR163" s="2339"/>
      <c r="BS163" s="2339">
        <v>1</v>
      </c>
      <c r="BT163" s="2339"/>
      <c r="BU163" s="2339">
        <v>1</v>
      </c>
      <c r="BV163" s="2339"/>
      <c r="BW163" s="2339"/>
      <c r="BX163" s="2339"/>
      <c r="BY163" s="2339"/>
      <c r="BZ163" s="2339"/>
      <c r="CA163" s="2339"/>
      <c r="CB163" s="2339"/>
      <c r="CC163" s="2339"/>
      <c r="CD163" s="2339"/>
      <c r="CE163" s="2339"/>
      <c r="CF163" s="2339"/>
      <c r="CG163" s="2339"/>
      <c r="CH163" s="2339"/>
      <c r="CI163" s="2339"/>
      <c r="CJ163" s="2339">
        <v>1</v>
      </c>
      <c r="CK163" s="2339">
        <v>0</v>
      </c>
      <c r="CL163" s="2339">
        <v>1</v>
      </c>
      <c r="CM163" s="2339">
        <v>0</v>
      </c>
      <c r="CN163" s="2339">
        <v>0</v>
      </c>
      <c r="CO163" s="2339"/>
      <c r="CP163" s="2339"/>
      <c r="CQ163" s="2339"/>
      <c r="CR163" s="2339"/>
      <c r="CS163" s="2339"/>
      <c r="CT163" s="2339"/>
      <c r="CU163" s="2339">
        <v>2</v>
      </c>
      <c r="CV163" s="2339"/>
      <c r="CW163" s="2339">
        <v>0</v>
      </c>
      <c r="CX163" s="2339"/>
      <c r="DA163" s="1516">
        <v>1</v>
      </c>
      <c r="DC163" s="1516">
        <v>1</v>
      </c>
    </row>
    <row r="164" spans="2:107">
      <c r="B164" s="2339">
        <v>166</v>
      </c>
      <c r="C164" s="2339">
        <v>36.299999999999997</v>
      </c>
      <c r="D164" s="2339">
        <v>5674.7</v>
      </c>
      <c r="E164" s="2339"/>
      <c r="F164" s="2339"/>
      <c r="G164" s="2339"/>
      <c r="H164" s="2339"/>
      <c r="I164" s="2339"/>
      <c r="J164" s="2339" t="s">
        <v>504</v>
      </c>
      <c r="K164" s="2339" t="s">
        <v>504</v>
      </c>
      <c r="L164" s="2339">
        <v>1</v>
      </c>
      <c r="M164" s="2339"/>
      <c r="N164" s="2339"/>
      <c r="O164" s="2339"/>
      <c r="P164" s="2339"/>
      <c r="Q164" s="2339"/>
      <c r="R164" s="2339"/>
      <c r="S164" s="2339"/>
      <c r="T164" s="2339"/>
      <c r="U164" s="2339"/>
      <c r="V164" s="2339"/>
      <c r="W164" s="2339"/>
      <c r="X164" s="2339"/>
      <c r="Y164" s="2339"/>
      <c r="Z164" s="2339"/>
      <c r="AA164" s="2339"/>
      <c r="AB164" s="2339"/>
      <c r="AC164" s="2339"/>
      <c r="AD164" s="2339">
        <v>1</v>
      </c>
      <c r="AE164" s="2339"/>
      <c r="AF164" s="2339">
        <v>3</v>
      </c>
      <c r="AG164" s="2339"/>
      <c r="AH164" s="2339"/>
      <c r="AI164" s="2339"/>
      <c r="AJ164" s="2339"/>
      <c r="AK164" s="2339"/>
      <c r="AL164" s="2339">
        <v>1</v>
      </c>
      <c r="AM164" s="2339"/>
      <c r="AN164" s="2339"/>
      <c r="AO164" s="2339"/>
      <c r="AP164" s="2339"/>
      <c r="AQ164" s="2339"/>
      <c r="AR164" s="2339"/>
      <c r="AS164" s="2339"/>
      <c r="AT164" s="2339">
        <v>3</v>
      </c>
      <c r="AU164" s="2339"/>
      <c r="AV164" s="2339"/>
      <c r="AW164" s="2339"/>
      <c r="AX164" s="2339"/>
      <c r="AY164" s="2339"/>
      <c r="AZ164" s="2339"/>
      <c r="BA164" s="2339"/>
      <c r="BB164" s="2339"/>
      <c r="BC164" s="2339">
        <v>108.9</v>
      </c>
      <c r="BD164" s="2339"/>
      <c r="BE164" s="2339">
        <v>0</v>
      </c>
      <c r="BF164" s="2339"/>
      <c r="BG164" s="2339"/>
      <c r="BH164" s="2339"/>
      <c r="BI164" s="2339"/>
      <c r="BJ164" s="2339">
        <v>1</v>
      </c>
      <c r="BK164" s="2339"/>
      <c r="BL164" s="2339"/>
      <c r="BM164" s="2339">
        <v>0</v>
      </c>
      <c r="BN164" s="2339">
        <v>0</v>
      </c>
      <c r="BO164" s="2339"/>
      <c r="BP164" s="2339"/>
      <c r="BQ164" s="2339">
        <v>2</v>
      </c>
      <c r="BR164" s="2339">
        <v>1</v>
      </c>
      <c r="BS164" s="2339"/>
      <c r="BT164" s="2339"/>
      <c r="BU164" s="2339"/>
      <c r="BV164" s="2339"/>
      <c r="BW164" s="2339"/>
      <c r="BX164" s="2339"/>
      <c r="BY164" s="2339"/>
      <c r="BZ164" s="2339"/>
      <c r="CA164" s="2339"/>
      <c r="CB164" s="2339"/>
      <c r="CC164" s="2339"/>
      <c r="CD164" s="2339">
        <v>1</v>
      </c>
      <c r="CE164" s="2339"/>
      <c r="CF164" s="2339"/>
      <c r="CG164" s="2339"/>
      <c r="CH164" s="2339"/>
      <c r="CI164" s="2339"/>
      <c r="CJ164" s="2339"/>
      <c r="CK164" s="2339"/>
      <c r="CL164" s="2339">
        <v>0</v>
      </c>
      <c r="CM164" s="2339"/>
      <c r="CN164" s="2339"/>
      <c r="CO164" s="2339"/>
      <c r="CP164" s="2339"/>
      <c r="CQ164" s="2339"/>
      <c r="CR164" s="2339"/>
      <c r="CS164" s="2339"/>
      <c r="CT164" s="2339"/>
      <c r="CU164" s="2339"/>
      <c r="CV164" s="2339"/>
      <c r="CW164" s="2339">
        <v>0</v>
      </c>
      <c r="CX164" s="2339"/>
      <c r="DA164" s="1516">
        <v>1</v>
      </c>
      <c r="DC164" s="1516">
        <v>1</v>
      </c>
    </row>
    <row r="165" spans="2:107">
      <c r="B165" s="2339" t="s">
        <v>5294</v>
      </c>
      <c r="C165" s="2339">
        <v>38.700000000000003</v>
      </c>
      <c r="D165" s="2339">
        <v>5713.4</v>
      </c>
      <c r="E165" s="2339">
        <v>5</v>
      </c>
      <c r="F165" s="2339">
        <v>1</v>
      </c>
      <c r="G165" s="2339"/>
      <c r="H165" s="2339"/>
      <c r="I165" s="2339">
        <v>1</v>
      </c>
      <c r="J165" s="2339" t="s">
        <v>663</v>
      </c>
      <c r="K165" s="2339" t="s">
        <v>663</v>
      </c>
      <c r="L165" s="2339">
        <v>1</v>
      </c>
      <c r="M165" s="2339"/>
      <c r="N165" s="2339"/>
      <c r="O165" s="2339"/>
      <c r="P165" s="2339"/>
      <c r="Q165" s="2339"/>
      <c r="R165" s="2339"/>
      <c r="S165" s="2339"/>
      <c r="T165" s="2339"/>
      <c r="U165" s="2339"/>
      <c r="V165" s="2339"/>
      <c r="W165" s="2339"/>
      <c r="X165" s="2339"/>
      <c r="Y165" s="2339"/>
      <c r="Z165" s="2339"/>
      <c r="AA165" s="2339"/>
      <c r="AB165" s="2339"/>
      <c r="AC165" s="2339"/>
      <c r="AD165" s="2339">
        <v>1</v>
      </c>
      <c r="AE165" s="2339"/>
      <c r="AF165" s="2339">
        <v>3</v>
      </c>
      <c r="AG165" s="2339"/>
      <c r="AH165" s="2339"/>
      <c r="AI165" s="2339"/>
      <c r="AJ165" s="2339"/>
      <c r="AK165" s="2339"/>
      <c r="AL165" s="2339">
        <v>1</v>
      </c>
      <c r="AM165" s="2339">
        <v>1</v>
      </c>
      <c r="AN165" s="2339">
        <v>1</v>
      </c>
      <c r="AO165" s="2339">
        <v>2</v>
      </c>
      <c r="AP165" s="2339"/>
      <c r="AQ165" s="2339">
        <v>2</v>
      </c>
      <c r="AR165" s="2339"/>
      <c r="AS165" s="2339"/>
      <c r="AT165" s="2339">
        <v>3</v>
      </c>
      <c r="AU165" s="2339"/>
      <c r="AV165" s="2339"/>
      <c r="AW165" s="2339"/>
      <c r="AX165" s="2339"/>
      <c r="AY165" s="2339"/>
      <c r="AZ165" s="2339"/>
      <c r="BA165" s="2339"/>
      <c r="BB165" s="2339"/>
      <c r="BC165" s="2339">
        <v>116.1</v>
      </c>
      <c r="BD165" s="2339"/>
      <c r="BE165" s="2339">
        <v>5</v>
      </c>
      <c r="BF165" s="2339"/>
      <c r="BG165" s="2339"/>
      <c r="BH165" s="2339"/>
      <c r="BI165" s="2339"/>
      <c r="BJ165" s="2339">
        <v>1</v>
      </c>
      <c r="BK165" s="2339"/>
      <c r="BL165" s="2339"/>
      <c r="BM165" s="2339">
        <v>0</v>
      </c>
      <c r="BN165" s="2339">
        <v>0</v>
      </c>
      <c r="BO165" s="2339"/>
      <c r="BP165" s="2339"/>
      <c r="BQ165" s="2339">
        <v>2</v>
      </c>
      <c r="BR165" s="2339">
        <v>1</v>
      </c>
      <c r="BS165" s="2339"/>
      <c r="BT165" s="2339"/>
      <c r="BU165" s="2339"/>
      <c r="BV165" s="2339"/>
      <c r="BW165" s="2339"/>
      <c r="BX165" s="2339"/>
      <c r="BY165" s="2339"/>
      <c r="BZ165" s="2339"/>
      <c r="CA165" s="2339"/>
      <c r="CB165" s="2339"/>
      <c r="CC165" s="2339"/>
      <c r="CD165" s="2339">
        <v>1</v>
      </c>
      <c r="CE165" s="2339"/>
      <c r="CF165" s="2339"/>
      <c r="CG165" s="2339"/>
      <c r="CH165" s="2339"/>
      <c r="CI165" s="2339"/>
      <c r="CJ165" s="2339"/>
      <c r="CK165" s="2339"/>
      <c r="CL165" s="2339">
        <v>0</v>
      </c>
      <c r="CM165" s="2339"/>
      <c r="CN165" s="2339"/>
      <c r="CO165" s="2339"/>
      <c r="CP165" s="2339"/>
      <c r="CQ165" s="2339"/>
      <c r="CR165" s="2339"/>
      <c r="CS165" s="2339"/>
      <c r="CT165" s="2339"/>
      <c r="CU165" s="2339"/>
      <c r="CV165" s="2339"/>
      <c r="CW165" s="2339">
        <v>0</v>
      </c>
      <c r="CX165" s="2339" t="s">
        <v>5224</v>
      </c>
      <c r="DA165" s="1516">
        <v>1</v>
      </c>
      <c r="DC165" s="1516">
        <v>1</v>
      </c>
    </row>
    <row r="166" spans="2:107">
      <c r="B166" s="2339">
        <v>167</v>
      </c>
      <c r="C166" s="2339">
        <v>34.799999999999997</v>
      </c>
      <c r="D166" s="2339">
        <v>5748.2</v>
      </c>
      <c r="E166" s="2339"/>
      <c r="F166" s="2339"/>
      <c r="G166" s="2339"/>
      <c r="H166" s="2339"/>
      <c r="I166" s="2339"/>
      <c r="J166" s="2339" t="s">
        <v>4512</v>
      </c>
      <c r="K166" s="2339" t="s">
        <v>4512</v>
      </c>
      <c r="L166" s="2339">
        <v>1</v>
      </c>
      <c r="M166" s="2339"/>
      <c r="N166" s="2339"/>
      <c r="O166" s="2339"/>
      <c r="P166" s="2339"/>
      <c r="Q166" s="2339"/>
      <c r="R166" s="2339"/>
      <c r="S166" s="2339"/>
      <c r="T166" s="2339">
        <v>1</v>
      </c>
      <c r="U166" s="2339"/>
      <c r="V166" s="2339"/>
      <c r="W166" s="2339"/>
      <c r="X166" s="2339"/>
      <c r="Y166" s="2339"/>
      <c r="Z166" s="2339"/>
      <c r="AA166" s="2339"/>
      <c r="AB166" s="2339"/>
      <c r="AC166" s="2339"/>
      <c r="AD166" s="2339"/>
      <c r="AE166" s="2339">
        <v>1</v>
      </c>
      <c r="AF166" s="2339">
        <v>6</v>
      </c>
      <c r="AG166" s="2339"/>
      <c r="AH166" s="2339"/>
      <c r="AI166" s="2339"/>
      <c r="AJ166" s="2339"/>
      <c r="AK166" s="2339"/>
      <c r="AL166" s="2339">
        <v>1</v>
      </c>
      <c r="AM166" s="2339"/>
      <c r="AN166" s="2339"/>
      <c r="AO166" s="2339"/>
      <c r="AP166" s="2339"/>
      <c r="AQ166" s="2339"/>
      <c r="AR166" s="2339"/>
      <c r="AS166" s="2339">
        <v>6</v>
      </c>
      <c r="AT166" s="2339"/>
      <c r="AU166" s="2339"/>
      <c r="AV166" s="2339"/>
      <c r="AW166" s="2339"/>
      <c r="AX166" s="2339"/>
      <c r="AY166" s="2339"/>
      <c r="AZ166" s="2339"/>
      <c r="BA166" s="2339"/>
      <c r="BB166" s="2339"/>
      <c r="BC166" s="2339">
        <v>104.4</v>
      </c>
      <c r="BD166" s="2339"/>
      <c r="BE166" s="2339">
        <v>0</v>
      </c>
      <c r="BF166" s="2339"/>
      <c r="BG166" s="2339"/>
      <c r="BH166" s="2339"/>
      <c r="BI166" s="2339"/>
      <c r="BJ166" s="2339"/>
      <c r="BK166" s="2339">
        <v>1</v>
      </c>
      <c r="BL166" s="2339"/>
      <c r="BM166" s="2339">
        <v>1</v>
      </c>
      <c r="BN166" s="2339">
        <v>0</v>
      </c>
      <c r="BO166" s="2339"/>
      <c r="BP166" s="2339"/>
      <c r="BQ166" s="2339">
        <v>4</v>
      </c>
      <c r="BR166" s="2339">
        <v>2</v>
      </c>
      <c r="BS166" s="2339"/>
      <c r="BT166" s="2339"/>
      <c r="BU166" s="2339"/>
      <c r="BV166" s="2339"/>
      <c r="BW166" s="2339"/>
      <c r="BX166" s="2339"/>
      <c r="BY166" s="2339"/>
      <c r="BZ166" s="2339"/>
      <c r="CA166" s="2339"/>
      <c r="CB166" s="2339"/>
      <c r="CC166" s="2339"/>
      <c r="CD166" s="2339">
        <v>1</v>
      </c>
      <c r="CE166" s="2339"/>
      <c r="CF166" s="2339"/>
      <c r="CG166" s="2339"/>
      <c r="CH166" s="2339"/>
      <c r="CI166" s="2339"/>
      <c r="CJ166" s="2339"/>
      <c r="CK166" s="2339"/>
      <c r="CL166" s="2339">
        <v>0</v>
      </c>
      <c r="CM166" s="2339"/>
      <c r="CN166" s="2339"/>
      <c r="CO166" s="2339"/>
      <c r="CP166" s="2339"/>
      <c r="CQ166" s="2339"/>
      <c r="CR166" s="2339"/>
      <c r="CS166" s="2339"/>
      <c r="CT166" s="2339"/>
      <c r="CU166" s="2339"/>
      <c r="CV166" s="2339"/>
      <c r="CW166" s="2339">
        <v>0</v>
      </c>
      <c r="CX166" s="2339"/>
      <c r="DA166" s="1516">
        <v>1</v>
      </c>
      <c r="DC166" s="1516">
        <v>1</v>
      </c>
    </row>
    <row r="167" spans="2:107">
      <c r="B167" s="2339" t="s">
        <v>5295</v>
      </c>
      <c r="C167" s="2339">
        <v>38</v>
      </c>
      <c r="D167" s="2339">
        <v>5786.2</v>
      </c>
      <c r="E167" s="2339"/>
      <c r="F167" s="2339"/>
      <c r="G167" s="2339"/>
      <c r="H167" s="2339"/>
      <c r="I167" s="2339"/>
      <c r="J167" s="2339"/>
      <c r="K167" s="2339" t="s">
        <v>504</v>
      </c>
      <c r="L167" s="2339"/>
      <c r="M167" s="2339">
        <v>1</v>
      </c>
      <c r="N167" s="2339"/>
      <c r="O167" s="2339"/>
      <c r="P167" s="2339">
        <v>1</v>
      </c>
      <c r="Q167" s="2339"/>
      <c r="R167" s="2339"/>
      <c r="S167" s="2339"/>
      <c r="T167" s="2339"/>
      <c r="U167" s="2339"/>
      <c r="V167" s="2339"/>
      <c r="W167" s="2339"/>
      <c r="X167" s="2339"/>
      <c r="Y167" s="2339"/>
      <c r="Z167" s="2339"/>
      <c r="AA167" s="2339"/>
      <c r="AB167" s="2339"/>
      <c r="AC167" s="2339"/>
      <c r="AD167" s="2339">
        <v>1</v>
      </c>
      <c r="AE167" s="2339"/>
      <c r="AF167" s="2339">
        <v>3</v>
      </c>
      <c r="AG167" s="2339"/>
      <c r="AH167" s="2339"/>
      <c r="AI167" s="2339"/>
      <c r="AJ167" s="2339"/>
      <c r="AK167" s="2339"/>
      <c r="AL167" s="2339">
        <v>1</v>
      </c>
      <c r="AM167" s="2339"/>
      <c r="AN167" s="2339"/>
      <c r="AO167" s="2339"/>
      <c r="AP167" s="2339"/>
      <c r="AQ167" s="2339"/>
      <c r="AR167" s="2339"/>
      <c r="AS167" s="2339"/>
      <c r="AT167" s="2339">
        <v>3</v>
      </c>
      <c r="AU167" s="2339"/>
      <c r="AV167" s="2339"/>
      <c r="AW167" s="2339"/>
      <c r="AX167" s="2339">
        <v>2</v>
      </c>
      <c r="AY167" s="2339"/>
      <c r="AZ167" s="2339">
        <v>5</v>
      </c>
      <c r="BA167" s="2339">
        <v>4</v>
      </c>
      <c r="BB167" s="2339"/>
      <c r="BC167" s="2339">
        <v>114</v>
      </c>
      <c r="BD167" s="2339"/>
      <c r="BE167" s="2339">
        <v>0</v>
      </c>
      <c r="BF167" s="2339"/>
      <c r="BG167" s="2339"/>
      <c r="BH167" s="2339">
        <v>1</v>
      </c>
      <c r="BI167" s="2339"/>
      <c r="BJ167" s="2339"/>
      <c r="BK167" s="2339"/>
      <c r="BL167" s="2339"/>
      <c r="BM167" s="2339">
        <v>0</v>
      </c>
      <c r="BN167" s="2339">
        <v>0</v>
      </c>
      <c r="BO167" s="2339"/>
      <c r="BP167" s="2339"/>
      <c r="BQ167" s="2339"/>
      <c r="BR167" s="2339"/>
      <c r="BS167" s="2339">
        <v>2</v>
      </c>
      <c r="BT167" s="2339"/>
      <c r="BU167" s="2339">
        <v>1</v>
      </c>
      <c r="BV167" s="2339"/>
      <c r="BW167" s="2339"/>
      <c r="BX167" s="2339"/>
      <c r="BY167" s="2339"/>
      <c r="BZ167" s="2339"/>
      <c r="CA167" s="2339"/>
      <c r="CB167" s="2339"/>
      <c r="CC167" s="2339"/>
      <c r="CD167" s="2339"/>
      <c r="CE167" s="2339"/>
      <c r="CF167" s="2339"/>
      <c r="CG167" s="2339"/>
      <c r="CH167" s="2339"/>
      <c r="CI167" s="2339"/>
      <c r="CJ167" s="2339">
        <v>2</v>
      </c>
      <c r="CK167" s="2339">
        <v>0</v>
      </c>
      <c r="CL167" s="2339">
        <v>1</v>
      </c>
      <c r="CM167" s="2339">
        <v>0</v>
      </c>
      <c r="CN167" s="2339">
        <v>0</v>
      </c>
      <c r="CO167" s="2339"/>
      <c r="CP167" s="2339"/>
      <c r="CQ167" s="2339"/>
      <c r="CR167" s="2339"/>
      <c r="CS167" s="2339"/>
      <c r="CT167" s="2339"/>
      <c r="CU167" s="2339">
        <v>2</v>
      </c>
      <c r="CV167" s="2339"/>
      <c r="CW167" s="2339">
        <v>0</v>
      </c>
      <c r="CX167" s="2339"/>
      <c r="DA167" s="1516">
        <v>1</v>
      </c>
      <c r="DC167" s="1516">
        <v>1</v>
      </c>
    </row>
    <row r="168" spans="2:107">
      <c r="B168" s="2339">
        <v>168</v>
      </c>
      <c r="C168" s="2339">
        <v>37.9</v>
      </c>
      <c r="D168" s="2339">
        <v>5824.1</v>
      </c>
      <c r="E168" s="2339">
        <v>28</v>
      </c>
      <c r="F168" s="2339"/>
      <c r="G168" s="2339"/>
      <c r="H168" s="2339"/>
      <c r="I168" s="2339">
        <v>1</v>
      </c>
      <c r="J168" s="2339" t="s">
        <v>663</v>
      </c>
      <c r="K168" s="2339" t="s">
        <v>663</v>
      </c>
      <c r="L168" s="2339">
        <v>1</v>
      </c>
      <c r="M168" s="2339"/>
      <c r="N168" s="2339"/>
      <c r="O168" s="2339"/>
      <c r="P168" s="2339"/>
      <c r="Q168" s="2339"/>
      <c r="R168" s="2339"/>
      <c r="S168" s="2339"/>
      <c r="T168" s="2339"/>
      <c r="U168" s="2339"/>
      <c r="V168" s="2339"/>
      <c r="W168" s="2339"/>
      <c r="X168" s="2339"/>
      <c r="Y168" s="2339"/>
      <c r="Z168" s="2339"/>
      <c r="AA168" s="2339"/>
      <c r="AB168" s="2339"/>
      <c r="AC168" s="2339"/>
      <c r="AD168" s="2339">
        <v>1</v>
      </c>
      <c r="AE168" s="2339"/>
      <c r="AF168" s="2339">
        <v>3</v>
      </c>
      <c r="AG168" s="2339"/>
      <c r="AH168" s="2339"/>
      <c r="AI168" s="2339">
        <v>2</v>
      </c>
      <c r="AJ168" s="2339"/>
      <c r="AK168" s="2339"/>
      <c r="AL168" s="2339">
        <v>1</v>
      </c>
      <c r="AM168" s="2339">
        <v>1</v>
      </c>
      <c r="AN168" s="2339">
        <v>1</v>
      </c>
      <c r="AO168" s="2339">
        <v>2</v>
      </c>
      <c r="AP168" s="2339"/>
      <c r="AQ168" s="2339">
        <v>2</v>
      </c>
      <c r="AR168" s="2339"/>
      <c r="AS168" s="2339"/>
      <c r="AT168" s="2339">
        <v>3</v>
      </c>
      <c r="AU168" s="2339"/>
      <c r="AV168" s="2339"/>
      <c r="AW168" s="2339"/>
      <c r="AX168" s="2339"/>
      <c r="AY168" s="2339"/>
      <c r="AZ168" s="2339"/>
      <c r="BA168" s="2339"/>
      <c r="BB168" s="2339"/>
      <c r="BC168" s="2339">
        <v>113.7</v>
      </c>
      <c r="BD168" s="2339"/>
      <c r="BE168" s="2339">
        <v>28</v>
      </c>
      <c r="BF168" s="2339"/>
      <c r="BG168" s="2339"/>
      <c r="BH168" s="2339"/>
      <c r="BI168" s="2339"/>
      <c r="BJ168" s="2339">
        <v>1</v>
      </c>
      <c r="BK168" s="2339"/>
      <c r="BL168" s="2339"/>
      <c r="BM168" s="2339">
        <v>0</v>
      </c>
      <c r="BN168" s="2339">
        <v>0</v>
      </c>
      <c r="BO168" s="2339"/>
      <c r="BP168" s="2339"/>
      <c r="BQ168" s="2339">
        <v>2</v>
      </c>
      <c r="BR168" s="2339">
        <v>1</v>
      </c>
      <c r="BS168" s="2339"/>
      <c r="BT168" s="2339"/>
      <c r="BU168" s="2339"/>
      <c r="BV168" s="2339"/>
      <c r="BW168" s="2339"/>
      <c r="BX168" s="2339"/>
      <c r="BY168" s="2339"/>
      <c r="BZ168" s="2339"/>
      <c r="CA168" s="2339"/>
      <c r="CB168" s="2339"/>
      <c r="CC168" s="2339"/>
      <c r="CD168" s="2339">
        <v>1</v>
      </c>
      <c r="CE168" s="2339"/>
      <c r="CF168" s="2339"/>
      <c r="CG168" s="2339"/>
      <c r="CH168" s="2339"/>
      <c r="CI168" s="2339"/>
      <c r="CJ168" s="2339"/>
      <c r="CK168" s="2339"/>
      <c r="CL168" s="2339">
        <v>0</v>
      </c>
      <c r="CM168" s="2339"/>
      <c r="CN168" s="2339"/>
      <c r="CO168" s="2339"/>
      <c r="CP168" s="2339"/>
      <c r="CQ168" s="2339"/>
      <c r="CR168" s="2339"/>
      <c r="CS168" s="2339"/>
      <c r="CT168" s="2339"/>
      <c r="CU168" s="2339"/>
      <c r="CV168" s="2339"/>
      <c r="CW168" s="2339">
        <v>2</v>
      </c>
      <c r="CX168" s="2339"/>
      <c r="DA168" s="1516">
        <v>1</v>
      </c>
      <c r="DC168" s="1516">
        <v>1</v>
      </c>
    </row>
    <row r="169" spans="2:107">
      <c r="B169" s="2339" t="s">
        <v>5296</v>
      </c>
      <c r="C169" s="2339">
        <v>35</v>
      </c>
      <c r="D169" s="2339">
        <v>5859.1</v>
      </c>
      <c r="E169" s="2339"/>
      <c r="F169" s="2339"/>
      <c r="G169" s="2339"/>
      <c r="H169" s="2339"/>
      <c r="I169" s="2339"/>
      <c r="J169" s="2339"/>
      <c r="K169" s="2339" t="s">
        <v>504</v>
      </c>
      <c r="L169" s="2339"/>
      <c r="M169" s="2339">
        <v>1</v>
      </c>
      <c r="N169" s="2339"/>
      <c r="O169" s="2339">
        <v>1</v>
      </c>
      <c r="P169" s="2339"/>
      <c r="Q169" s="2339"/>
      <c r="R169" s="2339"/>
      <c r="S169" s="2339"/>
      <c r="T169" s="2339"/>
      <c r="U169" s="2339"/>
      <c r="V169" s="2339"/>
      <c r="W169" s="2339"/>
      <c r="X169" s="2339"/>
      <c r="Y169" s="2339">
        <v>1</v>
      </c>
      <c r="Z169" s="2339"/>
      <c r="AA169" s="2339"/>
      <c r="AB169" s="2339"/>
      <c r="AC169" s="2339"/>
      <c r="AD169" s="2339">
        <v>1</v>
      </c>
      <c r="AE169" s="2339"/>
      <c r="AF169" s="2339">
        <v>3</v>
      </c>
      <c r="AG169" s="2339"/>
      <c r="AH169" s="2339"/>
      <c r="AI169" s="2339"/>
      <c r="AJ169" s="2339"/>
      <c r="AK169" s="2339"/>
      <c r="AL169" s="2339">
        <v>1</v>
      </c>
      <c r="AM169" s="2339"/>
      <c r="AN169" s="2339"/>
      <c r="AO169" s="2339"/>
      <c r="AP169" s="2339"/>
      <c r="AQ169" s="2339"/>
      <c r="AR169" s="2339"/>
      <c r="AS169" s="2339"/>
      <c r="AT169" s="2339">
        <v>3</v>
      </c>
      <c r="AU169" s="2339"/>
      <c r="AV169" s="2339"/>
      <c r="AW169" s="2339"/>
      <c r="AX169" s="2339">
        <v>2</v>
      </c>
      <c r="AY169" s="2339"/>
      <c r="AZ169" s="2339">
        <v>3</v>
      </c>
      <c r="BA169" s="2339">
        <v>4</v>
      </c>
      <c r="BB169" s="2339"/>
      <c r="BC169" s="2339">
        <v>105</v>
      </c>
      <c r="BD169" s="2339"/>
      <c r="BE169" s="2339">
        <v>0</v>
      </c>
      <c r="BF169" s="2339"/>
      <c r="BG169" s="2339"/>
      <c r="BH169" s="2339">
        <v>1</v>
      </c>
      <c r="BI169" s="2339"/>
      <c r="BJ169" s="2339"/>
      <c r="BK169" s="2339"/>
      <c r="BL169" s="2339"/>
      <c r="BM169" s="2339">
        <v>0</v>
      </c>
      <c r="BN169" s="2339">
        <v>0</v>
      </c>
      <c r="BO169" s="2339"/>
      <c r="BP169" s="2339"/>
      <c r="BQ169" s="2339"/>
      <c r="BR169" s="2339"/>
      <c r="BS169" s="2339">
        <v>1</v>
      </c>
      <c r="BT169" s="2339"/>
      <c r="BU169" s="2339">
        <v>1</v>
      </c>
      <c r="BV169" s="2339"/>
      <c r="BW169" s="2339"/>
      <c r="BX169" s="2339"/>
      <c r="BY169" s="2339"/>
      <c r="BZ169" s="2339"/>
      <c r="CA169" s="2339"/>
      <c r="CB169" s="2339"/>
      <c r="CC169" s="2339"/>
      <c r="CD169" s="2339"/>
      <c r="CE169" s="2339"/>
      <c r="CF169" s="2339"/>
      <c r="CG169" s="2339"/>
      <c r="CH169" s="2339"/>
      <c r="CI169" s="2339"/>
      <c r="CJ169" s="2339">
        <v>1</v>
      </c>
      <c r="CK169" s="2339">
        <v>0</v>
      </c>
      <c r="CL169" s="2339">
        <v>1</v>
      </c>
      <c r="CM169" s="2339">
        <v>0</v>
      </c>
      <c r="CN169" s="2339">
        <v>0</v>
      </c>
      <c r="CO169" s="2339"/>
      <c r="CP169" s="2339"/>
      <c r="CQ169" s="2339"/>
      <c r="CR169" s="2339"/>
      <c r="CS169" s="2339"/>
      <c r="CT169" s="2339"/>
      <c r="CU169" s="2339">
        <v>2</v>
      </c>
      <c r="CV169" s="2339"/>
      <c r="CW169" s="2339">
        <v>0</v>
      </c>
      <c r="CX169" s="2339"/>
      <c r="DA169" s="1516">
        <v>1</v>
      </c>
      <c r="DC169" s="1516">
        <v>1</v>
      </c>
    </row>
    <row r="170" spans="2:107">
      <c r="B170" s="2339">
        <v>169</v>
      </c>
      <c r="C170" s="2339">
        <v>34.1</v>
      </c>
      <c r="D170" s="2339">
        <v>5893.2</v>
      </c>
      <c r="E170" s="2339"/>
      <c r="F170" s="2339"/>
      <c r="G170" s="2339"/>
      <c r="H170" s="2339"/>
      <c r="I170" s="2339">
        <v>5</v>
      </c>
      <c r="J170" s="2339" t="s">
        <v>504</v>
      </c>
      <c r="K170" s="2339" t="s">
        <v>504</v>
      </c>
      <c r="L170" s="2339">
        <v>1</v>
      </c>
      <c r="M170" s="2339"/>
      <c r="N170" s="2339">
        <v>1</v>
      </c>
      <c r="O170" s="2339"/>
      <c r="P170" s="2339"/>
      <c r="Q170" s="2339"/>
      <c r="R170" s="2339">
        <v>1</v>
      </c>
      <c r="S170" s="2339"/>
      <c r="T170" s="2339"/>
      <c r="U170" s="2339"/>
      <c r="V170" s="2339"/>
      <c r="W170" s="2339"/>
      <c r="X170" s="2339"/>
      <c r="Y170" s="2339"/>
      <c r="Z170" s="2339"/>
      <c r="AA170" s="2339">
        <v>1</v>
      </c>
      <c r="AB170" s="2339"/>
      <c r="AC170" s="2339"/>
      <c r="AD170" s="2339">
        <v>1</v>
      </c>
      <c r="AE170" s="2339"/>
      <c r="AF170" s="2339">
        <v>3</v>
      </c>
      <c r="AG170" s="2339"/>
      <c r="AH170" s="2339"/>
      <c r="AI170" s="2339"/>
      <c r="AJ170" s="2339"/>
      <c r="AK170" s="2339"/>
      <c r="AL170" s="2339">
        <v>1</v>
      </c>
      <c r="AM170" s="2339">
        <v>1</v>
      </c>
      <c r="AN170" s="2339">
        <v>1</v>
      </c>
      <c r="AO170" s="2339"/>
      <c r="AP170" s="2339"/>
      <c r="AQ170" s="2339">
        <v>2</v>
      </c>
      <c r="AR170" s="2339"/>
      <c r="AS170" s="2339"/>
      <c r="AT170" s="2339">
        <v>3</v>
      </c>
      <c r="AU170" s="2339"/>
      <c r="AV170" s="2339"/>
      <c r="AW170" s="2339"/>
      <c r="AX170" s="2339"/>
      <c r="AY170" s="2339"/>
      <c r="AZ170" s="2339"/>
      <c r="BA170" s="2339"/>
      <c r="BB170" s="2339"/>
      <c r="BC170" s="2339">
        <v>102.3</v>
      </c>
      <c r="BD170" s="2339"/>
      <c r="BE170" s="2339">
        <v>0</v>
      </c>
      <c r="BF170" s="2339">
        <v>1</v>
      </c>
      <c r="BG170" s="2339"/>
      <c r="BH170" s="2339"/>
      <c r="BI170" s="2339">
        <v>1</v>
      </c>
      <c r="BJ170" s="2339">
        <v>1</v>
      </c>
      <c r="BK170" s="2339"/>
      <c r="BL170" s="2339"/>
      <c r="BM170" s="2339">
        <v>0</v>
      </c>
      <c r="BN170" s="2339">
        <v>0</v>
      </c>
      <c r="BO170" s="2339"/>
      <c r="BP170" s="2339"/>
      <c r="BQ170" s="2339">
        <v>2</v>
      </c>
      <c r="BR170" s="2339">
        <v>1</v>
      </c>
      <c r="BS170" s="2339"/>
      <c r="BT170" s="2339"/>
      <c r="BU170" s="2339"/>
      <c r="BV170" s="2339"/>
      <c r="BW170" s="2339"/>
      <c r="BX170" s="2339">
        <v>1</v>
      </c>
      <c r="BY170" s="2339">
        <v>1</v>
      </c>
      <c r="BZ170" s="2339"/>
      <c r="CA170" s="2339">
        <v>1</v>
      </c>
      <c r="CB170" s="2339"/>
      <c r="CC170" s="2339">
        <v>1</v>
      </c>
      <c r="CD170" s="2339">
        <v>1</v>
      </c>
      <c r="CE170" s="2339"/>
      <c r="CF170" s="2339"/>
      <c r="CG170" s="2339">
        <v>1</v>
      </c>
      <c r="CH170" s="2339"/>
      <c r="CI170" s="2339"/>
      <c r="CJ170" s="2339"/>
      <c r="CK170" s="2339"/>
      <c r="CL170" s="2339">
        <v>0</v>
      </c>
      <c r="CM170" s="2339"/>
      <c r="CN170" s="2339"/>
      <c r="CO170" s="2339">
        <v>1</v>
      </c>
      <c r="CP170" s="2339"/>
      <c r="CQ170" s="2339">
        <v>1</v>
      </c>
      <c r="CR170" s="2339"/>
      <c r="CS170" s="2339">
        <v>1</v>
      </c>
      <c r="CT170" s="2339"/>
      <c r="CU170" s="2339"/>
      <c r="CV170" s="2339"/>
      <c r="CW170" s="2339">
        <v>0</v>
      </c>
      <c r="CX170" s="2339" t="s">
        <v>5218</v>
      </c>
      <c r="DA170" s="1516">
        <v>1</v>
      </c>
      <c r="DC170" s="1516">
        <v>1</v>
      </c>
    </row>
    <row r="171" spans="2:107">
      <c r="B171" s="2339" t="s">
        <v>5297</v>
      </c>
      <c r="C171" s="2339">
        <v>36</v>
      </c>
      <c r="D171" s="2339">
        <v>5929.2</v>
      </c>
      <c r="E171" s="2339"/>
      <c r="F171" s="2339"/>
      <c r="G171" s="2339"/>
      <c r="H171" s="2339"/>
      <c r="I171" s="2339"/>
      <c r="J171" s="2339"/>
      <c r="K171" s="2339" t="s">
        <v>504</v>
      </c>
      <c r="L171" s="2339"/>
      <c r="M171" s="2339">
        <v>1</v>
      </c>
      <c r="N171" s="2339"/>
      <c r="O171" s="2339"/>
      <c r="P171" s="2339">
        <v>1</v>
      </c>
      <c r="Q171" s="2339"/>
      <c r="R171" s="2339"/>
      <c r="S171" s="2339"/>
      <c r="T171" s="2339"/>
      <c r="U171" s="2339"/>
      <c r="V171" s="2339"/>
      <c r="W171" s="2339"/>
      <c r="X171" s="2339"/>
      <c r="Y171" s="2339"/>
      <c r="Z171" s="2339"/>
      <c r="AA171" s="2339"/>
      <c r="AB171" s="2339"/>
      <c r="AC171" s="2339"/>
      <c r="AD171" s="2339">
        <v>1</v>
      </c>
      <c r="AE171" s="2339"/>
      <c r="AF171" s="2339">
        <v>3</v>
      </c>
      <c r="AG171" s="2339"/>
      <c r="AH171" s="2339"/>
      <c r="AI171" s="2339"/>
      <c r="AJ171" s="2339"/>
      <c r="AK171" s="2339"/>
      <c r="AL171" s="2339">
        <v>1</v>
      </c>
      <c r="AM171" s="2339"/>
      <c r="AN171" s="2339"/>
      <c r="AO171" s="2339"/>
      <c r="AP171" s="2339"/>
      <c r="AQ171" s="2339"/>
      <c r="AR171" s="2339"/>
      <c r="AS171" s="2339"/>
      <c r="AT171" s="2339">
        <v>3</v>
      </c>
      <c r="AU171" s="2339"/>
      <c r="AV171" s="2339"/>
      <c r="AW171" s="2339"/>
      <c r="AX171" s="2339">
        <v>2</v>
      </c>
      <c r="AY171" s="2339"/>
      <c r="AZ171" s="2339">
        <v>3</v>
      </c>
      <c r="BA171" s="2339"/>
      <c r="BB171" s="2339"/>
      <c r="BC171" s="2339">
        <v>108</v>
      </c>
      <c r="BD171" s="2339"/>
      <c r="BE171" s="2339">
        <v>0</v>
      </c>
      <c r="BF171" s="2339"/>
      <c r="BG171" s="2339"/>
      <c r="BH171" s="2339">
        <v>1</v>
      </c>
      <c r="BI171" s="2339"/>
      <c r="BJ171" s="2339"/>
      <c r="BK171" s="2339"/>
      <c r="BL171" s="2339"/>
      <c r="BM171" s="2339">
        <v>0</v>
      </c>
      <c r="BN171" s="2339">
        <v>0</v>
      </c>
      <c r="BO171" s="2339"/>
      <c r="BP171" s="2339"/>
      <c r="BQ171" s="2339"/>
      <c r="BR171" s="2339"/>
      <c r="BS171" s="2339">
        <v>1</v>
      </c>
      <c r="BT171" s="2339"/>
      <c r="BU171" s="2339"/>
      <c r="BV171" s="2339"/>
      <c r="BW171" s="2339"/>
      <c r="BX171" s="2339"/>
      <c r="BY171" s="2339"/>
      <c r="BZ171" s="2339"/>
      <c r="CA171" s="2339"/>
      <c r="CB171" s="2339"/>
      <c r="CC171" s="2339"/>
      <c r="CD171" s="2339"/>
      <c r="CE171" s="2339"/>
      <c r="CF171" s="2339"/>
      <c r="CG171" s="2339"/>
      <c r="CH171" s="2339"/>
      <c r="CI171" s="2339"/>
      <c r="CJ171" s="2339">
        <v>1</v>
      </c>
      <c r="CK171" s="2339">
        <v>0</v>
      </c>
      <c r="CL171" s="2339">
        <v>0</v>
      </c>
      <c r="CM171" s="2339">
        <v>0</v>
      </c>
      <c r="CN171" s="2339">
        <v>0</v>
      </c>
      <c r="CO171" s="2339"/>
      <c r="CP171" s="2339"/>
      <c r="CQ171" s="2339"/>
      <c r="CR171" s="2339"/>
      <c r="CS171" s="2339"/>
      <c r="CT171" s="2339"/>
      <c r="CU171" s="2339">
        <v>2</v>
      </c>
      <c r="CV171" s="2339"/>
      <c r="CW171" s="2339">
        <v>0</v>
      </c>
      <c r="CX171" s="2339"/>
      <c r="DA171" s="1516">
        <v>1</v>
      </c>
      <c r="DC171" s="1516">
        <v>1</v>
      </c>
    </row>
    <row r="172" spans="2:107">
      <c r="B172" s="2339">
        <v>170</v>
      </c>
      <c r="C172" s="2339">
        <v>36</v>
      </c>
      <c r="D172" s="2339">
        <v>5965.2</v>
      </c>
      <c r="E172" s="2339"/>
      <c r="F172" s="2339"/>
      <c r="G172" s="2339"/>
      <c r="H172" s="2339"/>
      <c r="I172" s="2339"/>
      <c r="J172" s="2339" t="s">
        <v>504</v>
      </c>
      <c r="K172" s="2339" t="s">
        <v>504</v>
      </c>
      <c r="L172" s="2339">
        <v>1</v>
      </c>
      <c r="M172" s="2339"/>
      <c r="N172" s="2339"/>
      <c r="O172" s="2339"/>
      <c r="P172" s="2339"/>
      <c r="Q172" s="2339"/>
      <c r="R172" s="2339"/>
      <c r="S172" s="2339"/>
      <c r="T172" s="2339"/>
      <c r="U172" s="2339"/>
      <c r="V172" s="2339"/>
      <c r="W172" s="2339"/>
      <c r="X172" s="2339"/>
      <c r="Y172" s="2339"/>
      <c r="Z172" s="2339"/>
      <c r="AA172" s="2339">
        <v>1</v>
      </c>
      <c r="AB172" s="2339"/>
      <c r="AC172" s="2339"/>
      <c r="AD172" s="2339">
        <v>1</v>
      </c>
      <c r="AE172" s="2339"/>
      <c r="AF172" s="2339">
        <v>3</v>
      </c>
      <c r="AG172" s="2339"/>
      <c r="AH172" s="2339"/>
      <c r="AI172" s="2339"/>
      <c r="AJ172" s="2339"/>
      <c r="AK172" s="2339"/>
      <c r="AL172" s="2339">
        <v>1</v>
      </c>
      <c r="AM172" s="2339">
        <v>3</v>
      </c>
      <c r="AN172" s="2339">
        <v>3</v>
      </c>
      <c r="AO172" s="2339"/>
      <c r="AP172" s="2339"/>
      <c r="AQ172" s="2339">
        <v>2</v>
      </c>
      <c r="AR172" s="2339"/>
      <c r="AS172" s="2339"/>
      <c r="AT172" s="2339">
        <v>3</v>
      </c>
      <c r="AU172" s="2339"/>
      <c r="AV172" s="2339"/>
      <c r="AW172" s="2339"/>
      <c r="AX172" s="2339"/>
      <c r="AY172" s="2339"/>
      <c r="AZ172" s="2339"/>
      <c r="BA172" s="2339"/>
      <c r="BB172" s="2339"/>
      <c r="BC172" s="2339">
        <v>108</v>
      </c>
      <c r="BD172" s="2339"/>
      <c r="BE172" s="2339">
        <v>0</v>
      </c>
      <c r="BF172" s="2339"/>
      <c r="BG172" s="2339"/>
      <c r="BH172" s="2339"/>
      <c r="BI172" s="2339"/>
      <c r="BJ172" s="2339">
        <v>1</v>
      </c>
      <c r="BK172" s="2339"/>
      <c r="BL172" s="2339"/>
      <c r="BM172" s="2339">
        <v>0</v>
      </c>
      <c r="BN172" s="2339">
        <v>0</v>
      </c>
      <c r="BO172" s="2339"/>
      <c r="BP172" s="2339"/>
      <c r="BQ172" s="2339">
        <v>2</v>
      </c>
      <c r="BR172" s="2339">
        <v>1</v>
      </c>
      <c r="BS172" s="2339"/>
      <c r="BT172" s="2339"/>
      <c r="BU172" s="2339"/>
      <c r="BV172" s="2339"/>
      <c r="BW172" s="2339"/>
      <c r="BX172" s="2339"/>
      <c r="BY172" s="2339"/>
      <c r="BZ172" s="2339"/>
      <c r="CA172" s="2339"/>
      <c r="CB172" s="2339"/>
      <c r="CC172" s="2339"/>
      <c r="CD172" s="2339">
        <v>1</v>
      </c>
      <c r="CE172" s="2339"/>
      <c r="CF172" s="2339"/>
      <c r="CG172" s="2339"/>
      <c r="CH172" s="2339"/>
      <c r="CI172" s="2339"/>
      <c r="CJ172" s="2339"/>
      <c r="CK172" s="2339"/>
      <c r="CL172" s="2339">
        <v>0</v>
      </c>
      <c r="CM172" s="2339"/>
      <c r="CN172" s="2339"/>
      <c r="CO172" s="2339"/>
      <c r="CP172" s="2339"/>
      <c r="CQ172" s="2339"/>
      <c r="CR172" s="2339"/>
      <c r="CS172" s="2339"/>
      <c r="CT172" s="2339"/>
      <c r="CU172" s="2339"/>
      <c r="CV172" s="2339"/>
      <c r="CW172" s="2339">
        <v>0</v>
      </c>
      <c r="CX172" s="2339" t="s">
        <v>5298</v>
      </c>
      <c r="DA172" s="1516">
        <v>1</v>
      </c>
      <c r="DC172" s="1516">
        <v>1</v>
      </c>
    </row>
    <row r="173" spans="2:107">
      <c r="B173" s="2339" t="s">
        <v>5299</v>
      </c>
      <c r="C173" s="2339">
        <v>37</v>
      </c>
      <c r="D173" s="2339">
        <v>6002.2</v>
      </c>
      <c r="E173" s="2339"/>
      <c r="F173" s="2339"/>
      <c r="G173" s="2339"/>
      <c r="H173" s="2339"/>
      <c r="I173" s="2339"/>
      <c r="J173" s="2339"/>
      <c r="K173" s="2339" t="s">
        <v>504</v>
      </c>
      <c r="L173" s="2339"/>
      <c r="M173" s="2339">
        <v>1</v>
      </c>
      <c r="N173" s="2339"/>
      <c r="O173" s="2339"/>
      <c r="P173" s="2339">
        <v>1</v>
      </c>
      <c r="Q173" s="2339"/>
      <c r="R173" s="2339"/>
      <c r="S173" s="2339"/>
      <c r="T173" s="2339"/>
      <c r="U173" s="2339"/>
      <c r="V173" s="2339"/>
      <c r="W173" s="2339"/>
      <c r="X173" s="2339"/>
      <c r="Y173" s="2339"/>
      <c r="Z173" s="2339"/>
      <c r="AA173" s="2339"/>
      <c r="AB173" s="2339"/>
      <c r="AC173" s="2339"/>
      <c r="AD173" s="2339">
        <v>1</v>
      </c>
      <c r="AE173" s="2339"/>
      <c r="AF173" s="2339">
        <v>3</v>
      </c>
      <c r="AG173" s="2339"/>
      <c r="AH173" s="2339"/>
      <c r="AI173" s="2339"/>
      <c r="AJ173" s="2339"/>
      <c r="AK173" s="2339"/>
      <c r="AL173" s="2339">
        <v>1</v>
      </c>
      <c r="AM173" s="2339"/>
      <c r="AN173" s="2339"/>
      <c r="AO173" s="2339"/>
      <c r="AP173" s="2339"/>
      <c r="AQ173" s="2339"/>
      <c r="AR173" s="2339"/>
      <c r="AS173" s="2339"/>
      <c r="AT173" s="2339">
        <v>3</v>
      </c>
      <c r="AU173" s="2339"/>
      <c r="AV173" s="2339"/>
      <c r="AW173" s="2339"/>
      <c r="AX173" s="2339">
        <v>2</v>
      </c>
      <c r="AY173" s="2339"/>
      <c r="AZ173" s="2339">
        <v>2</v>
      </c>
      <c r="BA173" s="2339">
        <v>4</v>
      </c>
      <c r="BB173" s="2339"/>
      <c r="BC173" s="2339">
        <v>111</v>
      </c>
      <c r="BD173" s="2339"/>
      <c r="BE173" s="2339">
        <v>0</v>
      </c>
      <c r="BF173" s="2339"/>
      <c r="BG173" s="2339"/>
      <c r="BH173" s="2339">
        <v>1</v>
      </c>
      <c r="BI173" s="2339"/>
      <c r="BJ173" s="2339"/>
      <c r="BK173" s="2339"/>
      <c r="BL173" s="2339"/>
      <c r="BM173" s="2339">
        <v>0</v>
      </c>
      <c r="BN173" s="2339">
        <v>0</v>
      </c>
      <c r="BO173" s="2339"/>
      <c r="BP173" s="2339"/>
      <c r="BQ173" s="2339"/>
      <c r="BR173" s="2339"/>
      <c r="BS173" s="2339">
        <v>1</v>
      </c>
      <c r="BT173" s="2339"/>
      <c r="BU173" s="2339">
        <v>1</v>
      </c>
      <c r="BV173" s="2339"/>
      <c r="BW173" s="2339"/>
      <c r="BX173" s="2339"/>
      <c r="BY173" s="2339"/>
      <c r="BZ173" s="2339"/>
      <c r="CA173" s="2339"/>
      <c r="CB173" s="2339"/>
      <c r="CC173" s="2339"/>
      <c r="CD173" s="2339"/>
      <c r="CE173" s="2339"/>
      <c r="CF173" s="2339"/>
      <c r="CG173" s="2339"/>
      <c r="CH173" s="2339"/>
      <c r="CI173" s="2339"/>
      <c r="CJ173" s="2339">
        <v>1</v>
      </c>
      <c r="CK173" s="2339">
        <v>0</v>
      </c>
      <c r="CL173" s="2339">
        <v>1</v>
      </c>
      <c r="CM173" s="2339">
        <v>0</v>
      </c>
      <c r="CN173" s="2339">
        <v>0</v>
      </c>
      <c r="CO173" s="2339"/>
      <c r="CP173" s="2339"/>
      <c r="CQ173" s="2339"/>
      <c r="CR173" s="2339"/>
      <c r="CS173" s="2339"/>
      <c r="CT173" s="2339"/>
      <c r="CU173" s="2339">
        <v>2</v>
      </c>
      <c r="CV173" s="2339"/>
      <c r="CW173" s="2339">
        <v>0</v>
      </c>
      <c r="CX173" s="2339"/>
      <c r="DA173" s="1516">
        <v>1</v>
      </c>
      <c r="DC173" s="1516">
        <v>1</v>
      </c>
    </row>
    <row r="174" spans="2:107">
      <c r="B174" s="2339">
        <v>171</v>
      </c>
      <c r="C174" s="2339">
        <v>38</v>
      </c>
      <c r="D174" s="2339">
        <v>6040.2</v>
      </c>
      <c r="E174" s="2339"/>
      <c r="F174" s="2339"/>
      <c r="G174" s="2339"/>
      <c r="H174" s="2339"/>
      <c r="I174" s="2339"/>
      <c r="J174" s="2339" t="s">
        <v>550</v>
      </c>
      <c r="K174" s="2339" t="s">
        <v>550</v>
      </c>
      <c r="L174" s="2339"/>
      <c r="M174" s="2339"/>
      <c r="N174" s="2339">
        <v>1</v>
      </c>
      <c r="O174" s="2339"/>
      <c r="P174" s="2339"/>
      <c r="Q174" s="2339"/>
      <c r="R174" s="2339">
        <v>1</v>
      </c>
      <c r="S174" s="2339"/>
      <c r="T174" s="2339"/>
      <c r="U174" s="2339"/>
      <c r="V174" s="2339">
        <v>2</v>
      </c>
      <c r="W174" s="2339"/>
      <c r="X174" s="2339">
        <v>2</v>
      </c>
      <c r="Y174" s="2339"/>
      <c r="Z174" s="2339"/>
      <c r="AA174" s="2339"/>
      <c r="AB174" s="2339">
        <v>1</v>
      </c>
      <c r="AC174" s="2339"/>
      <c r="AD174" s="2339"/>
      <c r="AE174" s="2339"/>
      <c r="AF174" s="2339">
        <v>6</v>
      </c>
      <c r="AG174" s="2339">
        <v>6</v>
      </c>
      <c r="AH174" s="2339"/>
      <c r="AI174" s="2339"/>
      <c r="AJ174" s="2339">
        <v>6</v>
      </c>
      <c r="AK174" s="2339">
        <v>2</v>
      </c>
      <c r="AL174" s="2339"/>
      <c r="AM174" s="2339"/>
      <c r="AN174" s="2339"/>
      <c r="AO174" s="2339"/>
      <c r="AP174" s="2339"/>
      <c r="AQ174" s="2339">
        <v>2</v>
      </c>
      <c r="AR174" s="2339">
        <v>6</v>
      </c>
      <c r="AS174" s="2339"/>
      <c r="AT174" s="2339">
        <v>6</v>
      </c>
      <c r="AU174" s="2339"/>
      <c r="AV174" s="2339"/>
      <c r="AW174" s="2339"/>
      <c r="AX174" s="2339"/>
      <c r="AY174" s="2339"/>
      <c r="AZ174" s="2339"/>
      <c r="BA174" s="2339"/>
      <c r="BB174" s="2339">
        <v>1.2</v>
      </c>
      <c r="BC174" s="2339">
        <v>114</v>
      </c>
      <c r="BD174" s="2339"/>
      <c r="BE174" s="2339">
        <v>0</v>
      </c>
      <c r="BF174" s="2339">
        <v>1</v>
      </c>
      <c r="BG174" s="2339"/>
      <c r="BH174" s="2339"/>
      <c r="BI174" s="2339"/>
      <c r="BJ174" s="2339"/>
      <c r="BK174" s="2339"/>
      <c r="BL174" s="2339">
        <v>1</v>
      </c>
      <c r="BM174" s="2339">
        <v>0</v>
      </c>
      <c r="BN174" s="2339">
        <v>2</v>
      </c>
      <c r="BO174" s="2339">
        <v>6</v>
      </c>
      <c r="BP174" s="2339"/>
      <c r="BQ174" s="2339">
        <v>1</v>
      </c>
      <c r="BR174" s="2339"/>
      <c r="BS174" s="2339">
        <v>1</v>
      </c>
      <c r="BT174" s="2339"/>
      <c r="BU174" s="2339"/>
      <c r="BV174" s="2339"/>
      <c r="BW174" s="2339"/>
      <c r="BX174" s="2339"/>
      <c r="BY174" s="2339"/>
      <c r="BZ174" s="2339"/>
      <c r="CA174" s="2339"/>
      <c r="CB174" s="2339"/>
      <c r="CC174" s="2339"/>
      <c r="CD174" s="2339"/>
      <c r="CE174" s="2339">
        <v>2</v>
      </c>
      <c r="CF174" s="2339"/>
      <c r="CG174" s="2339"/>
      <c r="CH174" s="2339"/>
      <c r="CI174" s="2339"/>
      <c r="CJ174" s="2339">
        <v>1</v>
      </c>
      <c r="CK174" s="2339"/>
      <c r="CL174" s="2339">
        <v>0</v>
      </c>
      <c r="CM174" s="2339"/>
      <c r="CN174" s="2339"/>
      <c r="CO174" s="2339"/>
      <c r="CP174" s="2339"/>
      <c r="CQ174" s="2339"/>
      <c r="CR174" s="2339"/>
      <c r="CS174" s="2339"/>
      <c r="CT174" s="2339"/>
      <c r="CU174" s="2339"/>
      <c r="CV174" s="2339"/>
      <c r="CW174" s="2339">
        <v>0</v>
      </c>
      <c r="CX174" s="2339"/>
      <c r="DA174" s="1516">
        <v>1</v>
      </c>
      <c r="DC174" s="1516">
        <v>1</v>
      </c>
    </row>
    <row r="175" spans="2:107">
      <c r="B175" s="2339" t="s">
        <v>5300</v>
      </c>
      <c r="C175" s="2339">
        <v>46</v>
      </c>
      <c r="D175" s="2339">
        <v>6086.2</v>
      </c>
      <c r="E175" s="2339"/>
      <c r="F175" s="2339"/>
      <c r="G175" s="2339"/>
      <c r="H175" s="2339"/>
      <c r="I175" s="2339"/>
      <c r="J175" s="2339"/>
      <c r="K175" s="2339" t="s">
        <v>504</v>
      </c>
      <c r="L175" s="2339"/>
      <c r="M175" s="2339"/>
      <c r="N175" s="2339">
        <v>1</v>
      </c>
      <c r="O175" s="2339"/>
      <c r="P175" s="2339"/>
      <c r="Q175" s="2339"/>
      <c r="R175" s="2339">
        <v>1</v>
      </c>
      <c r="S175" s="2339"/>
      <c r="T175" s="2339"/>
      <c r="U175" s="2339"/>
      <c r="V175" s="2339"/>
      <c r="W175" s="2339"/>
      <c r="X175" s="2339"/>
      <c r="Y175" s="2339">
        <v>1</v>
      </c>
      <c r="Z175" s="2339"/>
      <c r="AA175" s="2339"/>
      <c r="AB175" s="2339"/>
      <c r="AC175" s="2339"/>
      <c r="AD175" s="2339">
        <v>1</v>
      </c>
      <c r="AE175" s="2339"/>
      <c r="AF175" s="2339">
        <v>3</v>
      </c>
      <c r="AG175" s="2339"/>
      <c r="AH175" s="2339"/>
      <c r="AI175" s="2339"/>
      <c r="AJ175" s="2339"/>
      <c r="AK175" s="2339"/>
      <c r="AL175" s="2339">
        <v>1</v>
      </c>
      <c r="AM175" s="2339"/>
      <c r="AN175" s="2339"/>
      <c r="AO175" s="2339"/>
      <c r="AP175" s="2339"/>
      <c r="AQ175" s="2339"/>
      <c r="AR175" s="2339"/>
      <c r="AS175" s="2339"/>
      <c r="AT175" s="2339">
        <v>3</v>
      </c>
      <c r="AU175" s="2339"/>
      <c r="AV175" s="2339"/>
      <c r="AW175" s="2339"/>
      <c r="AX175" s="2339"/>
      <c r="AY175" s="2339"/>
      <c r="AZ175" s="2339"/>
      <c r="BA175" s="2339"/>
      <c r="BB175" s="2339"/>
      <c r="BC175" s="2339">
        <v>138</v>
      </c>
      <c r="BD175" s="2339"/>
      <c r="BE175" s="2339">
        <v>0</v>
      </c>
      <c r="BF175" s="2339"/>
      <c r="BG175" s="2339"/>
      <c r="BH175" s="2339"/>
      <c r="BI175" s="2339"/>
      <c r="BJ175" s="2339"/>
      <c r="BK175" s="2339"/>
      <c r="BL175" s="2339"/>
      <c r="BM175" s="2339">
        <v>0</v>
      </c>
      <c r="BN175" s="2339">
        <v>0</v>
      </c>
      <c r="BO175" s="2339"/>
      <c r="BP175" s="2339"/>
      <c r="BQ175" s="2339"/>
      <c r="BR175" s="2339"/>
      <c r="BS175" s="2339"/>
      <c r="BT175" s="2339"/>
      <c r="BU175" s="2339"/>
      <c r="BV175" s="2339"/>
      <c r="BW175" s="2339"/>
      <c r="BX175" s="2339"/>
      <c r="BY175" s="2339"/>
      <c r="BZ175" s="2339"/>
      <c r="CA175" s="2339"/>
      <c r="CB175" s="2339"/>
      <c r="CC175" s="2339"/>
      <c r="CD175" s="2339"/>
      <c r="CE175" s="2339"/>
      <c r="CF175" s="2339"/>
      <c r="CG175" s="2339"/>
      <c r="CH175" s="2339"/>
      <c r="CI175" s="2339"/>
      <c r="CJ175" s="2339">
        <v>0</v>
      </c>
      <c r="CK175" s="2339">
        <v>0</v>
      </c>
      <c r="CL175" s="2339">
        <v>0</v>
      </c>
      <c r="CM175" s="2339">
        <v>0</v>
      </c>
      <c r="CN175" s="2339">
        <v>0</v>
      </c>
      <c r="CO175" s="2339"/>
      <c r="CP175" s="2339"/>
      <c r="CQ175" s="2339"/>
      <c r="CR175" s="2339"/>
      <c r="CS175" s="2339"/>
      <c r="CT175" s="2339"/>
      <c r="CU175" s="2339">
        <v>2</v>
      </c>
      <c r="CV175" s="2339"/>
      <c r="CW175" s="2339">
        <v>0</v>
      </c>
      <c r="CX175" s="2339"/>
      <c r="DA175" s="1516">
        <v>1</v>
      </c>
      <c r="DC175" s="1516">
        <v>1</v>
      </c>
    </row>
    <row r="176" spans="2:107">
      <c r="B176" s="2339">
        <v>172</v>
      </c>
      <c r="C176" s="2339">
        <v>47</v>
      </c>
      <c r="D176" s="2339">
        <v>6133.2</v>
      </c>
      <c r="E176" s="2339"/>
      <c r="F176" s="2339"/>
      <c r="G176" s="2339"/>
      <c r="H176" s="2339"/>
      <c r="I176" s="2339"/>
      <c r="J176" s="2339" t="s">
        <v>4512</v>
      </c>
      <c r="K176" s="2339" t="s">
        <v>4512</v>
      </c>
      <c r="L176" s="2339">
        <v>1</v>
      </c>
      <c r="M176" s="2339"/>
      <c r="N176" s="2339">
        <v>1</v>
      </c>
      <c r="O176" s="2339"/>
      <c r="P176" s="2339"/>
      <c r="Q176" s="2339"/>
      <c r="R176" s="2339">
        <v>1</v>
      </c>
      <c r="S176" s="2339"/>
      <c r="T176" s="2339"/>
      <c r="U176" s="2339"/>
      <c r="V176" s="2339"/>
      <c r="W176" s="2339"/>
      <c r="X176" s="2339"/>
      <c r="Y176" s="2339"/>
      <c r="Z176" s="2339"/>
      <c r="AA176" s="2339"/>
      <c r="AB176" s="2339"/>
      <c r="AC176" s="2339"/>
      <c r="AD176" s="2339"/>
      <c r="AE176" s="2339">
        <v>1</v>
      </c>
      <c r="AF176" s="2339">
        <v>6</v>
      </c>
      <c r="AG176" s="2339"/>
      <c r="AH176" s="2339"/>
      <c r="AI176" s="2339"/>
      <c r="AJ176" s="2339"/>
      <c r="AK176" s="2339"/>
      <c r="AL176" s="2339">
        <v>1</v>
      </c>
      <c r="AM176" s="2339"/>
      <c r="AN176" s="2339"/>
      <c r="AO176" s="2339"/>
      <c r="AP176" s="2339"/>
      <c r="AQ176" s="2339"/>
      <c r="AR176" s="2339"/>
      <c r="AS176" s="2339">
        <v>6</v>
      </c>
      <c r="AT176" s="2339"/>
      <c r="AU176" s="2339"/>
      <c r="AV176" s="2339"/>
      <c r="AW176" s="2339"/>
      <c r="AX176" s="2339"/>
      <c r="AY176" s="2339"/>
      <c r="AZ176" s="2339"/>
      <c r="BA176" s="2339"/>
      <c r="BB176" s="2339"/>
      <c r="BC176" s="2339">
        <v>141</v>
      </c>
      <c r="BD176" s="2339"/>
      <c r="BE176" s="2339">
        <v>0</v>
      </c>
      <c r="BF176" s="2339">
        <v>1</v>
      </c>
      <c r="BG176" s="2339"/>
      <c r="BH176" s="2339"/>
      <c r="BI176" s="2339"/>
      <c r="BJ176" s="2339"/>
      <c r="BK176" s="2339">
        <v>1</v>
      </c>
      <c r="BL176" s="2339"/>
      <c r="BM176" s="2339">
        <v>0</v>
      </c>
      <c r="BN176" s="2339">
        <v>0</v>
      </c>
      <c r="BO176" s="2339"/>
      <c r="BP176" s="2339"/>
      <c r="BQ176" s="2339">
        <v>4</v>
      </c>
      <c r="BR176" s="2339">
        <v>2</v>
      </c>
      <c r="BS176" s="2339"/>
      <c r="BT176" s="2339"/>
      <c r="BU176" s="2339"/>
      <c r="BV176" s="2339"/>
      <c r="BW176" s="2339"/>
      <c r="BX176" s="2339"/>
      <c r="BY176" s="2339"/>
      <c r="BZ176" s="2339"/>
      <c r="CA176" s="2339"/>
      <c r="CB176" s="2339"/>
      <c r="CC176" s="2339"/>
      <c r="CD176" s="2339">
        <v>1</v>
      </c>
      <c r="CE176" s="2339"/>
      <c r="CF176" s="2339"/>
      <c r="CG176" s="2339"/>
      <c r="CH176" s="2339"/>
      <c r="CI176" s="2339"/>
      <c r="CJ176" s="2339"/>
      <c r="CK176" s="2339"/>
      <c r="CL176" s="2339">
        <v>0</v>
      </c>
      <c r="CM176" s="2339"/>
      <c r="CN176" s="2339"/>
      <c r="CO176" s="2339"/>
      <c r="CP176" s="2339"/>
      <c r="CQ176" s="2339"/>
      <c r="CR176" s="2339"/>
      <c r="CS176" s="2339"/>
      <c r="CT176" s="2339"/>
      <c r="CU176" s="2339"/>
      <c r="CV176" s="2339"/>
      <c r="CW176" s="2339">
        <v>0</v>
      </c>
      <c r="CX176" s="2339"/>
      <c r="DA176" s="1516">
        <v>1</v>
      </c>
      <c r="DC176" s="1516">
        <v>1</v>
      </c>
    </row>
    <row r="177" spans="2:107">
      <c r="B177" s="2339" t="s">
        <v>5301</v>
      </c>
      <c r="C177" s="2339">
        <v>45</v>
      </c>
      <c r="D177" s="2339">
        <v>6178.2</v>
      </c>
      <c r="E177" s="2339"/>
      <c r="F177" s="2339"/>
      <c r="G177" s="2339"/>
      <c r="H177" s="2339"/>
      <c r="I177" s="2339"/>
      <c r="J177" s="2339"/>
      <c r="K177" s="2339" t="s">
        <v>504</v>
      </c>
      <c r="L177" s="2339"/>
      <c r="M177" s="2339">
        <v>1</v>
      </c>
      <c r="N177" s="2339"/>
      <c r="O177" s="2339"/>
      <c r="P177" s="2339">
        <v>1</v>
      </c>
      <c r="Q177" s="2339"/>
      <c r="R177" s="2339"/>
      <c r="S177" s="2339"/>
      <c r="T177" s="2339"/>
      <c r="U177" s="2339"/>
      <c r="V177" s="2339"/>
      <c r="W177" s="2339"/>
      <c r="X177" s="2339"/>
      <c r="Y177" s="2339"/>
      <c r="Z177" s="2339"/>
      <c r="AA177" s="2339"/>
      <c r="AB177" s="2339"/>
      <c r="AC177" s="2339"/>
      <c r="AD177" s="2339">
        <v>1</v>
      </c>
      <c r="AE177" s="2339"/>
      <c r="AF177" s="2339">
        <v>3</v>
      </c>
      <c r="AG177" s="2339"/>
      <c r="AH177" s="2339"/>
      <c r="AI177" s="2339"/>
      <c r="AJ177" s="2339"/>
      <c r="AK177" s="2339"/>
      <c r="AL177" s="2339">
        <v>1</v>
      </c>
      <c r="AM177" s="2339"/>
      <c r="AN177" s="2339"/>
      <c r="AO177" s="2339"/>
      <c r="AP177" s="2339"/>
      <c r="AQ177" s="2339"/>
      <c r="AR177" s="2339"/>
      <c r="AS177" s="2339"/>
      <c r="AT177" s="2339">
        <v>3</v>
      </c>
      <c r="AU177" s="2339"/>
      <c r="AV177" s="2339"/>
      <c r="AW177" s="2339"/>
      <c r="AX177" s="2339">
        <v>2</v>
      </c>
      <c r="AY177" s="2339"/>
      <c r="AZ177" s="2339">
        <v>4</v>
      </c>
      <c r="BA177" s="2339">
        <v>4</v>
      </c>
      <c r="BB177" s="2339"/>
      <c r="BC177" s="2339">
        <v>135</v>
      </c>
      <c r="BD177" s="2339"/>
      <c r="BE177" s="2339">
        <v>0</v>
      </c>
      <c r="BF177" s="2339"/>
      <c r="BG177" s="2339"/>
      <c r="BH177" s="2339">
        <v>1</v>
      </c>
      <c r="BI177" s="2339"/>
      <c r="BJ177" s="2339"/>
      <c r="BK177" s="2339"/>
      <c r="BL177" s="2339"/>
      <c r="BM177" s="2339">
        <v>0</v>
      </c>
      <c r="BN177" s="2339">
        <v>0</v>
      </c>
      <c r="BO177" s="2339"/>
      <c r="BP177" s="2339"/>
      <c r="BQ177" s="2339"/>
      <c r="BR177" s="2339"/>
      <c r="BS177" s="2339">
        <v>2</v>
      </c>
      <c r="BT177" s="2339"/>
      <c r="BU177" s="2339">
        <v>1</v>
      </c>
      <c r="BV177" s="2339"/>
      <c r="BW177" s="2339"/>
      <c r="BX177" s="2339"/>
      <c r="BY177" s="2339"/>
      <c r="BZ177" s="2339"/>
      <c r="CA177" s="2339"/>
      <c r="CB177" s="2339"/>
      <c r="CC177" s="2339"/>
      <c r="CD177" s="2339"/>
      <c r="CE177" s="2339"/>
      <c r="CF177" s="2339"/>
      <c r="CG177" s="2339"/>
      <c r="CH177" s="2339"/>
      <c r="CI177" s="2339"/>
      <c r="CJ177" s="2339">
        <v>2</v>
      </c>
      <c r="CK177" s="2339">
        <v>0</v>
      </c>
      <c r="CL177" s="2339">
        <v>1</v>
      </c>
      <c r="CM177" s="2339">
        <v>0</v>
      </c>
      <c r="CN177" s="2339">
        <v>0</v>
      </c>
      <c r="CO177" s="2339"/>
      <c r="CP177" s="2339"/>
      <c r="CQ177" s="2339"/>
      <c r="CR177" s="2339"/>
      <c r="CS177" s="2339"/>
      <c r="CT177" s="2339"/>
      <c r="CU177" s="2339">
        <v>2</v>
      </c>
      <c r="CV177" s="2339"/>
      <c r="CW177" s="2339">
        <v>0</v>
      </c>
      <c r="CX177" s="2339"/>
      <c r="DA177" s="1516">
        <v>1</v>
      </c>
      <c r="DC177" s="1516">
        <v>1</v>
      </c>
    </row>
    <row r="178" spans="2:107">
      <c r="B178" s="2339">
        <v>173</v>
      </c>
      <c r="C178" s="2339">
        <v>45.1</v>
      </c>
      <c r="D178" s="2339">
        <v>6223.3</v>
      </c>
      <c r="E178" s="2339"/>
      <c r="F178" s="2339"/>
      <c r="G178" s="2339"/>
      <c r="H178" s="2339"/>
      <c r="I178" s="2339"/>
      <c r="J178" s="2339" t="s">
        <v>663</v>
      </c>
      <c r="K178" s="2339" t="s">
        <v>663</v>
      </c>
      <c r="L178" s="2339">
        <v>1</v>
      </c>
      <c r="M178" s="2339"/>
      <c r="N178" s="2339"/>
      <c r="O178" s="2339"/>
      <c r="P178" s="2339"/>
      <c r="Q178" s="2339"/>
      <c r="R178" s="2339"/>
      <c r="S178" s="2339"/>
      <c r="T178" s="2339"/>
      <c r="U178" s="2339"/>
      <c r="V178" s="2339"/>
      <c r="W178" s="2339"/>
      <c r="X178" s="2339"/>
      <c r="Y178" s="2339"/>
      <c r="Z178" s="2339"/>
      <c r="AA178" s="2339"/>
      <c r="AB178" s="2339"/>
      <c r="AC178" s="2339"/>
      <c r="AD178" s="2339">
        <v>1</v>
      </c>
      <c r="AE178" s="2339"/>
      <c r="AF178" s="2339">
        <v>3</v>
      </c>
      <c r="AG178" s="2339"/>
      <c r="AH178" s="2339"/>
      <c r="AI178" s="2339"/>
      <c r="AJ178" s="2339"/>
      <c r="AK178" s="2339"/>
      <c r="AL178" s="2339">
        <v>1</v>
      </c>
      <c r="AM178" s="2339">
        <v>3</v>
      </c>
      <c r="AN178" s="2339">
        <v>3</v>
      </c>
      <c r="AO178" s="2339"/>
      <c r="AP178" s="2339"/>
      <c r="AQ178" s="2339">
        <v>2</v>
      </c>
      <c r="AR178" s="2339"/>
      <c r="AS178" s="2339"/>
      <c r="AT178" s="2339">
        <v>3</v>
      </c>
      <c r="AU178" s="2339"/>
      <c r="AV178" s="2339"/>
      <c r="AW178" s="2339"/>
      <c r="AX178" s="2339"/>
      <c r="AY178" s="2339"/>
      <c r="AZ178" s="2339"/>
      <c r="BA178" s="2339"/>
      <c r="BB178" s="2339"/>
      <c r="BC178" s="2339">
        <v>135.30000000000001</v>
      </c>
      <c r="BD178" s="2339"/>
      <c r="BE178" s="2339">
        <v>0</v>
      </c>
      <c r="BF178" s="2339"/>
      <c r="BG178" s="2339"/>
      <c r="BH178" s="2339"/>
      <c r="BI178" s="2339"/>
      <c r="BJ178" s="2339">
        <v>1</v>
      </c>
      <c r="BK178" s="2339"/>
      <c r="BL178" s="2339"/>
      <c r="BM178" s="2339">
        <v>0</v>
      </c>
      <c r="BN178" s="2339">
        <v>0</v>
      </c>
      <c r="BO178" s="2339"/>
      <c r="BP178" s="2339"/>
      <c r="BQ178" s="2339">
        <v>2</v>
      </c>
      <c r="BR178" s="2339">
        <v>1</v>
      </c>
      <c r="BS178" s="2339"/>
      <c r="BT178" s="2339"/>
      <c r="BU178" s="2339"/>
      <c r="BV178" s="2339"/>
      <c r="BW178" s="2339"/>
      <c r="BX178" s="2339"/>
      <c r="BY178" s="2339"/>
      <c r="BZ178" s="2339"/>
      <c r="CA178" s="2339"/>
      <c r="CB178" s="2339"/>
      <c r="CC178" s="2339"/>
      <c r="CD178" s="2339">
        <v>1</v>
      </c>
      <c r="CE178" s="2339"/>
      <c r="CF178" s="2339"/>
      <c r="CG178" s="2339"/>
      <c r="CH178" s="2339"/>
      <c r="CI178" s="2339"/>
      <c r="CJ178" s="2339"/>
      <c r="CK178" s="2339"/>
      <c r="CL178" s="2339">
        <v>0</v>
      </c>
      <c r="CM178" s="2339"/>
      <c r="CN178" s="2339"/>
      <c r="CO178" s="2339"/>
      <c r="CP178" s="2339"/>
      <c r="CQ178" s="2339"/>
      <c r="CR178" s="2339"/>
      <c r="CS178" s="2339"/>
      <c r="CT178" s="2339"/>
      <c r="CU178" s="2339"/>
      <c r="CV178" s="2339"/>
      <c r="CW178" s="2339">
        <v>0</v>
      </c>
      <c r="CX178" s="2339" t="s">
        <v>5231</v>
      </c>
      <c r="DA178" s="1516">
        <v>1</v>
      </c>
      <c r="DC178" s="1516">
        <v>1</v>
      </c>
    </row>
    <row r="179" spans="2:107">
      <c r="B179" s="2339" t="s">
        <v>5302</v>
      </c>
      <c r="C179" s="2339">
        <v>48</v>
      </c>
      <c r="D179" s="2339">
        <v>6271.3</v>
      </c>
      <c r="E179" s="2339"/>
      <c r="F179" s="2339"/>
      <c r="G179" s="2339"/>
      <c r="H179" s="2339"/>
      <c r="I179" s="2339"/>
      <c r="J179" s="2339"/>
      <c r="K179" s="2339" t="s">
        <v>504</v>
      </c>
      <c r="L179" s="2339"/>
      <c r="M179" s="2339">
        <v>1</v>
      </c>
      <c r="N179" s="2339"/>
      <c r="O179" s="2339"/>
      <c r="P179" s="2339">
        <v>1</v>
      </c>
      <c r="Q179" s="2339"/>
      <c r="R179" s="2339"/>
      <c r="S179" s="2339"/>
      <c r="T179" s="2339"/>
      <c r="U179" s="2339"/>
      <c r="V179" s="2339"/>
      <c r="W179" s="2339"/>
      <c r="X179" s="2339"/>
      <c r="Y179" s="2339"/>
      <c r="Z179" s="2339"/>
      <c r="AA179" s="2339"/>
      <c r="AB179" s="2339"/>
      <c r="AC179" s="2339"/>
      <c r="AD179" s="2339">
        <v>1</v>
      </c>
      <c r="AE179" s="2339"/>
      <c r="AF179" s="2339">
        <v>3</v>
      </c>
      <c r="AG179" s="2339"/>
      <c r="AH179" s="2339"/>
      <c r="AI179" s="2339"/>
      <c r="AJ179" s="2339"/>
      <c r="AK179" s="2339"/>
      <c r="AL179" s="2339">
        <v>1</v>
      </c>
      <c r="AM179" s="2339"/>
      <c r="AN179" s="2339"/>
      <c r="AO179" s="2339"/>
      <c r="AP179" s="2339"/>
      <c r="AQ179" s="2339"/>
      <c r="AR179" s="2339"/>
      <c r="AS179" s="2339"/>
      <c r="AT179" s="2339">
        <v>3</v>
      </c>
      <c r="AU179" s="2339"/>
      <c r="AV179" s="2339"/>
      <c r="AW179" s="2339"/>
      <c r="AX179" s="2339">
        <v>2</v>
      </c>
      <c r="AY179" s="2339"/>
      <c r="AZ179" s="2339">
        <v>9</v>
      </c>
      <c r="BA179" s="2339">
        <v>4</v>
      </c>
      <c r="BB179" s="2339"/>
      <c r="BC179" s="2339">
        <v>144</v>
      </c>
      <c r="BD179" s="2339"/>
      <c r="BE179" s="2339">
        <v>0</v>
      </c>
      <c r="BF179" s="2339"/>
      <c r="BG179" s="2339"/>
      <c r="BH179" s="2339">
        <v>1</v>
      </c>
      <c r="BI179" s="2339"/>
      <c r="BJ179" s="2339"/>
      <c r="BK179" s="2339"/>
      <c r="BL179" s="2339"/>
      <c r="BM179" s="2339">
        <v>0</v>
      </c>
      <c r="BN179" s="2339">
        <v>0</v>
      </c>
      <c r="BO179" s="2339"/>
      <c r="BP179" s="2339"/>
      <c r="BQ179" s="2339"/>
      <c r="BR179" s="2339"/>
      <c r="BS179" s="2339">
        <v>1</v>
      </c>
      <c r="BT179" s="2339"/>
      <c r="BU179" s="2339">
        <v>1</v>
      </c>
      <c r="BV179" s="2339"/>
      <c r="BW179" s="2339"/>
      <c r="BX179" s="2339"/>
      <c r="BY179" s="2339"/>
      <c r="BZ179" s="2339"/>
      <c r="CA179" s="2339"/>
      <c r="CB179" s="2339"/>
      <c r="CC179" s="2339"/>
      <c r="CD179" s="2339"/>
      <c r="CE179" s="2339"/>
      <c r="CF179" s="2339"/>
      <c r="CG179" s="2339"/>
      <c r="CH179" s="2339"/>
      <c r="CI179" s="2339"/>
      <c r="CJ179" s="2339">
        <v>1</v>
      </c>
      <c r="CK179" s="2339">
        <v>0</v>
      </c>
      <c r="CL179" s="2339">
        <v>1</v>
      </c>
      <c r="CM179" s="2339">
        <v>0</v>
      </c>
      <c r="CN179" s="2339">
        <v>0</v>
      </c>
      <c r="CO179" s="2339"/>
      <c r="CP179" s="2339"/>
      <c r="CQ179" s="2339"/>
      <c r="CR179" s="2339"/>
      <c r="CS179" s="2339"/>
      <c r="CT179" s="2339"/>
      <c r="CU179" s="2339">
        <v>2</v>
      </c>
      <c r="CV179" s="2339"/>
      <c r="CW179" s="2339">
        <v>0</v>
      </c>
      <c r="CX179" s="2339"/>
      <c r="DA179" s="1516">
        <v>1</v>
      </c>
      <c r="DC179" s="1516">
        <v>1</v>
      </c>
    </row>
    <row r="180" spans="2:107">
      <c r="B180" s="2339">
        <v>174</v>
      </c>
      <c r="C180" s="2339">
        <v>46.7</v>
      </c>
      <c r="D180" s="2339">
        <v>6318</v>
      </c>
      <c r="E180" s="2339"/>
      <c r="F180" s="2339"/>
      <c r="G180" s="2339"/>
      <c r="H180" s="2339">
        <v>3</v>
      </c>
      <c r="I180" s="2339"/>
      <c r="J180" s="2339" t="s">
        <v>550</v>
      </c>
      <c r="K180" s="2339" t="s">
        <v>550</v>
      </c>
      <c r="L180" s="2339">
        <v>1</v>
      </c>
      <c r="M180" s="2339"/>
      <c r="N180" s="2339"/>
      <c r="O180" s="2339"/>
      <c r="P180" s="2339"/>
      <c r="Q180" s="2339"/>
      <c r="R180" s="2339"/>
      <c r="S180" s="2339"/>
      <c r="T180" s="2339"/>
      <c r="U180" s="2339"/>
      <c r="V180" s="2339"/>
      <c r="W180" s="2339"/>
      <c r="X180" s="2339"/>
      <c r="Y180" s="2339"/>
      <c r="Z180" s="2339"/>
      <c r="AA180" s="2339"/>
      <c r="AB180" s="2339"/>
      <c r="AC180" s="2339"/>
      <c r="AD180" s="2339"/>
      <c r="AE180" s="2339"/>
      <c r="AF180" s="2339">
        <v>6</v>
      </c>
      <c r="AG180" s="2339"/>
      <c r="AH180" s="2339"/>
      <c r="AI180" s="2339"/>
      <c r="AJ180" s="2339">
        <v>6</v>
      </c>
      <c r="AK180" s="2339"/>
      <c r="AL180" s="2339">
        <v>1</v>
      </c>
      <c r="AM180" s="2339">
        <v>3</v>
      </c>
      <c r="AN180" s="2339">
        <v>3</v>
      </c>
      <c r="AO180" s="2339"/>
      <c r="AP180" s="2339"/>
      <c r="AQ180" s="2339"/>
      <c r="AR180" s="2339"/>
      <c r="AS180" s="2339"/>
      <c r="AT180" s="2339">
        <v>6</v>
      </c>
      <c r="AU180" s="2339"/>
      <c r="AV180" s="2339"/>
      <c r="AW180" s="2339"/>
      <c r="AX180" s="2339"/>
      <c r="AY180" s="2339"/>
      <c r="AZ180" s="2339"/>
      <c r="BA180" s="2339"/>
      <c r="BB180" s="2339"/>
      <c r="BC180" s="2339">
        <v>140.1</v>
      </c>
      <c r="BD180" s="2339"/>
      <c r="BE180" s="2339">
        <v>0</v>
      </c>
      <c r="BF180" s="2339"/>
      <c r="BG180" s="2339"/>
      <c r="BH180" s="2339"/>
      <c r="BI180" s="2339"/>
      <c r="BJ180" s="2339"/>
      <c r="BK180" s="2339"/>
      <c r="BL180" s="2339"/>
      <c r="BM180" s="2339">
        <v>0</v>
      </c>
      <c r="BN180" s="2339">
        <v>0</v>
      </c>
      <c r="BO180" s="2339"/>
      <c r="BP180" s="2339"/>
      <c r="BQ180" s="2339"/>
      <c r="BR180" s="2339"/>
      <c r="BS180" s="2339"/>
      <c r="BT180" s="2339"/>
      <c r="BU180" s="2339"/>
      <c r="BV180" s="2339"/>
      <c r="BW180" s="2339"/>
      <c r="BX180" s="2339"/>
      <c r="BY180" s="2339"/>
      <c r="BZ180" s="2339"/>
      <c r="CA180" s="2339"/>
      <c r="CB180" s="2339"/>
      <c r="CC180" s="2339"/>
      <c r="CD180" s="2339">
        <v>1</v>
      </c>
      <c r="CE180" s="2339"/>
      <c r="CF180" s="2339"/>
      <c r="CG180" s="2339"/>
      <c r="CH180" s="2339"/>
      <c r="CI180" s="2339"/>
      <c r="CJ180" s="2339"/>
      <c r="CK180" s="2339"/>
      <c r="CL180" s="2339"/>
      <c r="CM180" s="2339"/>
      <c r="CN180" s="2339"/>
      <c r="CO180" s="2339"/>
      <c r="CP180" s="2339"/>
      <c r="CQ180" s="2339"/>
      <c r="CR180" s="2339"/>
      <c r="CS180" s="2339"/>
      <c r="CT180" s="2339"/>
      <c r="CU180" s="2339"/>
      <c r="CV180" s="2339"/>
      <c r="CW180" s="2339">
        <v>0</v>
      </c>
      <c r="CX180" s="2339"/>
      <c r="DA180" s="1516">
        <v>1</v>
      </c>
      <c r="DC180" s="1516">
        <v>1</v>
      </c>
    </row>
    <row r="181" spans="2:107">
      <c r="B181" s="2339" t="s">
        <v>5303</v>
      </c>
      <c r="C181" s="2339">
        <v>20</v>
      </c>
      <c r="D181" s="2339">
        <v>6338</v>
      </c>
      <c r="E181" s="2339"/>
      <c r="F181" s="2339"/>
      <c r="G181" s="2339"/>
      <c r="H181" s="2339"/>
      <c r="I181" s="2339"/>
      <c r="J181" s="2339" t="s">
        <v>550</v>
      </c>
      <c r="K181" s="2339" t="s">
        <v>550</v>
      </c>
      <c r="L181" s="2339">
        <v>1</v>
      </c>
      <c r="M181" s="2339"/>
      <c r="N181" s="2339"/>
      <c r="O181" s="2339"/>
      <c r="P181" s="2339"/>
      <c r="Q181" s="2339"/>
      <c r="R181" s="2339"/>
      <c r="S181" s="2339"/>
      <c r="T181" s="2339"/>
      <c r="U181" s="2339"/>
      <c r="V181" s="2339"/>
      <c r="W181" s="2339"/>
      <c r="X181" s="2339"/>
      <c r="Y181" s="2339"/>
      <c r="Z181" s="2339"/>
      <c r="AA181" s="2339"/>
      <c r="AB181" s="2339"/>
      <c r="AC181" s="2339"/>
      <c r="AD181" s="2339"/>
      <c r="AE181" s="2339"/>
      <c r="AF181" s="2339"/>
      <c r="AG181" s="2339"/>
      <c r="AH181" s="2339"/>
      <c r="AI181" s="2339"/>
      <c r="AJ181" s="2339">
        <v>3</v>
      </c>
      <c r="AK181" s="2339">
        <v>1</v>
      </c>
      <c r="AL181" s="2339"/>
      <c r="AM181" s="2339">
        <v>3</v>
      </c>
      <c r="AN181" s="2339">
        <v>3</v>
      </c>
      <c r="AO181" s="2339"/>
      <c r="AP181" s="2339"/>
      <c r="AQ181" s="2339"/>
      <c r="AR181" s="2339">
        <v>6</v>
      </c>
      <c r="AS181" s="2339"/>
      <c r="AT181" s="2339"/>
      <c r="AU181" s="2339"/>
      <c r="AV181" s="2339"/>
      <c r="AW181" s="2339"/>
      <c r="AX181" s="2339"/>
      <c r="AY181" s="2339"/>
      <c r="AZ181" s="2339"/>
      <c r="BA181" s="2339"/>
      <c r="BB181" s="2339"/>
      <c r="BC181" s="2339">
        <v>60</v>
      </c>
      <c r="BD181" s="2339"/>
      <c r="BE181" s="2339">
        <v>0</v>
      </c>
      <c r="BF181" s="2339"/>
      <c r="BG181" s="2339"/>
      <c r="BH181" s="2339"/>
      <c r="BI181" s="2339"/>
      <c r="BJ181" s="2339"/>
      <c r="BK181" s="2339"/>
      <c r="BL181" s="2339"/>
      <c r="BM181" s="2339"/>
      <c r="BN181" s="2339"/>
      <c r="BO181" s="2339"/>
      <c r="BP181" s="2339"/>
      <c r="BQ181" s="2339"/>
      <c r="BR181" s="2339"/>
      <c r="BS181" s="2339"/>
      <c r="BT181" s="2339"/>
      <c r="BU181" s="2339"/>
      <c r="BV181" s="2339"/>
      <c r="BW181" s="2339"/>
      <c r="BX181" s="2339"/>
      <c r="BY181" s="2339"/>
      <c r="BZ181" s="2339"/>
      <c r="CA181" s="2339"/>
      <c r="CB181" s="2339"/>
      <c r="CC181" s="2339"/>
      <c r="CD181" s="2339"/>
      <c r="CE181" s="2339"/>
      <c r="CF181" s="2339"/>
      <c r="CG181" s="2339"/>
      <c r="CH181" s="2339"/>
      <c r="CI181" s="2339"/>
      <c r="CJ181" s="2339"/>
      <c r="CK181" s="2339"/>
      <c r="CL181" s="2339"/>
      <c r="CM181" s="2339"/>
      <c r="CN181" s="2339"/>
      <c r="CO181" s="2339"/>
      <c r="CP181" s="2339"/>
      <c r="CQ181" s="2339"/>
      <c r="CR181" s="2339"/>
      <c r="CS181" s="2339"/>
      <c r="CT181" s="2339"/>
      <c r="CU181" s="2339"/>
      <c r="CV181" s="2339"/>
      <c r="CW181" s="2339">
        <v>0</v>
      </c>
      <c r="CX181" s="2339"/>
      <c r="DA181" s="1516">
        <v>1</v>
      </c>
      <c r="DC181" s="1516">
        <v>1</v>
      </c>
    </row>
    <row r="182" spans="2:107">
      <c r="B182" s="2339"/>
      <c r="C182" s="2339"/>
      <c r="D182" s="2339"/>
      <c r="E182" s="2339"/>
      <c r="F182" s="2339"/>
      <c r="G182" s="2339"/>
      <c r="H182" s="2339"/>
      <c r="I182" s="2339"/>
      <c r="J182" s="2339"/>
      <c r="K182" s="2339"/>
      <c r="L182" s="2339"/>
      <c r="M182" s="2339"/>
      <c r="N182" s="2339"/>
      <c r="O182" s="2339"/>
      <c r="P182" s="2339"/>
      <c r="Q182" s="2339"/>
      <c r="R182" s="2339"/>
      <c r="S182" s="2339"/>
      <c r="T182" s="2339"/>
      <c r="U182" s="2339"/>
      <c r="V182" s="2339"/>
      <c r="W182" s="2339"/>
      <c r="X182" s="2339"/>
      <c r="Y182" s="2339"/>
      <c r="Z182" s="2339"/>
      <c r="AA182" s="2339"/>
      <c r="AB182" s="2339"/>
      <c r="AC182" s="2339"/>
      <c r="AD182" s="2339"/>
      <c r="AE182" s="2339"/>
      <c r="AF182" s="2339"/>
      <c r="AG182" s="2339"/>
      <c r="AH182" s="2339"/>
      <c r="AI182" s="2339"/>
      <c r="AJ182" s="2339"/>
      <c r="AK182" s="2339"/>
      <c r="AL182" s="2339"/>
      <c r="AM182" s="2339"/>
      <c r="AN182" s="2339"/>
      <c r="AO182" s="2339"/>
      <c r="AP182" s="2339"/>
      <c r="AQ182" s="2339"/>
      <c r="AR182" s="2339"/>
      <c r="AS182" s="2339"/>
      <c r="AT182" s="2339"/>
      <c r="AU182" s="2339"/>
      <c r="AV182" s="2339"/>
      <c r="AW182" s="2339"/>
      <c r="AX182" s="2339"/>
      <c r="AY182" s="2339"/>
      <c r="AZ182" s="2339"/>
      <c r="BA182" s="2339"/>
      <c r="BB182" s="2339"/>
      <c r="BC182" s="2339"/>
      <c r="BD182" s="2339"/>
      <c r="BE182" s="2339"/>
      <c r="BF182" s="2339"/>
      <c r="BG182" s="2339"/>
      <c r="BH182" s="2339"/>
      <c r="BI182" s="2339"/>
      <c r="BJ182" s="2339"/>
      <c r="BK182" s="2339"/>
      <c r="BL182" s="2339"/>
      <c r="BM182" s="2339"/>
      <c r="BN182" s="2339"/>
      <c r="BO182" s="2339"/>
      <c r="BP182" s="2339"/>
      <c r="BQ182" s="2339"/>
      <c r="BR182" s="2339"/>
      <c r="BS182" s="2339"/>
      <c r="BT182" s="2339"/>
      <c r="BU182" s="2339"/>
      <c r="BV182" s="2339"/>
      <c r="BW182" s="2339"/>
      <c r="BX182" s="2339"/>
      <c r="BY182" s="2339"/>
      <c r="BZ182" s="2339"/>
      <c r="CA182" s="2339"/>
      <c r="CB182" s="2339"/>
      <c r="CC182" s="2339"/>
      <c r="CD182" s="2339"/>
      <c r="CE182" s="2339"/>
      <c r="CF182" s="2339"/>
      <c r="CG182" s="2339"/>
      <c r="CH182" s="2339"/>
      <c r="CI182" s="2339"/>
      <c r="CJ182" s="2339"/>
      <c r="CK182" s="2339"/>
      <c r="CL182" s="2339"/>
      <c r="CM182" s="2339"/>
      <c r="CN182" s="2339"/>
      <c r="CO182" s="2339"/>
      <c r="CP182" s="2339"/>
      <c r="CQ182" s="2339"/>
      <c r="CR182" s="2339"/>
      <c r="CS182" s="2339"/>
      <c r="CT182" s="2339"/>
      <c r="CU182" s="2339"/>
      <c r="CV182" s="2339"/>
      <c r="CW182" s="2339">
        <v>0</v>
      </c>
      <c r="CX182" s="2339"/>
    </row>
    <row r="183" spans="2:107">
      <c r="B183" s="2339" t="s">
        <v>5313</v>
      </c>
      <c r="C183" s="2339">
        <v>6338</v>
      </c>
      <c r="D183" s="2339">
        <v>6338</v>
      </c>
      <c r="E183" s="2339">
        <v>159</v>
      </c>
      <c r="F183" s="2339">
        <v>12</v>
      </c>
      <c r="G183" s="2339">
        <v>24</v>
      </c>
      <c r="H183" s="2339">
        <v>15</v>
      </c>
      <c r="I183" s="2339">
        <v>59</v>
      </c>
      <c r="J183" s="2339"/>
      <c r="K183" s="2339"/>
      <c r="L183" s="2339">
        <v>94</v>
      </c>
      <c r="M183" s="2339">
        <v>96</v>
      </c>
      <c r="N183" s="2339">
        <v>15</v>
      </c>
      <c r="O183" s="2339">
        <v>36</v>
      </c>
      <c r="P183" s="2339">
        <v>40</v>
      </c>
      <c r="Q183" s="2339">
        <v>10</v>
      </c>
      <c r="R183" s="2339">
        <v>15</v>
      </c>
      <c r="S183" s="2339">
        <v>7</v>
      </c>
      <c r="T183" s="2339">
        <v>3</v>
      </c>
      <c r="U183" s="2339">
        <v>2</v>
      </c>
      <c r="V183" s="2339">
        <v>2</v>
      </c>
      <c r="W183" s="2339">
        <v>1</v>
      </c>
      <c r="X183" s="2339">
        <v>2</v>
      </c>
      <c r="Y183" s="2339">
        <v>15</v>
      </c>
      <c r="Z183" s="2339">
        <v>14</v>
      </c>
      <c r="AA183" s="2339">
        <v>10</v>
      </c>
      <c r="AB183" s="2339">
        <v>5</v>
      </c>
      <c r="AC183" s="2339">
        <v>10</v>
      </c>
      <c r="AD183" s="2339">
        <v>151</v>
      </c>
      <c r="AE183" s="2339">
        <v>8</v>
      </c>
      <c r="AF183" s="2339">
        <v>591</v>
      </c>
      <c r="AG183" s="2339">
        <v>93</v>
      </c>
      <c r="AH183" s="2339">
        <v>0</v>
      </c>
      <c r="AI183" s="2339">
        <v>19</v>
      </c>
      <c r="AJ183" s="2339">
        <v>96</v>
      </c>
      <c r="AK183" s="2339">
        <v>29</v>
      </c>
      <c r="AL183" s="2339">
        <v>163</v>
      </c>
      <c r="AM183" s="2339">
        <v>56</v>
      </c>
      <c r="AN183" s="2339">
        <v>47</v>
      </c>
      <c r="AO183" s="2339">
        <v>10</v>
      </c>
      <c r="AP183" s="2339">
        <v>4</v>
      </c>
      <c r="AQ183" s="2339">
        <v>70</v>
      </c>
      <c r="AR183" s="2339">
        <v>100</v>
      </c>
      <c r="AS183" s="2339">
        <v>48</v>
      </c>
      <c r="AT183" s="2339">
        <v>543</v>
      </c>
      <c r="AU183" s="2339">
        <v>3</v>
      </c>
      <c r="AV183" s="2339">
        <v>6</v>
      </c>
      <c r="AW183" s="2339">
        <v>42</v>
      </c>
      <c r="AX183" s="2339">
        <v>74</v>
      </c>
      <c r="AY183" s="2339">
        <v>3</v>
      </c>
      <c r="AZ183" s="2339">
        <v>347</v>
      </c>
      <c r="BA183" s="2339">
        <v>353</v>
      </c>
      <c r="BB183" s="2339">
        <v>15</v>
      </c>
      <c r="BC183" s="2339">
        <v>19014</v>
      </c>
      <c r="BD183" s="2339">
        <v>3146.9</v>
      </c>
      <c r="BE183" s="2339">
        <v>159</v>
      </c>
      <c r="BF183" s="2339">
        <v>20</v>
      </c>
      <c r="BG183" s="2339">
        <v>1</v>
      </c>
      <c r="BH183" s="2339">
        <v>76</v>
      </c>
      <c r="BI183" s="2339">
        <v>10</v>
      </c>
      <c r="BJ183" s="2339">
        <v>77</v>
      </c>
      <c r="BK183" s="2339">
        <v>8</v>
      </c>
      <c r="BL183" s="2339">
        <v>6</v>
      </c>
      <c r="BM183" s="2339">
        <v>3</v>
      </c>
      <c r="BN183" s="2339">
        <v>9</v>
      </c>
      <c r="BO183" s="2339">
        <v>30</v>
      </c>
      <c r="BP183" s="2339">
        <v>6</v>
      </c>
      <c r="BQ183" s="2339">
        <v>190</v>
      </c>
      <c r="BR183" s="2339">
        <v>93</v>
      </c>
      <c r="BS183" s="2339">
        <v>36</v>
      </c>
      <c r="BT183" s="2339">
        <v>9</v>
      </c>
      <c r="BU183" s="2339">
        <v>81</v>
      </c>
      <c r="BV183" s="2339">
        <v>5</v>
      </c>
      <c r="BW183" s="2339">
        <v>37</v>
      </c>
      <c r="BX183" s="2339">
        <v>8</v>
      </c>
      <c r="BY183" s="2339">
        <v>13</v>
      </c>
      <c r="BZ183" s="2339">
        <v>3</v>
      </c>
      <c r="CA183" s="2339">
        <v>10</v>
      </c>
      <c r="CB183" s="2339">
        <v>2</v>
      </c>
      <c r="CC183" s="2339">
        <v>9</v>
      </c>
      <c r="CD183" s="2339">
        <v>87</v>
      </c>
      <c r="CE183" s="2339">
        <v>5</v>
      </c>
      <c r="CF183" s="2339">
        <v>2</v>
      </c>
      <c r="CG183" s="2339">
        <v>8</v>
      </c>
      <c r="CH183" s="2339">
        <v>5</v>
      </c>
      <c r="CI183" s="2339">
        <v>1</v>
      </c>
      <c r="CJ183" s="2339">
        <v>36</v>
      </c>
      <c r="CK183" s="2339">
        <v>9</v>
      </c>
      <c r="CL183" s="2339">
        <v>81</v>
      </c>
      <c r="CM183" s="2339">
        <v>5</v>
      </c>
      <c r="CN183" s="2339">
        <v>37</v>
      </c>
      <c r="CO183" s="2339">
        <v>13</v>
      </c>
      <c r="CP183" s="2339">
        <v>3</v>
      </c>
      <c r="CQ183" s="2339">
        <v>10</v>
      </c>
      <c r="CR183" s="2339">
        <v>2</v>
      </c>
      <c r="CS183" s="2339">
        <v>9</v>
      </c>
      <c r="CT183" s="2339">
        <v>2</v>
      </c>
      <c r="CU183" s="2339">
        <v>76</v>
      </c>
      <c r="CV183" s="2339">
        <v>40</v>
      </c>
      <c r="CW183" s="2339">
        <v>19</v>
      </c>
      <c r="CX183" s="2339"/>
      <c r="DA183" s="1516"/>
    </row>
    <row r="184" spans="2:107">
      <c r="B184" s="2340"/>
      <c r="C184" s="2340"/>
      <c r="D184" s="2340"/>
      <c r="E184" s="2340">
        <f t="shared" ref="E184:R184" si="6">SUM(E6:E181)</f>
        <v>159</v>
      </c>
      <c r="F184" s="2340">
        <f t="shared" si="6"/>
        <v>12</v>
      </c>
      <c r="G184" s="2340">
        <f t="shared" si="6"/>
        <v>24</v>
      </c>
      <c r="H184" s="2340">
        <f t="shared" si="6"/>
        <v>15</v>
      </c>
      <c r="I184" s="2340">
        <f t="shared" si="6"/>
        <v>59</v>
      </c>
      <c r="J184" s="2340">
        <f t="shared" si="6"/>
        <v>0</v>
      </c>
      <c r="K184" s="2340">
        <f t="shared" si="6"/>
        <v>0</v>
      </c>
      <c r="L184" s="2340">
        <f t="shared" si="6"/>
        <v>94</v>
      </c>
      <c r="M184" s="2340">
        <f t="shared" si="6"/>
        <v>97</v>
      </c>
      <c r="N184" s="2340">
        <f t="shared" si="6"/>
        <v>15</v>
      </c>
      <c r="O184" s="2340">
        <f t="shared" si="6"/>
        <v>37</v>
      </c>
      <c r="P184" s="2340">
        <f t="shared" si="6"/>
        <v>40</v>
      </c>
      <c r="Q184" s="2340">
        <f t="shared" si="6"/>
        <v>10</v>
      </c>
      <c r="R184" s="2340">
        <f t="shared" si="6"/>
        <v>15</v>
      </c>
      <c r="S184" s="2340">
        <f t="shared" ref="S184:AE184" si="7">SUM(S6:S181)</f>
        <v>7</v>
      </c>
      <c r="T184" s="2340">
        <f t="shared" si="7"/>
        <v>3</v>
      </c>
      <c r="U184" s="2340">
        <f t="shared" si="7"/>
        <v>2</v>
      </c>
      <c r="V184" s="2340">
        <f t="shared" si="7"/>
        <v>2</v>
      </c>
      <c r="W184" s="2340">
        <f t="shared" si="7"/>
        <v>1</v>
      </c>
      <c r="X184" s="2340">
        <f t="shared" si="7"/>
        <v>2</v>
      </c>
      <c r="Y184" s="2340">
        <f t="shared" si="7"/>
        <v>15</v>
      </c>
      <c r="Z184" s="2340">
        <f t="shared" si="7"/>
        <v>14</v>
      </c>
      <c r="AA184" s="2340">
        <f t="shared" si="7"/>
        <v>10</v>
      </c>
      <c r="AB184" s="2340">
        <f t="shared" si="7"/>
        <v>5</v>
      </c>
      <c r="AC184" s="2340">
        <f t="shared" si="7"/>
        <v>10</v>
      </c>
      <c r="AD184" s="2340">
        <f t="shared" si="7"/>
        <v>151</v>
      </c>
      <c r="AE184" s="2340">
        <f t="shared" si="7"/>
        <v>8</v>
      </c>
      <c r="AF184" s="2340">
        <f t="shared" ref="AF184:BH184" si="8">SUM(AF6:AF181)</f>
        <v>591</v>
      </c>
      <c r="AG184" s="2340">
        <f t="shared" si="8"/>
        <v>93</v>
      </c>
      <c r="AH184" s="2340">
        <f t="shared" si="8"/>
        <v>0</v>
      </c>
      <c r="AI184" s="2340">
        <f t="shared" si="8"/>
        <v>19</v>
      </c>
      <c r="AJ184" s="2340">
        <f t="shared" si="8"/>
        <v>96</v>
      </c>
      <c r="AK184" s="2340">
        <f t="shared" si="8"/>
        <v>29</v>
      </c>
      <c r="AL184" s="2340">
        <f t="shared" si="8"/>
        <v>163</v>
      </c>
      <c r="AM184" s="2340">
        <f t="shared" si="8"/>
        <v>56</v>
      </c>
      <c r="AN184" s="2340">
        <f t="shared" si="8"/>
        <v>47</v>
      </c>
      <c r="AO184" s="2340">
        <f t="shared" si="8"/>
        <v>10</v>
      </c>
      <c r="AP184" s="2340">
        <f t="shared" si="8"/>
        <v>4</v>
      </c>
      <c r="AQ184" s="2340">
        <f t="shared" si="8"/>
        <v>70</v>
      </c>
      <c r="AR184" s="2340">
        <f t="shared" si="8"/>
        <v>100</v>
      </c>
      <c r="AS184" s="2340">
        <f t="shared" si="8"/>
        <v>48</v>
      </c>
      <c r="AT184" s="2340">
        <f t="shared" si="8"/>
        <v>543</v>
      </c>
      <c r="AU184" s="2340">
        <f t="shared" si="8"/>
        <v>3</v>
      </c>
      <c r="AV184" s="2340">
        <f t="shared" si="8"/>
        <v>6</v>
      </c>
      <c r="AW184" s="2340">
        <f t="shared" si="8"/>
        <v>42</v>
      </c>
      <c r="AX184" s="2340">
        <f t="shared" si="8"/>
        <v>74</v>
      </c>
      <c r="AY184" s="2340">
        <f t="shared" si="8"/>
        <v>3</v>
      </c>
      <c r="AZ184" s="2340">
        <f t="shared" si="8"/>
        <v>347</v>
      </c>
      <c r="BA184" s="2340">
        <f t="shared" si="8"/>
        <v>353</v>
      </c>
      <c r="BB184" s="2340">
        <f t="shared" si="8"/>
        <v>14.699999999999998</v>
      </c>
      <c r="BC184" s="2340">
        <f t="shared" si="8"/>
        <v>19014</v>
      </c>
      <c r="BD184" s="2340">
        <f t="shared" si="8"/>
        <v>3146.8999999999996</v>
      </c>
      <c r="BE184" s="2340">
        <f t="shared" si="8"/>
        <v>159</v>
      </c>
      <c r="BF184" s="2340">
        <f t="shared" si="8"/>
        <v>20</v>
      </c>
      <c r="BG184" s="2340">
        <f t="shared" si="8"/>
        <v>1</v>
      </c>
      <c r="BH184" s="2340">
        <f t="shared" si="8"/>
        <v>76</v>
      </c>
      <c r="BI184" s="2340">
        <f t="shared" ref="BI184:CT184" si="9">SUM(BI6:BI181)</f>
        <v>10</v>
      </c>
      <c r="BJ184" s="2340">
        <f t="shared" si="9"/>
        <v>77</v>
      </c>
      <c r="BK184" s="2340">
        <f t="shared" si="9"/>
        <v>8</v>
      </c>
      <c r="BL184" s="2340">
        <f t="shared" si="9"/>
        <v>6</v>
      </c>
      <c r="BM184" s="2340">
        <f t="shared" si="9"/>
        <v>3</v>
      </c>
      <c r="BN184" s="2340">
        <f t="shared" si="9"/>
        <v>9</v>
      </c>
      <c r="BO184" s="2340">
        <f t="shared" si="9"/>
        <v>30</v>
      </c>
      <c r="BP184" s="2340">
        <f t="shared" si="9"/>
        <v>6</v>
      </c>
      <c r="BQ184" s="2340">
        <f t="shared" si="9"/>
        <v>190</v>
      </c>
      <c r="BR184" s="2340">
        <f t="shared" si="9"/>
        <v>93</v>
      </c>
      <c r="BS184" s="2340">
        <f t="shared" si="9"/>
        <v>36</v>
      </c>
      <c r="BT184" s="2340">
        <f t="shared" si="9"/>
        <v>9</v>
      </c>
      <c r="BU184" s="2340">
        <f t="shared" si="9"/>
        <v>81</v>
      </c>
      <c r="BV184" s="2340">
        <f t="shared" si="9"/>
        <v>5</v>
      </c>
      <c r="BW184" s="2340">
        <f t="shared" si="9"/>
        <v>37</v>
      </c>
      <c r="BX184" s="2340">
        <f t="shared" si="9"/>
        <v>8</v>
      </c>
      <c r="BY184" s="2340">
        <f t="shared" si="9"/>
        <v>13</v>
      </c>
      <c r="BZ184" s="2340">
        <f t="shared" si="9"/>
        <v>3</v>
      </c>
      <c r="CA184" s="2340">
        <f t="shared" si="9"/>
        <v>10</v>
      </c>
      <c r="CB184" s="2340">
        <f t="shared" si="9"/>
        <v>2</v>
      </c>
      <c r="CC184" s="2340">
        <f t="shared" si="9"/>
        <v>9</v>
      </c>
      <c r="CD184" s="2340">
        <f t="shared" si="9"/>
        <v>87</v>
      </c>
      <c r="CE184" s="2340">
        <f t="shared" si="9"/>
        <v>5</v>
      </c>
      <c r="CF184" s="2340">
        <f t="shared" si="9"/>
        <v>2</v>
      </c>
      <c r="CG184" s="2340">
        <f t="shared" si="9"/>
        <v>8</v>
      </c>
      <c r="CH184" s="2340">
        <f t="shared" si="9"/>
        <v>5</v>
      </c>
      <c r="CI184" s="2340">
        <f t="shared" si="9"/>
        <v>1</v>
      </c>
      <c r="CJ184" s="2340">
        <f t="shared" si="9"/>
        <v>36</v>
      </c>
      <c r="CK184" s="2340">
        <f t="shared" si="9"/>
        <v>9</v>
      </c>
      <c r="CL184" s="2340">
        <f t="shared" si="9"/>
        <v>81</v>
      </c>
      <c r="CM184" s="2340">
        <f t="shared" si="9"/>
        <v>5</v>
      </c>
      <c r="CN184" s="2340">
        <f t="shared" si="9"/>
        <v>37</v>
      </c>
      <c r="CO184" s="2340">
        <f t="shared" si="9"/>
        <v>13</v>
      </c>
      <c r="CP184" s="2340">
        <f t="shared" si="9"/>
        <v>3</v>
      </c>
      <c r="CQ184" s="2340">
        <f t="shared" si="9"/>
        <v>10</v>
      </c>
      <c r="CR184" s="2340">
        <f t="shared" si="9"/>
        <v>2</v>
      </c>
      <c r="CS184" s="2340">
        <f t="shared" si="9"/>
        <v>9</v>
      </c>
      <c r="CT184" s="2340">
        <f t="shared" si="9"/>
        <v>2</v>
      </c>
      <c r="CU184" s="2340">
        <f t="shared" ref="CU184:CX184" si="10">SUM(CU6:CU181)</f>
        <v>76</v>
      </c>
      <c r="CV184" s="2340">
        <f t="shared" si="10"/>
        <v>40</v>
      </c>
      <c r="CW184" s="2340">
        <f t="shared" si="10"/>
        <v>19</v>
      </c>
      <c r="CX184" s="2340">
        <f t="shared" si="10"/>
        <v>0</v>
      </c>
    </row>
    <row r="186" spans="2:107">
      <c r="D186">
        <f>SUMIF($A$6:$A$181,"x",D6:D181)</f>
        <v>0</v>
      </c>
      <c r="E186" s="1516">
        <f t="shared" ref="E186:BP186" si="11">SUMIF($A$6:$A$181,"x",E6:E181)</f>
        <v>0</v>
      </c>
      <c r="F186" s="1516">
        <f t="shared" si="11"/>
        <v>0</v>
      </c>
      <c r="G186" s="1516">
        <f t="shared" si="11"/>
        <v>0</v>
      </c>
      <c r="H186" s="1516">
        <f t="shared" si="11"/>
        <v>0</v>
      </c>
      <c r="I186" s="1516">
        <f t="shared" si="11"/>
        <v>0</v>
      </c>
      <c r="J186" s="1516">
        <f t="shared" si="11"/>
        <v>0</v>
      </c>
      <c r="K186" s="1516">
        <f t="shared" si="11"/>
        <v>0</v>
      </c>
      <c r="L186" s="1516">
        <f t="shared" si="11"/>
        <v>0</v>
      </c>
      <c r="M186" s="1516">
        <f t="shared" si="11"/>
        <v>0</v>
      </c>
      <c r="N186" s="1516">
        <f t="shared" si="11"/>
        <v>0</v>
      </c>
      <c r="O186" s="1516">
        <f t="shared" si="11"/>
        <v>0</v>
      </c>
      <c r="P186" s="1516">
        <f t="shared" si="11"/>
        <v>0</v>
      </c>
      <c r="Q186" s="1516">
        <f t="shared" si="11"/>
        <v>0</v>
      </c>
      <c r="R186" s="1516">
        <f t="shared" si="11"/>
        <v>0</v>
      </c>
      <c r="S186" s="1516">
        <f t="shared" si="11"/>
        <v>0</v>
      </c>
      <c r="T186" s="1516">
        <f t="shared" si="11"/>
        <v>0</v>
      </c>
      <c r="U186" s="1516">
        <f t="shared" si="11"/>
        <v>0</v>
      </c>
      <c r="V186" s="1516">
        <f t="shared" si="11"/>
        <v>0</v>
      </c>
      <c r="W186" s="1516">
        <f t="shared" si="11"/>
        <v>0</v>
      </c>
      <c r="X186" s="1516">
        <f t="shared" si="11"/>
        <v>0</v>
      </c>
      <c r="Y186" s="1516">
        <f t="shared" si="11"/>
        <v>0</v>
      </c>
      <c r="Z186" s="1516">
        <f t="shared" si="11"/>
        <v>0</v>
      </c>
      <c r="AA186" s="1516">
        <f t="shared" si="11"/>
        <v>0</v>
      </c>
      <c r="AB186" s="1516">
        <f t="shared" si="11"/>
        <v>0</v>
      </c>
      <c r="AC186" s="1516">
        <f t="shared" si="11"/>
        <v>0</v>
      </c>
      <c r="AD186" s="1516">
        <f t="shared" si="11"/>
        <v>0</v>
      </c>
      <c r="AE186" s="1516">
        <f t="shared" si="11"/>
        <v>0</v>
      </c>
      <c r="AF186" s="1516">
        <f t="shared" si="11"/>
        <v>0</v>
      </c>
      <c r="AG186" s="1516">
        <f t="shared" si="11"/>
        <v>0</v>
      </c>
      <c r="AH186" s="1516">
        <f t="shared" si="11"/>
        <v>0</v>
      </c>
      <c r="AI186" s="1516">
        <f t="shared" si="11"/>
        <v>0</v>
      </c>
      <c r="AJ186" s="1516">
        <f t="shared" si="11"/>
        <v>0</v>
      </c>
      <c r="AK186" s="1516">
        <f t="shared" si="11"/>
        <v>0</v>
      </c>
      <c r="AL186" s="1516">
        <f t="shared" si="11"/>
        <v>0</v>
      </c>
      <c r="AM186" s="1516">
        <f t="shared" si="11"/>
        <v>0</v>
      </c>
      <c r="AN186" s="1516">
        <f t="shared" si="11"/>
        <v>0</v>
      </c>
      <c r="AO186" s="1516">
        <f t="shared" si="11"/>
        <v>0</v>
      </c>
      <c r="AP186" s="1516">
        <f t="shared" si="11"/>
        <v>0</v>
      </c>
      <c r="AQ186" s="1516">
        <f t="shared" si="11"/>
        <v>0</v>
      </c>
      <c r="AR186" s="1516">
        <f t="shared" si="11"/>
        <v>0</v>
      </c>
      <c r="AS186" s="1516">
        <f t="shared" si="11"/>
        <v>0</v>
      </c>
      <c r="AT186" s="1516">
        <f t="shared" si="11"/>
        <v>0</v>
      </c>
      <c r="AU186" s="1516">
        <f t="shared" si="11"/>
        <v>0</v>
      </c>
      <c r="AV186" s="1516">
        <f t="shared" si="11"/>
        <v>0</v>
      </c>
      <c r="AW186" s="1516">
        <f t="shared" si="11"/>
        <v>0</v>
      </c>
      <c r="AX186" s="1516">
        <f t="shared" si="11"/>
        <v>0</v>
      </c>
      <c r="AY186" s="1516">
        <f t="shared" si="11"/>
        <v>0</v>
      </c>
      <c r="AZ186" s="1516">
        <f t="shared" si="11"/>
        <v>0</v>
      </c>
      <c r="BA186" s="1516">
        <f t="shared" si="11"/>
        <v>0</v>
      </c>
      <c r="BB186" s="1516">
        <f t="shared" si="11"/>
        <v>0</v>
      </c>
      <c r="BC186" s="1516">
        <f t="shared" si="11"/>
        <v>0</v>
      </c>
      <c r="BD186" s="1516">
        <f t="shared" si="11"/>
        <v>0</v>
      </c>
      <c r="BE186" s="1516">
        <f t="shared" si="11"/>
        <v>0</v>
      </c>
      <c r="BF186" s="1516">
        <f t="shared" si="11"/>
        <v>0</v>
      </c>
      <c r="BG186" s="1516">
        <f t="shared" si="11"/>
        <v>0</v>
      </c>
      <c r="BH186" s="1516">
        <f t="shared" si="11"/>
        <v>0</v>
      </c>
      <c r="BI186" s="1516">
        <f t="shared" si="11"/>
        <v>0</v>
      </c>
      <c r="BJ186" s="1516">
        <f t="shared" si="11"/>
        <v>0</v>
      </c>
      <c r="BK186" s="1516">
        <f t="shared" si="11"/>
        <v>0</v>
      </c>
      <c r="BL186" s="1516">
        <f t="shared" si="11"/>
        <v>0</v>
      </c>
      <c r="BM186" s="1516">
        <f t="shared" si="11"/>
        <v>0</v>
      </c>
      <c r="BN186" s="1516">
        <f t="shared" si="11"/>
        <v>0</v>
      </c>
      <c r="BO186" s="1516">
        <f t="shared" si="11"/>
        <v>0</v>
      </c>
      <c r="BP186" s="1516">
        <f t="shared" si="11"/>
        <v>0</v>
      </c>
      <c r="BQ186" s="1516">
        <f t="shared" ref="BQ186:CX186" si="12">SUMIF($A$6:$A$181,"x",BQ6:BQ181)</f>
        <v>0</v>
      </c>
      <c r="BR186" s="1516">
        <f t="shared" si="12"/>
        <v>0</v>
      </c>
      <c r="BS186" s="1516">
        <f t="shared" si="12"/>
        <v>0</v>
      </c>
      <c r="BT186" s="1516">
        <f t="shared" si="12"/>
        <v>0</v>
      </c>
      <c r="BU186" s="1516">
        <f t="shared" si="12"/>
        <v>0</v>
      </c>
      <c r="BV186" s="1516">
        <f t="shared" si="12"/>
        <v>0</v>
      </c>
      <c r="BW186" s="1516">
        <f t="shared" si="12"/>
        <v>0</v>
      </c>
      <c r="BX186" s="1516">
        <f t="shared" si="12"/>
        <v>0</v>
      </c>
      <c r="BY186" s="1516">
        <f t="shared" si="12"/>
        <v>0</v>
      </c>
      <c r="BZ186" s="1516">
        <f t="shared" si="12"/>
        <v>0</v>
      </c>
      <c r="CA186" s="1516">
        <f t="shared" si="12"/>
        <v>0</v>
      </c>
      <c r="CB186" s="1516">
        <f t="shared" si="12"/>
        <v>0</v>
      </c>
      <c r="CC186" s="1516">
        <f t="shared" si="12"/>
        <v>0</v>
      </c>
      <c r="CD186" s="1516">
        <f t="shared" si="12"/>
        <v>0</v>
      </c>
      <c r="CE186" s="1516">
        <f t="shared" si="12"/>
        <v>0</v>
      </c>
      <c r="CF186" s="1516">
        <f t="shared" si="12"/>
        <v>0</v>
      </c>
      <c r="CG186" s="1516">
        <f t="shared" si="12"/>
        <v>0</v>
      </c>
      <c r="CH186" s="1516">
        <f t="shared" si="12"/>
        <v>0</v>
      </c>
      <c r="CI186" s="1516">
        <f t="shared" si="12"/>
        <v>0</v>
      </c>
      <c r="CJ186" s="1516">
        <f t="shared" si="12"/>
        <v>0</v>
      </c>
      <c r="CK186" s="1516">
        <f t="shared" si="12"/>
        <v>0</v>
      </c>
      <c r="CL186" s="1516">
        <f t="shared" si="12"/>
        <v>0</v>
      </c>
      <c r="CM186" s="1516">
        <f t="shared" si="12"/>
        <v>0</v>
      </c>
      <c r="CN186" s="1516">
        <f t="shared" si="12"/>
        <v>0</v>
      </c>
      <c r="CO186" s="1516">
        <f t="shared" si="12"/>
        <v>0</v>
      </c>
      <c r="CP186" s="1516">
        <f t="shared" si="12"/>
        <v>0</v>
      </c>
      <c r="CQ186" s="1516">
        <f t="shared" si="12"/>
        <v>0</v>
      </c>
      <c r="CR186" s="1516">
        <f t="shared" si="12"/>
        <v>0</v>
      </c>
      <c r="CS186" s="1516">
        <f t="shared" si="12"/>
        <v>0</v>
      </c>
      <c r="CT186" s="1516">
        <f t="shared" si="12"/>
        <v>0</v>
      </c>
      <c r="CU186" s="1516">
        <f t="shared" si="12"/>
        <v>0</v>
      </c>
      <c r="CV186" s="1516">
        <f t="shared" si="12"/>
        <v>0</v>
      </c>
      <c r="CW186" s="1516">
        <f t="shared" si="12"/>
        <v>0</v>
      </c>
      <c r="CX186" s="1516">
        <f t="shared" si="12"/>
        <v>0</v>
      </c>
    </row>
  </sheetData>
  <autoFilter ref="A4:DI186"/>
  <conditionalFormatting sqref="A184:XFD184">
    <cfRule type="cellIs" dxfId="68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R83"/>
  <sheetViews>
    <sheetView showZeros="0" topLeftCell="B7" workbookViewId="0">
      <selection activeCell="D25" sqref="D25"/>
    </sheetView>
  </sheetViews>
  <sheetFormatPr defaultColWidth="8.90625" defaultRowHeight="15.6" outlineLevelRow="1"/>
  <cols>
    <col min="1" max="1" width="11.08984375" style="2272" customWidth="1"/>
    <col min="2" max="2" width="4.08984375" style="2270" customWidth="1"/>
    <col min="3" max="3" width="41.81640625" style="2272" customWidth="1"/>
    <col min="4" max="4" width="6.54296875" style="2270" customWidth="1"/>
    <col min="5" max="6" width="8.54296875" style="2272" customWidth="1"/>
    <col min="7" max="12" width="6.6328125" style="2272" customWidth="1"/>
    <col min="13" max="13" width="7.6328125" style="2272" customWidth="1"/>
    <col min="14" max="14" width="9.6328125" style="2360" customWidth="1"/>
    <col min="15" max="18" width="9.1796875" style="2272" bestFit="1" customWidth="1"/>
    <col min="19" max="16384" width="8.90625" style="2272"/>
  </cols>
  <sheetData>
    <row r="1" spans="1:18" ht="24" customHeight="1" outlineLevel="1">
      <c r="C1" s="2404" t="s">
        <v>5073</v>
      </c>
      <c r="D1" s="2404"/>
      <c r="E1" s="2404" t="s">
        <v>5074</v>
      </c>
      <c r="F1" s="2404"/>
      <c r="G1" s="2404"/>
      <c r="H1" s="2404"/>
      <c r="I1" s="2404"/>
      <c r="J1" s="2404"/>
      <c r="K1" s="2404"/>
      <c r="L1" s="2404"/>
      <c r="M1" s="2404"/>
      <c r="N1" s="2356"/>
    </row>
    <row r="2" spans="1:18" outlineLevel="1">
      <c r="C2" s="2411"/>
      <c r="D2" s="2411"/>
      <c r="E2" s="2404" t="s">
        <v>5075</v>
      </c>
      <c r="F2" s="2404"/>
      <c r="G2" s="2404"/>
      <c r="H2" s="2404"/>
      <c r="I2" s="2404"/>
      <c r="J2" s="2404"/>
      <c r="K2" s="2404"/>
      <c r="L2" s="2404"/>
      <c r="M2" s="2404"/>
      <c r="N2" s="2356"/>
    </row>
    <row r="3" spans="1:18" s="2341" customFormat="1" ht="26.4" customHeight="1" outlineLevel="1">
      <c r="C3" s="2412"/>
      <c r="D3" s="2412"/>
      <c r="E3" s="2413" t="s">
        <v>5322</v>
      </c>
      <c r="F3" s="2413"/>
      <c r="G3" s="2413"/>
      <c r="H3" s="2413"/>
      <c r="I3" s="2413"/>
      <c r="J3" s="2413"/>
      <c r="K3" s="2413"/>
      <c r="L3" s="2413"/>
      <c r="M3" s="2413"/>
      <c r="N3" s="2357"/>
    </row>
    <row r="4" spans="1:18" ht="27" customHeight="1" outlineLevel="1">
      <c r="B4" s="2414" t="s">
        <v>5076</v>
      </c>
      <c r="C4" s="2414"/>
      <c r="D4" s="2414"/>
      <c r="E4" s="2414"/>
      <c r="F4" s="2414"/>
      <c r="G4" s="2414"/>
      <c r="H4" s="2414"/>
      <c r="I4" s="2414"/>
      <c r="J4" s="2414"/>
      <c r="K4" s="2414"/>
      <c r="L4" s="2414"/>
      <c r="M4" s="2414"/>
      <c r="N4" s="2358"/>
    </row>
    <row r="5" spans="1:18" ht="17.399999999999999" outlineLevel="1">
      <c r="B5" s="2414" t="s">
        <v>5077</v>
      </c>
      <c r="C5" s="2414"/>
      <c r="D5" s="2414"/>
      <c r="E5" s="2414"/>
      <c r="F5" s="2414"/>
      <c r="G5" s="2414"/>
      <c r="H5" s="2414"/>
      <c r="I5" s="2414"/>
      <c r="J5" s="2414"/>
      <c r="K5" s="2414"/>
      <c r="L5" s="2414"/>
      <c r="M5" s="2414"/>
      <c r="N5" s="2358"/>
    </row>
    <row r="6" spans="1:18" ht="17.399999999999999" outlineLevel="1">
      <c r="B6" s="2273"/>
      <c r="C6" s="2273"/>
      <c r="D6" s="2273"/>
      <c r="E6" s="2273"/>
      <c r="F6" s="2273"/>
      <c r="G6" s="2273"/>
      <c r="H6" s="2273"/>
      <c r="I6" s="2273"/>
      <c r="J6" s="2273"/>
      <c r="K6" s="2273"/>
      <c r="L6" s="2273"/>
      <c r="M6" s="2273"/>
      <c r="N6" s="2358"/>
    </row>
    <row r="7" spans="1:18" ht="17.399999999999999" outlineLevel="1">
      <c r="B7" s="2273"/>
      <c r="C7" s="2273" t="s">
        <v>5078</v>
      </c>
      <c r="D7" s="2414" t="s">
        <v>5079</v>
      </c>
      <c r="E7" s="2414"/>
      <c r="F7" s="2414"/>
      <c r="G7" s="2414"/>
      <c r="H7" s="2414"/>
      <c r="I7" s="2414" t="s">
        <v>5080</v>
      </c>
      <c r="J7" s="2414"/>
      <c r="K7" s="2414"/>
      <c r="L7" s="2414"/>
      <c r="M7" s="2414"/>
      <c r="N7" s="2358"/>
      <c r="P7" s="2274">
        <v>43700</v>
      </c>
    </row>
    <row r="8" spans="1:18" ht="17.399999999999999" outlineLevel="1">
      <c r="B8" s="2273"/>
      <c r="C8" s="2273" t="s">
        <v>5081</v>
      </c>
      <c r="D8" s="2273"/>
      <c r="E8" s="2275" t="s">
        <v>5082</v>
      </c>
      <c r="F8" s="2275"/>
      <c r="G8" s="2275"/>
      <c r="H8" s="2275"/>
      <c r="I8" s="2275"/>
      <c r="J8" s="2275">
        <f>P8-P7</f>
        <v>55</v>
      </c>
      <c r="K8" s="2275" t="s">
        <v>5083</v>
      </c>
      <c r="L8" s="2275"/>
      <c r="M8" s="2275"/>
      <c r="N8" s="2359"/>
      <c r="O8" s="2274"/>
      <c r="P8" s="2274">
        <v>43755</v>
      </c>
    </row>
    <row r="9" spans="1:18" ht="8.25" customHeight="1" outlineLevel="1">
      <c r="B9" s="2272"/>
      <c r="D9" s="2272"/>
    </row>
    <row r="10" spans="1:18" ht="11.25" customHeight="1" outlineLevel="1">
      <c r="O10" s="2274"/>
    </row>
    <row r="11" spans="1:18" ht="48" customHeight="1">
      <c r="B11" s="2415" t="s">
        <v>1761</v>
      </c>
      <c r="C11" s="2415" t="s">
        <v>5084</v>
      </c>
      <c r="D11" s="2417" t="s">
        <v>2671</v>
      </c>
      <c r="E11" s="2417" t="s">
        <v>5085</v>
      </c>
      <c r="F11" s="2417" t="s">
        <v>5086</v>
      </c>
      <c r="G11" s="2405" t="s">
        <v>5087</v>
      </c>
      <c r="H11" s="2405"/>
      <c r="I11" s="2405" t="s">
        <v>5088</v>
      </c>
      <c r="J11" s="2405"/>
      <c r="K11" s="2405" t="s">
        <v>5089</v>
      </c>
      <c r="L11" s="2405"/>
      <c r="M11" s="2415" t="s">
        <v>5090</v>
      </c>
      <c r="N11" s="2361" t="s">
        <v>5363</v>
      </c>
      <c r="O11" s="2274">
        <v>43741</v>
      </c>
      <c r="P11" s="2274">
        <v>43748</v>
      </c>
      <c r="Q11" s="2274">
        <v>43755</v>
      </c>
    </row>
    <row r="12" spans="1:18">
      <c r="B12" s="2416"/>
      <c r="C12" s="2416"/>
      <c r="D12" s="2406"/>
      <c r="E12" s="2406"/>
      <c r="F12" s="2406"/>
      <c r="G12" s="2277" t="s">
        <v>1444</v>
      </c>
      <c r="H12" s="2277" t="s">
        <v>5091</v>
      </c>
      <c r="I12" s="2277" t="s">
        <v>1444</v>
      </c>
      <c r="J12" s="2277" t="s">
        <v>5091</v>
      </c>
      <c r="K12" s="2277" t="s">
        <v>1444</v>
      </c>
      <c r="L12" s="2277" t="s">
        <v>5091</v>
      </c>
      <c r="M12" s="2416"/>
      <c r="N12" s="2361" t="s">
        <v>4308</v>
      </c>
      <c r="O12" s="2272" t="s">
        <v>5368</v>
      </c>
      <c r="P12" s="2274">
        <v>43744</v>
      </c>
      <c r="Q12" s="2274">
        <v>43751</v>
      </c>
      <c r="R12" s="2274">
        <v>43757</v>
      </c>
    </row>
    <row r="13" spans="1:18" s="2279" customFormat="1">
      <c r="B13" s="2278" t="s">
        <v>504</v>
      </c>
      <c r="C13" s="2407" t="s">
        <v>5092</v>
      </c>
      <c r="D13" s="2407"/>
      <c r="E13" s="2407"/>
      <c r="F13" s="2407"/>
      <c r="G13" s="2407"/>
      <c r="H13" s="2407"/>
      <c r="I13" s="2407"/>
      <c r="J13" s="2407"/>
      <c r="K13" s="2407"/>
      <c r="L13" s="2407"/>
      <c r="M13" s="2407"/>
      <c r="N13" s="2362"/>
    </row>
    <row r="14" spans="1:18">
      <c r="B14" s="2280" t="s">
        <v>5093</v>
      </c>
      <c r="C14" s="2384" t="s">
        <v>5187</v>
      </c>
      <c r="D14" s="2282" t="s">
        <v>5094</v>
      </c>
      <c r="E14" s="2281">
        <v>101</v>
      </c>
      <c r="F14" s="2281">
        <f>E14</f>
        <v>101</v>
      </c>
      <c r="G14" s="2281">
        <f>Q14</f>
        <v>0</v>
      </c>
      <c r="H14" s="2283">
        <f t="shared" ref="H14:H27" si="0">G14/F14</f>
        <v>0</v>
      </c>
      <c r="I14" s="2281">
        <f>P14</f>
        <v>0</v>
      </c>
      <c r="J14" s="2283">
        <f t="shared" ref="J14" si="1">I14/F14</f>
        <v>0</v>
      </c>
      <c r="K14" s="2281">
        <f>SUM(O14:U14)</f>
        <v>101</v>
      </c>
      <c r="L14" s="2283">
        <f t="shared" ref="L14:L16" si="2">K14/F14</f>
        <v>1</v>
      </c>
      <c r="M14" s="2281"/>
      <c r="N14" s="2363">
        <f>F14-K14</f>
        <v>0</v>
      </c>
      <c r="O14" s="2281">
        <v>101</v>
      </c>
    </row>
    <row r="15" spans="1:18">
      <c r="A15" s="2272" t="s">
        <v>220</v>
      </c>
      <c r="B15" s="2280" t="s">
        <v>5095</v>
      </c>
      <c r="C15" s="2384" t="s">
        <v>2415</v>
      </c>
      <c r="D15" s="2282" t="s">
        <v>2391</v>
      </c>
      <c r="E15" s="2312">
        <f>VLOOKUP(A15,BangKeTruDoc!B:E,4,0)</f>
        <v>36</v>
      </c>
      <c r="F15" s="2281">
        <f>E15</f>
        <v>36</v>
      </c>
      <c r="G15" s="2281">
        <f t="shared" ref="G15:G33" si="3">Q15</f>
        <v>0</v>
      </c>
      <c r="H15" s="2283">
        <f t="shared" si="0"/>
        <v>0</v>
      </c>
      <c r="I15" s="2281">
        <f t="shared" ref="I15" si="4">P15</f>
        <v>0</v>
      </c>
      <c r="J15" s="2283">
        <f>I15/F15</f>
        <v>0</v>
      </c>
      <c r="K15" s="2281">
        <f t="shared" ref="K15:K27" si="5">SUM(O15:U15)</f>
        <v>36</v>
      </c>
      <c r="L15" s="2283">
        <f>K15/F15</f>
        <v>1</v>
      </c>
      <c r="M15" s="2281"/>
      <c r="N15" s="2363">
        <f t="shared" ref="N15:N37" si="6">F15-K15</f>
        <v>0</v>
      </c>
      <c r="O15" s="2281">
        <v>36</v>
      </c>
    </row>
    <row r="16" spans="1:18">
      <c r="A16" s="2272" t="s">
        <v>304</v>
      </c>
      <c r="B16" s="2280" t="s">
        <v>5096</v>
      </c>
      <c r="C16" s="2384" t="s">
        <v>5097</v>
      </c>
      <c r="D16" s="2282" t="s">
        <v>2391</v>
      </c>
      <c r="E16" s="2312">
        <f>VLOOKUP(A16,BangKeTruDoc!B:E,4,0)</f>
        <v>40</v>
      </c>
      <c r="F16" s="2281">
        <f t="shared" ref="F16:F24" si="7">E16</f>
        <v>40</v>
      </c>
      <c r="G16" s="2281">
        <f t="shared" si="3"/>
        <v>0</v>
      </c>
      <c r="H16" s="2283">
        <f>G16/F16</f>
        <v>0</v>
      </c>
      <c r="I16" s="2281">
        <f>Q16</f>
        <v>0</v>
      </c>
      <c r="J16" s="2283">
        <f>IFERROR(I16/G16,0)</f>
        <v>0</v>
      </c>
      <c r="K16" s="2281">
        <f t="shared" si="5"/>
        <v>40</v>
      </c>
      <c r="L16" s="2283">
        <f t="shared" si="2"/>
        <v>1</v>
      </c>
      <c r="M16" s="2281"/>
      <c r="N16" s="2363">
        <f t="shared" si="6"/>
        <v>0</v>
      </c>
      <c r="O16" s="2281">
        <v>30</v>
      </c>
      <c r="P16" s="2272">
        <v>10</v>
      </c>
    </row>
    <row r="17" spans="1:17">
      <c r="A17" s="2272" t="s">
        <v>2369</v>
      </c>
      <c r="B17" s="2280" t="s">
        <v>5098</v>
      </c>
      <c r="C17" s="2384" t="s">
        <v>5099</v>
      </c>
      <c r="D17" s="2282" t="s">
        <v>2391</v>
      </c>
      <c r="E17" s="2312">
        <f>VLOOKUP(A17,BangKeTruDoc!B:E,4,0)</f>
        <v>10</v>
      </c>
      <c r="F17" s="2281">
        <f t="shared" si="7"/>
        <v>10</v>
      </c>
      <c r="G17" s="2281">
        <f t="shared" si="3"/>
        <v>0</v>
      </c>
      <c r="H17" s="2283">
        <f t="shared" ref="H17:H22" si="8">G17/F17</f>
        <v>0</v>
      </c>
      <c r="I17" s="2281">
        <f t="shared" ref="I17:I21" si="9">Q17</f>
        <v>0</v>
      </c>
      <c r="J17" s="2283">
        <f t="shared" ref="J17:J37" si="10">IFERROR(I17/G17,0)</f>
        <v>0</v>
      </c>
      <c r="K17" s="2281">
        <f t="shared" si="5"/>
        <v>10</v>
      </c>
      <c r="L17" s="2283">
        <f>K17/F17</f>
        <v>1</v>
      </c>
      <c r="M17" s="2281"/>
      <c r="N17" s="2363">
        <f t="shared" si="6"/>
        <v>0</v>
      </c>
      <c r="O17" s="2281">
        <v>10</v>
      </c>
    </row>
    <row r="18" spans="1:17">
      <c r="A18" s="2272" t="s">
        <v>653</v>
      </c>
      <c r="B18" s="2280" t="s">
        <v>5100</v>
      </c>
      <c r="C18" s="2384" t="s">
        <v>2433</v>
      </c>
      <c r="D18" s="2282" t="s">
        <v>2391</v>
      </c>
      <c r="E18" s="2312">
        <f>VLOOKUP(A18,BangKeTruDoc!B:E,4,0)</f>
        <v>15</v>
      </c>
      <c r="F18" s="2281">
        <f t="shared" si="7"/>
        <v>15</v>
      </c>
      <c r="G18" s="2281">
        <f t="shared" si="3"/>
        <v>14</v>
      </c>
      <c r="H18" s="2283">
        <f t="shared" si="8"/>
        <v>0.93333333333333335</v>
      </c>
      <c r="I18" s="2281">
        <f t="shared" si="9"/>
        <v>14</v>
      </c>
      <c r="J18" s="2283">
        <f t="shared" si="10"/>
        <v>1</v>
      </c>
      <c r="K18" s="2281">
        <f t="shared" si="5"/>
        <v>15</v>
      </c>
      <c r="L18" s="2283">
        <f>K18/F18</f>
        <v>1</v>
      </c>
      <c r="M18" s="2281"/>
      <c r="N18" s="2363">
        <f t="shared" si="6"/>
        <v>0</v>
      </c>
      <c r="O18" s="2281">
        <v>0</v>
      </c>
      <c r="P18" s="2272">
        <v>1</v>
      </c>
      <c r="Q18" s="2272">
        <v>14</v>
      </c>
    </row>
    <row r="19" spans="1:17">
      <c r="A19" s="2294" t="s">
        <v>1544</v>
      </c>
      <c r="B19" s="2280" t="s">
        <v>5101</v>
      </c>
      <c r="C19" s="2384" t="s">
        <v>5203</v>
      </c>
      <c r="D19" s="2282" t="s">
        <v>2391</v>
      </c>
      <c r="E19" s="2312">
        <f>VLOOKUP(A19,BangKeTruDoc!B:E,4,0)</f>
        <v>2</v>
      </c>
      <c r="F19" s="2281">
        <f t="shared" ref="F19" si="11">E19</f>
        <v>2</v>
      </c>
      <c r="G19" s="2281">
        <f t="shared" si="3"/>
        <v>0</v>
      </c>
      <c r="H19" s="2283">
        <f t="shared" si="8"/>
        <v>0</v>
      </c>
      <c r="I19" s="2281">
        <f t="shared" si="9"/>
        <v>0</v>
      </c>
      <c r="J19" s="2283">
        <f t="shared" si="10"/>
        <v>0</v>
      </c>
      <c r="K19" s="2281">
        <f t="shared" ref="K19" si="12">SUM(O19:U19)</f>
        <v>2</v>
      </c>
      <c r="L19" s="2283">
        <f t="shared" ref="L19:L27" si="13">K19/F19</f>
        <v>1</v>
      </c>
      <c r="M19" s="2281"/>
      <c r="N19" s="2363">
        <f t="shared" si="6"/>
        <v>0</v>
      </c>
      <c r="O19" s="2281">
        <v>2</v>
      </c>
    </row>
    <row r="20" spans="1:17">
      <c r="A20" s="2350" t="str">
        <f>C20</f>
        <v>Trồng trụ BTLT12m</v>
      </c>
      <c r="B20" s="2280" t="s">
        <v>5102</v>
      </c>
      <c r="C20" s="2384" t="s">
        <v>5103</v>
      </c>
      <c r="D20" s="2282" t="s">
        <v>2340</v>
      </c>
      <c r="E20" s="2312">
        <f>E15+E16</f>
        <v>76</v>
      </c>
      <c r="F20" s="2281">
        <f t="shared" ref="F20" si="14">E20</f>
        <v>76</v>
      </c>
      <c r="G20" s="2281">
        <f t="shared" si="3"/>
        <v>22</v>
      </c>
      <c r="H20" s="2283">
        <f t="shared" si="8"/>
        <v>0.28947368421052633</v>
      </c>
      <c r="I20" s="2281">
        <f t="shared" si="9"/>
        <v>22</v>
      </c>
      <c r="J20" s="2283">
        <f t="shared" si="10"/>
        <v>1</v>
      </c>
      <c r="K20" s="2281">
        <f t="shared" ref="K20" si="15">SUM(O20:U20)</f>
        <v>76</v>
      </c>
      <c r="L20" s="2283">
        <f t="shared" si="13"/>
        <v>1</v>
      </c>
      <c r="M20" s="2281"/>
      <c r="N20" s="2363">
        <f t="shared" si="6"/>
        <v>0</v>
      </c>
      <c r="P20" s="2272">
        <v>54</v>
      </c>
      <c r="Q20" s="2272">
        <v>22</v>
      </c>
    </row>
    <row r="21" spans="1:17">
      <c r="A21" s="2350" t="str">
        <f t="shared" ref="A21:A24" si="16">C21</f>
        <v>Trồng trụ BTLT12m Đôi</v>
      </c>
      <c r="B21" s="2280" t="s">
        <v>5102</v>
      </c>
      <c r="C21" s="2384" t="s">
        <v>5202</v>
      </c>
      <c r="D21" s="2282" t="s">
        <v>2340</v>
      </c>
      <c r="E21" s="2281">
        <f>E17</f>
        <v>10</v>
      </c>
      <c r="F21" s="2281">
        <f t="shared" si="7"/>
        <v>10</v>
      </c>
      <c r="G21" s="2281">
        <f t="shared" si="3"/>
        <v>2</v>
      </c>
      <c r="H21" s="2283">
        <f t="shared" si="8"/>
        <v>0.2</v>
      </c>
      <c r="I21" s="2281">
        <f t="shared" si="9"/>
        <v>2</v>
      </c>
      <c r="J21" s="2283">
        <f t="shared" si="10"/>
        <v>1</v>
      </c>
      <c r="K21" s="2281">
        <f t="shared" si="5"/>
        <v>10</v>
      </c>
      <c r="L21" s="2283">
        <f t="shared" si="13"/>
        <v>1</v>
      </c>
      <c r="M21" s="2281"/>
      <c r="N21" s="2363">
        <f t="shared" si="6"/>
        <v>0</v>
      </c>
      <c r="P21" s="2272">
        <v>8</v>
      </c>
      <c r="Q21" s="2272">
        <v>2</v>
      </c>
    </row>
    <row r="22" spans="1:17">
      <c r="A22" s="2350" t="str">
        <f t="shared" ref="A22" si="17">C22</f>
        <v>Trồng trụ BTLT14m</v>
      </c>
      <c r="B22" s="2280" t="s">
        <v>5104</v>
      </c>
      <c r="C22" s="2384" t="s">
        <v>5105</v>
      </c>
      <c r="D22" s="2282" t="s">
        <v>2340</v>
      </c>
      <c r="E22" s="2281">
        <f>E18</f>
        <v>15</v>
      </c>
      <c r="F22" s="2281">
        <f t="shared" ref="F22" si="18">E22</f>
        <v>15</v>
      </c>
      <c r="G22" s="2281">
        <f t="shared" si="3"/>
        <v>14</v>
      </c>
      <c r="H22" s="2283">
        <f t="shared" si="8"/>
        <v>0.93333333333333335</v>
      </c>
      <c r="I22" s="2281">
        <f>Q22</f>
        <v>14</v>
      </c>
      <c r="J22" s="2283">
        <f t="shared" ref="J22" si="19">IFERROR(I22/G22,0)</f>
        <v>1</v>
      </c>
      <c r="K22" s="2281">
        <f t="shared" ref="K22" si="20">SUM(O22:U22)</f>
        <v>15</v>
      </c>
      <c r="L22" s="2283">
        <f t="shared" ref="L22" si="21">K22/F22</f>
        <v>1</v>
      </c>
      <c r="M22" s="2281"/>
      <c r="N22" s="2363">
        <f t="shared" si="6"/>
        <v>0</v>
      </c>
      <c r="P22" s="2272">
        <v>1</v>
      </c>
      <c r="Q22" s="2272">
        <v>14</v>
      </c>
    </row>
    <row r="23" spans="1:17">
      <c r="A23" s="2350" t="s">
        <v>2369</v>
      </c>
      <c r="B23" s="2280" t="s">
        <v>5104</v>
      </c>
      <c r="C23" s="2384" t="s">
        <v>5367</v>
      </c>
      <c r="D23" s="2282" t="s">
        <v>2340</v>
      </c>
      <c r="E23" s="2312">
        <f>E17</f>
        <v>10</v>
      </c>
      <c r="F23" s="2281">
        <f t="shared" si="7"/>
        <v>10</v>
      </c>
      <c r="G23" s="2281">
        <f t="shared" si="3"/>
        <v>10</v>
      </c>
      <c r="H23" s="2283">
        <f t="shared" si="0"/>
        <v>1</v>
      </c>
      <c r="I23" s="2281">
        <f t="shared" ref="I23:I33" si="22">Q23</f>
        <v>10</v>
      </c>
      <c r="J23" s="2283">
        <f t="shared" si="10"/>
        <v>1</v>
      </c>
      <c r="K23" s="2281">
        <f t="shared" si="5"/>
        <v>10</v>
      </c>
      <c r="L23" s="2283">
        <f t="shared" si="13"/>
        <v>1</v>
      </c>
      <c r="M23" s="2281"/>
      <c r="N23" s="2363">
        <f t="shared" si="6"/>
        <v>0</v>
      </c>
      <c r="Q23" s="2272">
        <v>10</v>
      </c>
    </row>
    <row r="24" spans="1:17">
      <c r="A24" s="2350" t="str">
        <f t="shared" si="16"/>
        <v>Lắp đặt móng đà cản M12a</v>
      </c>
      <c r="B24" s="2280" t="s">
        <v>5106</v>
      </c>
      <c r="C24" s="2384" t="s">
        <v>5107</v>
      </c>
      <c r="D24" s="2282" t="s">
        <v>2391</v>
      </c>
      <c r="E24" s="2281">
        <f>E16</f>
        <v>40</v>
      </c>
      <c r="F24" s="2281">
        <f t="shared" si="7"/>
        <v>40</v>
      </c>
      <c r="G24" s="2281">
        <f t="shared" si="3"/>
        <v>17</v>
      </c>
      <c r="H24" s="2283">
        <f t="shared" si="0"/>
        <v>0.42499999999999999</v>
      </c>
      <c r="I24" s="2281">
        <f t="shared" si="22"/>
        <v>17</v>
      </c>
      <c r="J24" s="2283">
        <f t="shared" si="10"/>
        <v>1</v>
      </c>
      <c r="K24" s="2281">
        <f t="shared" si="5"/>
        <v>40</v>
      </c>
      <c r="L24" s="2283">
        <f t="shared" si="13"/>
        <v>1</v>
      </c>
      <c r="M24" s="2281"/>
      <c r="N24" s="2363">
        <f t="shared" si="6"/>
        <v>0</v>
      </c>
      <c r="P24" s="2272">
        <v>23</v>
      </c>
      <c r="Q24" s="2272">
        <v>17</v>
      </c>
    </row>
    <row r="25" spans="1:17">
      <c r="A25" s="2272" t="s">
        <v>5314</v>
      </c>
      <c r="B25" s="2280" t="s">
        <v>1269</v>
      </c>
      <c r="C25" s="2384" t="s">
        <v>5126</v>
      </c>
      <c r="D25" s="2282" t="s">
        <v>2449</v>
      </c>
      <c r="E25" s="2312">
        <f>VLOOKUP(A25,BangKeTruDoc!B:E,4,0)</f>
        <v>15</v>
      </c>
      <c r="F25" s="2281">
        <f t="shared" ref="F25:F26" si="23">E25</f>
        <v>15</v>
      </c>
      <c r="G25" s="2281">
        <f t="shared" si="3"/>
        <v>0</v>
      </c>
      <c r="H25" s="2283">
        <f t="shared" ref="H25:H26" si="24">G25/F25</f>
        <v>0</v>
      </c>
      <c r="I25" s="2281">
        <f t="shared" si="22"/>
        <v>0</v>
      </c>
      <c r="J25" s="2283">
        <f t="shared" si="10"/>
        <v>0</v>
      </c>
      <c r="K25" s="2281">
        <f t="shared" ref="K25:K26" si="25">SUM(O25:U25)</f>
        <v>0</v>
      </c>
      <c r="L25" s="2283">
        <f t="shared" si="13"/>
        <v>0</v>
      </c>
      <c r="M25" s="2281"/>
      <c r="N25" s="2363">
        <f t="shared" si="6"/>
        <v>15</v>
      </c>
    </row>
    <row r="26" spans="1:17">
      <c r="A26" s="2272" t="s">
        <v>2297</v>
      </c>
      <c r="B26" s="2280" t="s">
        <v>1269</v>
      </c>
      <c r="C26" s="2384" t="s">
        <v>5127</v>
      </c>
      <c r="D26" s="2282" t="s">
        <v>2449</v>
      </c>
      <c r="E26" s="2312">
        <f>VLOOKUP(A26,BangKeTruDoc!B:E,4,0)</f>
        <v>14</v>
      </c>
      <c r="F26" s="2281">
        <f t="shared" si="23"/>
        <v>14</v>
      </c>
      <c r="G26" s="2281">
        <f t="shared" si="3"/>
        <v>0</v>
      </c>
      <c r="H26" s="2283">
        <f t="shared" si="24"/>
        <v>0</v>
      </c>
      <c r="I26" s="2281">
        <f t="shared" si="22"/>
        <v>0</v>
      </c>
      <c r="J26" s="2283">
        <f t="shared" si="10"/>
        <v>0</v>
      </c>
      <c r="K26" s="2281">
        <f t="shared" si="25"/>
        <v>0</v>
      </c>
      <c r="L26" s="2283">
        <f t="shared" si="13"/>
        <v>0</v>
      </c>
      <c r="M26" s="2281"/>
      <c r="N26" s="2363">
        <f t="shared" si="6"/>
        <v>14</v>
      </c>
    </row>
    <row r="27" spans="1:17">
      <c r="A27" s="2272" t="s">
        <v>2103</v>
      </c>
      <c r="B27" s="2280" t="s">
        <v>1269</v>
      </c>
      <c r="C27" s="2384" t="s">
        <v>5128</v>
      </c>
      <c r="D27" s="2282" t="s">
        <v>2449</v>
      </c>
      <c r="E27" s="2312">
        <f>VLOOKUP(A27,BangKeTruDoc!B:E,4,0)</f>
        <v>10</v>
      </c>
      <c r="F27" s="2281">
        <f>E27</f>
        <v>10</v>
      </c>
      <c r="G27" s="2281">
        <f t="shared" si="3"/>
        <v>0</v>
      </c>
      <c r="H27" s="2283">
        <f t="shared" si="0"/>
        <v>0</v>
      </c>
      <c r="I27" s="2281">
        <f t="shared" si="22"/>
        <v>0</v>
      </c>
      <c r="J27" s="2283">
        <f t="shared" si="10"/>
        <v>0</v>
      </c>
      <c r="K27" s="2281">
        <f t="shared" si="5"/>
        <v>0</v>
      </c>
      <c r="L27" s="2283">
        <f t="shared" si="13"/>
        <v>0</v>
      </c>
      <c r="M27" s="2281"/>
      <c r="N27" s="2363">
        <f t="shared" si="6"/>
        <v>10</v>
      </c>
    </row>
    <row r="28" spans="1:17">
      <c r="A28" s="2272" t="s">
        <v>5315</v>
      </c>
      <c r="B28" s="2280" t="s">
        <v>1270</v>
      </c>
      <c r="C28" s="2384" t="str">
        <f>"Lắp "&amp;VLOOKUP(A28,DG!A:C,3,0)</f>
        <v>Lắp Bộ xà đơn L75x75x8 dài 2.2m: X-22Đ - C810</v>
      </c>
      <c r="D28" s="2282" t="s">
        <v>2449</v>
      </c>
      <c r="E28" s="2312">
        <f>VLOOKUP(A28,BangKeTruDoc!B:E,4,0)</f>
        <v>5</v>
      </c>
      <c r="F28" s="2281">
        <f t="shared" ref="F28:F33" si="26">E28</f>
        <v>5</v>
      </c>
      <c r="G28" s="2281">
        <f t="shared" si="3"/>
        <v>0</v>
      </c>
      <c r="H28" s="2283">
        <f t="shared" ref="H28:H36" si="27">G28/F28</f>
        <v>0</v>
      </c>
      <c r="I28" s="2281">
        <f t="shared" si="22"/>
        <v>0</v>
      </c>
      <c r="J28" s="2283">
        <f t="shared" si="10"/>
        <v>0</v>
      </c>
      <c r="K28" s="2281">
        <f t="shared" ref="K28:K36" si="28">SUM(O28:U28)</f>
        <v>0</v>
      </c>
      <c r="L28" s="2283">
        <f t="shared" ref="L28:L36" si="29">K28/F28</f>
        <v>0</v>
      </c>
      <c r="M28" s="2281"/>
      <c r="N28" s="2363">
        <f t="shared" si="6"/>
        <v>5</v>
      </c>
    </row>
    <row r="29" spans="1:17">
      <c r="A29" s="2272" t="s">
        <v>5316</v>
      </c>
      <c r="B29" s="2280" t="s">
        <v>1270</v>
      </c>
      <c r="C29" s="2384" t="str">
        <f>"Lắp "&amp;VLOOKUP(A29,DG!A:C,3,0)</f>
        <v>Lắp Bộ xà kép L75x75x8 dài 2.2m: X-22K-Đ - C810 (lắp trụ đơn)</v>
      </c>
      <c r="D29" s="2282" t="s">
        <v>2449</v>
      </c>
      <c r="E29" s="2312">
        <f>VLOOKUP(A29,BangKeTruDoc!B:E,4,0)</f>
        <v>10</v>
      </c>
      <c r="F29" s="2281">
        <f t="shared" si="26"/>
        <v>10</v>
      </c>
      <c r="G29" s="2281">
        <f t="shared" si="3"/>
        <v>0</v>
      </c>
      <c r="H29" s="2283">
        <f t="shared" si="27"/>
        <v>0</v>
      </c>
      <c r="I29" s="2281">
        <f t="shared" si="22"/>
        <v>0</v>
      </c>
      <c r="J29" s="2283">
        <f t="shared" si="10"/>
        <v>0</v>
      </c>
      <c r="K29" s="2281">
        <f t="shared" si="28"/>
        <v>0</v>
      </c>
      <c r="L29" s="2283">
        <f t="shared" si="29"/>
        <v>0</v>
      </c>
      <c r="M29" s="2281"/>
      <c r="N29" s="2363">
        <f t="shared" si="6"/>
        <v>10</v>
      </c>
    </row>
    <row r="30" spans="1:17">
      <c r="A30" s="2272" t="s">
        <v>2356</v>
      </c>
      <c r="B30" s="2280" t="s">
        <v>1270</v>
      </c>
      <c r="C30" s="2384" t="str">
        <f>"Lắp "&amp;VLOOKUP(A30,DG!A:C,3,0)</f>
        <v>Lắp Bộ xà lệch đơn L75x75x8 dài 2m: X-20ĐL2/3</v>
      </c>
      <c r="D30" s="2282" t="s">
        <v>2449</v>
      </c>
      <c r="E30" s="2312">
        <f>VLOOKUP(A30,BangKeTruDoc!B:E,4,0)</f>
        <v>151</v>
      </c>
      <c r="F30" s="2281">
        <f t="shared" si="26"/>
        <v>151</v>
      </c>
      <c r="G30" s="2281">
        <f t="shared" si="3"/>
        <v>0</v>
      </c>
      <c r="H30" s="2283">
        <f t="shared" si="27"/>
        <v>0</v>
      </c>
      <c r="I30" s="2281">
        <f t="shared" si="22"/>
        <v>0</v>
      </c>
      <c r="J30" s="2283">
        <f t="shared" si="10"/>
        <v>0</v>
      </c>
      <c r="K30" s="2281">
        <f t="shared" si="28"/>
        <v>54</v>
      </c>
      <c r="L30" s="2283">
        <f t="shared" si="29"/>
        <v>0.35761589403973509</v>
      </c>
      <c r="M30" s="2281"/>
      <c r="N30" s="2363">
        <f t="shared" si="6"/>
        <v>97</v>
      </c>
      <c r="P30" s="2272">
        <v>54</v>
      </c>
    </row>
    <row r="31" spans="1:17">
      <c r="A31" s="2272" t="s">
        <v>2181</v>
      </c>
      <c r="B31" s="2280" t="s">
        <v>1270</v>
      </c>
      <c r="C31" s="2384" t="str">
        <f>"Lắp "&amp;VLOOKUP(A31,DG!A:C,3,0)</f>
        <v>Lắp Bộ xà lệch kép L75x75x8 dài 2m: X-20KL2/3</v>
      </c>
      <c r="D31" s="2282" t="s">
        <v>2449</v>
      </c>
      <c r="E31" s="2312">
        <f>VLOOKUP(A31,BangKeTruDoc!B:E,4,0)</f>
        <v>8</v>
      </c>
      <c r="F31" s="2281">
        <f t="shared" si="26"/>
        <v>8</v>
      </c>
      <c r="G31" s="2281">
        <f t="shared" si="3"/>
        <v>0</v>
      </c>
      <c r="H31" s="2283">
        <f t="shared" si="27"/>
        <v>0</v>
      </c>
      <c r="I31" s="2281">
        <f t="shared" si="22"/>
        <v>0</v>
      </c>
      <c r="J31" s="2283">
        <f t="shared" si="10"/>
        <v>0</v>
      </c>
      <c r="K31" s="2281">
        <f t="shared" si="28"/>
        <v>4</v>
      </c>
      <c r="L31" s="2283">
        <f t="shared" si="29"/>
        <v>0.5</v>
      </c>
      <c r="M31" s="2281"/>
      <c r="N31" s="2363">
        <f t="shared" si="6"/>
        <v>4</v>
      </c>
      <c r="P31" s="2272">
        <v>4</v>
      </c>
    </row>
    <row r="32" spans="1:17">
      <c r="A32" s="2272" t="s">
        <v>2568</v>
      </c>
      <c r="B32" s="2280" t="s">
        <v>1763</v>
      </c>
      <c r="C32" s="2384" t="s">
        <v>5108</v>
      </c>
      <c r="D32" s="2282" t="s">
        <v>2449</v>
      </c>
      <c r="E32" s="2312">
        <f>VLOOKUP(A32,BangKeTruDoc!B:E,4,0)</f>
        <v>591</v>
      </c>
      <c r="F32" s="2281">
        <f t="shared" si="26"/>
        <v>591</v>
      </c>
      <c r="G32" s="2281">
        <f t="shared" si="3"/>
        <v>120</v>
      </c>
      <c r="H32" s="2283">
        <f t="shared" si="27"/>
        <v>0.20304568527918782</v>
      </c>
      <c r="I32" s="2281">
        <f t="shared" si="22"/>
        <v>120</v>
      </c>
      <c r="J32" s="2283">
        <f t="shared" si="10"/>
        <v>1</v>
      </c>
      <c r="K32" s="2281">
        <f t="shared" si="28"/>
        <v>330</v>
      </c>
      <c r="L32" s="2283">
        <f t="shared" si="29"/>
        <v>0.55837563451776651</v>
      </c>
      <c r="M32" s="2281"/>
      <c r="N32" s="2363">
        <f t="shared" si="6"/>
        <v>261</v>
      </c>
      <c r="P32" s="2272">
        <f>P20*3+P21*6</f>
        <v>210</v>
      </c>
      <c r="Q32" s="2272">
        <f>Q20*3+Q21*6+Q22*3</f>
        <v>120</v>
      </c>
    </row>
    <row r="33" spans="1:18">
      <c r="A33" s="2272" t="s">
        <v>2579</v>
      </c>
      <c r="B33" s="2280" t="s">
        <v>1764</v>
      </c>
      <c r="C33" s="2384" t="s">
        <v>5109</v>
      </c>
      <c r="D33" s="2282" t="s">
        <v>2449</v>
      </c>
      <c r="E33" s="2312">
        <f>VLOOKUP(A33,BangKeTruDoc!B:E,4,0)</f>
        <v>93</v>
      </c>
      <c r="F33" s="2281">
        <f t="shared" si="26"/>
        <v>93</v>
      </c>
      <c r="G33" s="2281">
        <f t="shared" si="3"/>
        <v>0</v>
      </c>
      <c r="H33" s="2283">
        <f t="shared" si="27"/>
        <v>0</v>
      </c>
      <c r="I33" s="2281">
        <f t="shared" si="22"/>
        <v>0</v>
      </c>
      <c r="J33" s="2283">
        <f t="shared" si="10"/>
        <v>0</v>
      </c>
      <c r="K33" s="2281">
        <f t="shared" si="28"/>
        <v>54</v>
      </c>
      <c r="L33" s="2283">
        <f t="shared" si="29"/>
        <v>0.58064516129032262</v>
      </c>
      <c r="M33" s="2281"/>
      <c r="N33" s="2363">
        <f t="shared" si="6"/>
        <v>39</v>
      </c>
      <c r="P33" s="2272">
        <v>54</v>
      </c>
    </row>
    <row r="34" spans="1:18">
      <c r="A34" s="2350" t="str">
        <f>C34</f>
        <v>Thay dây</v>
      </c>
      <c r="B34" s="2280" t="s">
        <v>1765</v>
      </c>
      <c r="C34" s="2384" t="s">
        <v>5110</v>
      </c>
      <c r="D34" s="2282" t="s">
        <v>2596</v>
      </c>
      <c r="E34" s="2370">
        <v>6338</v>
      </c>
      <c r="F34" s="2370">
        <f>E34</f>
        <v>6338</v>
      </c>
      <c r="G34" s="2281"/>
      <c r="H34" s="2283">
        <f t="shared" si="27"/>
        <v>0</v>
      </c>
      <c r="I34" s="2281">
        <f t="shared" ref="I34:I36" si="30">P34</f>
        <v>0</v>
      </c>
      <c r="J34" s="2283">
        <f t="shared" si="10"/>
        <v>0</v>
      </c>
      <c r="K34" s="2281">
        <f t="shared" si="28"/>
        <v>0</v>
      </c>
      <c r="L34" s="2283">
        <f t="shared" si="29"/>
        <v>0</v>
      </c>
      <c r="M34" s="2281"/>
      <c r="N34" s="2363">
        <f t="shared" si="6"/>
        <v>6338</v>
      </c>
    </row>
    <row r="35" spans="1:18">
      <c r="A35" s="2350" t="str">
        <f t="shared" ref="A35:A36" si="31">C35</f>
        <v>Tháo lắp trạm biến áp 1P - 75KVA</v>
      </c>
      <c r="B35" s="2280" t="s">
        <v>1766</v>
      </c>
      <c r="C35" s="2384" t="s">
        <v>5111</v>
      </c>
      <c r="D35" s="2282" t="s">
        <v>5112</v>
      </c>
      <c r="E35" s="2281">
        <v>2</v>
      </c>
      <c r="F35" s="2281">
        <f>E35</f>
        <v>2</v>
      </c>
      <c r="G35" s="2281"/>
      <c r="H35" s="2283">
        <f t="shared" si="27"/>
        <v>0</v>
      </c>
      <c r="I35" s="2281">
        <f t="shared" si="30"/>
        <v>0</v>
      </c>
      <c r="J35" s="2283">
        <f t="shared" si="10"/>
        <v>0</v>
      </c>
      <c r="K35" s="2281">
        <f t="shared" si="28"/>
        <v>1</v>
      </c>
      <c r="L35" s="2283">
        <f t="shared" si="29"/>
        <v>0.5</v>
      </c>
      <c r="M35" s="2281"/>
      <c r="N35" s="2363">
        <f t="shared" si="6"/>
        <v>1</v>
      </c>
      <c r="Q35" s="2272">
        <v>1</v>
      </c>
    </row>
    <row r="36" spans="1:18">
      <c r="A36" s="2350" t="str">
        <f t="shared" si="31"/>
        <v>Tháo lắp trạm biến áp 1P - 100KVA</v>
      </c>
      <c r="B36" s="2280" t="s">
        <v>1767</v>
      </c>
      <c r="C36" s="2384" t="s">
        <v>5113</v>
      </c>
      <c r="D36" s="2282" t="s">
        <v>5112</v>
      </c>
      <c r="E36" s="2281">
        <v>9</v>
      </c>
      <c r="F36" s="2281">
        <f>E36</f>
        <v>9</v>
      </c>
      <c r="G36" s="2281"/>
      <c r="H36" s="2283">
        <f t="shared" si="27"/>
        <v>0</v>
      </c>
      <c r="I36" s="2281">
        <f t="shared" si="30"/>
        <v>0</v>
      </c>
      <c r="J36" s="2283">
        <f t="shared" si="10"/>
        <v>0</v>
      </c>
      <c r="K36" s="2281">
        <f t="shared" si="28"/>
        <v>5</v>
      </c>
      <c r="L36" s="2283">
        <f t="shared" si="29"/>
        <v>0.55555555555555558</v>
      </c>
      <c r="M36" s="2281"/>
      <c r="N36" s="2363">
        <f t="shared" si="6"/>
        <v>4</v>
      </c>
      <c r="Q36" s="2272">
        <v>4</v>
      </c>
      <c r="R36" s="2272">
        <v>1</v>
      </c>
    </row>
    <row r="37" spans="1:18">
      <c r="B37" s="2285"/>
      <c r="C37" s="2286"/>
      <c r="D37" s="2285"/>
      <c r="E37" s="2286"/>
      <c r="F37" s="2286"/>
      <c r="G37" s="2286"/>
      <c r="H37" s="2287"/>
      <c r="I37" s="2286"/>
      <c r="J37" s="2283">
        <f t="shared" si="10"/>
        <v>0</v>
      </c>
      <c r="K37" s="2286"/>
      <c r="L37" s="2287"/>
      <c r="M37" s="2286"/>
      <c r="N37" s="2363">
        <f t="shared" si="6"/>
        <v>0</v>
      </c>
    </row>
    <row r="38" spans="1:18">
      <c r="B38" s="2375"/>
      <c r="C38" s="2372"/>
      <c r="D38" s="2373"/>
      <c r="E38" s="2373"/>
      <c r="F38" s="2373"/>
      <c r="G38" s="2373"/>
      <c r="H38" s="2373"/>
      <c r="I38" s="2373"/>
      <c r="J38" s="2373"/>
      <c r="K38" s="2373"/>
      <c r="L38" s="2373"/>
      <c r="M38" s="2374"/>
      <c r="N38" s="2362" t="s">
        <v>515</v>
      </c>
    </row>
    <row r="39" spans="1:18" ht="33.6" customHeight="1">
      <c r="B39" s="2277" t="s">
        <v>504</v>
      </c>
      <c r="C39" s="2380" t="s">
        <v>5114</v>
      </c>
      <c r="D39" s="2405" t="s">
        <v>2671</v>
      </c>
      <c r="E39" s="2277" t="s">
        <v>5364</v>
      </c>
      <c r="F39" s="2277" t="s">
        <v>5365</v>
      </c>
      <c r="G39" s="2381"/>
      <c r="H39" s="2381"/>
      <c r="I39" s="2382" t="s">
        <v>5366</v>
      </c>
      <c r="J39" s="2382"/>
      <c r="K39" s="2382" t="s">
        <v>5370</v>
      </c>
      <c r="L39" s="2382"/>
      <c r="M39" s="2381" t="s">
        <v>4307</v>
      </c>
      <c r="N39" s="2362">
        <v>1</v>
      </c>
      <c r="O39" s="2353">
        <v>43748</v>
      </c>
      <c r="P39" s="2353">
        <v>43755</v>
      </c>
    </row>
    <row r="40" spans="1:18" ht="16.95" hidden="1" customHeight="1">
      <c r="B40" s="2288">
        <f>COUNTIF($N$39:N40,"&gt;0")</f>
        <v>1</v>
      </c>
      <c r="C40" s="2286" t="str">
        <f t="shared" ref="C40:C60" si="32">C15</f>
        <v>Móng M12</v>
      </c>
      <c r="D40" s="2406"/>
      <c r="E40" s="2286">
        <f t="shared" ref="D40:F60" si="33">E15</f>
        <v>36</v>
      </c>
      <c r="F40" s="2286">
        <f t="shared" si="33"/>
        <v>36</v>
      </c>
      <c r="G40" s="2286"/>
      <c r="H40" s="2287">
        <f>IFERROR(G40/F40,0)</f>
        <v>0</v>
      </c>
      <c r="I40" s="2376">
        <f>SUM(O40:AD40)</f>
        <v>0</v>
      </c>
      <c r="J40" s="2377"/>
      <c r="K40" s="2378">
        <f>I40/F40</f>
        <v>0</v>
      </c>
      <c r="L40" s="2379"/>
      <c r="M40" s="2286"/>
      <c r="N40" s="2364" t="str">
        <f>IF(I40&gt;0,1,"")</f>
        <v/>
      </c>
    </row>
    <row r="41" spans="1:18" hidden="1">
      <c r="B41" s="2288">
        <f>COUNTIF($N$39:N41,"&gt;0")</f>
        <v>1</v>
      </c>
      <c r="C41" s="2281" t="str">
        <f t="shared" si="32"/>
        <v>Đào lổ trụ M12a</v>
      </c>
      <c r="D41" s="2282" t="str">
        <f t="shared" si="33"/>
        <v>Móng</v>
      </c>
      <c r="E41" s="2281">
        <f t="shared" si="33"/>
        <v>40</v>
      </c>
      <c r="F41" s="2281">
        <f t="shared" si="33"/>
        <v>40</v>
      </c>
      <c r="G41" s="2281"/>
      <c r="H41" s="2283">
        <f t="shared" ref="H41:H61" si="34">IFERROR(G41/F41,0)</f>
        <v>0</v>
      </c>
      <c r="I41" s="2346">
        <f t="shared" ref="I41:I61" si="35">SUM(O41:AD41)</f>
        <v>0</v>
      </c>
      <c r="J41" s="2347"/>
      <c r="K41" s="2369">
        <f t="shared" ref="K41:K61" si="36">I41/F41</f>
        <v>0</v>
      </c>
      <c r="L41" s="2351"/>
      <c r="M41" s="2281"/>
      <c r="N41" s="2364" t="str">
        <f t="shared" ref="N41:N51" si="37">IF(I41&gt;0,1,"")</f>
        <v/>
      </c>
    </row>
    <row r="42" spans="1:18" hidden="1">
      <c r="B42" s="2288">
        <f>COUNTIF($N$39:N42,"&gt;0")</f>
        <v>1</v>
      </c>
      <c r="C42" s="2281" t="str">
        <f t="shared" si="32"/>
        <v>Đào lổ trụ M12-BT đôi</v>
      </c>
      <c r="D42" s="2282" t="str">
        <f t="shared" si="33"/>
        <v>Móng</v>
      </c>
      <c r="E42" s="2281">
        <f t="shared" si="33"/>
        <v>10</v>
      </c>
      <c r="F42" s="2281">
        <f t="shared" si="33"/>
        <v>10</v>
      </c>
      <c r="G42" s="2281"/>
      <c r="H42" s="2283">
        <f t="shared" si="34"/>
        <v>0</v>
      </c>
      <c r="I42" s="2346">
        <f t="shared" si="35"/>
        <v>0</v>
      </c>
      <c r="J42" s="2347"/>
      <c r="K42" s="2369">
        <f t="shared" si="36"/>
        <v>0</v>
      </c>
      <c r="L42" s="2351"/>
      <c r="M42" s="2281"/>
      <c r="N42" s="2364" t="str">
        <f t="shared" si="37"/>
        <v/>
      </c>
    </row>
    <row r="43" spans="1:18" hidden="1">
      <c r="B43" s="2288">
        <f>COUNTIF($N$39:N43,"&gt;0")</f>
        <v>1</v>
      </c>
      <c r="C43" s="2281" t="str">
        <f t="shared" si="32"/>
        <v>Móng M14a</v>
      </c>
      <c r="D43" s="2282" t="str">
        <f t="shared" si="33"/>
        <v>Móng</v>
      </c>
      <c r="E43" s="2281">
        <f t="shared" si="33"/>
        <v>15</v>
      </c>
      <c r="F43" s="2281">
        <f t="shared" si="33"/>
        <v>15</v>
      </c>
      <c r="G43" s="2281"/>
      <c r="H43" s="2283">
        <f t="shared" si="34"/>
        <v>0</v>
      </c>
      <c r="I43" s="2346">
        <f t="shared" si="35"/>
        <v>0</v>
      </c>
      <c r="J43" s="2347"/>
      <c r="K43" s="2369">
        <f t="shared" si="36"/>
        <v>0</v>
      </c>
      <c r="L43" s="2351"/>
      <c r="M43" s="2281"/>
      <c r="N43" s="2364" t="str">
        <f t="shared" si="37"/>
        <v/>
      </c>
    </row>
    <row r="44" spans="1:18" hidden="1">
      <c r="A44" s="2294"/>
      <c r="B44" s="2288">
        <f>COUNTIF($N$39:N44,"&gt;0")</f>
        <v>1</v>
      </c>
      <c r="C44" s="2281" t="str">
        <f t="shared" si="32"/>
        <v>Đào lổ neo chằng xuống</v>
      </c>
      <c r="D44" s="2282" t="str">
        <f t="shared" si="33"/>
        <v>Móng</v>
      </c>
      <c r="E44" s="2281">
        <f t="shared" si="33"/>
        <v>2</v>
      </c>
      <c r="F44" s="2281">
        <f t="shared" si="33"/>
        <v>2</v>
      </c>
      <c r="G44" s="2281"/>
      <c r="H44" s="2283">
        <f t="shared" si="34"/>
        <v>0</v>
      </c>
      <c r="I44" s="2346">
        <f t="shared" si="35"/>
        <v>0</v>
      </c>
      <c r="J44" s="2347"/>
      <c r="K44" s="2369">
        <f t="shared" si="36"/>
        <v>0</v>
      </c>
      <c r="L44" s="2351"/>
      <c r="M44" s="2281"/>
      <c r="N44" s="2364" t="str">
        <f t="shared" si="37"/>
        <v/>
      </c>
    </row>
    <row r="45" spans="1:18" hidden="1">
      <c r="A45" s="2350"/>
      <c r="B45" s="2288">
        <f>COUNTIF($N$39:N45,"&gt;0")</f>
        <v>1</v>
      </c>
      <c r="C45" s="2281" t="str">
        <f t="shared" si="32"/>
        <v>Trồng trụ BTLT12m</v>
      </c>
      <c r="D45" s="2282" t="str">
        <f t="shared" si="33"/>
        <v>Trụ</v>
      </c>
      <c r="E45" s="2281">
        <f t="shared" si="33"/>
        <v>76</v>
      </c>
      <c r="F45" s="2281">
        <f t="shared" si="33"/>
        <v>76</v>
      </c>
      <c r="G45" s="2281"/>
      <c r="H45" s="2283">
        <f t="shared" si="34"/>
        <v>0</v>
      </c>
      <c r="I45" s="2346">
        <f t="shared" si="35"/>
        <v>0</v>
      </c>
      <c r="J45" s="2347"/>
      <c r="K45" s="2369">
        <f t="shared" si="36"/>
        <v>0</v>
      </c>
      <c r="L45" s="2351"/>
      <c r="M45" s="2281"/>
      <c r="N45" s="2364" t="str">
        <f t="shared" si="37"/>
        <v/>
      </c>
    </row>
    <row r="46" spans="1:18" hidden="1">
      <c r="A46" s="2350"/>
      <c r="B46" s="2288">
        <f>COUNTIF($N$39:N46,"&gt;0")</f>
        <v>1</v>
      </c>
      <c r="C46" s="2281" t="str">
        <f t="shared" si="32"/>
        <v>Trồng trụ BTLT12m Đôi</v>
      </c>
      <c r="D46" s="2282" t="str">
        <f t="shared" si="33"/>
        <v>Trụ</v>
      </c>
      <c r="E46" s="2281">
        <f t="shared" si="33"/>
        <v>10</v>
      </c>
      <c r="F46" s="2281">
        <f t="shared" si="33"/>
        <v>10</v>
      </c>
      <c r="G46" s="2281"/>
      <c r="H46" s="2283">
        <f t="shared" si="34"/>
        <v>0</v>
      </c>
      <c r="I46" s="2346">
        <f t="shared" si="35"/>
        <v>0</v>
      </c>
      <c r="J46" s="2347"/>
      <c r="K46" s="2369">
        <f t="shared" si="36"/>
        <v>0</v>
      </c>
      <c r="L46" s="2351"/>
      <c r="M46" s="2281"/>
      <c r="N46" s="2364" t="str">
        <f t="shared" si="37"/>
        <v/>
      </c>
    </row>
    <row r="47" spans="1:18" hidden="1">
      <c r="A47" s="2350"/>
      <c r="B47" s="2288">
        <f>COUNTIF($N$39:N47,"&gt;0")</f>
        <v>1</v>
      </c>
      <c r="C47" s="2281" t="str">
        <f t="shared" si="32"/>
        <v>Trồng trụ BTLT14m</v>
      </c>
      <c r="D47" s="2282" t="str">
        <f t="shared" si="33"/>
        <v>Trụ</v>
      </c>
      <c r="E47" s="2281">
        <f t="shared" si="33"/>
        <v>15</v>
      </c>
      <c r="F47" s="2281">
        <f t="shared" si="33"/>
        <v>15</v>
      </c>
      <c r="G47" s="2281"/>
      <c r="H47" s="2283">
        <f t="shared" si="34"/>
        <v>0</v>
      </c>
      <c r="I47" s="2346">
        <f t="shared" si="35"/>
        <v>0</v>
      </c>
      <c r="J47" s="2347"/>
      <c r="K47" s="2369">
        <f t="shared" si="36"/>
        <v>0</v>
      </c>
      <c r="L47" s="2351"/>
      <c r="M47" s="2281"/>
      <c r="N47" s="2364" t="str">
        <f t="shared" si="37"/>
        <v/>
      </c>
    </row>
    <row r="48" spans="1:18" hidden="1">
      <c r="A48" s="2350"/>
      <c r="B48" s="2288">
        <f>COUNTIF($N$39:N48,"&gt;0")</f>
        <v>1</v>
      </c>
      <c r="C48" s="2281" t="str">
        <f t="shared" si="32"/>
        <v>Đổ bê tông trụ</v>
      </c>
      <c r="D48" s="2282" t="str">
        <f t="shared" si="33"/>
        <v>Trụ</v>
      </c>
      <c r="E48" s="2281">
        <f t="shared" si="33"/>
        <v>10</v>
      </c>
      <c r="F48" s="2281">
        <f t="shared" si="33"/>
        <v>10</v>
      </c>
      <c r="G48" s="2281"/>
      <c r="H48" s="2283">
        <f t="shared" si="34"/>
        <v>0</v>
      </c>
      <c r="I48" s="2346">
        <f t="shared" si="35"/>
        <v>0</v>
      </c>
      <c r="J48" s="2347"/>
      <c r="K48" s="2369">
        <f t="shared" si="36"/>
        <v>0</v>
      </c>
      <c r="L48" s="2351"/>
      <c r="M48" s="2281"/>
      <c r="N48" s="2364" t="str">
        <f t="shared" si="37"/>
        <v/>
      </c>
    </row>
    <row r="49" spans="1:18" hidden="1">
      <c r="B49" s="2288">
        <f>COUNTIF($N$39:N49,"&gt;0")</f>
        <v>1</v>
      </c>
      <c r="C49" s="2281" t="str">
        <f t="shared" si="32"/>
        <v>Lắp đặt móng đà cản M12a</v>
      </c>
      <c r="D49" s="2282" t="str">
        <f t="shared" si="33"/>
        <v>Móng</v>
      </c>
      <c r="E49" s="2281">
        <f t="shared" si="33"/>
        <v>40</v>
      </c>
      <c r="F49" s="2281">
        <f t="shared" si="33"/>
        <v>40</v>
      </c>
      <c r="G49" s="2281"/>
      <c r="H49" s="2283">
        <f t="shared" si="34"/>
        <v>0</v>
      </c>
      <c r="I49" s="2346">
        <f t="shared" si="35"/>
        <v>0</v>
      </c>
      <c r="J49" s="2347"/>
      <c r="K49" s="2369">
        <f t="shared" si="36"/>
        <v>0</v>
      </c>
      <c r="L49" s="2351"/>
      <c r="M49" s="2281"/>
      <c r="N49" s="2364" t="str">
        <f t="shared" si="37"/>
        <v/>
      </c>
    </row>
    <row r="50" spans="1:18" hidden="1">
      <c r="B50" s="2288">
        <f>COUNTIF($N$39:N50,"&gt;0")</f>
        <v>1</v>
      </c>
      <c r="C50" s="2281" t="str">
        <f t="shared" si="32"/>
        <v>Tiếp địa lặp lại XDM (trụ 12m)</v>
      </c>
      <c r="D50" s="2282" t="str">
        <f t="shared" si="33"/>
        <v>Bộ</v>
      </c>
      <c r="E50" s="2281">
        <f t="shared" si="33"/>
        <v>15</v>
      </c>
      <c r="F50" s="2281">
        <f t="shared" si="33"/>
        <v>15</v>
      </c>
      <c r="G50" s="2281"/>
      <c r="H50" s="2283">
        <f t="shared" si="34"/>
        <v>0</v>
      </c>
      <c r="I50" s="2346">
        <f t="shared" si="35"/>
        <v>0</v>
      </c>
      <c r="J50" s="2347"/>
      <c r="K50" s="2369">
        <f t="shared" si="36"/>
        <v>0</v>
      </c>
      <c r="L50" s="2351"/>
      <c r="M50" s="2281"/>
      <c r="N50" s="2364" t="str">
        <f t="shared" si="37"/>
        <v/>
      </c>
    </row>
    <row r="51" spans="1:18" hidden="1">
      <c r="B51" s="2288">
        <f>COUNTIF($N$39:N51,"&gt;0")</f>
        <v>1</v>
      </c>
      <c r="C51" s="2281" t="str">
        <f t="shared" si="32"/>
        <v>Tiếp địa lặp lại hiện hữu</v>
      </c>
      <c r="D51" s="2282" t="str">
        <f t="shared" si="33"/>
        <v>Bộ</v>
      </c>
      <c r="E51" s="2281">
        <f t="shared" si="33"/>
        <v>14</v>
      </c>
      <c r="F51" s="2281">
        <f t="shared" si="33"/>
        <v>14</v>
      </c>
      <c r="G51" s="2281"/>
      <c r="H51" s="2283">
        <f t="shared" si="34"/>
        <v>0</v>
      </c>
      <c r="I51" s="2346">
        <f t="shared" si="35"/>
        <v>0</v>
      </c>
      <c r="J51" s="2347"/>
      <c r="K51" s="2369">
        <f t="shared" si="36"/>
        <v>0</v>
      </c>
      <c r="L51" s="2351"/>
      <c r="M51" s="2281"/>
      <c r="N51" s="2364" t="str">
        <f t="shared" si="37"/>
        <v/>
      </c>
    </row>
    <row r="52" spans="1:18" ht="16.95" hidden="1" customHeight="1">
      <c r="B52" s="2288">
        <f>COUNTIF($N$39:N52,"&gt;0")</f>
        <v>1</v>
      </c>
      <c r="C52" s="2281" t="str">
        <f t="shared" si="32"/>
        <v>Tiếp địa trụ LBS khí + TBA</v>
      </c>
      <c r="D52" s="2282" t="str">
        <f t="shared" si="33"/>
        <v>Bộ</v>
      </c>
      <c r="E52" s="2281">
        <f t="shared" si="33"/>
        <v>10</v>
      </c>
      <c r="F52" s="2281">
        <f t="shared" si="33"/>
        <v>10</v>
      </c>
      <c r="G52" s="2281"/>
      <c r="H52" s="2283">
        <f>IFERROR(G52/F52,0)</f>
        <v>0</v>
      </c>
      <c r="I52" s="2346">
        <f t="shared" si="35"/>
        <v>0</v>
      </c>
      <c r="J52" s="2347"/>
      <c r="K52" s="2369">
        <f t="shared" si="36"/>
        <v>0</v>
      </c>
      <c r="L52" s="2351"/>
      <c r="M52" s="2281"/>
      <c r="N52" s="2364" t="str">
        <f>IF(I52&gt;0,1,"")</f>
        <v/>
      </c>
    </row>
    <row r="53" spans="1:18">
      <c r="B53" s="2288">
        <f>COUNTIF($N$39:N53,"&gt;0")</f>
        <v>2</v>
      </c>
      <c r="C53" s="2384" t="str">
        <f t="shared" si="32"/>
        <v>Lắp Bộ xà đơn L75x75x8 dài 2.2m: X-22Đ - C810</v>
      </c>
      <c r="D53" s="2282" t="str">
        <f t="shared" si="33"/>
        <v>Bộ</v>
      </c>
      <c r="E53" s="2281">
        <f t="shared" si="33"/>
        <v>5</v>
      </c>
      <c r="F53" s="2281">
        <f t="shared" si="33"/>
        <v>5</v>
      </c>
      <c r="G53" s="2281"/>
      <c r="H53" s="2283">
        <f t="shared" ref="H53:H60" si="38">IFERROR(G53/F53,0)</f>
        <v>0</v>
      </c>
      <c r="I53" s="2346">
        <f t="shared" si="35"/>
        <v>3</v>
      </c>
      <c r="J53" s="2347"/>
      <c r="K53" s="2383">
        <f t="shared" si="36"/>
        <v>0.6</v>
      </c>
      <c r="L53" s="2347"/>
      <c r="M53" s="2281"/>
      <c r="N53" s="2364">
        <f t="shared" ref="N53:N61" si="39">IF(I53&gt;0,1,"")</f>
        <v>1</v>
      </c>
      <c r="R53" s="2272">
        <v>3</v>
      </c>
    </row>
    <row r="54" spans="1:18">
      <c r="B54" s="2288">
        <f>COUNTIF($N$39:N54,"&gt;0")</f>
        <v>3</v>
      </c>
      <c r="C54" s="2384" t="str">
        <f t="shared" si="32"/>
        <v>Lắp Bộ xà kép L75x75x8 dài 2.2m: X-22K-Đ - C810 (lắp trụ đơn)</v>
      </c>
      <c r="D54" s="2282" t="str">
        <f t="shared" si="33"/>
        <v>Bộ</v>
      </c>
      <c r="E54" s="2281">
        <f t="shared" si="33"/>
        <v>10</v>
      </c>
      <c r="F54" s="2281">
        <f t="shared" si="33"/>
        <v>10</v>
      </c>
      <c r="G54" s="2281"/>
      <c r="H54" s="2283">
        <f t="shared" si="38"/>
        <v>0</v>
      </c>
      <c r="I54" s="2346">
        <f t="shared" si="35"/>
        <v>6</v>
      </c>
      <c r="J54" s="2347"/>
      <c r="K54" s="2383">
        <f t="shared" si="36"/>
        <v>0.6</v>
      </c>
      <c r="L54" s="2347"/>
      <c r="M54" s="2281"/>
      <c r="N54" s="2364">
        <f t="shared" si="39"/>
        <v>1</v>
      </c>
      <c r="R54" s="2272">
        <v>6</v>
      </c>
    </row>
    <row r="55" spans="1:18">
      <c r="B55" s="2288">
        <f>COUNTIF($N$39:N55,"&gt;0")</f>
        <v>4</v>
      </c>
      <c r="C55" s="2384" t="str">
        <f t="shared" si="32"/>
        <v>Lắp Bộ xà lệch đơn L75x75x8 dài 2m: X-20ĐL2/3</v>
      </c>
      <c r="D55" s="2282" t="str">
        <f t="shared" si="33"/>
        <v>Bộ</v>
      </c>
      <c r="E55" s="2281">
        <f t="shared" si="33"/>
        <v>151</v>
      </c>
      <c r="F55" s="2281">
        <f t="shared" si="33"/>
        <v>151</v>
      </c>
      <c r="G55" s="2281"/>
      <c r="H55" s="2283">
        <f t="shared" si="38"/>
        <v>0</v>
      </c>
      <c r="I55" s="2346">
        <f t="shared" si="35"/>
        <v>44</v>
      </c>
      <c r="J55" s="2347"/>
      <c r="K55" s="2383">
        <f t="shared" si="36"/>
        <v>0.29139072847682118</v>
      </c>
      <c r="L55" s="2347"/>
      <c r="M55" s="2281"/>
      <c r="N55" s="2364">
        <f t="shared" si="39"/>
        <v>1</v>
      </c>
      <c r="R55" s="2272">
        <v>44</v>
      </c>
    </row>
    <row r="56" spans="1:18">
      <c r="B56" s="2288">
        <f>COUNTIF($N$39:N56,"&gt;0")</f>
        <v>5</v>
      </c>
      <c r="C56" s="2384" t="str">
        <f t="shared" si="32"/>
        <v>Lắp Bộ xà lệch kép L75x75x8 dài 2m: X-20KL2/3</v>
      </c>
      <c r="D56" s="2282" t="str">
        <f t="shared" si="33"/>
        <v>Bộ</v>
      </c>
      <c r="E56" s="2281">
        <f t="shared" si="33"/>
        <v>8</v>
      </c>
      <c r="F56" s="2281">
        <f t="shared" si="33"/>
        <v>8</v>
      </c>
      <c r="G56" s="2281"/>
      <c r="H56" s="2283">
        <f t="shared" si="38"/>
        <v>0</v>
      </c>
      <c r="I56" s="2346">
        <f t="shared" si="35"/>
        <v>4</v>
      </c>
      <c r="J56" s="2347"/>
      <c r="K56" s="2383">
        <f t="shared" si="36"/>
        <v>0.5</v>
      </c>
      <c r="L56" s="2347"/>
      <c r="M56" s="2281"/>
      <c r="N56" s="2364">
        <f t="shared" si="39"/>
        <v>1</v>
      </c>
      <c r="R56" s="2272">
        <v>4</v>
      </c>
    </row>
    <row r="57" spans="1:18" hidden="1">
      <c r="B57" s="2288">
        <f>COUNTIF($N$39:N57,"&gt;0")</f>
        <v>5</v>
      </c>
      <c r="C57" s="2281" t="str">
        <f t="shared" si="32"/>
        <v>Lắp sứ đứng</v>
      </c>
      <c r="D57" s="2282" t="str">
        <f t="shared" si="33"/>
        <v>Bộ</v>
      </c>
      <c r="E57" s="2281">
        <f t="shared" si="33"/>
        <v>591</v>
      </c>
      <c r="F57" s="2281">
        <f t="shared" si="33"/>
        <v>591</v>
      </c>
      <c r="G57" s="2281"/>
      <c r="H57" s="2283">
        <f t="shared" si="38"/>
        <v>0</v>
      </c>
      <c r="I57" s="2346">
        <f t="shared" si="35"/>
        <v>0</v>
      </c>
      <c r="J57" s="2347"/>
      <c r="K57" s="2369">
        <f t="shared" si="36"/>
        <v>0</v>
      </c>
      <c r="L57" s="2351"/>
      <c r="M57" s="2281"/>
      <c r="N57" s="2364" t="str">
        <f t="shared" si="39"/>
        <v/>
      </c>
    </row>
    <row r="58" spans="1:18" hidden="1">
      <c r="A58" s="2350"/>
      <c r="B58" s="2288">
        <f>COUNTIF($N$39:N58,"&gt;0")</f>
        <v>5</v>
      </c>
      <c r="C58" s="2281" t="str">
        <f t="shared" si="32"/>
        <v>Lắp sứ chuỗi</v>
      </c>
      <c r="D58" s="2282" t="str">
        <f t="shared" si="33"/>
        <v>Bộ</v>
      </c>
      <c r="E58" s="2281">
        <f t="shared" si="33"/>
        <v>93</v>
      </c>
      <c r="F58" s="2281">
        <f t="shared" si="33"/>
        <v>93</v>
      </c>
      <c r="G58" s="2281"/>
      <c r="H58" s="2283">
        <f t="shared" si="38"/>
        <v>0</v>
      </c>
      <c r="I58" s="2346">
        <f t="shared" si="35"/>
        <v>0</v>
      </c>
      <c r="J58" s="2347"/>
      <c r="K58" s="2369">
        <f t="shared" si="36"/>
        <v>0</v>
      </c>
      <c r="L58" s="2351"/>
      <c r="M58" s="2281"/>
      <c r="N58" s="2364" t="str">
        <f t="shared" si="39"/>
        <v/>
      </c>
    </row>
    <row r="59" spans="1:18">
      <c r="A59" s="2350"/>
      <c r="B59" s="2288">
        <f>COUNTIF($N$39:N59,"&gt;0")</f>
        <v>6</v>
      </c>
      <c r="C59" s="2384" t="str">
        <f t="shared" si="32"/>
        <v>Thay dây</v>
      </c>
      <c r="D59" s="2282" t="str">
        <f t="shared" si="33"/>
        <v>mét</v>
      </c>
      <c r="E59" s="2281">
        <f t="shared" si="33"/>
        <v>6338</v>
      </c>
      <c r="F59" s="2281">
        <f t="shared" si="33"/>
        <v>6338</v>
      </c>
      <c r="G59" s="2281"/>
      <c r="H59" s="2283">
        <f t="shared" si="38"/>
        <v>0</v>
      </c>
      <c r="I59" s="2346">
        <f t="shared" si="35"/>
        <v>2320</v>
      </c>
      <c r="J59" s="2347"/>
      <c r="K59" s="2383">
        <f t="shared" si="36"/>
        <v>0.36604607131587252</v>
      </c>
      <c r="L59" s="2347"/>
      <c r="M59" s="2281"/>
      <c r="N59" s="2364">
        <f t="shared" si="39"/>
        <v>1</v>
      </c>
      <c r="R59" s="2272">
        <v>2320</v>
      </c>
    </row>
    <row r="60" spans="1:18" hidden="1">
      <c r="A60" s="2350"/>
      <c r="B60" s="2288">
        <f>COUNTIF($N$39:N60,"&gt;0")</f>
        <v>6</v>
      </c>
      <c r="C60" s="2281" t="str">
        <f t="shared" si="32"/>
        <v>Tháo lắp trạm biến áp 1P - 75KVA</v>
      </c>
      <c r="D60" s="2282" t="str">
        <f t="shared" si="33"/>
        <v xml:space="preserve">Trạm </v>
      </c>
      <c r="E60" s="2281">
        <f t="shared" si="33"/>
        <v>2</v>
      </c>
      <c r="F60" s="2281">
        <f t="shared" si="33"/>
        <v>2</v>
      </c>
      <c r="G60" s="2281"/>
      <c r="H60" s="2283">
        <f t="shared" si="38"/>
        <v>0</v>
      </c>
      <c r="I60" s="2346">
        <f t="shared" si="35"/>
        <v>0</v>
      </c>
      <c r="J60" s="2347"/>
      <c r="K60" s="2369">
        <f t="shared" si="36"/>
        <v>0</v>
      </c>
      <c r="L60" s="2351"/>
      <c r="M60" s="2281"/>
      <c r="N60" s="2364" t="str">
        <f t="shared" si="39"/>
        <v/>
      </c>
    </row>
    <row r="61" spans="1:18" hidden="1">
      <c r="A61" s="2350"/>
      <c r="B61" s="2288"/>
      <c r="C61" s="2281" t="str">
        <f t="shared" ref="C61:F62" si="40">C36</f>
        <v>Tháo lắp trạm biến áp 1P - 100KVA</v>
      </c>
      <c r="D61" s="2282" t="str">
        <f t="shared" si="40"/>
        <v xml:space="preserve">Trạm </v>
      </c>
      <c r="E61" s="2281">
        <f t="shared" si="40"/>
        <v>9</v>
      </c>
      <c r="F61" s="2281">
        <f t="shared" si="40"/>
        <v>9</v>
      </c>
      <c r="G61" s="2281"/>
      <c r="H61" s="2283">
        <f t="shared" si="34"/>
        <v>0</v>
      </c>
      <c r="I61" s="2346">
        <f t="shared" si="35"/>
        <v>0</v>
      </c>
      <c r="J61" s="2347"/>
      <c r="K61" s="2369">
        <f t="shared" si="36"/>
        <v>0</v>
      </c>
      <c r="L61" s="2351"/>
      <c r="M61" s="2281"/>
      <c r="N61" s="2364" t="str">
        <f t="shared" si="39"/>
        <v/>
      </c>
    </row>
    <row r="62" spans="1:18">
      <c r="B62" s="2289"/>
      <c r="C62" s="2290">
        <f t="shared" si="40"/>
        <v>0</v>
      </c>
      <c r="D62" s="2289">
        <f t="shared" si="40"/>
        <v>0</v>
      </c>
      <c r="E62" s="2290">
        <f t="shared" si="40"/>
        <v>0</v>
      </c>
      <c r="F62" s="2290">
        <f t="shared" si="40"/>
        <v>0</v>
      </c>
      <c r="G62" s="2290"/>
      <c r="H62" s="2368">
        <f t="shared" ref="H62" si="41">IFERROR(G62/F62,0)</f>
        <v>0</v>
      </c>
      <c r="I62" s="2348"/>
      <c r="J62" s="2349"/>
      <c r="K62" s="2371"/>
      <c r="L62" s="2352"/>
      <c r="M62" s="2290"/>
      <c r="N62" s="2364">
        <v>1</v>
      </c>
    </row>
    <row r="63" spans="1:18">
      <c r="B63" s="2291"/>
      <c r="C63" s="2284"/>
      <c r="D63" s="2291"/>
      <c r="E63" s="2284"/>
      <c r="F63" s="2284"/>
      <c r="G63" s="2284"/>
      <c r="H63" s="2354"/>
      <c r="I63" s="2355"/>
      <c r="J63" s="2355"/>
      <c r="K63" s="2284"/>
      <c r="L63" s="2284"/>
      <c r="M63" s="2284"/>
      <c r="N63" s="2364"/>
    </row>
    <row r="64" spans="1:18" s="2284" customFormat="1" ht="24.75" customHeight="1">
      <c r="B64" s="2291"/>
      <c r="C64" s="2408" t="s">
        <v>5369</v>
      </c>
      <c r="D64" s="2408"/>
      <c r="E64" s="2408"/>
      <c r="F64" s="2408"/>
      <c r="G64" s="2408"/>
      <c r="H64" s="2408"/>
      <c r="I64" s="2408"/>
      <c r="J64" s="2408"/>
      <c r="K64" s="2408"/>
      <c r="L64" s="2408"/>
      <c r="M64" s="2408"/>
      <c r="N64" s="2292"/>
    </row>
    <row r="65" spans="2:14" s="2279" customFormat="1" ht="19.5" customHeight="1">
      <c r="B65" s="2276"/>
      <c r="C65" s="2276" t="s">
        <v>5115</v>
      </c>
      <c r="D65" s="2276"/>
      <c r="E65" s="2293"/>
      <c r="F65" s="2409" t="s">
        <v>4463</v>
      </c>
      <c r="G65" s="2409"/>
      <c r="H65" s="2409"/>
      <c r="I65" s="2293"/>
      <c r="J65" s="2409" t="s">
        <v>5116</v>
      </c>
      <c r="K65" s="2409"/>
      <c r="L65" s="2409"/>
      <c r="M65" s="2409"/>
      <c r="N65" s="2361"/>
    </row>
    <row r="66" spans="2:14" s="2279" customFormat="1" ht="19.5" customHeight="1">
      <c r="B66" s="2276"/>
      <c r="C66" s="2276"/>
      <c r="D66" s="2276"/>
      <c r="E66" s="2293"/>
      <c r="F66" s="2293"/>
      <c r="G66" s="2293"/>
      <c r="H66" s="2293"/>
      <c r="I66" s="2293"/>
      <c r="J66" s="2293"/>
      <c r="K66" s="2293"/>
      <c r="L66" s="2293"/>
      <c r="M66" s="2293"/>
      <c r="N66" s="2365"/>
    </row>
    <row r="67" spans="2:14" s="2279" customFormat="1" ht="19.5" customHeight="1">
      <c r="B67" s="2276"/>
      <c r="C67" s="2276"/>
      <c r="D67" s="2276"/>
      <c r="E67" s="2293"/>
      <c r="F67" s="2293"/>
      <c r="G67" s="2293"/>
      <c r="H67" s="2293"/>
      <c r="I67" s="2293"/>
      <c r="J67" s="2293"/>
      <c r="K67" s="2293"/>
      <c r="L67" s="2293"/>
      <c r="M67" s="2293"/>
      <c r="N67" s="2365"/>
    </row>
    <row r="68" spans="2:14" s="2279" customFormat="1" ht="19.5" customHeight="1">
      <c r="B68" s="2276"/>
      <c r="C68" s="2276"/>
      <c r="D68" s="2276"/>
      <c r="E68" s="2293"/>
      <c r="F68" s="2293"/>
      <c r="G68" s="2293"/>
      <c r="H68" s="2293"/>
      <c r="I68" s="2293"/>
      <c r="J68" s="2293"/>
      <c r="K68" s="2293"/>
      <c r="L68" s="2293"/>
      <c r="M68" s="2293"/>
      <c r="N68" s="2365"/>
    </row>
    <row r="69" spans="2:14" s="2279" customFormat="1" ht="19.5" customHeight="1">
      <c r="B69" s="2276"/>
      <c r="C69" s="2276" t="s">
        <v>5117</v>
      </c>
      <c r="D69" s="2276"/>
      <c r="E69" s="2293"/>
      <c r="F69" s="2409" t="s">
        <v>5118</v>
      </c>
      <c r="G69" s="2409"/>
      <c r="H69" s="2409"/>
      <c r="I69" s="2293"/>
      <c r="J69" s="2293"/>
      <c r="K69" s="2293"/>
      <c r="L69" s="2293"/>
      <c r="M69" s="2293"/>
      <c r="N69" s="2365"/>
    </row>
    <row r="70" spans="2:14" ht="19.5" customHeight="1">
      <c r="B70" s="2291"/>
      <c r="C70" s="2284"/>
      <c r="D70" s="2291"/>
      <c r="E70" s="2284"/>
      <c r="F70" s="2284"/>
      <c r="G70" s="2284"/>
      <c r="H70" s="2284"/>
      <c r="I70" s="2284"/>
      <c r="J70" s="2284"/>
      <c r="K70" s="2284"/>
      <c r="L70" s="2284"/>
      <c r="M70" s="2284"/>
      <c r="N70" s="2364"/>
    </row>
    <row r="71" spans="2:14" ht="19.5" customHeight="1">
      <c r="B71" s="2291"/>
      <c r="C71" s="2284"/>
      <c r="D71" s="2291"/>
      <c r="E71" s="2284"/>
      <c r="F71" s="2284"/>
      <c r="G71" s="2284"/>
      <c r="H71" s="2284"/>
      <c r="I71" s="2284"/>
      <c r="J71" s="2284"/>
      <c r="K71" s="2284"/>
      <c r="L71" s="2284"/>
      <c r="M71" s="2284"/>
      <c r="N71" s="2364"/>
    </row>
    <row r="72" spans="2:14" ht="19.5" customHeight="1">
      <c r="B72" s="2291"/>
      <c r="C72" s="2284"/>
      <c r="D72" s="2291"/>
      <c r="E72" s="2291"/>
      <c r="F72" s="2291"/>
      <c r="G72" s="2291"/>
      <c r="H72" s="2291"/>
      <c r="I72" s="2291"/>
      <c r="J72" s="2291"/>
      <c r="K72" s="2291"/>
      <c r="L72" s="2291"/>
      <c r="M72" s="2291"/>
      <c r="N72" s="2366"/>
    </row>
    <row r="74" spans="2:14" s="2279" customFormat="1">
      <c r="B74" s="2410"/>
      <c r="C74" s="2410"/>
      <c r="D74" s="2404"/>
      <c r="E74" s="2404"/>
      <c r="F74" s="2404"/>
      <c r="I74" s="2404"/>
      <c r="J74" s="2404"/>
      <c r="K74" s="2404"/>
      <c r="L74" s="2404"/>
      <c r="N74" s="2367"/>
    </row>
    <row r="75" spans="2:14" s="2279" customFormat="1">
      <c r="B75" s="2418"/>
      <c r="C75" s="2418"/>
      <c r="I75" s="2404"/>
      <c r="J75" s="2404"/>
      <c r="K75" s="2404"/>
      <c r="L75" s="2404"/>
      <c r="N75" s="2367"/>
    </row>
    <row r="76" spans="2:14" s="2279" customFormat="1">
      <c r="B76" s="2418"/>
      <c r="C76" s="2418"/>
      <c r="N76" s="2367"/>
    </row>
    <row r="77" spans="2:14" s="2279" customFormat="1">
      <c r="B77" s="2271"/>
      <c r="N77" s="2367"/>
    </row>
    <row r="78" spans="2:14" s="2279" customFormat="1">
      <c r="B78" s="2271"/>
      <c r="N78" s="2367"/>
    </row>
    <row r="79" spans="2:14" s="2279" customFormat="1" ht="10.5" customHeight="1">
      <c r="B79" s="2271"/>
      <c r="I79" s="2404"/>
      <c r="J79" s="2404"/>
      <c r="K79" s="2404"/>
      <c r="L79" s="2404"/>
      <c r="N79" s="2367"/>
    </row>
    <row r="80" spans="2:14" s="2279" customFormat="1">
      <c r="B80" s="2271"/>
      <c r="C80" s="2271"/>
      <c r="D80" s="2404"/>
      <c r="E80" s="2404"/>
      <c r="F80" s="2404"/>
      <c r="I80" s="2404"/>
      <c r="J80" s="2404"/>
      <c r="K80" s="2404"/>
      <c r="L80" s="2404"/>
      <c r="N80" s="2367"/>
    </row>
    <row r="81" spans="2:17" s="2279" customFormat="1">
      <c r="B81" s="2410"/>
      <c r="C81" s="2410"/>
      <c r="D81" s="2271"/>
      <c r="N81" s="2367"/>
    </row>
    <row r="82" spans="2:17" s="2270" customFormat="1">
      <c r="B82" s="2418"/>
      <c r="C82" s="2418"/>
      <c r="E82" s="2272"/>
      <c r="F82" s="2272"/>
      <c r="G82" s="2272"/>
      <c r="H82" s="2272"/>
      <c r="I82" s="2272"/>
      <c r="J82" s="2272"/>
      <c r="K82" s="2272"/>
      <c r="L82" s="2272"/>
      <c r="M82" s="2272"/>
      <c r="N82" s="2360"/>
      <c r="O82" s="2272"/>
      <c r="P82" s="2272"/>
      <c r="Q82" s="2272"/>
    </row>
    <row r="83" spans="2:17" s="2270" customFormat="1">
      <c r="B83" s="2418"/>
      <c r="C83" s="2418"/>
      <c r="E83" s="2272"/>
      <c r="F83" s="2272"/>
      <c r="G83" s="2272"/>
      <c r="H83" s="2272"/>
      <c r="I83" s="2272"/>
      <c r="J83" s="2272"/>
      <c r="K83" s="2272"/>
      <c r="L83" s="2272"/>
      <c r="M83" s="2272"/>
      <c r="N83" s="2360"/>
      <c r="O83" s="2272"/>
      <c r="P83" s="2272"/>
      <c r="Q83" s="2272"/>
    </row>
  </sheetData>
  <autoFilter ref="N38:N62">
    <filterColumn colId="0">
      <customFilters>
        <customFilter operator="notEqual" val=" "/>
      </customFilters>
    </filterColumn>
  </autoFilter>
  <mergeCells count="36">
    <mergeCell ref="B82:C82"/>
    <mergeCell ref="B83:C83"/>
    <mergeCell ref="B75:C75"/>
    <mergeCell ref="I75:L75"/>
    <mergeCell ref="B76:C76"/>
    <mergeCell ref="I79:L80"/>
    <mergeCell ref="D80:F80"/>
    <mergeCell ref="B81:C81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C1:D1"/>
    <mergeCell ref="E1:M1"/>
    <mergeCell ref="C2:D2"/>
    <mergeCell ref="E2:M2"/>
    <mergeCell ref="C3:D3"/>
    <mergeCell ref="E3:M3"/>
    <mergeCell ref="D74:F74"/>
    <mergeCell ref="I74:L74"/>
    <mergeCell ref="D39:D40"/>
    <mergeCell ref="C13:M13"/>
    <mergeCell ref="C64:M64"/>
    <mergeCell ref="F65:H65"/>
    <mergeCell ref="J65:M65"/>
    <mergeCell ref="F69:H69"/>
    <mergeCell ref="B74:C74"/>
  </mergeCells>
  <printOptions horizontalCentered="1"/>
  <pageMargins left="0.45" right="0.45" top="0.5" bottom="0.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11" activePane="bottomLeft" state="frozen"/>
      <selection activeCell="BU4" sqref="BU4:BU5"/>
      <selection pane="bottomLeft" activeCell="D6" sqref="D6:D8"/>
    </sheetView>
  </sheetViews>
  <sheetFormatPr defaultColWidth="8.90625" defaultRowHeight="13.2" outlineLevelRow="1" outlineLevelCol="1"/>
  <cols>
    <col min="1" max="1" width="5.08984375" style="1949" customWidth="1"/>
    <col min="2" max="2" width="5.08984375" style="1948" customWidth="1"/>
    <col min="3" max="3" width="4.54296875" style="1188" customWidth="1"/>
    <col min="4" max="4" width="9.81640625" style="64" customWidth="1"/>
    <col min="5" max="5" width="48.36328125" style="1158" customWidth="1"/>
    <col min="6" max="6" width="11.1796875" style="64" customWidth="1"/>
    <col min="7" max="7" width="7.08984375" style="1904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17" customWidth="1"/>
    <col min="21" max="21" width="6" style="1517" customWidth="1"/>
    <col min="22" max="22" width="6" style="2307" customWidth="1"/>
    <col min="23" max="23" width="7.453125" style="53" customWidth="1"/>
    <col min="24" max="16384" width="8.90625" style="53"/>
  </cols>
  <sheetData>
    <row r="1" spans="1:36" hidden="1" outlineLevel="1">
      <c r="A1" s="62"/>
      <c r="B1" s="1948">
        <v>1</v>
      </c>
      <c r="E1" s="1157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48">
        <v>0</v>
      </c>
      <c r="E2" s="1157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57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57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57" t="s">
        <v>2383</v>
      </c>
      <c r="F5" s="901">
        <v>3</v>
      </c>
      <c r="T5" s="53"/>
      <c r="U5" s="53"/>
      <c r="V5" s="53"/>
    </row>
    <row r="6" spans="1:36" ht="37.5" customHeight="1" collapsed="1">
      <c r="A6" s="1947"/>
      <c r="D6" s="1702" t="s">
        <v>4947</v>
      </c>
      <c r="E6" s="1196"/>
      <c r="F6" s="1196"/>
      <c r="G6" s="1905"/>
      <c r="H6" s="1196"/>
      <c r="I6" s="1071"/>
      <c r="J6" s="1071"/>
      <c r="K6" s="1071"/>
      <c r="L6" s="1071"/>
      <c r="M6" s="1071"/>
      <c r="N6" s="1071"/>
      <c r="O6" s="1071"/>
      <c r="P6" s="1703"/>
      <c r="Q6" s="1703"/>
      <c r="R6" s="1703"/>
      <c r="S6" s="1703"/>
    </row>
    <row r="7" spans="1:36" ht="21.75" customHeight="1">
      <c r="D7" s="1197" t="str">
        <f>"Công trình: "&amp;WORD!W2</f>
        <v>Công trình: Nâng cấp đường dây trung thế từ recloser Xuân Bắc đến LBS khí Chế Biến tuyến 480 Xuân Bắc</v>
      </c>
      <c r="E7" s="1196"/>
      <c r="F7" s="1138"/>
      <c r="G7" s="1906"/>
      <c r="H7" s="1138"/>
      <c r="I7" s="1141"/>
      <c r="J7" s="1141"/>
      <c r="K7" s="1141"/>
      <c r="L7" s="1141"/>
      <c r="M7" s="1141"/>
      <c r="N7" s="1141"/>
      <c r="O7" s="1141"/>
      <c r="P7" s="1138"/>
      <c r="Q7" s="1138"/>
      <c r="R7" s="1138"/>
      <c r="S7" s="1138"/>
    </row>
    <row r="8" spans="1:36" ht="18.75" customHeight="1">
      <c r="D8" s="1072" t="str">
        <f>"Địa điểm: "&amp;WORD!Y2</f>
        <v>Địa điểm: Xã Xuân Bắc - Huyện Xuân Lộc - Tỉnh Đồng Nai</v>
      </c>
      <c r="E8" s="1196"/>
      <c r="F8" s="1196"/>
      <c r="G8" s="1905"/>
      <c r="H8" s="1196"/>
      <c r="I8" s="1071"/>
      <c r="J8" s="1071"/>
      <c r="K8" s="1071"/>
      <c r="L8" s="1071"/>
      <c r="M8" s="1071"/>
      <c r="N8" s="1071"/>
      <c r="O8" s="1071"/>
      <c r="P8" s="1703"/>
      <c r="Q8" s="1703"/>
      <c r="R8" s="1703"/>
      <c r="S8" s="1703"/>
    </row>
    <row r="9" spans="1:36" ht="21" customHeight="1">
      <c r="B9" s="1950" t="s">
        <v>2347</v>
      </c>
      <c r="C9" s="1190" t="s">
        <v>515</v>
      </c>
      <c r="D9" s="1233" t="s">
        <v>2384</v>
      </c>
      <c r="E9" s="2398" t="s">
        <v>2344</v>
      </c>
      <c r="F9" s="2398" t="s">
        <v>2658</v>
      </c>
      <c r="G9" s="1907" t="s">
        <v>4479</v>
      </c>
      <c r="H9" s="1066" t="s">
        <v>4478</v>
      </c>
      <c r="I9" s="1674"/>
      <c r="J9" s="1674"/>
      <c r="K9" s="1674"/>
      <c r="L9" s="1674"/>
      <c r="M9" s="1674"/>
      <c r="N9" s="1674"/>
      <c r="O9" s="1674"/>
      <c r="P9" s="1067"/>
      <c r="Q9" s="1068"/>
      <c r="R9" s="1069"/>
      <c r="S9" s="2419" t="s">
        <v>2664</v>
      </c>
    </row>
    <row r="10" spans="1:36" ht="23.25" customHeight="1">
      <c r="B10" s="1951"/>
      <c r="C10" s="1190" t="s">
        <v>515</v>
      </c>
      <c r="D10" s="1233" t="s">
        <v>4625</v>
      </c>
      <c r="E10" s="2399"/>
      <c r="F10" s="2399"/>
      <c r="G10" s="1908" t="s">
        <v>4480</v>
      </c>
      <c r="H10" s="1233" t="s">
        <v>4477</v>
      </c>
      <c r="I10" s="1675" t="s">
        <v>2386</v>
      </c>
      <c r="J10" s="1675" t="s">
        <v>2387</v>
      </c>
      <c r="K10" s="1675" t="s">
        <v>2388</v>
      </c>
      <c r="L10" s="1675" t="s">
        <v>191</v>
      </c>
      <c r="M10" s="1675" t="s">
        <v>192</v>
      </c>
      <c r="N10" s="1675" t="s">
        <v>2389</v>
      </c>
      <c r="O10" s="1675" t="s">
        <v>163</v>
      </c>
      <c r="P10" s="1233" t="s">
        <v>4474</v>
      </c>
      <c r="Q10" s="1263" t="s">
        <v>4731</v>
      </c>
      <c r="R10" s="1263" t="s">
        <v>4732</v>
      </c>
      <c r="S10" s="2420"/>
      <c r="T10" s="2162" t="s">
        <v>4817</v>
      </c>
      <c r="U10" s="2306" t="s">
        <v>2671</v>
      </c>
      <c r="V10" s="2308" t="s">
        <v>5198</v>
      </c>
      <c r="W10" s="2308" t="s">
        <v>5199</v>
      </c>
      <c r="X10" s="53" t="s">
        <v>5196</v>
      </c>
      <c r="Y10" s="53" t="s">
        <v>5197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73"/>
      <c r="C11" s="60"/>
      <c r="D11" s="1672">
        <v>1</v>
      </c>
      <c r="E11" s="1673">
        <v>2</v>
      </c>
      <c r="F11" s="1672">
        <v>3</v>
      </c>
      <c r="G11" s="1909">
        <v>4</v>
      </c>
      <c r="H11" s="1676"/>
      <c r="I11" s="1676"/>
      <c r="J11" s="1676"/>
      <c r="K11" s="1676"/>
      <c r="L11" s="1676"/>
      <c r="M11" s="1676"/>
      <c r="N11" s="1676"/>
      <c r="O11" s="1676"/>
      <c r="P11" s="1671"/>
      <c r="Q11" s="1671"/>
      <c r="R11" s="1671"/>
      <c r="S11" s="1671"/>
      <c r="T11" s="1671"/>
      <c r="U11" s="1671"/>
      <c r="V11" s="1671"/>
    </row>
    <row r="12" spans="1:36" ht="13.5" hidden="1" customHeight="1">
      <c r="A12" s="62">
        <v>1</v>
      </c>
      <c r="B12" s="1973">
        <v>2</v>
      </c>
      <c r="C12" s="60"/>
      <c r="D12" s="1677">
        <v>4</v>
      </c>
      <c r="E12" s="1678">
        <v>5</v>
      </c>
      <c r="F12" s="1677">
        <v>6</v>
      </c>
      <c r="G12" s="1910">
        <v>7</v>
      </c>
      <c r="H12" s="1677">
        <v>8</v>
      </c>
      <c r="I12" s="1677">
        <v>9</v>
      </c>
      <c r="J12" s="1677">
        <v>10</v>
      </c>
      <c r="K12" s="1677">
        <v>11</v>
      </c>
      <c r="L12" s="1677">
        <v>12</v>
      </c>
      <c r="M12" s="1677">
        <v>13</v>
      </c>
      <c r="N12" s="1677">
        <v>14</v>
      </c>
      <c r="O12" s="1677">
        <v>15</v>
      </c>
      <c r="P12" s="1671"/>
      <c r="Q12" s="1671"/>
      <c r="R12" s="1671"/>
      <c r="S12" s="1671"/>
      <c r="T12" s="1671"/>
      <c r="U12" s="1671"/>
      <c r="V12" s="1671"/>
    </row>
    <row r="13" spans="1:36" ht="16.2">
      <c r="B13" s="1952"/>
      <c r="C13" s="1190" t="s">
        <v>2009</v>
      </c>
      <c r="D13" s="1234" t="s">
        <v>504</v>
      </c>
      <c r="E13" s="1235" t="s">
        <v>2351</v>
      </c>
      <c r="F13" s="1236"/>
      <c r="G13" s="1911"/>
      <c r="H13" s="1236"/>
      <c r="I13" s="1236"/>
      <c r="J13" s="1236"/>
      <c r="K13" s="1236"/>
      <c r="L13" s="1236"/>
      <c r="M13" s="1236"/>
      <c r="N13" s="1236"/>
      <c r="O13" s="1236"/>
      <c r="P13" s="1236"/>
      <c r="Q13" s="1236"/>
      <c r="R13" s="1236"/>
      <c r="S13" s="1236"/>
      <c r="T13" s="1663"/>
      <c r="U13" s="1664">
        <f>IFERROR(VLOOKUP(B13,ChiTietDuToan!C:H,5,0),"")</f>
        <v>0</v>
      </c>
      <c r="V13" s="2309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56"/>
      <c r="C14" s="65" t="str">
        <f ca="1">IF(OR(P14&lt;&gt;0,H14&lt;&gt;0),"x"," ")</f>
        <v xml:space="preserve"> </v>
      </c>
      <c r="D14" s="1237"/>
      <c r="E14" s="1666" t="s">
        <v>2390</v>
      </c>
      <c r="F14" s="1238" t="s">
        <v>2391</v>
      </c>
      <c r="G14" s="1912"/>
      <c r="H14" s="1523">
        <f ca="1">SUM(I14:O14)+T14</f>
        <v>0</v>
      </c>
      <c r="I14" s="1239">
        <f ca="1">SUMIF(mong3pm,chitiet!$A14,slmong3pm)+SUMIF(mong3p1m,chitiet!$A14,slmong3p1m)</f>
        <v>0</v>
      </c>
      <c r="J14" s="1239">
        <f ca="1">SUMIF(mongct,chitiet!$A14,slmongct)</f>
        <v>0</v>
      </c>
      <c r="K14" s="1239">
        <f ca="1">SUMIF(mong1pm,chitiet!$A14,slmong1pm)</f>
        <v>0</v>
      </c>
      <c r="L14" s="1239">
        <f>IFERROR(HLOOKUP(A14,pp1p!$6:$90,85,0),0)</f>
        <v>0</v>
      </c>
      <c r="M14" s="1239">
        <f ca="1">SUMIF(mongHTHH,chitiet!$A14,slmongHTHH)</f>
        <v>0</v>
      </c>
      <c r="N14" s="1239">
        <f ca="1">SUMIF(mongHTDL,chitiet!$A14,slmongHTDL)</f>
        <v>0</v>
      </c>
      <c r="O14" s="1239">
        <f ca="1">SUMIF(mongHTCS,chitiet!$A14,slmongHTCS)</f>
        <v>0</v>
      </c>
      <c r="P14" s="1523">
        <f ca="1">H14+Q14-R14</f>
        <v>0</v>
      </c>
      <c r="Q14" s="1239"/>
      <c r="R14" s="1239"/>
      <c r="S14" s="1239"/>
      <c r="T14" s="1664"/>
      <c r="U14" s="1664">
        <f>IFERROR(VLOOKUP(B14,ChiTietDuToan!C:H,5,0),"")</f>
        <v>0</v>
      </c>
      <c r="V14" s="2309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59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36" t="str">
        <f>VLOOKUP($B15,DG!A:D,DG!$B$2,)</f>
        <v>03.1013</v>
      </c>
      <c r="E15" s="1241" t="str">
        <f>VLOOKUP($B15,DG!A:D,DG!$C$2,)</f>
        <v>Đào hố móng đất cấp 3 sâu &gt;1m DT&lt;5m2</v>
      </c>
      <c r="F15" s="1236" t="str">
        <f>VLOOKUP($B15,DG!A:D,DG!$D$2,)</f>
        <v>m3</v>
      </c>
      <c r="G15" s="1913">
        <v>0.16300000000000001</v>
      </c>
      <c r="H15" s="1250">
        <f ca="1">$H$14*G15</f>
        <v>0</v>
      </c>
      <c r="I15" s="1250"/>
      <c r="J15" s="1250"/>
      <c r="K15" s="1250"/>
      <c r="L15" s="1250"/>
      <c r="M15" s="1250"/>
      <c r="N15" s="1250"/>
      <c r="O15" s="1250"/>
      <c r="P15" s="1244">
        <f ca="1">H15+Q15-R15</f>
        <v>0</v>
      </c>
      <c r="Q15" s="1250"/>
      <c r="R15" s="1250"/>
      <c r="S15" s="1250"/>
      <c r="T15" s="1671"/>
      <c r="U15" s="1664" t="str">
        <f>IFERROR(VLOOKUP(B15,ChiTietDuToan!C:H,5,0),"")</f>
        <v>m3</v>
      </c>
      <c r="V15" s="2309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59" t="str">
        <f>IF(F5=1,"MDAP1",IF(F5=2,"MDAP2",IF(F5=3,"MDAP3",IF(F5=4,"MDAP4"))))</f>
        <v>MDAP3</v>
      </c>
      <c r="C16" s="67" t="str">
        <f t="shared" ca="1" si="1"/>
        <v xml:space="preserve"> </v>
      </c>
      <c r="D16" s="1236" t="str">
        <f>VLOOKUP($B16,DG!A:D,DG!$B$2,)</f>
        <v>03.4113</v>
      </c>
      <c r="E16" s="1241" t="str">
        <f>VLOOKUP($B16,DG!A:D,DG!$C$2,)</f>
        <v>Đắp đất hố móng, độ chặt k=0,95</v>
      </c>
      <c r="F16" s="1236" t="str">
        <f>VLOOKUP($B16,DG!A:D,DG!$D$2,)</f>
        <v>m3</v>
      </c>
      <c r="G16" s="1913">
        <v>0.13100000000000001</v>
      </c>
      <c r="H16" s="1250">
        <f ca="1">$H$14*G16</f>
        <v>0</v>
      </c>
      <c r="I16" s="1250"/>
      <c r="J16" s="1250"/>
      <c r="K16" s="1250"/>
      <c r="L16" s="1250"/>
      <c r="M16" s="1250"/>
      <c r="N16" s="1250"/>
      <c r="O16" s="1250"/>
      <c r="P16" s="1244">
        <f ca="1">H16+Q16-R16</f>
        <v>0</v>
      </c>
      <c r="Q16" s="1250"/>
      <c r="R16" s="1250"/>
      <c r="S16" s="1250"/>
      <c r="T16" s="1671"/>
      <c r="U16" s="1664" t="str">
        <f>IFERROR(VLOOKUP(B16,ChiTietDuToan!C:H,5,0),"")</f>
        <v>m3</v>
      </c>
      <c r="V16" s="2309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74" t="s">
        <v>640</v>
      </c>
      <c r="C17" s="67" t="str">
        <f t="shared" si="1"/>
        <v xml:space="preserve"> </v>
      </c>
      <c r="D17" s="1236" t="str">
        <f>VLOOKUP($B17,DG!A:C,2,)</f>
        <v>02.1482</v>
      </c>
      <c r="E17" s="1241" t="str">
        <f>VLOOKUP(B17,DG!A:C,3,0)</f>
        <v>V/c dụng cụ thi công vào vị trí (cự ly &lt;=100m)</v>
      </c>
      <c r="F17" s="1236" t="str">
        <f>VLOOKUP($B17,DG!A:D,4,0)</f>
        <v>tấn</v>
      </c>
      <c r="G17" s="1914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671"/>
      <c r="U17" s="1664" t="str">
        <f>IFERROR(VLOOKUP(B17,ChiTietDuToan!C:H,5,0),"")</f>
        <v/>
      </c>
      <c r="V17" s="2309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56"/>
      <c r="C18" s="65" t="str">
        <f t="shared" ca="1" si="1"/>
        <v xml:space="preserve"> </v>
      </c>
      <c r="D18" s="1237"/>
      <c r="E18" s="1666" t="s">
        <v>2392</v>
      </c>
      <c r="F18" s="1238" t="s">
        <v>2391</v>
      </c>
      <c r="G18" s="1912"/>
      <c r="H18" s="1523">
        <f ca="1">SUM(I18:O18)+T18</f>
        <v>0</v>
      </c>
      <c r="I18" s="1239">
        <f ca="1">SUMIF(mong3pm,chitiet!$A18,slmong3pm)+SUMIF(mong3p1m,chitiet!$A18,slmong3p1m)</f>
        <v>0</v>
      </c>
      <c r="J18" s="1239">
        <f ca="1">SUMIF(mongct,chitiet!$A18,slmongct)</f>
        <v>0</v>
      </c>
      <c r="K18" s="1239">
        <f ca="1">SUMIF(mong1pm,chitiet!$A18,slmong1pm)</f>
        <v>0</v>
      </c>
      <c r="L18" s="1239">
        <f>IFERROR(HLOOKUP(A18,pp1p!$6:$90,85,0),0)</f>
        <v>0</v>
      </c>
      <c r="M18" s="1239">
        <f ca="1">SUMIF(mongHTHH,chitiet!$A18,slmongHTHH)</f>
        <v>0</v>
      </c>
      <c r="N18" s="1239">
        <f ca="1">SUMIF(mongHTDL,chitiet!$A18,slmongHTDL)</f>
        <v>0</v>
      </c>
      <c r="O18" s="1239">
        <f ca="1">SUMIF(mongHTCS,chitiet!$A18,slmongHTCS)</f>
        <v>0</v>
      </c>
      <c r="P18" s="1239"/>
      <c r="Q18" s="1239"/>
      <c r="R18" s="1239"/>
      <c r="S18" s="1239"/>
      <c r="T18" s="1671"/>
      <c r="U18" s="1664">
        <f>IFERROR(VLOOKUP(B18,ChiTietDuToan!C:H,5,0),"")</f>
        <v>0</v>
      </c>
      <c r="V18" s="2309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59" t="s">
        <v>641</v>
      </c>
      <c r="C19" s="67" t="str">
        <f t="shared" ca="1" si="1"/>
        <v xml:space="preserve"> </v>
      </c>
      <c r="D19" s="1236" t="str">
        <f>VLOOKUP($B19,DG!A:D,DG!$B$2,)</f>
        <v>04.4001</v>
      </c>
      <c r="E19" s="1248" t="str">
        <f>VLOOKUP($B19,DG!A:D,DG!$C$2,)</f>
        <v>Đà cản BTCT 1,2m</v>
      </c>
      <c r="F19" s="1236" t="str">
        <f>VLOOKUP($B19,DG!A:D,DG!$D$2,)</f>
        <v>cái</v>
      </c>
      <c r="G19" s="1915">
        <v>1</v>
      </c>
      <c r="H19" s="1245">
        <f t="shared" ref="H19:J20" ca="1" si="2">H$18*$G19</f>
        <v>0</v>
      </c>
      <c r="I19" s="1245">
        <f t="shared" ca="1" si="2"/>
        <v>0</v>
      </c>
      <c r="J19" s="1245">
        <f t="shared" ca="1" si="2"/>
        <v>0</v>
      </c>
      <c r="K19" s="1245">
        <f t="shared" ref="K19:O20" ca="1" si="3">K$18*$G19</f>
        <v>0</v>
      </c>
      <c r="L19" s="1245">
        <f t="shared" si="3"/>
        <v>0</v>
      </c>
      <c r="M19" s="1245">
        <f t="shared" ca="1" si="3"/>
        <v>0</v>
      </c>
      <c r="N19" s="1245">
        <f t="shared" ca="1" si="3"/>
        <v>0</v>
      </c>
      <c r="O19" s="1245">
        <f t="shared" ca="1" si="3"/>
        <v>0</v>
      </c>
      <c r="P19" s="1245"/>
      <c r="Q19" s="1245"/>
      <c r="R19" s="1245"/>
      <c r="S19" s="1245"/>
      <c r="T19" s="1671"/>
      <c r="U19" s="1664" t="str">
        <f>IFERROR(VLOOKUP(B19,ChiTietDuToan!C:H,5,0),"")</f>
        <v>cái</v>
      </c>
      <c r="V19" s="2309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59" t="s">
        <v>727</v>
      </c>
      <c r="C20" s="67" t="str">
        <f t="shared" ca="1" si="1"/>
        <v xml:space="preserve"> </v>
      </c>
      <c r="D20" s="1236"/>
      <c r="E20" s="1248" t="str">
        <f>VLOOKUP($B20,DG!A:D,DG!$C$2,)</f>
        <v>Boulon 22x550/100+ 2 long đền vuông D24-50x50x3/Zn</v>
      </c>
      <c r="F20" s="1236" t="str">
        <f>VLOOKUP($B20,DG!A:D,DG!$D$2,)</f>
        <v>bộ</v>
      </c>
      <c r="G20" s="1915">
        <v>1</v>
      </c>
      <c r="H20" s="1245">
        <f t="shared" ca="1" si="2"/>
        <v>0</v>
      </c>
      <c r="I20" s="1245">
        <f t="shared" ca="1" si="2"/>
        <v>0</v>
      </c>
      <c r="J20" s="1245">
        <f t="shared" ca="1" si="2"/>
        <v>0</v>
      </c>
      <c r="K20" s="1245">
        <f t="shared" ca="1" si="3"/>
        <v>0</v>
      </c>
      <c r="L20" s="1245">
        <f t="shared" si="3"/>
        <v>0</v>
      </c>
      <c r="M20" s="1245">
        <f t="shared" ca="1" si="3"/>
        <v>0</v>
      </c>
      <c r="N20" s="1245">
        <f t="shared" ca="1" si="3"/>
        <v>0</v>
      </c>
      <c r="O20" s="1245">
        <f t="shared" ca="1" si="3"/>
        <v>0</v>
      </c>
      <c r="P20" s="1245"/>
      <c r="Q20" s="1245"/>
      <c r="R20" s="1245"/>
      <c r="S20" s="1245"/>
      <c r="T20" s="1671"/>
      <c r="U20" s="1664" t="str">
        <f>IFERROR(VLOOKUP(B20,ChiTietDuToan!C:H,5,0),"")</f>
        <v/>
      </c>
      <c r="V20" s="2309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59" t="str">
        <f>IF(F5=1,"MDD1",IF(F5=2,"MDD2",IF(F5=3,"MDD3",IF(F5=4,"MDD4"))))</f>
        <v>MDD3</v>
      </c>
      <c r="C21" s="67" t="str">
        <f t="shared" si="1"/>
        <v xml:space="preserve"> </v>
      </c>
      <c r="D21" s="1236" t="str">
        <f>VLOOKUP($B21,DG!A:D,DG!$B$2,)</f>
        <v>03.1013</v>
      </c>
      <c r="E21" s="1241" t="str">
        <f>VLOOKUP($B21,DG!A:D,DG!$C$2,)</f>
        <v>Đào hố móng đất cấp 3 sâu &gt;1m DT&lt;5m2</v>
      </c>
      <c r="F21" s="1236" t="str">
        <f>VLOOKUP($B21,DG!A:D,DG!$D$2,)</f>
        <v>m3</v>
      </c>
      <c r="G21" s="1914">
        <v>0.72</v>
      </c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671"/>
      <c r="U21" s="1664" t="str">
        <f>IFERROR(VLOOKUP(B21,ChiTietDuToan!C:H,5,0),"")</f>
        <v>m3</v>
      </c>
      <c r="V21" s="2309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59" t="str">
        <f>IF(F5=1,"MDAP1",IF(F5=2,"MDAP2",IF(F5=3,"MDAP3",IF(F5=4,"MDAP4"))))</f>
        <v>MDAP3</v>
      </c>
      <c r="C22" s="67" t="str">
        <f t="shared" si="1"/>
        <v xml:space="preserve"> </v>
      </c>
      <c r="D22" s="1236" t="str">
        <f>VLOOKUP($B22,DG!A:D,DG!$B$2,)</f>
        <v>03.4113</v>
      </c>
      <c r="E22" s="1241" t="str">
        <f>VLOOKUP($B22,DG!A:D,DG!$C$2,)</f>
        <v>Đắp đất hố móng, độ chặt k=0,95</v>
      </c>
      <c r="F22" s="1236" t="str">
        <f>VLOOKUP($B22,DG!A:D,DG!$D$2,)</f>
        <v>m3</v>
      </c>
      <c r="G22" s="1914">
        <f>+G21</f>
        <v>0.72</v>
      </c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671"/>
      <c r="U22" s="1664" t="str">
        <f>IFERROR(VLOOKUP(B22,ChiTietDuToan!C:H,5,0),"")</f>
        <v>m3</v>
      </c>
      <c r="V22" s="2309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59" t="s">
        <v>642</v>
      </c>
      <c r="C23" s="67" t="str">
        <f t="shared" si="1"/>
        <v xml:space="preserve"> </v>
      </c>
      <c r="D23" s="1236" t="str">
        <f>VLOOKUP($B23,DG!A:D,DG!$B$2,)</f>
        <v>02.1123</v>
      </c>
      <c r="E23" s="1241" t="str">
        <f>VLOOKUP($B23,DG!A:D,DG!$C$2,)</f>
        <v>Bốc dỡ đà cản, đế néo</v>
      </c>
      <c r="F23" s="1236" t="str">
        <f>VLOOKUP($B23,DG!A:D,DG!$D$2,)</f>
        <v>tấn</v>
      </c>
      <c r="G23" s="1914"/>
      <c r="H23" s="1245"/>
      <c r="I23" s="1245"/>
      <c r="J23" s="1245"/>
      <c r="K23" s="1245"/>
      <c r="L23" s="1245"/>
      <c r="M23" s="1245"/>
      <c r="N23" s="1245"/>
      <c r="O23" s="1245"/>
      <c r="P23" s="1245"/>
      <c r="Q23" s="1245"/>
      <c r="R23" s="1245"/>
      <c r="S23" s="1245"/>
      <c r="T23" s="1671"/>
      <c r="U23" s="1664" t="str">
        <f>IFERROR(VLOOKUP(B23,ChiTietDuToan!C:H,5,0),"")</f>
        <v/>
      </c>
      <c r="V23" s="2309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74" t="s">
        <v>2125</v>
      </c>
      <c r="C24" s="67" t="str">
        <f t="shared" si="1"/>
        <v xml:space="preserve"> </v>
      </c>
      <c r="D24" s="1236" t="str">
        <f>VLOOKUP($B24,DG!A:C,2,)</f>
        <v>02.1451</v>
      </c>
      <c r="E24" s="1241" t="str">
        <f>VLOOKUP($B24,DG!A:C,3,)</f>
        <v>V/c đà cản vào vị trí (cự ly &lt;=100m)</v>
      </c>
      <c r="F24" s="1236" t="str">
        <f>VLOOKUP($B24,DG!A:D,4,0)</f>
        <v>tấn</v>
      </c>
      <c r="G24" s="1914"/>
      <c r="H24" s="1250"/>
      <c r="I24" s="1250"/>
      <c r="J24" s="1250"/>
      <c r="K24" s="1250"/>
      <c r="L24" s="1250"/>
      <c r="M24" s="1250"/>
      <c r="N24" s="1250"/>
      <c r="O24" s="1250"/>
      <c r="P24" s="1250"/>
      <c r="Q24" s="1250"/>
      <c r="R24" s="1250"/>
      <c r="S24" s="1250"/>
      <c r="T24" s="1671"/>
      <c r="U24" s="1664" t="str">
        <f>IFERROR(VLOOKUP(B24,ChiTietDuToan!C:H,5,0),"")</f>
        <v/>
      </c>
      <c r="V24" s="2309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74" t="s">
        <v>679</v>
      </c>
      <c r="C25" s="67" t="str">
        <f t="shared" si="1"/>
        <v xml:space="preserve"> </v>
      </c>
      <c r="D25" s="1236" t="str">
        <f>VLOOKUP($B25,DG!A:C,2,)</f>
        <v>02.1241</v>
      </c>
      <c r="E25" s="1241" t="str">
        <f>VLOOKUP($B25,DG!A:C,3,)</f>
        <v>V/c đá dăm ( cự ly &lt;=100m)</v>
      </c>
      <c r="F25" s="1236" t="str">
        <f>VLOOKUP($B25,DG!A:D,4,0)</f>
        <v>m3</v>
      </c>
      <c r="G25" s="1913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671"/>
      <c r="U25" s="1664" t="str">
        <f>IFERROR(VLOOKUP(B25,ChiTietDuToan!C:H,5,0),"")</f>
        <v/>
      </c>
      <c r="V25" s="2309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74" t="s">
        <v>640</v>
      </c>
      <c r="C26" s="67" t="str">
        <f t="shared" si="1"/>
        <v xml:space="preserve"> </v>
      </c>
      <c r="D26" s="1236" t="str">
        <f>VLOOKUP($B26,DG!A:C,2,)</f>
        <v>02.1482</v>
      </c>
      <c r="E26" s="1241" t="str">
        <f>VLOOKUP($B26,DG!A:C,3,)</f>
        <v>V/c dụng cụ thi công vào vị trí (cự ly &lt;=100m)</v>
      </c>
      <c r="F26" s="1236" t="str">
        <f>VLOOKUP($B26,DG!A:D,4,0)</f>
        <v>tấn</v>
      </c>
      <c r="G26" s="1914"/>
      <c r="H26" s="1250"/>
      <c r="I26" s="1250"/>
      <c r="J26" s="1250"/>
      <c r="K26" s="1250"/>
      <c r="L26" s="1250"/>
      <c r="M26" s="1250"/>
      <c r="N26" s="1250"/>
      <c r="O26" s="1250"/>
      <c r="P26" s="1250"/>
      <c r="Q26" s="1250"/>
      <c r="R26" s="1250"/>
      <c r="S26" s="1250"/>
      <c r="T26" s="1671"/>
      <c r="U26" s="1664" t="str">
        <f>IFERROR(VLOOKUP(B26,ChiTietDuToan!C:H,5,0),"")</f>
        <v/>
      </c>
      <c r="V26" s="2309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56"/>
      <c r="C27" s="65" t="str">
        <f t="shared" ca="1" si="1"/>
        <v xml:space="preserve"> </v>
      </c>
      <c r="D27" s="1237"/>
      <c r="E27" s="1666" t="s">
        <v>2393</v>
      </c>
      <c r="F27" s="1238" t="s">
        <v>2391</v>
      </c>
      <c r="G27" s="1912"/>
      <c r="H27" s="1523">
        <f ca="1">SUM(I27:O27)+T27</f>
        <v>0</v>
      </c>
      <c r="I27" s="1239">
        <f ca="1">SUMIF(mong3pm,chitiet!$A27,slmong3pm)+SUMIF(mong3p1m,chitiet!$A27,slmong3p1m)</f>
        <v>0</v>
      </c>
      <c r="J27" s="1239">
        <f ca="1">SUMIF(mongct,chitiet!$A27,slmongct)</f>
        <v>0</v>
      </c>
      <c r="K27" s="1239">
        <f ca="1">SUMIF(mong1pm,chitiet!$A27,slmong1pm)</f>
        <v>0</v>
      </c>
      <c r="L27" s="1239">
        <f>IFERROR(HLOOKUP(A27,pp1p!$6:$90,85,0),0)</f>
        <v>0</v>
      </c>
      <c r="M27" s="1239">
        <f ca="1">SUMIF(mongHTHH,chitiet!$A27,slmongHTHH)</f>
        <v>0</v>
      </c>
      <c r="N27" s="1239">
        <f ca="1">SUMIF(mongHTDL,chitiet!$A27,slmongHTDL)</f>
        <v>0</v>
      </c>
      <c r="O27" s="1239">
        <f ca="1">SUMIF(mongHTCS,chitiet!$A27,slmongHTCS)</f>
        <v>0</v>
      </c>
      <c r="P27" s="1239"/>
      <c r="Q27" s="1239"/>
      <c r="R27" s="1239"/>
      <c r="S27" s="1239"/>
      <c r="T27" s="1671"/>
      <c r="U27" s="1664">
        <f>IFERROR(VLOOKUP(B27,ChiTietDuToan!C:H,5,0),"")</f>
        <v>0</v>
      </c>
      <c r="V27" s="2309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59" t="s">
        <v>1627</v>
      </c>
      <c r="C28" s="67" t="str">
        <f t="shared" ca="1" si="1"/>
        <v xml:space="preserve"> </v>
      </c>
      <c r="D28" s="1236" t="str">
        <f>VLOOKUP($B28,DG!A:D,DG!$B$2,)</f>
        <v>04.3801</v>
      </c>
      <c r="E28" s="1248" t="str">
        <f>VLOOKUP($B28,DG!A:D,DG!$C$2,)</f>
        <v>Đà cản BTCT 1,5m</v>
      </c>
      <c r="F28" s="1236" t="str">
        <f>VLOOKUP($B28,DG!A:D,DG!$D$2,)</f>
        <v>cái</v>
      </c>
      <c r="G28" s="1915">
        <v>1</v>
      </c>
      <c r="H28" s="1245">
        <f ca="1">H$27*$G28</f>
        <v>0</v>
      </c>
      <c r="I28" s="1245">
        <f t="shared" ref="I28:O29" ca="1" si="4">I$27*$G28</f>
        <v>0</v>
      </c>
      <c r="J28" s="1245">
        <f t="shared" ca="1" si="4"/>
        <v>0</v>
      </c>
      <c r="K28" s="1245">
        <f t="shared" ca="1" si="4"/>
        <v>0</v>
      </c>
      <c r="L28" s="1245">
        <f t="shared" si="4"/>
        <v>0</v>
      </c>
      <c r="M28" s="1245">
        <f t="shared" ca="1" si="4"/>
        <v>0</v>
      </c>
      <c r="N28" s="1245">
        <f t="shared" ca="1" si="4"/>
        <v>0</v>
      </c>
      <c r="O28" s="1245">
        <f t="shared" ca="1" si="4"/>
        <v>0</v>
      </c>
      <c r="P28" s="1245"/>
      <c r="Q28" s="1245"/>
      <c r="R28" s="1245"/>
      <c r="S28" s="1245"/>
      <c r="T28" s="1671"/>
      <c r="U28" s="1664" t="str">
        <f>IFERROR(VLOOKUP(B28,ChiTietDuToan!C:H,5,0),"")</f>
        <v>cái</v>
      </c>
      <c r="V28" s="2309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59" t="s">
        <v>727</v>
      </c>
      <c r="C29" s="67" t="str">
        <f t="shared" ca="1" si="1"/>
        <v xml:space="preserve"> </v>
      </c>
      <c r="D29" s="1236"/>
      <c r="E29" s="1248" t="str">
        <f>VLOOKUP($B29,DG!A:D,DG!$C$2,)</f>
        <v>Boulon 22x550/100+ 2 long đền vuông D24-50x50x3/Zn</v>
      </c>
      <c r="F29" s="1236" t="str">
        <f>VLOOKUP($B29,DG!A:D,DG!$D$2,)</f>
        <v>bộ</v>
      </c>
      <c r="G29" s="1915">
        <v>1</v>
      </c>
      <c r="H29" s="1245">
        <f ca="1">H$27*$G29</f>
        <v>0</v>
      </c>
      <c r="I29" s="1245">
        <f t="shared" ca="1" si="4"/>
        <v>0</v>
      </c>
      <c r="J29" s="1245">
        <f t="shared" ca="1" si="4"/>
        <v>0</v>
      </c>
      <c r="K29" s="1245">
        <f t="shared" ca="1" si="4"/>
        <v>0</v>
      </c>
      <c r="L29" s="1245">
        <f t="shared" si="4"/>
        <v>0</v>
      </c>
      <c r="M29" s="1245">
        <f t="shared" ca="1" si="4"/>
        <v>0</v>
      </c>
      <c r="N29" s="1245">
        <f t="shared" ca="1" si="4"/>
        <v>0</v>
      </c>
      <c r="O29" s="1245">
        <f t="shared" ca="1" si="4"/>
        <v>0</v>
      </c>
      <c r="P29" s="1245"/>
      <c r="Q29" s="1245"/>
      <c r="R29" s="1245"/>
      <c r="S29" s="1245"/>
      <c r="T29" s="1671"/>
      <c r="U29" s="1664" t="str">
        <f>IFERROR(VLOOKUP(B29,ChiTietDuToan!C:H,5,0),"")</f>
        <v/>
      </c>
      <c r="V29" s="2309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59" t="s">
        <v>1865</v>
      </c>
      <c r="C30" s="67" t="str">
        <f t="shared" ca="1" si="1"/>
        <v xml:space="preserve"> </v>
      </c>
      <c r="D30" s="1236">
        <f>VLOOKUP($B30,DG!A:D,DG!$B$2,)</f>
        <v>0</v>
      </c>
      <c r="E30" s="1241" t="str">
        <f>VLOOKUP($B30,DG!A:D,DG!$C$2,)</f>
        <v>Đá 2x4</v>
      </c>
      <c r="F30" s="1236" t="str">
        <f>VLOOKUP($B30,DG!A:D,DG!$D$2,)</f>
        <v>m3</v>
      </c>
      <c r="G30" s="1913">
        <v>0.155</v>
      </c>
      <c r="H30" s="1245">
        <f t="shared" ref="H30:O30" ca="1" si="5">H$18*$G30</f>
        <v>0</v>
      </c>
      <c r="I30" s="1245">
        <f t="shared" ca="1" si="5"/>
        <v>0</v>
      </c>
      <c r="J30" s="1245">
        <f t="shared" ca="1" si="5"/>
        <v>0</v>
      </c>
      <c r="K30" s="1245">
        <f t="shared" ca="1" si="5"/>
        <v>0</v>
      </c>
      <c r="L30" s="1245">
        <f t="shared" si="5"/>
        <v>0</v>
      </c>
      <c r="M30" s="1245">
        <f t="shared" ca="1" si="5"/>
        <v>0</v>
      </c>
      <c r="N30" s="1245">
        <f t="shared" ca="1" si="5"/>
        <v>0</v>
      </c>
      <c r="O30" s="1245">
        <f t="shared" ca="1" si="5"/>
        <v>0</v>
      </c>
      <c r="P30" s="1245"/>
      <c r="Q30" s="1245"/>
      <c r="R30" s="1245"/>
      <c r="S30" s="1245"/>
      <c r="T30" s="1671"/>
      <c r="U30" s="1664" t="str">
        <f>IFERROR(VLOOKUP(B30,ChiTietDuToan!C:H,5,0),"")</f>
        <v>m3</v>
      </c>
      <c r="V30" s="2309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59" t="str">
        <f>IF(F5=1,"MDD1",IF(F5=2,"MDD2",IF(F5=3,"MDD3",IF(F5=4,"MDD4"))))</f>
        <v>MDD3</v>
      </c>
      <c r="C31" s="67" t="str">
        <f t="shared" si="1"/>
        <v xml:space="preserve"> </v>
      </c>
      <c r="D31" s="1236" t="str">
        <f>VLOOKUP($B31,DG!A:D,DG!$B$2,)</f>
        <v>03.1013</v>
      </c>
      <c r="E31" s="1241" t="str">
        <f>VLOOKUP($B31,DG!A:D,DG!$C$2,)</f>
        <v>Đào hố móng đất cấp 3 sâu &gt;1m DT&lt;5m2</v>
      </c>
      <c r="F31" s="1236" t="str">
        <f>VLOOKUP($B31,DG!A:D,DG!$D$2,)</f>
        <v>m3</v>
      </c>
      <c r="G31" s="1914">
        <v>1.77</v>
      </c>
      <c r="H31" s="1250"/>
      <c r="I31" s="1250"/>
      <c r="J31" s="1250"/>
      <c r="K31" s="1250"/>
      <c r="L31" s="1250"/>
      <c r="M31" s="1250"/>
      <c r="N31" s="1250"/>
      <c r="O31" s="1250"/>
      <c r="P31" s="1250"/>
      <c r="Q31" s="1250"/>
      <c r="R31" s="1250"/>
      <c r="S31" s="1250"/>
      <c r="T31" s="1671"/>
      <c r="U31" s="1664" t="str">
        <f>IFERROR(VLOOKUP(B31,ChiTietDuToan!C:H,5,0),"")</f>
        <v>m3</v>
      </c>
      <c r="V31" s="2309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59" t="str">
        <f>IF(F5=1,"MDAP1",IF(F5=2,"MDAP2",IF(F5=3,"MDAP3",IF(F5=4,"MDAP4"))))</f>
        <v>MDAP3</v>
      </c>
      <c r="C32" s="67" t="str">
        <f t="shared" si="1"/>
        <v xml:space="preserve"> </v>
      </c>
      <c r="D32" s="1236" t="str">
        <f>VLOOKUP($B32,DG!A:D,DG!$B$2,)</f>
        <v>03.4113</v>
      </c>
      <c r="E32" s="1241" t="str">
        <f>VLOOKUP($B32,DG!A:D,DG!$C$2,)</f>
        <v>Đắp đất hố móng, độ chặt k=0,95</v>
      </c>
      <c r="F32" s="1236" t="str">
        <f>VLOOKUP($B32,DG!A:D,DG!$D$2,)</f>
        <v>m3</v>
      </c>
      <c r="G32" s="1914">
        <v>2.0099999999999998</v>
      </c>
      <c r="H32" s="1250"/>
      <c r="I32" s="1250"/>
      <c r="J32" s="1250"/>
      <c r="K32" s="1250"/>
      <c r="L32" s="1250"/>
      <c r="M32" s="1250"/>
      <c r="N32" s="1250"/>
      <c r="O32" s="1250"/>
      <c r="P32" s="1250"/>
      <c r="Q32" s="1250"/>
      <c r="R32" s="1250"/>
      <c r="S32" s="1250"/>
      <c r="T32" s="1671"/>
      <c r="U32" s="1664" t="str">
        <f>IFERROR(VLOOKUP(B32,ChiTietDuToan!C:H,5,0),"")</f>
        <v>m3</v>
      </c>
      <c r="V32" s="2309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59" t="s">
        <v>642</v>
      </c>
      <c r="C33" s="67" t="str">
        <f t="shared" si="1"/>
        <v xml:space="preserve"> </v>
      </c>
      <c r="D33" s="1236" t="str">
        <f>VLOOKUP($B33,DG!A:D,DG!$B$2,)</f>
        <v>02.1123</v>
      </c>
      <c r="E33" s="1241" t="str">
        <f>VLOOKUP($B33,DG!A:D,DG!$C$2,)</f>
        <v>Bốc dỡ đà cản, đế néo</v>
      </c>
      <c r="F33" s="1236" t="str">
        <f>VLOOKUP($B33,DG!A:D,DG!$D$2,)</f>
        <v>tấn</v>
      </c>
      <c r="G33" s="1914">
        <v>0.1</v>
      </c>
      <c r="H33" s="1245"/>
      <c r="I33" s="1245"/>
      <c r="J33" s="1245"/>
      <c r="K33" s="1245"/>
      <c r="L33" s="1245"/>
      <c r="M33" s="1245"/>
      <c r="N33" s="1245"/>
      <c r="O33" s="1245"/>
      <c r="P33" s="1245"/>
      <c r="Q33" s="1245"/>
      <c r="R33" s="1245"/>
      <c r="S33" s="1245"/>
      <c r="T33" s="1671"/>
      <c r="U33" s="1664" t="str">
        <f>IFERROR(VLOOKUP(B33,ChiTietDuToan!C:H,5,0),"")</f>
        <v/>
      </c>
      <c r="V33" s="2309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74" t="s">
        <v>2125</v>
      </c>
      <c r="C34" s="67" t="str">
        <f t="shared" si="1"/>
        <v xml:space="preserve"> </v>
      </c>
      <c r="D34" s="1236" t="str">
        <f>VLOOKUP($B34,DG!A:C,2,)</f>
        <v>02.1451</v>
      </c>
      <c r="E34" s="1241" t="str">
        <f>VLOOKUP($B34,DG!A:C,3,)</f>
        <v>V/c đà cản vào vị trí (cự ly &lt;=100m)</v>
      </c>
      <c r="F34" s="1236" t="str">
        <f>VLOOKUP($B34,DG!A:D,4,0)</f>
        <v>tấn</v>
      </c>
      <c r="G34" s="1914">
        <f>G33</f>
        <v>0.1</v>
      </c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671"/>
      <c r="U34" s="1664" t="str">
        <f>IFERROR(VLOOKUP(B34,ChiTietDuToan!C:H,5,0),"")</f>
        <v/>
      </c>
      <c r="V34" s="2309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74" t="s">
        <v>679</v>
      </c>
      <c r="C35" s="67" t="str">
        <f t="shared" si="1"/>
        <v xml:space="preserve"> </v>
      </c>
      <c r="D35" s="1236" t="str">
        <f>VLOOKUP($B35,DG!A:C,2,)</f>
        <v>02.1241</v>
      </c>
      <c r="E35" s="1241" t="str">
        <f>VLOOKUP($B35,DG!A:C,3,)</f>
        <v>V/c đá dăm ( cự ly &lt;=100m)</v>
      </c>
      <c r="F35" s="1236" t="str">
        <f>VLOOKUP($B35,DG!A:D,4,0)</f>
        <v>m3</v>
      </c>
      <c r="G35" s="1913">
        <f>G30</f>
        <v>0.155</v>
      </c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671"/>
      <c r="U35" s="1664" t="str">
        <f>IFERROR(VLOOKUP(B35,ChiTietDuToan!C:H,5,0),"")</f>
        <v/>
      </c>
      <c r="V35" s="2309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74" t="s">
        <v>640</v>
      </c>
      <c r="C36" s="67" t="str">
        <f t="shared" si="1"/>
        <v xml:space="preserve"> </v>
      </c>
      <c r="D36" s="1236" t="str">
        <f>VLOOKUP($B36,DG!A:C,2,)</f>
        <v>02.1482</v>
      </c>
      <c r="E36" s="1241" t="str">
        <f>VLOOKUP($B36,DG!A:C,3,)</f>
        <v>V/c dụng cụ thi công vào vị trí (cự ly &lt;=100m)</v>
      </c>
      <c r="F36" s="1236" t="str">
        <f>VLOOKUP($B36,DG!A:D,4,0)</f>
        <v>tấn</v>
      </c>
      <c r="G36" s="1914">
        <v>0.2</v>
      </c>
      <c r="H36" s="1250"/>
      <c r="I36" s="1250"/>
      <c r="J36" s="1250"/>
      <c r="K36" s="1250"/>
      <c r="L36" s="1250"/>
      <c r="M36" s="1250"/>
      <c r="N36" s="1250"/>
      <c r="O36" s="1250"/>
      <c r="P36" s="1250"/>
      <c r="Q36" s="1250"/>
      <c r="R36" s="1250"/>
      <c r="S36" s="1250"/>
      <c r="T36" s="1671"/>
      <c r="U36" s="1664" t="str">
        <f>IFERROR(VLOOKUP(B36,ChiTietDuToan!C:H,5,0),"")</f>
        <v/>
      </c>
      <c r="V36" s="2309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56"/>
      <c r="C37" s="65" t="str">
        <f t="shared" ca="1" si="1"/>
        <v xml:space="preserve"> </v>
      </c>
      <c r="D37" s="1237"/>
      <c r="E37" s="1666" t="s">
        <v>2394</v>
      </c>
      <c r="F37" s="1238" t="s">
        <v>2391</v>
      </c>
      <c r="G37" s="1912"/>
      <c r="H37" s="1523">
        <f ca="1">SUM(I37:O37)+T37</f>
        <v>0</v>
      </c>
      <c r="I37" s="1239">
        <f ca="1">SUMIF(mong3pm,chitiet!$A37,slmong3pm)+SUMIF(mong3p1m,chitiet!$A37,slmong3p1m)</f>
        <v>0</v>
      </c>
      <c r="J37" s="1239">
        <f ca="1">SUMIF(mongct,chitiet!$A37,slmongct)</f>
        <v>0</v>
      </c>
      <c r="K37" s="1239">
        <f ca="1">SUMIF(mong1pm,chitiet!$A37,slmong1pm)</f>
        <v>0</v>
      </c>
      <c r="L37" s="1239">
        <f>IFERROR(HLOOKUP(A37,pp1p!$6:$90,85,0),0)</f>
        <v>0</v>
      </c>
      <c r="M37" s="1239">
        <f ca="1">SUMIF(mongHTHH,chitiet!$A37,slmongHTHH)</f>
        <v>0</v>
      </c>
      <c r="N37" s="1239">
        <f ca="1">SUMIF(mongHTDL,chitiet!$A37,slmongHTDL)</f>
        <v>0</v>
      </c>
      <c r="O37" s="1239"/>
      <c r="P37" s="1239"/>
      <c r="Q37" s="1239"/>
      <c r="R37" s="1239"/>
      <c r="S37" s="1239"/>
      <c r="T37" s="1671"/>
      <c r="U37" s="1664">
        <f>IFERROR(VLOOKUP(B37,ChiTietDuToan!C:H,5,0),"")</f>
        <v>0</v>
      </c>
      <c r="V37" s="2309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59" t="s">
        <v>641</v>
      </c>
      <c r="C38" s="67" t="str">
        <f t="shared" ca="1" si="1"/>
        <v xml:space="preserve"> </v>
      </c>
      <c r="D38" s="1236" t="str">
        <f>VLOOKUP($B38,DG!A:D,DG!$B$2,)</f>
        <v>04.4001</v>
      </c>
      <c r="E38" s="1248" t="str">
        <f>VLOOKUP($B38,DG!A:D,DG!$C$2,)</f>
        <v>Đà cản BTCT 1,2m</v>
      </c>
      <c r="F38" s="1236" t="str">
        <f>VLOOKUP($B38,DG!A:D,DG!$D$2,)</f>
        <v>cái</v>
      </c>
      <c r="G38" s="1915">
        <v>2</v>
      </c>
      <c r="H38" s="1245">
        <f ca="1">H$37*$G38</f>
        <v>0</v>
      </c>
      <c r="I38" s="1245">
        <f t="shared" ref="I38:N39" ca="1" si="6">I$37*$G38</f>
        <v>0</v>
      </c>
      <c r="J38" s="1245">
        <f t="shared" ca="1" si="6"/>
        <v>0</v>
      </c>
      <c r="K38" s="1245">
        <f t="shared" ca="1" si="6"/>
        <v>0</v>
      </c>
      <c r="L38" s="1245">
        <f t="shared" si="6"/>
        <v>0</v>
      </c>
      <c r="M38" s="1245">
        <f t="shared" ca="1" si="6"/>
        <v>0</v>
      </c>
      <c r="N38" s="1245">
        <f t="shared" ca="1" si="6"/>
        <v>0</v>
      </c>
      <c r="O38" s="1245"/>
      <c r="P38" s="1245"/>
      <c r="Q38" s="1245"/>
      <c r="R38" s="1245"/>
      <c r="S38" s="1245"/>
      <c r="T38" s="1671"/>
      <c r="U38" s="1664" t="str">
        <f>IFERROR(VLOOKUP(B38,ChiTietDuToan!C:H,5,0),"")</f>
        <v>cái</v>
      </c>
      <c r="V38" s="2309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59" t="s">
        <v>727</v>
      </c>
      <c r="C39" s="67" t="str">
        <f t="shared" ca="1" si="1"/>
        <v xml:space="preserve"> </v>
      </c>
      <c r="D39" s="1236"/>
      <c r="E39" s="1248" t="str">
        <f>VLOOKUP($B39,DG!A:D,DG!$C$2,)</f>
        <v>Boulon 22x550/100+ 2 long đền vuông D24-50x50x3/Zn</v>
      </c>
      <c r="F39" s="1236" t="str">
        <f>VLOOKUP($B39,DG!A:D,DG!$D$2,)</f>
        <v>bộ</v>
      </c>
      <c r="G39" s="1915">
        <v>2</v>
      </c>
      <c r="H39" s="1245">
        <f ca="1">H$37*$G39</f>
        <v>0</v>
      </c>
      <c r="I39" s="1245">
        <f t="shared" ca="1" si="6"/>
        <v>0</v>
      </c>
      <c r="J39" s="1245">
        <f t="shared" ca="1" si="6"/>
        <v>0</v>
      </c>
      <c r="K39" s="1245">
        <f t="shared" ca="1" si="6"/>
        <v>0</v>
      </c>
      <c r="L39" s="1245">
        <f t="shared" si="6"/>
        <v>0</v>
      </c>
      <c r="M39" s="1245">
        <f t="shared" ca="1" si="6"/>
        <v>0</v>
      </c>
      <c r="N39" s="1245">
        <f t="shared" ca="1" si="6"/>
        <v>0</v>
      </c>
      <c r="O39" s="1245"/>
      <c r="P39" s="1245"/>
      <c r="Q39" s="1245"/>
      <c r="R39" s="1245"/>
      <c r="S39" s="1245"/>
      <c r="T39" s="1671"/>
      <c r="U39" s="1664" t="str">
        <f>IFERROR(VLOOKUP(B39,ChiTietDuToan!C:H,5,0),"")</f>
        <v/>
      </c>
      <c r="V39" s="2309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59" t="str">
        <f>IF(F5=1,"MDD1",IF(F5=2,"MDD2",IF(F5=3,"MDD3",IF(F5=4,"MDD4"))))</f>
        <v>MDD3</v>
      </c>
      <c r="C40" s="67" t="str">
        <f t="shared" si="1"/>
        <v xml:space="preserve"> </v>
      </c>
      <c r="D40" s="1236" t="str">
        <f>VLOOKUP($B40,DG!A:D,DG!$B$2,)</f>
        <v>03.1013</v>
      </c>
      <c r="E40" s="1241" t="str">
        <f>VLOOKUP($B40,DG!A:D,DG!$C$2,)</f>
        <v>Đào hố móng đất cấp 3 sâu &gt;1m DT&lt;5m2</v>
      </c>
      <c r="F40" s="1236" t="str">
        <f>VLOOKUP($B40,DG!A:D,DG!$D$2,)</f>
        <v>m3</v>
      </c>
      <c r="G40" s="1914">
        <v>3.65</v>
      </c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671"/>
      <c r="U40" s="1664" t="str">
        <f>IFERROR(VLOOKUP(B40,ChiTietDuToan!C:H,5,0),"")</f>
        <v>m3</v>
      </c>
      <c r="V40" s="2309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59" t="str">
        <f>IF(F5=1,"MDAP1",IF(F5=2,"MDAP2",IF(F5=3,"MDAP3",IF(F5=4,"MDAP4"))))</f>
        <v>MDAP3</v>
      </c>
      <c r="C41" s="67" t="str">
        <f t="shared" si="1"/>
        <v xml:space="preserve"> </v>
      </c>
      <c r="D41" s="1236" t="str">
        <f>VLOOKUP($B41,DG!A:D,DG!$B$2,)</f>
        <v>03.4113</v>
      </c>
      <c r="E41" s="1241" t="str">
        <f>VLOOKUP($B41,DG!A:D,DG!$C$2,)</f>
        <v>Đắp đất hố móng, độ chặt k=0,95</v>
      </c>
      <c r="F41" s="1236" t="str">
        <f>VLOOKUP($B41,DG!A:D,DG!$D$2,)</f>
        <v>m3</v>
      </c>
      <c r="G41" s="1914">
        <v>4.41</v>
      </c>
      <c r="H41" s="1250"/>
      <c r="I41" s="1250"/>
      <c r="J41" s="1250"/>
      <c r="K41" s="1250"/>
      <c r="L41" s="1250"/>
      <c r="M41" s="1250"/>
      <c r="N41" s="1250"/>
      <c r="O41" s="1250"/>
      <c r="P41" s="1250"/>
      <c r="Q41" s="1250"/>
      <c r="R41" s="1250"/>
      <c r="S41" s="1250"/>
      <c r="T41" s="1671"/>
      <c r="U41" s="1664" t="str">
        <f>IFERROR(VLOOKUP(B41,ChiTietDuToan!C:H,5,0),"")</f>
        <v>m3</v>
      </c>
      <c r="V41" s="2309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59" t="s">
        <v>642</v>
      </c>
      <c r="C42" s="67" t="str">
        <f t="shared" si="1"/>
        <v xml:space="preserve"> </v>
      </c>
      <c r="D42" s="1236" t="str">
        <f>VLOOKUP($B42,DG!A:D,DG!$B$2,)</f>
        <v>02.1123</v>
      </c>
      <c r="E42" s="1241" t="str">
        <f>VLOOKUP($B42,DG!A:D,DG!$C$2,)</f>
        <v>Bốc dỡ đà cản, đế néo</v>
      </c>
      <c r="F42" s="1236" t="str">
        <f>VLOOKUP($B42,DG!A:D,DG!$D$2,)</f>
        <v>tấn</v>
      </c>
      <c r="G42" s="1914">
        <f>0.1*G38</f>
        <v>0.2</v>
      </c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671"/>
      <c r="U42" s="1664" t="str">
        <f>IFERROR(VLOOKUP(B42,ChiTietDuToan!C:H,5,0),"")</f>
        <v/>
      </c>
      <c r="V42" s="2309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74" t="s">
        <v>2125</v>
      </c>
      <c r="C43" s="67" t="str">
        <f t="shared" si="1"/>
        <v xml:space="preserve"> </v>
      </c>
      <c r="D43" s="1236" t="str">
        <f>VLOOKUP($B43,DG!A:C,2,)</f>
        <v>02.1451</v>
      </c>
      <c r="E43" s="1241" t="str">
        <f>VLOOKUP($B43,DG!A:C,3,)</f>
        <v>V/c đà cản vào vị trí (cự ly &lt;=100m)</v>
      </c>
      <c r="F43" s="1236" t="str">
        <f>VLOOKUP($B43,DG!A:D,4,0)</f>
        <v>tấn</v>
      </c>
      <c r="G43" s="1914">
        <f>G42</f>
        <v>0.2</v>
      </c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671"/>
      <c r="U43" s="1664" t="str">
        <f>IFERROR(VLOOKUP(B43,ChiTietDuToan!C:H,5,0),"")</f>
        <v/>
      </c>
      <c r="V43" s="2309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74" t="s">
        <v>640</v>
      </c>
      <c r="C44" s="67" t="str">
        <f t="shared" si="1"/>
        <v xml:space="preserve"> </v>
      </c>
      <c r="D44" s="1236" t="str">
        <f>VLOOKUP($B44,DG!A:C,2,)</f>
        <v>02.1482</v>
      </c>
      <c r="E44" s="1241" t="str">
        <f>VLOOKUP($B44,DG!A:C,3,)</f>
        <v>V/c dụng cụ thi công vào vị trí (cự ly &lt;=100m)</v>
      </c>
      <c r="F44" s="1236" t="str">
        <f>VLOOKUP($B44,DG!A:D,4,0)</f>
        <v>tấn</v>
      </c>
      <c r="G44" s="1914">
        <v>0.2</v>
      </c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671"/>
      <c r="U44" s="1664" t="str">
        <f>IFERROR(VLOOKUP(B44,ChiTietDuToan!C:H,5,0),"")</f>
        <v/>
      </c>
      <c r="V44" s="2309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56"/>
      <c r="C45" s="65" t="str">
        <f t="shared" ca="1" si="1"/>
        <v xml:space="preserve"> </v>
      </c>
      <c r="D45" s="1237"/>
      <c r="E45" s="1666" t="s">
        <v>2395</v>
      </c>
      <c r="F45" s="1238" t="s">
        <v>2391</v>
      </c>
      <c r="G45" s="1912"/>
      <c r="H45" s="1523">
        <f ca="1">SUM(I45:O45)+T45</f>
        <v>0</v>
      </c>
      <c r="I45" s="1239">
        <f ca="1">SUMIF(mong3pm,chitiet!$A45,slmong3pm)+SUMIF(mong3p1m,chitiet!$A45,slmong3p1m)</f>
        <v>0</v>
      </c>
      <c r="J45" s="1239">
        <f ca="1">SUMIF(mongct,chitiet!$A45,slmongct)</f>
        <v>0</v>
      </c>
      <c r="K45" s="1239">
        <f ca="1">SUMIF(mong1pm,chitiet!$A45,slmong1pm)</f>
        <v>0</v>
      </c>
      <c r="L45" s="1239">
        <f>IFERROR(HLOOKUP(A45,pp1p!$6:$90,85,0),0)</f>
        <v>0</v>
      </c>
      <c r="M45" s="1239">
        <f ca="1">SUMIF(mongHTHH,chitiet!$A45,slmongHTHH)</f>
        <v>0</v>
      </c>
      <c r="N45" s="1239">
        <f ca="1">SUMIF(mongHTDL,chitiet!$A45,slmongHTDL)</f>
        <v>0</v>
      </c>
      <c r="O45" s="1239"/>
      <c r="P45" s="1239"/>
      <c r="Q45" s="1239"/>
      <c r="R45" s="1239"/>
      <c r="S45" s="1239"/>
      <c r="T45" s="1671"/>
      <c r="U45" s="1664">
        <f>IFERROR(VLOOKUP(B45,ChiTietDuToan!C:H,5,0),"")</f>
        <v>0</v>
      </c>
      <c r="V45" s="2309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59" t="s">
        <v>641</v>
      </c>
      <c r="C46" s="67" t="str">
        <f t="shared" ca="1" si="1"/>
        <v xml:space="preserve"> </v>
      </c>
      <c r="D46" s="1236" t="str">
        <f>VLOOKUP($B46,DG!A:D,DG!$B$2,)</f>
        <v>04.4001</v>
      </c>
      <c r="E46" s="1248" t="str">
        <f>VLOOKUP($B46,DG!A:D,DG!$C$2,)</f>
        <v>Đà cản BTCT 1,2m</v>
      </c>
      <c r="F46" s="1236" t="str">
        <f>VLOOKUP($B46,DG!A:D,DG!$D$2,)</f>
        <v>cái</v>
      </c>
      <c r="G46" s="1915">
        <v>2</v>
      </c>
      <c r="H46" s="1245">
        <f ca="1">H$45*$G46</f>
        <v>0</v>
      </c>
      <c r="I46" s="1245">
        <f t="shared" ref="I46:N47" ca="1" si="7">I$45*$G46</f>
        <v>0</v>
      </c>
      <c r="J46" s="1245">
        <f t="shared" ca="1" si="7"/>
        <v>0</v>
      </c>
      <c r="K46" s="1245">
        <f t="shared" ca="1" si="7"/>
        <v>0</v>
      </c>
      <c r="L46" s="1245">
        <f t="shared" si="7"/>
        <v>0</v>
      </c>
      <c r="M46" s="1245">
        <f t="shared" ca="1" si="7"/>
        <v>0</v>
      </c>
      <c r="N46" s="1245">
        <f t="shared" ca="1" si="7"/>
        <v>0</v>
      </c>
      <c r="O46" s="1245"/>
      <c r="P46" s="1245"/>
      <c r="Q46" s="1245"/>
      <c r="R46" s="1245"/>
      <c r="S46" s="1245"/>
      <c r="T46" s="1671"/>
      <c r="U46" s="1664" t="str">
        <f>IFERROR(VLOOKUP(B46,ChiTietDuToan!C:H,5,0),"")</f>
        <v>cái</v>
      </c>
      <c r="V46" s="2309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59" t="s">
        <v>727</v>
      </c>
      <c r="C47" s="67" t="str">
        <f t="shared" ca="1" si="1"/>
        <v xml:space="preserve"> </v>
      </c>
      <c r="D47" s="1236"/>
      <c r="E47" s="1248" t="str">
        <f>VLOOKUP($B47,DG!A:D,DG!$C$2,)</f>
        <v>Boulon 22x550/100+ 2 long đền vuông D24-50x50x3/Zn</v>
      </c>
      <c r="F47" s="1236" t="str">
        <f>VLOOKUP($B47,DG!A:D,DG!$D$2,)</f>
        <v>bộ</v>
      </c>
      <c r="G47" s="1915">
        <v>2</v>
      </c>
      <c r="H47" s="1245">
        <f ca="1">H$45*$G47</f>
        <v>0</v>
      </c>
      <c r="I47" s="1245">
        <f t="shared" ca="1" si="7"/>
        <v>0</v>
      </c>
      <c r="J47" s="1245">
        <f t="shared" ca="1" si="7"/>
        <v>0</v>
      </c>
      <c r="K47" s="1245">
        <f t="shared" ca="1" si="7"/>
        <v>0</v>
      </c>
      <c r="L47" s="1245">
        <f t="shared" si="7"/>
        <v>0</v>
      </c>
      <c r="M47" s="1245">
        <f t="shared" ca="1" si="7"/>
        <v>0</v>
      </c>
      <c r="N47" s="1245">
        <f t="shared" ca="1" si="7"/>
        <v>0</v>
      </c>
      <c r="O47" s="1245"/>
      <c r="P47" s="1245"/>
      <c r="Q47" s="1245"/>
      <c r="R47" s="1245"/>
      <c r="S47" s="1245"/>
      <c r="T47" s="1671"/>
      <c r="U47" s="1664" t="str">
        <f>IFERROR(VLOOKUP(B47,ChiTietDuToan!C:H,5,0),"")</f>
        <v/>
      </c>
      <c r="V47" s="2309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59" t="str">
        <f>IF(F5=1,"MDD1",IF(F5=2,"MDD2",IF(F5=3,"MDD3",IF(F5=4,"MDD4"))))</f>
        <v>MDD3</v>
      </c>
      <c r="C48" s="67" t="str">
        <f t="shared" si="1"/>
        <v xml:space="preserve"> </v>
      </c>
      <c r="D48" s="1236" t="str">
        <f>VLOOKUP($B48,DG!A:D,DG!$B$2,)</f>
        <v>03.1013</v>
      </c>
      <c r="E48" s="1241" t="str">
        <f>VLOOKUP($B48,DG!A:D,DG!$C$2,)</f>
        <v>Đào hố móng đất cấp 3 sâu &gt;1m DT&lt;5m2</v>
      </c>
      <c r="F48" s="1236" t="str">
        <f>VLOOKUP($B48,DG!A:D,DG!$D$2,)</f>
        <v>m3</v>
      </c>
      <c r="G48" s="1914">
        <v>3.81</v>
      </c>
      <c r="H48" s="1250"/>
      <c r="I48" s="1250"/>
      <c r="J48" s="1250"/>
      <c r="K48" s="1250"/>
      <c r="L48" s="1250"/>
      <c r="M48" s="1250"/>
      <c r="N48" s="1250"/>
      <c r="O48" s="1250"/>
      <c r="P48" s="1250"/>
      <c r="Q48" s="1250"/>
      <c r="R48" s="1250"/>
      <c r="S48" s="1250"/>
      <c r="T48" s="1671"/>
      <c r="U48" s="1664" t="str">
        <f>IFERROR(VLOOKUP(B48,ChiTietDuToan!C:H,5,0),"")</f>
        <v>m3</v>
      </c>
      <c r="V48" s="2309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59" t="str">
        <f>IF(F5=1,"MDAP1",IF(F5=2,"MDAP2",IF(F5=3,"MDAP3",IF(F5=4,"MDAP4"))))</f>
        <v>MDAP3</v>
      </c>
      <c r="C49" s="67" t="str">
        <f t="shared" si="1"/>
        <v xml:space="preserve"> </v>
      </c>
      <c r="D49" s="1236" t="str">
        <f>VLOOKUP($B49,DG!A:D,DG!$B$2,)</f>
        <v>03.4113</v>
      </c>
      <c r="E49" s="1241" t="str">
        <f>VLOOKUP($B49,DG!A:D,DG!$C$2,)</f>
        <v>Đắp đất hố móng, độ chặt k=0,95</v>
      </c>
      <c r="F49" s="1236" t="str">
        <f>VLOOKUP($B49,DG!A:D,DG!$D$2,)</f>
        <v>m3</v>
      </c>
      <c r="G49" s="1914">
        <v>4.63</v>
      </c>
      <c r="H49" s="1250"/>
      <c r="I49" s="1250"/>
      <c r="J49" s="1250"/>
      <c r="K49" s="1250"/>
      <c r="L49" s="1250"/>
      <c r="M49" s="1250"/>
      <c r="N49" s="1250"/>
      <c r="O49" s="1250"/>
      <c r="P49" s="1250"/>
      <c r="Q49" s="1250"/>
      <c r="R49" s="1250"/>
      <c r="S49" s="1250"/>
      <c r="T49" s="1671"/>
      <c r="U49" s="1664" t="str">
        <f>IFERROR(VLOOKUP(B49,ChiTietDuToan!C:H,5,0),"")</f>
        <v>m3</v>
      </c>
      <c r="V49" s="2309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59" t="s">
        <v>642</v>
      </c>
      <c r="C50" s="67" t="str">
        <f t="shared" si="1"/>
        <v xml:space="preserve"> </v>
      </c>
      <c r="D50" s="1236" t="str">
        <f>VLOOKUP($B50,DG!A:D,DG!$B$2,)</f>
        <v>02.1123</v>
      </c>
      <c r="E50" s="1241" t="str">
        <f>VLOOKUP($B50,DG!A:D,DG!$C$2,)</f>
        <v>Bốc dỡ đà cản, đế néo</v>
      </c>
      <c r="F50" s="1236" t="str">
        <f>VLOOKUP($B50,DG!A:D,DG!$D$2,)</f>
        <v>tấn</v>
      </c>
      <c r="G50" s="1914">
        <f>0.1*G46</f>
        <v>0.2</v>
      </c>
      <c r="H50" s="1245"/>
      <c r="I50" s="1245"/>
      <c r="J50" s="1245"/>
      <c r="K50" s="1245"/>
      <c r="L50" s="1245"/>
      <c r="M50" s="1245"/>
      <c r="N50" s="1245"/>
      <c r="O50" s="1245"/>
      <c r="P50" s="1245"/>
      <c r="Q50" s="1245"/>
      <c r="R50" s="1245"/>
      <c r="S50" s="1245"/>
      <c r="T50" s="1671"/>
      <c r="U50" s="1664" t="str">
        <f>IFERROR(VLOOKUP(B50,ChiTietDuToan!C:H,5,0),"")</f>
        <v/>
      </c>
      <c r="V50" s="2309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74" t="s">
        <v>2125</v>
      </c>
      <c r="C51" s="67" t="str">
        <f t="shared" si="1"/>
        <v xml:space="preserve"> </v>
      </c>
      <c r="D51" s="1236" t="str">
        <f>VLOOKUP($B51,DG!A:C,2,)</f>
        <v>02.1451</v>
      </c>
      <c r="E51" s="1241" t="str">
        <f>VLOOKUP($B51,DG!A:C,3,)</f>
        <v>V/c đà cản vào vị trí (cự ly &lt;=100m)</v>
      </c>
      <c r="F51" s="1236" t="str">
        <f>VLOOKUP($B51,DG!A:D,4,0)</f>
        <v>tấn</v>
      </c>
      <c r="G51" s="1914">
        <f>G50</f>
        <v>0.2</v>
      </c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671"/>
      <c r="U51" s="1664" t="str">
        <f>IFERROR(VLOOKUP(B51,ChiTietDuToan!C:H,5,0),"")</f>
        <v/>
      </c>
      <c r="V51" s="2309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74" t="s">
        <v>640</v>
      </c>
      <c r="C52" s="67" t="str">
        <f t="shared" si="1"/>
        <v xml:space="preserve"> </v>
      </c>
      <c r="D52" s="1236" t="str">
        <f>VLOOKUP($B52,DG!A:C,2,)</f>
        <v>02.1482</v>
      </c>
      <c r="E52" s="1241" t="str">
        <f>VLOOKUP($B52,DG!A:C,3,)</f>
        <v>V/c dụng cụ thi công vào vị trí (cự ly &lt;=100m)</v>
      </c>
      <c r="F52" s="1236" t="str">
        <f>VLOOKUP($B52,DG!A:D,4,0)</f>
        <v>tấn</v>
      </c>
      <c r="G52" s="1914">
        <v>0.2</v>
      </c>
      <c r="H52" s="1250"/>
      <c r="I52" s="1250"/>
      <c r="J52" s="1250"/>
      <c r="K52" s="1250"/>
      <c r="L52" s="1250"/>
      <c r="M52" s="1250"/>
      <c r="N52" s="1250"/>
      <c r="O52" s="1250"/>
      <c r="P52" s="1250"/>
      <c r="Q52" s="1250"/>
      <c r="R52" s="1250"/>
      <c r="S52" s="1250"/>
      <c r="T52" s="1671"/>
      <c r="U52" s="1664" t="str">
        <f>IFERROR(VLOOKUP(B52,ChiTietDuToan!C:H,5,0),"")</f>
        <v/>
      </c>
      <c r="V52" s="2309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56"/>
      <c r="C53" s="65" t="str">
        <f t="shared" ca="1" si="1"/>
        <v xml:space="preserve"> </v>
      </c>
      <c r="D53" s="1237"/>
      <c r="E53" s="1666" t="s">
        <v>2396</v>
      </c>
      <c r="F53" s="1238" t="s">
        <v>2391</v>
      </c>
      <c r="G53" s="1912"/>
      <c r="H53" s="1523">
        <f ca="1">SUM(I53:O53)+T53</f>
        <v>0</v>
      </c>
      <c r="I53" s="1239">
        <f ca="1">SUMIF(mong3pm,chitiet!$A53,slmong3pm)+SUMIF(mong3p1m,chitiet!$A53,slmong3p1m)</f>
        <v>0</v>
      </c>
      <c r="J53" s="1239">
        <f ca="1">SUMIF(mongct,chitiet!$A53,slmongct)</f>
        <v>0</v>
      </c>
      <c r="K53" s="1239">
        <f ca="1">SUMIF(mong1pm,chitiet!$A53,slmong1pm)</f>
        <v>0</v>
      </c>
      <c r="L53" s="1239">
        <f>IFERROR(HLOOKUP(A53,pp1p!$6:$90,85,0),0)</f>
        <v>0</v>
      </c>
      <c r="M53" s="1239">
        <f ca="1">SUMIF(mongHTHH,chitiet!$A53,slmongHTHH)</f>
        <v>0</v>
      </c>
      <c r="N53" s="1239">
        <f ca="1">SUMIF(mongHTDL,chitiet!$A53,slmongHTDL)</f>
        <v>0</v>
      </c>
      <c r="O53" s="1239"/>
      <c r="P53" s="1239"/>
      <c r="Q53" s="1239"/>
      <c r="R53" s="1239"/>
      <c r="S53" s="1239"/>
      <c r="T53" s="1671"/>
      <c r="U53" s="1664">
        <f>IFERROR(VLOOKUP(B53,ChiTietDuToan!C:H,5,0),"")</f>
        <v>0</v>
      </c>
      <c r="V53" s="2309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59" t="s">
        <v>641</v>
      </c>
      <c r="C54" s="67" t="str">
        <f t="shared" ca="1" si="1"/>
        <v xml:space="preserve"> </v>
      </c>
      <c r="D54" s="1236" t="str">
        <f>VLOOKUP($B54,DG!A:D,DG!$B$2,)</f>
        <v>04.4001</v>
      </c>
      <c r="E54" s="1248" t="str">
        <f>VLOOKUP($B54,DG!A:D,DG!$C$2,)</f>
        <v>Đà cản BTCT 1,2m</v>
      </c>
      <c r="F54" s="1236" t="str">
        <f>VLOOKUP($B54,DG!A:D,DG!$D$2,)</f>
        <v>cái</v>
      </c>
      <c r="G54" s="1915">
        <v>2</v>
      </c>
      <c r="H54" s="1245">
        <f ca="1">H$53*$G54</f>
        <v>0</v>
      </c>
      <c r="I54" s="1245">
        <f t="shared" ref="I54:N55" ca="1" si="8">I$53*$G54</f>
        <v>0</v>
      </c>
      <c r="J54" s="1245">
        <f t="shared" ca="1" si="8"/>
        <v>0</v>
      </c>
      <c r="K54" s="1245">
        <f t="shared" ca="1" si="8"/>
        <v>0</v>
      </c>
      <c r="L54" s="1245">
        <f t="shared" si="8"/>
        <v>0</v>
      </c>
      <c r="M54" s="1245">
        <f t="shared" ca="1" si="8"/>
        <v>0</v>
      </c>
      <c r="N54" s="1245">
        <f t="shared" ca="1" si="8"/>
        <v>0</v>
      </c>
      <c r="O54" s="1245"/>
      <c r="P54" s="1245"/>
      <c r="Q54" s="1245"/>
      <c r="R54" s="1245"/>
      <c r="S54" s="1245"/>
      <c r="T54" s="1671"/>
      <c r="U54" s="1664" t="str">
        <f>IFERROR(VLOOKUP(B54,ChiTietDuToan!C:H,5,0),"")</f>
        <v>cái</v>
      </c>
      <c r="V54" s="2309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59" t="s">
        <v>728</v>
      </c>
      <c r="C55" s="67" t="str">
        <f t="shared" ca="1" si="1"/>
        <v xml:space="preserve"> </v>
      </c>
      <c r="D55" s="1236"/>
      <c r="E55" s="1248" t="str">
        <f>VLOOKUP($B55,DG!A:D,DG!$C$2,)</f>
        <v>Boulon 22x750+ 2 long đền vuông D24-50x50x3/Zn</v>
      </c>
      <c r="F55" s="1236" t="str">
        <f>VLOOKUP($B55,DG!A:D,DG!$D$2,)</f>
        <v>bộ</v>
      </c>
      <c r="G55" s="1915">
        <v>2</v>
      </c>
      <c r="H55" s="1245">
        <f ca="1">H$53*$G55</f>
        <v>0</v>
      </c>
      <c r="I55" s="1245">
        <f t="shared" ca="1" si="8"/>
        <v>0</v>
      </c>
      <c r="J55" s="1245">
        <f t="shared" ca="1" si="8"/>
        <v>0</v>
      </c>
      <c r="K55" s="1245">
        <f t="shared" ca="1" si="8"/>
        <v>0</v>
      </c>
      <c r="L55" s="1245">
        <f t="shared" si="8"/>
        <v>0</v>
      </c>
      <c r="M55" s="1245">
        <f t="shared" ca="1" si="8"/>
        <v>0</v>
      </c>
      <c r="N55" s="1245">
        <f t="shared" ca="1" si="8"/>
        <v>0</v>
      </c>
      <c r="O55" s="1245"/>
      <c r="P55" s="1245"/>
      <c r="Q55" s="1245"/>
      <c r="R55" s="1245"/>
      <c r="S55" s="1245"/>
      <c r="T55" s="1671"/>
      <c r="U55" s="1664" t="str">
        <f>IFERROR(VLOOKUP(B55,ChiTietDuToan!C:H,5,0),"")</f>
        <v/>
      </c>
      <c r="V55" s="2309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59" t="s">
        <v>1865</v>
      </c>
      <c r="C56" s="67" t="str">
        <f t="shared" ca="1" si="1"/>
        <v xml:space="preserve"> </v>
      </c>
      <c r="D56" s="1236">
        <f>VLOOKUP($B56,DG!A:D,DG!$B$2,)</f>
        <v>0</v>
      </c>
      <c r="E56" s="1241" t="str">
        <f>VLOOKUP($B56,DG!A:D,DG!$C$2,)</f>
        <v>Đá 2x4</v>
      </c>
      <c r="F56" s="1236" t="str">
        <f>VLOOKUP($B56,DG!A:D,DG!$D$2,)</f>
        <v>m3</v>
      </c>
      <c r="G56" s="1913">
        <v>0.155</v>
      </c>
      <c r="H56" s="1245">
        <f t="shared" ref="H56:N56" ca="1" si="9">H$18*$G56</f>
        <v>0</v>
      </c>
      <c r="I56" s="1245">
        <f t="shared" ca="1" si="9"/>
        <v>0</v>
      </c>
      <c r="J56" s="1245">
        <f t="shared" ca="1" si="9"/>
        <v>0</v>
      </c>
      <c r="K56" s="1245">
        <f t="shared" ca="1" si="9"/>
        <v>0</v>
      </c>
      <c r="L56" s="1245">
        <f t="shared" si="9"/>
        <v>0</v>
      </c>
      <c r="M56" s="1245">
        <f t="shared" ca="1" si="9"/>
        <v>0</v>
      </c>
      <c r="N56" s="1245">
        <f t="shared" ca="1" si="9"/>
        <v>0</v>
      </c>
      <c r="O56" s="1245"/>
      <c r="P56" s="1245"/>
      <c r="Q56" s="1245"/>
      <c r="R56" s="1245"/>
      <c r="S56" s="1245"/>
      <c r="T56" s="1671"/>
      <c r="U56" s="1664" t="str">
        <f>IFERROR(VLOOKUP(B56,ChiTietDuToan!C:H,5,0),"")</f>
        <v>m3</v>
      </c>
      <c r="V56" s="2309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59" t="str">
        <f>IF(F5=1,"MDD1",IF(F5=2,"MDD2",IF(F5=3,"MDD3",IF(F5=4,"MDD4"))))</f>
        <v>MDD3</v>
      </c>
      <c r="C57" s="67" t="str">
        <f t="shared" si="1"/>
        <v xml:space="preserve"> </v>
      </c>
      <c r="D57" s="1236" t="str">
        <f>VLOOKUP($B57,DG!A:D,DG!$B$2,)</f>
        <v>03.1013</v>
      </c>
      <c r="E57" s="1241" t="str">
        <f>VLOOKUP($B57,DG!A:D,DG!$C$2,)</f>
        <v>Đào hố móng đất cấp 3 sâu &gt;1m DT&lt;5m2</v>
      </c>
      <c r="F57" s="1236" t="str">
        <f>VLOOKUP($B57,DG!A:D,DG!$D$2,)</f>
        <v>m3</v>
      </c>
      <c r="G57" s="1914">
        <v>1.9</v>
      </c>
      <c r="H57" s="1250"/>
      <c r="I57" s="1250"/>
      <c r="J57" s="1250"/>
      <c r="K57" s="1250"/>
      <c r="L57" s="1250"/>
      <c r="M57" s="1250"/>
      <c r="N57" s="1250"/>
      <c r="O57" s="1250"/>
      <c r="P57" s="1250"/>
      <c r="Q57" s="1250"/>
      <c r="R57" s="1250"/>
      <c r="S57" s="1250"/>
      <c r="T57" s="1671"/>
      <c r="U57" s="1664" t="str">
        <f>IFERROR(VLOOKUP(B57,ChiTietDuToan!C:H,5,0),"")</f>
        <v>m3</v>
      </c>
      <c r="V57" s="2309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59" t="str">
        <f>IF(F5=1,"MDAP1",IF(F5=2,"MDAP2",IF(F5=3,"MDAP3",IF(F5=4,"MDAP4"))))</f>
        <v>MDAP3</v>
      </c>
      <c r="C58" s="67" t="str">
        <f t="shared" si="1"/>
        <v xml:space="preserve"> </v>
      </c>
      <c r="D58" s="1236" t="str">
        <f>VLOOKUP($B58,DG!A:D,DG!$B$2,)</f>
        <v>03.4113</v>
      </c>
      <c r="E58" s="1241" t="str">
        <f>VLOOKUP($B58,DG!A:D,DG!$C$2,)</f>
        <v>Đắp đất hố móng, độ chặt k=0,95</v>
      </c>
      <c r="F58" s="1236" t="str">
        <f>VLOOKUP($B58,DG!A:D,DG!$D$2,)</f>
        <v>m3</v>
      </c>
      <c r="G58" s="1914">
        <v>2.4</v>
      </c>
      <c r="H58" s="1250"/>
      <c r="I58" s="1250"/>
      <c r="J58" s="1250"/>
      <c r="K58" s="1250"/>
      <c r="L58" s="1250"/>
      <c r="M58" s="1250"/>
      <c r="N58" s="1250"/>
      <c r="O58" s="1250"/>
      <c r="P58" s="1250"/>
      <c r="Q58" s="1250"/>
      <c r="R58" s="1250"/>
      <c r="S58" s="1250"/>
      <c r="T58" s="1671"/>
      <c r="U58" s="1664" t="str">
        <f>IFERROR(VLOOKUP(B58,ChiTietDuToan!C:H,5,0),"")</f>
        <v>m3</v>
      </c>
      <c r="V58" s="2309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59" t="s">
        <v>642</v>
      </c>
      <c r="C59" s="67" t="str">
        <f t="shared" si="1"/>
        <v xml:space="preserve"> </v>
      </c>
      <c r="D59" s="1236" t="str">
        <f>VLOOKUP($B59,DG!A:D,DG!$B$2,)</f>
        <v>02.1123</v>
      </c>
      <c r="E59" s="1241" t="str">
        <f>VLOOKUP($B59,DG!A:D,DG!$C$2,)</f>
        <v>Bốc dỡ đà cản, đế néo</v>
      </c>
      <c r="F59" s="1236" t="str">
        <f>VLOOKUP($B59,DG!A:D,DG!$D$2,)</f>
        <v>tấn</v>
      </c>
      <c r="G59" s="1914">
        <f>0.1*G54</f>
        <v>0.2</v>
      </c>
      <c r="H59" s="1245"/>
      <c r="I59" s="1245"/>
      <c r="J59" s="1245"/>
      <c r="K59" s="1245"/>
      <c r="L59" s="1245"/>
      <c r="M59" s="1245"/>
      <c r="N59" s="1245"/>
      <c r="O59" s="1245"/>
      <c r="P59" s="1245"/>
      <c r="Q59" s="1245"/>
      <c r="R59" s="1245"/>
      <c r="S59" s="1245"/>
      <c r="T59" s="1671"/>
      <c r="U59" s="1664" t="str">
        <f>IFERROR(VLOOKUP(B59,ChiTietDuToan!C:H,5,0),"")</f>
        <v/>
      </c>
      <c r="V59" s="2309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74" t="s">
        <v>2125</v>
      </c>
      <c r="C60" s="67" t="str">
        <f t="shared" si="1"/>
        <v xml:space="preserve"> </v>
      </c>
      <c r="D60" s="1236" t="str">
        <f>VLOOKUP($B60,DG!A:C,2,)</f>
        <v>02.1451</v>
      </c>
      <c r="E60" s="1241" t="str">
        <f>VLOOKUP($B60,DG!A:C,3,)</f>
        <v>V/c đà cản vào vị trí (cự ly &lt;=100m)</v>
      </c>
      <c r="F60" s="1236" t="str">
        <f>VLOOKUP($B60,DG!A:D,4,0)</f>
        <v>tấn</v>
      </c>
      <c r="G60" s="1914">
        <f>G59</f>
        <v>0.2</v>
      </c>
      <c r="H60" s="1250"/>
      <c r="I60" s="1250"/>
      <c r="J60" s="1250"/>
      <c r="K60" s="1250"/>
      <c r="L60" s="1250"/>
      <c r="M60" s="1250"/>
      <c r="N60" s="1250"/>
      <c r="O60" s="1250"/>
      <c r="P60" s="1250"/>
      <c r="Q60" s="1250"/>
      <c r="R60" s="1250"/>
      <c r="S60" s="1250"/>
      <c r="T60" s="1671"/>
      <c r="U60" s="1664" t="str">
        <f>IFERROR(VLOOKUP(B60,ChiTietDuToan!C:H,5,0),"")</f>
        <v/>
      </c>
      <c r="V60" s="2309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74" t="s">
        <v>679</v>
      </c>
      <c r="C61" s="67" t="str">
        <f t="shared" si="1"/>
        <v xml:space="preserve"> </v>
      </c>
      <c r="D61" s="1236" t="str">
        <f>VLOOKUP($B61,DG!A:C,2,)</f>
        <v>02.1241</v>
      </c>
      <c r="E61" s="1241" t="str">
        <f>VLOOKUP($B61,DG!A:C,3,)</f>
        <v>V/c đá dăm ( cự ly &lt;=100m)</v>
      </c>
      <c r="F61" s="1236" t="str">
        <f>VLOOKUP($B61,DG!A:D,4,0)</f>
        <v>m3</v>
      </c>
      <c r="G61" s="1913">
        <f>G56</f>
        <v>0.155</v>
      </c>
      <c r="H61" s="1250"/>
      <c r="I61" s="1250"/>
      <c r="J61" s="1250"/>
      <c r="K61" s="1250"/>
      <c r="L61" s="1250"/>
      <c r="M61" s="1250"/>
      <c r="N61" s="1250"/>
      <c r="O61" s="1250"/>
      <c r="P61" s="1250"/>
      <c r="Q61" s="1250"/>
      <c r="R61" s="1250"/>
      <c r="S61" s="1250"/>
      <c r="T61" s="1671"/>
      <c r="U61" s="1664" t="str">
        <f>IFERROR(VLOOKUP(B61,ChiTietDuToan!C:H,5,0),"")</f>
        <v/>
      </c>
      <c r="V61" s="2309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74" t="s">
        <v>640</v>
      </c>
      <c r="C62" s="67" t="str">
        <f t="shared" si="1"/>
        <v xml:space="preserve"> </v>
      </c>
      <c r="D62" s="1236" t="str">
        <f>VLOOKUP($B62,DG!A:C,2,)</f>
        <v>02.1482</v>
      </c>
      <c r="E62" s="1241" t="str">
        <f>VLOOKUP($B62,DG!A:C,3,)</f>
        <v>V/c dụng cụ thi công vào vị trí (cự ly &lt;=100m)</v>
      </c>
      <c r="F62" s="1236" t="str">
        <f>VLOOKUP($B62,DG!A:D,4,0)</f>
        <v>tấn</v>
      </c>
      <c r="G62" s="1914">
        <v>0.2</v>
      </c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671"/>
      <c r="U62" s="1664" t="str">
        <f>IFERROR(VLOOKUP(B62,ChiTietDuToan!C:H,5,0),"")</f>
        <v/>
      </c>
      <c r="V62" s="2309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56"/>
      <c r="C63" s="65" t="str">
        <f t="shared" ca="1" si="1"/>
        <v xml:space="preserve"> </v>
      </c>
      <c r="D63" s="1237"/>
      <c r="E63" s="1666" t="s">
        <v>2397</v>
      </c>
      <c r="F63" s="1238" t="s">
        <v>2391</v>
      </c>
      <c r="G63" s="1912"/>
      <c r="H63" s="1523">
        <f ca="1">SUM(I63:O63)+T63</f>
        <v>0</v>
      </c>
      <c r="I63" s="1239">
        <f ca="1">SUMIF(mong3pm,chitiet!$A63,slmong3pm)+SUMIF(mong3p1m,chitiet!$A63,slmong3p1m)</f>
        <v>0</v>
      </c>
      <c r="J63" s="1239">
        <f ca="1">SUMIF(mongct,chitiet!$A63,slmongct)</f>
        <v>0</v>
      </c>
      <c r="K63" s="1239">
        <f ca="1">SUMIF(mong1pm,chitiet!$A63,slmong1pm)</f>
        <v>0</v>
      </c>
      <c r="L63" s="1239">
        <f>IFERROR(HLOOKUP(A63,pp1p!$6:$90,85,0),0)</f>
        <v>0</v>
      </c>
      <c r="M63" s="1239">
        <f ca="1">SUMIF(mongHTHH,chitiet!$A63,slmongHTHH)</f>
        <v>0</v>
      </c>
      <c r="N63" s="1239">
        <f ca="1">SUMIF(mongHTDL,chitiet!$A63,slmongHTDL)</f>
        <v>0</v>
      </c>
      <c r="O63" s="1239">
        <f ca="1">SUMIF(mongHTCS,chitiet!$A63,slmongHTCS)</f>
        <v>0</v>
      </c>
      <c r="P63" s="1239">
        <f ca="1">H63+Q63-R63</f>
        <v>0</v>
      </c>
      <c r="Q63" s="1239"/>
      <c r="R63" s="1239"/>
      <c r="S63" s="1239"/>
      <c r="T63" s="1671"/>
      <c r="U63" s="1664">
        <f>IFERROR(VLOOKUP(B63,ChiTietDuToan!C:H,5,0),"")</f>
        <v>0</v>
      </c>
      <c r="V63" s="2309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75" t="str">
        <f>IF(F5=1,"MDD1",IF(F5=2,"MDD2",IF(F5=3,"MDD3",IF(F5=4,"MDD4"))))</f>
        <v>MDD3</v>
      </c>
      <c r="C64" s="67" t="str">
        <f t="shared" ca="1" si="1"/>
        <v xml:space="preserve"> </v>
      </c>
      <c r="D64" s="1240" t="str">
        <f>VLOOKUP($B64,DG!A:D,DG!$B$2,)</f>
        <v>03.1013</v>
      </c>
      <c r="E64" s="1241" t="str">
        <f>VLOOKUP($B64,DG!A:D,DG!$C$2,)</f>
        <v>Đào hố móng đất cấp 3 sâu &gt;1m DT&lt;5m2</v>
      </c>
      <c r="F64" s="1240" t="str">
        <f>VLOOKUP($B64,DG!A:D,DG!$D$2,)</f>
        <v>m3</v>
      </c>
      <c r="G64" s="1916">
        <v>0.13500000000000001</v>
      </c>
      <c r="H64" s="1247">
        <f ca="1">$H$63*G64</f>
        <v>0</v>
      </c>
      <c r="I64" s="1247"/>
      <c r="J64" s="1247"/>
      <c r="K64" s="1247"/>
      <c r="L64" s="1247"/>
      <c r="M64" s="1247"/>
      <c r="N64" s="1247"/>
      <c r="O64" s="1247"/>
      <c r="P64" s="1247">
        <f ca="1">$P$63*G64</f>
        <v>0</v>
      </c>
      <c r="Q64" s="1247"/>
      <c r="R64" s="1247"/>
      <c r="S64" s="1247"/>
      <c r="T64" s="1671"/>
      <c r="U64" s="1664" t="str">
        <f>IFERROR(VLOOKUP(B64,ChiTietDuToan!C:H,5,0),"")</f>
        <v>m3</v>
      </c>
      <c r="V64" s="2309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75" t="str">
        <f>IF(F5=1,"MDAP1",IF(F5=2,"MDAP2",IF(F5=3,"MDAP3",IF(F5=4,"MDAP4"))))</f>
        <v>MDAP3</v>
      </c>
      <c r="C65" s="67" t="str">
        <f t="shared" ca="1" si="1"/>
        <v xml:space="preserve"> </v>
      </c>
      <c r="D65" s="1240" t="str">
        <f>VLOOKUP($B65,DG!A:D,DG!$B$2,)</f>
        <v>03.4113</v>
      </c>
      <c r="E65" s="1241" t="str">
        <f>VLOOKUP($B65,DG!A:D,DG!$C$2,)</f>
        <v>Đắp đất hố móng, độ chặt k=0,95</v>
      </c>
      <c r="F65" s="1240" t="str">
        <f>VLOOKUP($B65,DG!A:D,DG!$D$2,)</f>
        <v>m3</v>
      </c>
      <c r="G65" s="1916">
        <f>G64</f>
        <v>0.13500000000000001</v>
      </c>
      <c r="H65" s="1247">
        <f ca="1">$H$63*G65</f>
        <v>0</v>
      </c>
      <c r="I65" s="1247"/>
      <c r="J65" s="1247"/>
      <c r="K65" s="1247"/>
      <c r="L65" s="1247"/>
      <c r="M65" s="1247"/>
      <c r="N65" s="1247"/>
      <c r="O65" s="1247"/>
      <c r="P65" s="1247">
        <f ca="1">$P$63*G65</f>
        <v>0</v>
      </c>
      <c r="Q65" s="1247"/>
      <c r="R65" s="1247"/>
      <c r="S65" s="1247"/>
      <c r="T65" s="1671"/>
      <c r="U65" s="1664" t="str">
        <f>IFERROR(VLOOKUP(B65,ChiTietDuToan!C:H,5,0),"")</f>
        <v>m3</v>
      </c>
      <c r="V65" s="2309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57" t="s">
        <v>640</v>
      </c>
      <c r="C66" s="67" t="str">
        <f t="shared" si="1"/>
        <v xml:space="preserve"> </v>
      </c>
      <c r="D66" s="1240" t="str">
        <f>VLOOKUP($B66,DG!A:C,2,)</f>
        <v>02.1482</v>
      </c>
      <c r="E66" s="1241" t="str">
        <f>VLOOKUP($B66,DG!A:C,3,)</f>
        <v>V/c dụng cụ thi công vào vị trí (cự ly &lt;=100m)</v>
      </c>
      <c r="F66" s="1240" t="str">
        <f>VLOOKUP($B66,DG!A:D,4,0)</f>
        <v>tấn</v>
      </c>
      <c r="G66" s="191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671"/>
      <c r="U66" s="1664" t="str">
        <f>IFERROR(VLOOKUP(B66,ChiTietDuToan!C:H,5,0),"")</f>
        <v/>
      </c>
      <c r="V66" s="2309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56"/>
      <c r="C67" s="65" t="str">
        <f t="shared" ca="1" si="1"/>
        <v xml:space="preserve"> </v>
      </c>
      <c r="D67" s="1237"/>
      <c r="E67" s="1666" t="s">
        <v>2398</v>
      </c>
      <c r="F67" s="1238" t="s">
        <v>2391</v>
      </c>
      <c r="G67" s="1912"/>
      <c r="H67" s="1523">
        <f ca="1">SUM(I67:O67)+T67</f>
        <v>0</v>
      </c>
      <c r="I67" s="1239">
        <f ca="1">SUMIF(mong3pm,chitiet!$A67,slmong3pm)+SUMIF(mong3p1m,chitiet!$A67,slmong3pm)</f>
        <v>0</v>
      </c>
      <c r="J67" s="1239">
        <f ca="1">SUMIF(mongct,chitiet!$A67,slmongct)</f>
        <v>0</v>
      </c>
      <c r="K67" s="1239">
        <f ca="1">SUMIF(mong1pm,chitiet!$A67,slmong1pm)</f>
        <v>0</v>
      </c>
      <c r="L67" s="1239">
        <f>IFERROR(HLOOKUP(A67,pp1p!$6:$90,85,0),0)</f>
        <v>0</v>
      </c>
      <c r="M67" s="1239">
        <f>pp_NC!X182</f>
        <v>0</v>
      </c>
      <c r="N67" s="1239">
        <f ca="1">SUMIF(mongHTDL,chitiet!$A67,slmongHTDL)</f>
        <v>0</v>
      </c>
      <c r="O67" s="1239">
        <f ca="1">SUMIF(mongHTCS,chitiet!$A67,slmongHTCS)</f>
        <v>0</v>
      </c>
      <c r="P67" s="1239"/>
      <c r="Q67" s="1239"/>
      <c r="R67" s="1239"/>
      <c r="S67" s="1239"/>
      <c r="T67" s="1671"/>
      <c r="U67" s="1664">
        <f>IFERROR(VLOOKUP(B67,ChiTietDuToan!C:H,5,0),"")</f>
        <v>0</v>
      </c>
      <c r="V67" s="2309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75" t="s">
        <v>641</v>
      </c>
      <c r="C68" s="67" t="str">
        <f t="shared" si="1"/>
        <v xml:space="preserve"> </v>
      </c>
      <c r="D68" s="1236" t="str">
        <f>VLOOKUP($B68,DG!A:D,DG!$B$2,)</f>
        <v>04.4001</v>
      </c>
      <c r="E68" s="1246" t="str">
        <f>VLOOKUP($B68,DG!A:D,DG!$C$2,)</f>
        <v>Đà cản BTCT 1,2m</v>
      </c>
      <c r="F68" s="1240" t="str">
        <f>VLOOKUP($B68,DG!A:D,DG!$D$2,)</f>
        <v>cái</v>
      </c>
      <c r="G68" s="1918">
        <v>1</v>
      </c>
      <c r="H68" s="1244"/>
      <c r="I68" s="1244">
        <f t="shared" ref="I68:L69" ca="1" si="10">I$63*$G68</f>
        <v>0</v>
      </c>
      <c r="J68" s="1244">
        <f t="shared" ca="1" si="10"/>
        <v>0</v>
      </c>
      <c r="K68" s="1244">
        <f t="shared" ca="1" si="10"/>
        <v>0</v>
      </c>
      <c r="L68" s="1244">
        <f t="shared" si="10"/>
        <v>0</v>
      </c>
      <c r="M68" s="1244">
        <f t="shared" ref="M68:O69" si="11">M$67*$G68</f>
        <v>0</v>
      </c>
      <c r="N68" s="1244">
        <f t="shared" ca="1" si="11"/>
        <v>0</v>
      </c>
      <c r="O68" s="1244">
        <f t="shared" ca="1" si="11"/>
        <v>0</v>
      </c>
      <c r="P68" s="1244"/>
      <c r="Q68" s="1244"/>
      <c r="R68" s="1244"/>
      <c r="S68" s="1244"/>
      <c r="T68" s="1671"/>
      <c r="U68" s="1664" t="str">
        <f>IFERROR(VLOOKUP(B68,ChiTietDuToan!C:H,5,0),"")</f>
        <v>cái</v>
      </c>
      <c r="V68" s="2309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75" t="s">
        <v>727</v>
      </c>
      <c r="C69" s="67" t="str">
        <f t="shared" si="1"/>
        <v xml:space="preserve"> </v>
      </c>
      <c r="D69" s="1240"/>
      <c r="E69" s="1246" t="str">
        <f>VLOOKUP($B69,DG!A:D,DG!$C$2,)</f>
        <v>Boulon 22x550/100+ 2 long đền vuông D24-50x50x3/Zn</v>
      </c>
      <c r="F69" s="1240" t="str">
        <f>VLOOKUP($B69,DG!A:D,DG!$D$2,)</f>
        <v>bộ</v>
      </c>
      <c r="G69" s="1918">
        <v>1</v>
      </c>
      <c r="H69" s="1244"/>
      <c r="I69" s="1244">
        <f t="shared" ca="1" si="10"/>
        <v>0</v>
      </c>
      <c r="J69" s="1244">
        <f t="shared" ca="1" si="10"/>
        <v>0</v>
      </c>
      <c r="K69" s="1244">
        <f t="shared" ca="1" si="10"/>
        <v>0</v>
      </c>
      <c r="L69" s="1244">
        <f t="shared" si="10"/>
        <v>0</v>
      </c>
      <c r="M69" s="1244">
        <f t="shared" si="11"/>
        <v>0</v>
      </c>
      <c r="N69" s="1244">
        <f t="shared" ca="1" si="11"/>
        <v>0</v>
      </c>
      <c r="O69" s="1244">
        <f t="shared" ca="1" si="11"/>
        <v>0</v>
      </c>
      <c r="P69" s="1244"/>
      <c r="Q69" s="1244"/>
      <c r="R69" s="1244"/>
      <c r="S69" s="1244"/>
      <c r="T69" s="1671"/>
      <c r="U69" s="1664" t="str">
        <f>IFERROR(VLOOKUP(B69,ChiTietDuToan!C:H,5,0),"")</f>
        <v/>
      </c>
      <c r="V69" s="2309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75" t="str">
        <f>IF(F5=1,"MDD1",IF(F5=2,"MDD2",IF(F5=3,"MDD3",IF(F5=4,"MDD4"))))</f>
        <v>MDD3</v>
      </c>
      <c r="C70" s="67" t="str">
        <f t="shared" si="1"/>
        <v xml:space="preserve"> </v>
      </c>
      <c r="D70" s="1240" t="str">
        <f>VLOOKUP($B70,DG!A:D,DG!$B$2,)</f>
        <v>03.1013</v>
      </c>
      <c r="E70" s="1241" t="str">
        <f>VLOOKUP($B70,DG!A:D,DG!$C$2,)</f>
        <v>Đào hố móng đất cấp 3 sâu &gt;1m DT&lt;5m2</v>
      </c>
      <c r="F70" s="1240" t="str">
        <f>VLOOKUP($B70,DG!A:D,DG!$D$2,)</f>
        <v>m3</v>
      </c>
      <c r="G70" s="1917">
        <v>0.73</v>
      </c>
      <c r="H70" s="1247"/>
      <c r="I70" s="1247"/>
      <c r="J70" s="1247"/>
      <c r="K70" s="1247"/>
      <c r="L70" s="1247"/>
      <c r="M70" s="1247"/>
      <c r="N70" s="1247"/>
      <c r="O70" s="1247"/>
      <c r="P70" s="1247"/>
      <c r="Q70" s="1247"/>
      <c r="R70" s="1247"/>
      <c r="S70" s="1247"/>
      <c r="T70" s="1671"/>
      <c r="U70" s="1664" t="str">
        <f>IFERROR(VLOOKUP(B70,ChiTietDuToan!C:H,5,0),"")</f>
        <v>m3</v>
      </c>
      <c r="V70" s="2309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75" t="str">
        <f>IF(F5=1,"MDAP1",IF(F5=2,"MDAP2",IF(F5=3,"MDAP3",IF(F5=4,"MDAP4"))))</f>
        <v>MDAP3</v>
      </c>
      <c r="C71" s="67" t="str">
        <f t="shared" si="1"/>
        <v xml:space="preserve"> </v>
      </c>
      <c r="D71" s="1240" t="str">
        <f>VLOOKUP($B71,DG!A:D,DG!$B$2,)</f>
        <v>03.4113</v>
      </c>
      <c r="E71" s="1241" t="str">
        <f>VLOOKUP($B71,DG!A:D,DG!$C$2,)</f>
        <v>Đắp đất hố móng, độ chặt k=0,95</v>
      </c>
      <c r="F71" s="1240" t="str">
        <f>VLOOKUP($B71,DG!A:D,DG!$D$2,)</f>
        <v>m3</v>
      </c>
      <c r="G71" s="1917">
        <f>+G70</f>
        <v>0.73</v>
      </c>
      <c r="H71" s="1247"/>
      <c r="I71" s="1247"/>
      <c r="J71" s="1247"/>
      <c r="K71" s="1247"/>
      <c r="L71" s="1247"/>
      <c r="M71" s="1247"/>
      <c r="N71" s="1247"/>
      <c r="O71" s="1247"/>
      <c r="P71" s="1247"/>
      <c r="Q71" s="1247"/>
      <c r="R71" s="1247"/>
      <c r="S71" s="1247"/>
      <c r="T71" s="1671"/>
      <c r="U71" s="1664" t="str">
        <f>IFERROR(VLOOKUP(B71,ChiTietDuToan!C:H,5,0),"")</f>
        <v>m3</v>
      </c>
      <c r="V71" s="2309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75" t="s">
        <v>642</v>
      </c>
      <c r="C72" s="67" t="str">
        <f t="shared" si="1"/>
        <v xml:space="preserve"> </v>
      </c>
      <c r="D72" s="1240" t="str">
        <f>VLOOKUP($B72,DG!A:D,DG!$B$2,)</f>
        <v>02.1123</v>
      </c>
      <c r="E72" s="1241" t="str">
        <f>VLOOKUP($B72,DG!A:D,DG!$C$2,)</f>
        <v>Bốc dỡ đà cản, đế néo</v>
      </c>
      <c r="F72" s="1240" t="str">
        <f>VLOOKUP($B72,DG!A:D,DG!$D$2,)</f>
        <v>tấn</v>
      </c>
      <c r="G72" s="1917"/>
      <c r="H72" s="1244"/>
      <c r="I72" s="1244"/>
      <c r="J72" s="1244"/>
      <c r="K72" s="1244"/>
      <c r="L72" s="1244"/>
      <c r="M72" s="1244"/>
      <c r="N72" s="1244"/>
      <c r="O72" s="1244"/>
      <c r="P72" s="1244"/>
      <c r="Q72" s="1244"/>
      <c r="R72" s="1244"/>
      <c r="S72" s="1244"/>
      <c r="T72" s="1671"/>
      <c r="U72" s="1664" t="str">
        <f>IFERROR(VLOOKUP(B72,ChiTietDuToan!C:H,5,0),"")</f>
        <v/>
      </c>
      <c r="V72" s="2309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57" t="s">
        <v>2125</v>
      </c>
      <c r="C73" s="67" t="str">
        <f t="shared" si="1"/>
        <v xml:space="preserve"> </v>
      </c>
      <c r="D73" s="1240" t="str">
        <f>VLOOKUP($B73,DG!A:C,2,)</f>
        <v>02.1451</v>
      </c>
      <c r="E73" s="1241" t="str">
        <f>VLOOKUP($B73,DG!A:C,3,)</f>
        <v>V/c đà cản vào vị trí (cự ly &lt;=100m)</v>
      </c>
      <c r="F73" s="1240" t="str">
        <f>VLOOKUP($B73,DG!A:D,4,0)</f>
        <v>tấn</v>
      </c>
      <c r="G73" s="1917"/>
      <c r="H73" s="1247"/>
      <c r="I73" s="1247"/>
      <c r="J73" s="1247"/>
      <c r="K73" s="1247"/>
      <c r="L73" s="1247"/>
      <c r="M73" s="1247"/>
      <c r="N73" s="1247"/>
      <c r="O73" s="1247"/>
      <c r="P73" s="1247"/>
      <c r="Q73" s="1247"/>
      <c r="R73" s="1247"/>
      <c r="S73" s="1247"/>
      <c r="T73" s="1671"/>
      <c r="U73" s="1664" t="str">
        <f>IFERROR(VLOOKUP(B73,ChiTietDuToan!C:H,5,0),"")</f>
        <v/>
      </c>
      <c r="V73" s="2309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57" t="s">
        <v>640</v>
      </c>
      <c r="C74" s="67" t="str">
        <f t="shared" si="1"/>
        <v xml:space="preserve"> </v>
      </c>
      <c r="D74" s="1240" t="str">
        <f>VLOOKUP($B74,DG!A:C,2,)</f>
        <v>02.1482</v>
      </c>
      <c r="E74" s="1241" t="str">
        <f>VLOOKUP($B74,DG!A:C,3,)</f>
        <v>V/c dụng cụ thi công vào vị trí (cự ly &lt;=100m)</v>
      </c>
      <c r="F74" s="1240" t="str">
        <f>VLOOKUP($B74,DG!A:D,4,0)</f>
        <v>tấn</v>
      </c>
      <c r="G74" s="1917"/>
      <c r="H74" s="1247"/>
      <c r="I74" s="1247"/>
      <c r="J74" s="1247"/>
      <c r="K74" s="1247"/>
      <c r="L74" s="1247"/>
      <c r="M74" s="1247"/>
      <c r="N74" s="1247"/>
      <c r="O74" s="1247"/>
      <c r="P74" s="1247"/>
      <c r="Q74" s="1247"/>
      <c r="R74" s="1247"/>
      <c r="S74" s="1247"/>
      <c r="T74" s="1671"/>
      <c r="U74" s="1664" t="str">
        <f>IFERROR(VLOOKUP(B74,ChiTietDuToan!C:H,5,0),"")</f>
        <v/>
      </c>
      <c r="V74" s="2309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56"/>
      <c r="C75" s="65" t="str">
        <f t="shared" ca="1" si="1"/>
        <v xml:space="preserve"> </v>
      </c>
      <c r="D75" s="1237"/>
      <c r="E75" s="1666" t="s">
        <v>2399</v>
      </c>
      <c r="F75" s="1238" t="s">
        <v>2391</v>
      </c>
      <c r="G75" s="1912"/>
      <c r="H75" s="1523">
        <f ca="1">SUM(I75:O75)+T75</f>
        <v>0</v>
      </c>
      <c r="I75" s="1239">
        <f ca="1">SUMIF(mong3pm,chitiet!$A75,slmong3pm)+SUMIF(mong3p1m,chitiet!$A75,slmong3p1m)</f>
        <v>0</v>
      </c>
      <c r="J75" s="1239">
        <f>pp_NC!Y182</f>
        <v>0</v>
      </c>
      <c r="K75" s="1239">
        <f ca="1">SUMIF(mong1pm,chitiet!$A75,slmong1pm)</f>
        <v>0</v>
      </c>
      <c r="L75" s="1239">
        <f>IFERROR(HLOOKUP(A75,pp1p!$6:$90,85,0),0)</f>
        <v>0</v>
      </c>
      <c r="M75" s="1239">
        <f>pp_NC!X190</f>
        <v>0</v>
      </c>
      <c r="N75" s="1239">
        <f ca="1">SUMIF(mongHTDL,chitiet!$A75,slmongHTDL)</f>
        <v>0</v>
      </c>
      <c r="O75" s="1239">
        <f ca="1">SUMIF(mongHTCS,chitiet!$A75,slmongHTCS)</f>
        <v>0</v>
      </c>
      <c r="P75" s="1239"/>
      <c r="Q75" s="1239"/>
      <c r="R75" s="1239"/>
      <c r="S75" s="1239"/>
      <c r="T75" s="1671"/>
      <c r="U75" s="1664">
        <f>IFERROR(VLOOKUP(B75,ChiTietDuToan!C:H,5,0),"")</f>
        <v>0</v>
      </c>
      <c r="V75" s="2309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57" t="s">
        <v>759</v>
      </c>
      <c r="C76" s="67" t="str">
        <f t="shared" ca="1" si="1"/>
        <v xml:space="preserve"> </v>
      </c>
      <c r="D76" s="1240">
        <f>VLOOKUP($B76,DG!A:D,DG!$B$2,)</f>
        <v>0</v>
      </c>
      <c r="E76" s="1241" t="str">
        <f>VLOOKUP($B76,DG!A:D,DG!$C$2,)</f>
        <v xml:space="preserve">Ximăng </v>
      </c>
      <c r="F76" s="1240" t="str">
        <f>VLOOKUP($B76,DG!A:D,DG!$D$2,)</f>
        <v>kg</v>
      </c>
      <c r="G76" s="1919">
        <v>116</v>
      </c>
      <c r="H76" s="1244">
        <f ca="1">H$75*$G76</f>
        <v>0</v>
      </c>
      <c r="I76" s="1244">
        <f t="shared" ref="I76:O80" ca="1" si="12">I$75*$G76</f>
        <v>0</v>
      </c>
      <c r="J76" s="1244">
        <f t="shared" si="12"/>
        <v>0</v>
      </c>
      <c r="K76" s="1244">
        <f t="shared" ca="1" si="12"/>
        <v>0</v>
      </c>
      <c r="L76" s="1244">
        <f t="shared" si="12"/>
        <v>0</v>
      </c>
      <c r="M76" s="1244">
        <f t="shared" si="12"/>
        <v>0</v>
      </c>
      <c r="N76" s="1244">
        <f t="shared" ca="1" si="12"/>
        <v>0</v>
      </c>
      <c r="O76" s="1244">
        <f t="shared" ca="1" si="12"/>
        <v>0</v>
      </c>
      <c r="P76" s="1244"/>
      <c r="Q76" s="1244"/>
      <c r="R76" s="1244"/>
      <c r="S76" s="1244"/>
      <c r="T76" s="1671"/>
      <c r="U76" s="1664" t="str">
        <f>IFERROR(VLOOKUP(B76,ChiTietDuToan!C:H,5,0),"")</f>
        <v>kg</v>
      </c>
      <c r="V76" s="2309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58" t="s">
        <v>4665</v>
      </c>
      <c r="C77" s="67" t="str">
        <f t="shared" ca="1" si="1"/>
        <v xml:space="preserve"> </v>
      </c>
      <c r="D77" s="1240">
        <f>VLOOKUP($B77,DG!A:D,DG!$B$2,)</f>
        <v>0</v>
      </c>
      <c r="E77" s="1241" t="str">
        <f>VLOOKUP($B77,DG!A:D,DG!$C$2,)</f>
        <v>Cát vàng</v>
      </c>
      <c r="F77" s="1240" t="str">
        <f>VLOOKUP($B77,DG!A:D,DG!$D$2,)</f>
        <v>m3</v>
      </c>
      <c r="G77" s="1916">
        <v>0.186</v>
      </c>
      <c r="H77" s="1244">
        <f ca="1">H$75*$G77</f>
        <v>0</v>
      </c>
      <c r="I77" s="1244">
        <f t="shared" ca="1" si="12"/>
        <v>0</v>
      </c>
      <c r="J77" s="1244">
        <f t="shared" si="12"/>
        <v>0</v>
      </c>
      <c r="K77" s="1244">
        <f t="shared" ca="1" si="12"/>
        <v>0</v>
      </c>
      <c r="L77" s="1244">
        <f t="shared" si="12"/>
        <v>0</v>
      </c>
      <c r="M77" s="1244">
        <f t="shared" si="12"/>
        <v>0</v>
      </c>
      <c r="N77" s="1244">
        <f t="shared" ca="1" si="12"/>
        <v>0</v>
      </c>
      <c r="O77" s="1244">
        <f t="shared" ca="1" si="12"/>
        <v>0</v>
      </c>
      <c r="P77" s="1244"/>
      <c r="Q77" s="1244"/>
      <c r="R77" s="1244"/>
      <c r="S77" s="1244"/>
      <c r="T77" s="1671"/>
      <c r="U77" s="1664" t="str">
        <f>IFERROR(VLOOKUP(B77,ChiTietDuToan!C:H,5,0),"")</f>
        <v>m3</v>
      </c>
      <c r="V77" s="2309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57" t="s">
        <v>884</v>
      </c>
      <c r="C78" s="67" t="str">
        <f t="shared" ca="1" si="1"/>
        <v xml:space="preserve"> </v>
      </c>
      <c r="D78" s="1240">
        <f>VLOOKUP($B78,DG!A:D,DG!$B$2,)</f>
        <v>0</v>
      </c>
      <c r="E78" s="1241" t="str">
        <f>VLOOKUP($B78,DG!A:D,DG!$C$2,)</f>
        <v>Đá 1x2</v>
      </c>
      <c r="F78" s="1240" t="str">
        <f>VLOOKUP($B78,DG!A:D,DG!$D$2,)</f>
        <v>m3</v>
      </c>
      <c r="G78" s="1920">
        <v>0.34399999999999997</v>
      </c>
      <c r="H78" s="1244">
        <f ca="1">H$75*$G78</f>
        <v>0</v>
      </c>
      <c r="I78" s="1244">
        <f t="shared" ca="1" si="12"/>
        <v>0</v>
      </c>
      <c r="J78" s="1244">
        <f t="shared" si="12"/>
        <v>0</v>
      </c>
      <c r="K78" s="1244">
        <f t="shared" ca="1" si="12"/>
        <v>0</v>
      </c>
      <c r="L78" s="1244">
        <f t="shared" si="12"/>
        <v>0</v>
      </c>
      <c r="M78" s="1244">
        <f t="shared" si="12"/>
        <v>0</v>
      </c>
      <c r="N78" s="1244">
        <f t="shared" ca="1" si="12"/>
        <v>0</v>
      </c>
      <c r="O78" s="1244">
        <f t="shared" ca="1" si="12"/>
        <v>0</v>
      </c>
      <c r="P78" s="1244"/>
      <c r="Q78" s="1244"/>
      <c r="R78" s="1244"/>
      <c r="S78" s="1244"/>
      <c r="T78" s="1671"/>
      <c r="U78" s="1664" t="str">
        <f>IFERROR(VLOOKUP(B78,ChiTietDuToan!C:H,5,0),"")</f>
        <v/>
      </c>
      <c r="V78" s="2309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57" t="s">
        <v>1457</v>
      </c>
      <c r="C79" s="67" t="str">
        <f t="shared" ref="C79:C142" ca="1" si="14">IF(OR(P79&lt;&gt;0,H79&lt;&gt;0),"x"," ")</f>
        <v xml:space="preserve"> </v>
      </c>
      <c r="D79" s="1240">
        <f>VLOOKUP($B79,DG!A:D,DG!$B$2,)</f>
        <v>0</v>
      </c>
      <c r="E79" s="1246" t="str">
        <f>VLOOKUP($B79,DG!A:D,DG!$C$2,)</f>
        <v>Sắt   Ø8</v>
      </c>
      <c r="F79" s="1240" t="str">
        <f>VLOOKUP($B79,DG!A:D,DG!$D$2,)</f>
        <v>kg</v>
      </c>
      <c r="G79" s="1920"/>
      <c r="H79" s="1244">
        <f ca="1">H$75*$G79</f>
        <v>0</v>
      </c>
      <c r="I79" s="1244">
        <f t="shared" ca="1" si="12"/>
        <v>0</v>
      </c>
      <c r="J79" s="1244">
        <f t="shared" si="12"/>
        <v>0</v>
      </c>
      <c r="K79" s="1244">
        <f t="shared" ca="1" si="12"/>
        <v>0</v>
      </c>
      <c r="L79" s="1244">
        <f t="shared" si="12"/>
        <v>0</v>
      </c>
      <c r="M79" s="1244">
        <f t="shared" si="12"/>
        <v>0</v>
      </c>
      <c r="N79" s="1244">
        <f t="shared" ca="1" si="12"/>
        <v>0</v>
      </c>
      <c r="O79" s="1244">
        <f t="shared" ca="1" si="12"/>
        <v>0</v>
      </c>
      <c r="P79" s="1244"/>
      <c r="Q79" s="1244"/>
      <c r="R79" s="1244"/>
      <c r="S79" s="1244"/>
      <c r="T79" s="1671"/>
      <c r="U79" s="1664" t="str">
        <f>IFERROR(VLOOKUP(B79,ChiTietDuToan!C:H,5,0),"")</f>
        <v/>
      </c>
      <c r="V79" s="2309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57" t="s">
        <v>1458</v>
      </c>
      <c r="C80" s="67" t="str">
        <f t="shared" ca="1" si="14"/>
        <v xml:space="preserve"> </v>
      </c>
      <c r="D80" s="1240">
        <f>VLOOKUP($B80,DG!A:D,DG!$B$2,)</f>
        <v>0</v>
      </c>
      <c r="E80" s="1246" t="str">
        <f>VLOOKUP($B80,DG!A:D,DG!$C$2,)</f>
        <v>Kẽm</v>
      </c>
      <c r="F80" s="1240" t="str">
        <f>VLOOKUP($B80,DG!A:D,DG!$D$2,)</f>
        <v>kg</v>
      </c>
      <c r="G80" s="1916"/>
      <c r="H80" s="1244">
        <f ca="1">H$75*$G80</f>
        <v>0</v>
      </c>
      <c r="I80" s="1244">
        <f t="shared" ca="1" si="12"/>
        <v>0</v>
      </c>
      <c r="J80" s="1244">
        <f t="shared" si="12"/>
        <v>0</v>
      </c>
      <c r="K80" s="1244">
        <f t="shared" ca="1" si="12"/>
        <v>0</v>
      </c>
      <c r="L80" s="1244">
        <f t="shared" si="12"/>
        <v>0</v>
      </c>
      <c r="M80" s="1244">
        <f t="shared" si="12"/>
        <v>0</v>
      </c>
      <c r="N80" s="1244">
        <f t="shared" ca="1" si="12"/>
        <v>0</v>
      </c>
      <c r="O80" s="1244">
        <f t="shared" ca="1" si="12"/>
        <v>0</v>
      </c>
      <c r="P80" s="1244"/>
      <c r="Q80" s="1244"/>
      <c r="R80" s="1244"/>
      <c r="S80" s="1244"/>
      <c r="T80" s="1671"/>
      <c r="U80" s="1664" t="str">
        <f>IFERROR(VLOOKUP(B80,ChiTietDuToan!C:H,5,0),"")</f>
        <v/>
      </c>
      <c r="V80" s="2309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57" t="s">
        <v>644</v>
      </c>
      <c r="C81" s="67" t="str">
        <f t="shared" si="14"/>
        <v xml:space="preserve"> </v>
      </c>
      <c r="D81" s="1240" t="str">
        <f>VLOOKUP($B81,DG!A:D,DG!$B$2,)</f>
        <v>03.1013</v>
      </c>
      <c r="E81" s="1241" t="str">
        <f>VLOOKUP($B81,DG!A:D,DG!$C$2,)</f>
        <v>Đào hố móng đất cấp 3 sâu &gt;1m DT&lt;5m2</v>
      </c>
      <c r="F81" s="1240" t="str">
        <f>VLOOKUP($B81,DG!A:D,DG!$D$2,)</f>
        <v>m3</v>
      </c>
      <c r="G81" s="1916">
        <v>0.46200000000000002</v>
      </c>
      <c r="H81" s="1247"/>
      <c r="I81" s="1247"/>
      <c r="J81" s="1247"/>
      <c r="K81" s="1247"/>
      <c r="L81" s="1247"/>
      <c r="M81" s="1247"/>
      <c r="N81" s="1247"/>
      <c r="O81" s="1247"/>
      <c r="P81" s="1247"/>
      <c r="Q81" s="1247"/>
      <c r="R81" s="1247"/>
      <c r="S81" s="1247"/>
      <c r="T81" s="1671"/>
      <c r="U81" s="1664" t="str">
        <f>IFERROR(VLOOKUP(B81,ChiTietDuToan!C:H,5,0),"")</f>
        <v>m3</v>
      </c>
      <c r="V81" s="2309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57" t="s">
        <v>21</v>
      </c>
      <c r="C82" s="67" t="str">
        <f t="shared" si="14"/>
        <v xml:space="preserve"> </v>
      </c>
      <c r="D82" s="1240" t="str">
        <f>VLOOKUP($B82,DG!A:D,DG!$B$2,)</f>
        <v>03.4113</v>
      </c>
      <c r="E82" s="1241" t="str">
        <f>VLOOKUP($B82,DG!A:D,DG!$C$2,)</f>
        <v>Đắp đất hố móng, độ chặt k=0,95</v>
      </c>
      <c r="F82" s="1240" t="str">
        <f>VLOOKUP($B82,DG!A:D,DG!$D$2,)</f>
        <v>m3</v>
      </c>
      <c r="G82" s="1916"/>
      <c r="H82" s="1247"/>
      <c r="I82" s="1247"/>
      <c r="J82" s="1247"/>
      <c r="K82" s="1247"/>
      <c r="L82" s="1247"/>
      <c r="M82" s="1247"/>
      <c r="N82" s="1247"/>
      <c r="O82" s="1247"/>
      <c r="P82" s="1247"/>
      <c r="Q82" s="1247"/>
      <c r="R82" s="1247"/>
      <c r="S82" s="1247"/>
      <c r="T82" s="1671"/>
      <c r="U82" s="1664" t="str">
        <f>IFERROR(VLOOKUP(B82,ChiTietDuToan!C:H,5,0),"")</f>
        <v>m3</v>
      </c>
      <c r="V82" s="2309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57" t="s">
        <v>1326</v>
      </c>
      <c r="C83" s="67" t="str">
        <f t="shared" si="14"/>
        <v xml:space="preserve"> </v>
      </c>
      <c r="D83" s="1240" t="str">
        <f>VLOOKUP($B83,DG!A:D,DG!$B$2,)</f>
        <v>02.1101</v>
      </c>
      <c r="E83" s="1241" t="str">
        <f>VLOOKUP($B83,DG!A:D,DG!$C$2,)</f>
        <v>Bốc dỡ xi măng</v>
      </c>
      <c r="F83" s="1240" t="str">
        <f>VLOOKUP($B83,DG!A:D,DG!$D$2,)</f>
        <v>tấn</v>
      </c>
      <c r="G83" s="1916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671"/>
      <c r="U83" s="1664" t="str">
        <f>IFERROR(VLOOKUP(B83,ChiTietDuToan!C:H,5,0),"")</f>
        <v/>
      </c>
      <c r="V83" s="2309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57" t="s">
        <v>134</v>
      </c>
      <c r="C84" s="67" t="str">
        <f t="shared" si="14"/>
        <v xml:space="preserve"> </v>
      </c>
      <c r="D84" s="1240" t="str">
        <f>VLOOKUP($B84,DG!A:D,DG!$B$2,)</f>
        <v>02.1103</v>
      </c>
      <c r="E84" s="1241" t="str">
        <f>VLOOKUP($B84,DG!A:D,DG!$C$2,)</f>
        <v>Bốc dỡ cát</v>
      </c>
      <c r="F84" s="1240" t="str">
        <f>VLOOKUP($B84,DG!A:D,DG!$D$2,)</f>
        <v>m3</v>
      </c>
      <c r="G84" s="1916"/>
      <c r="H84" s="1247"/>
      <c r="I84" s="1247"/>
      <c r="J84" s="1247"/>
      <c r="K84" s="1247"/>
      <c r="L84" s="1247"/>
      <c r="M84" s="1247"/>
      <c r="N84" s="1247"/>
      <c r="O84" s="1247"/>
      <c r="P84" s="1247"/>
      <c r="Q84" s="1247"/>
      <c r="R84" s="1247"/>
      <c r="S84" s="1247"/>
      <c r="T84" s="1671"/>
      <c r="U84" s="1664" t="str">
        <f>IFERROR(VLOOKUP(B84,ChiTietDuToan!C:H,5,0),"")</f>
        <v/>
      </c>
      <c r="V84" s="2309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57" t="s">
        <v>136</v>
      </c>
      <c r="C85" s="67" t="str">
        <f t="shared" si="14"/>
        <v xml:space="preserve"> </v>
      </c>
      <c r="D85" s="1240" t="str">
        <f>VLOOKUP($B85,DG!A:D,DG!$B$2,)</f>
        <v>02.1104</v>
      </c>
      <c r="E85" s="1241" t="str">
        <f>VLOOKUP($B85,DG!A:D,DG!$C$2,)</f>
        <v>Bốc dỡ đá dăm</v>
      </c>
      <c r="F85" s="1240" t="str">
        <f>VLOOKUP($B85,DG!A:D,DG!$D$2,)</f>
        <v>m3</v>
      </c>
      <c r="G85" s="1916"/>
      <c r="H85" s="1247"/>
      <c r="I85" s="1247"/>
      <c r="J85" s="1247"/>
      <c r="K85" s="1247"/>
      <c r="L85" s="1247"/>
      <c r="M85" s="1247"/>
      <c r="N85" s="1247"/>
      <c r="O85" s="1247"/>
      <c r="P85" s="1247"/>
      <c r="Q85" s="1247"/>
      <c r="R85" s="1247"/>
      <c r="S85" s="1247"/>
      <c r="T85" s="1671"/>
      <c r="U85" s="1664" t="str">
        <f>IFERROR(VLOOKUP(B85,ChiTietDuToan!C:H,5,0),"")</f>
        <v/>
      </c>
      <c r="V85" s="2309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57" t="s">
        <v>9</v>
      </c>
      <c r="C86" s="67" t="str">
        <f t="shared" si="14"/>
        <v xml:space="preserve"> </v>
      </c>
      <c r="D86" s="1240" t="str">
        <f>VLOOKUP($B86,DG!A:D,DG!$B$2,)</f>
        <v>04.5101</v>
      </c>
      <c r="E86" s="1241" t="str">
        <f>VLOOKUP($B86,DG!A:D,DG!$C$2,)</f>
        <v>Gia công và lắp dựng cốt thép D&lt;=10</v>
      </c>
      <c r="F86" s="1240" t="str">
        <f>VLOOKUP($B86,DG!A:D,DG!$D$2,)</f>
        <v>kg</v>
      </c>
      <c r="G86" s="1916"/>
      <c r="H86" s="1247"/>
      <c r="I86" s="1247"/>
      <c r="J86" s="1247"/>
      <c r="K86" s="1247"/>
      <c r="L86" s="1247"/>
      <c r="M86" s="1247"/>
      <c r="N86" s="1247"/>
      <c r="O86" s="1247"/>
      <c r="P86" s="1247"/>
      <c r="Q86" s="1247"/>
      <c r="R86" s="1247"/>
      <c r="S86" s="1247"/>
      <c r="T86" s="1671"/>
      <c r="U86" s="1664" t="str">
        <f>IFERROR(VLOOKUP(B86,ChiTietDuToan!C:H,5,0),"")</f>
        <v/>
      </c>
      <c r="V86" s="2309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57" t="s">
        <v>498</v>
      </c>
      <c r="C87" s="67" t="str">
        <f t="shared" si="14"/>
        <v xml:space="preserve"> </v>
      </c>
      <c r="D87" s="1240" t="str">
        <f>VLOOKUP($B87,DG!A:D,DG!$B$2,)</f>
        <v>02.1211</v>
      </c>
      <c r="E87" s="1241" t="str">
        <f>VLOOKUP($B87,DG!A:D,DG!$C$2,)</f>
        <v>V/c xi măng ( cự ly &lt;=100m)</v>
      </c>
      <c r="F87" s="1240" t="str">
        <f>VLOOKUP($B87,DG!A:D,DG!$D$2,)</f>
        <v>tấn</v>
      </c>
      <c r="G87" s="1916"/>
      <c r="H87" s="1247"/>
      <c r="I87" s="1247"/>
      <c r="J87" s="1247"/>
      <c r="K87" s="1247"/>
      <c r="L87" s="1247"/>
      <c r="M87" s="1247"/>
      <c r="N87" s="1247"/>
      <c r="O87" s="1247"/>
      <c r="P87" s="1247"/>
      <c r="Q87" s="1247"/>
      <c r="R87" s="1247"/>
      <c r="S87" s="1247"/>
      <c r="T87" s="1671"/>
      <c r="U87" s="1664" t="str">
        <f>IFERROR(VLOOKUP(B87,ChiTietDuToan!C:H,5,0),"")</f>
        <v/>
      </c>
      <c r="V87" s="2309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57" t="s">
        <v>1663</v>
      </c>
      <c r="C88" s="67" t="str">
        <f t="shared" si="14"/>
        <v xml:space="preserve"> </v>
      </c>
      <c r="D88" s="1240" t="str">
        <f>VLOOKUP($B88,DG!A:D,DG!$B$2,)</f>
        <v>02.1231</v>
      </c>
      <c r="E88" s="1241" t="str">
        <f>VLOOKUP($B88,DG!A:D,DG!$C$2,)</f>
        <v>V/c cát vàng cự ly &lt;=100m</v>
      </c>
      <c r="F88" s="1240" t="str">
        <f>VLOOKUP($B88,DG!A:D,DG!$D$2,)</f>
        <v>m3</v>
      </c>
      <c r="G88" s="1916"/>
      <c r="H88" s="1247"/>
      <c r="I88" s="1247"/>
      <c r="J88" s="1247"/>
      <c r="K88" s="1247"/>
      <c r="L88" s="1247"/>
      <c r="M88" s="1247"/>
      <c r="N88" s="1247"/>
      <c r="O88" s="1247"/>
      <c r="P88" s="1247"/>
      <c r="Q88" s="1247"/>
      <c r="R88" s="1247"/>
      <c r="S88" s="1247"/>
      <c r="T88" s="1671"/>
      <c r="U88" s="1664" t="str">
        <f>IFERROR(VLOOKUP(B88,ChiTietDuToan!C:H,5,0),"")</f>
        <v/>
      </c>
      <c r="V88" s="2309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57" t="s">
        <v>524</v>
      </c>
      <c r="C89" s="67" t="str">
        <f t="shared" si="14"/>
        <v xml:space="preserve"> </v>
      </c>
      <c r="D89" s="1240" t="str">
        <f>VLOOKUP($B89,DG!A:D,DG!$B$2,)</f>
        <v>02.1241</v>
      </c>
      <c r="E89" s="1241" t="str">
        <f>VLOOKUP($B89,DG!A:D,DG!$C$2,)</f>
        <v>V/c đá dăm ( cự ly &lt;=100m)</v>
      </c>
      <c r="F89" s="1240" t="str">
        <f>VLOOKUP($B89,DG!A:D,DG!$D$2,)</f>
        <v>m3</v>
      </c>
      <c r="G89" s="1916"/>
      <c r="H89" s="1247"/>
      <c r="I89" s="1247"/>
      <c r="J89" s="1247"/>
      <c r="K89" s="1247"/>
      <c r="L89" s="1247"/>
      <c r="M89" s="1247"/>
      <c r="N89" s="1247"/>
      <c r="O89" s="1247"/>
      <c r="P89" s="1247"/>
      <c r="Q89" s="1247"/>
      <c r="R89" s="1247"/>
      <c r="S89" s="1247"/>
      <c r="T89" s="1671"/>
      <c r="U89" s="1664" t="str">
        <f>IFERROR(VLOOKUP(B89,ChiTietDuToan!C:H,5,0),"")</f>
        <v/>
      </c>
      <c r="V89" s="2309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57" t="s">
        <v>2034</v>
      </c>
      <c r="C90" s="67" t="str">
        <f t="shared" si="14"/>
        <v xml:space="preserve"> </v>
      </c>
      <c r="D90" s="1240" t="str">
        <f>VLOOKUP($B90,DG!A:D,DG!$B$2,)</f>
        <v>02.1482</v>
      </c>
      <c r="E90" s="1241" t="str">
        <f>VLOOKUP($B90,DG!A:D,DG!$C$2,)</f>
        <v>V/c dụng cụ thi công ( cự ly &lt;=100m)</v>
      </c>
      <c r="F90" s="1240" t="str">
        <f>VLOOKUP($B90,DG!A:D,DG!$D$2,)</f>
        <v>tấn</v>
      </c>
      <c r="G90" s="1916"/>
      <c r="H90" s="1247"/>
      <c r="I90" s="1247"/>
      <c r="J90" s="1247"/>
      <c r="K90" s="1247"/>
      <c r="L90" s="1247"/>
      <c r="M90" s="1247"/>
      <c r="N90" s="1247"/>
      <c r="O90" s="1247"/>
      <c r="P90" s="1247"/>
      <c r="Q90" s="1247"/>
      <c r="R90" s="1247"/>
      <c r="S90" s="1247"/>
      <c r="T90" s="1671"/>
      <c r="U90" s="1664" t="str">
        <f>IFERROR(VLOOKUP(B90,ChiTietDuToan!C:H,5,0),"")</f>
        <v/>
      </c>
      <c r="V90" s="2309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57" t="s">
        <v>1889</v>
      </c>
      <c r="C91" s="67" t="str">
        <f t="shared" si="14"/>
        <v xml:space="preserve"> </v>
      </c>
      <c r="D91" s="1240" t="str">
        <f>VLOOKUP($B91,DG!A:D,DG!$B$2,)</f>
        <v>04.1203c</v>
      </c>
      <c r="E91" s="1241" t="str">
        <f>VLOOKUP($B91,DG!A:D,DG!$C$2,)</f>
        <v>Đổ bê tông móng trụ &lt;=250cm-M200 đá 1x2</v>
      </c>
      <c r="F91" s="1240" t="str">
        <f>VLOOKUP($B91,DG!A:D,DG!$D$2,)</f>
        <v>m3</v>
      </c>
      <c r="G91" s="1916">
        <v>0.39</v>
      </c>
      <c r="H91" s="1247"/>
      <c r="I91" s="1247"/>
      <c r="J91" s="1247"/>
      <c r="K91" s="1247"/>
      <c r="L91" s="1247"/>
      <c r="M91" s="1247"/>
      <c r="N91" s="1247"/>
      <c r="O91" s="1247"/>
      <c r="P91" s="1247"/>
      <c r="Q91" s="1247"/>
      <c r="R91" s="1247"/>
      <c r="S91" s="1247"/>
      <c r="T91" s="1671"/>
      <c r="U91" s="1664" t="str">
        <f>IFERROR(VLOOKUP(B91,ChiTietDuToan!C:H,5,0),"")</f>
        <v/>
      </c>
      <c r="V91" s="2309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56"/>
      <c r="C92" s="65" t="str">
        <f t="shared" ca="1" si="14"/>
        <v xml:space="preserve"> </v>
      </c>
      <c r="D92" s="1237"/>
      <c r="E92" s="1666" t="s">
        <v>4868</v>
      </c>
      <c r="F92" s="1238" t="s">
        <v>2391</v>
      </c>
      <c r="G92" s="1912"/>
      <c r="H92" s="1523">
        <f ca="1">SUM(I92:O92)+T92</f>
        <v>0</v>
      </c>
      <c r="I92" s="1239">
        <f ca="1">SUMIF(mong3pm,chitiet!$A92,slmong3pm)+SUMIF(mong3p1m,chitiet!$A92,slmong3p1m)</f>
        <v>0</v>
      </c>
      <c r="J92" s="1239"/>
      <c r="K92" s="1239">
        <f ca="1">SUMIF(mong1pm,chitiet!$A92,slmong1pm)</f>
        <v>0</v>
      </c>
      <c r="L92" s="1239">
        <f>IFERROR(HLOOKUP(A92,pp1p!$6:$90,85,0),0)</f>
        <v>0</v>
      </c>
      <c r="M92" s="1239">
        <f>pp_NC!X197</f>
        <v>0</v>
      </c>
      <c r="N92" s="1239">
        <f ca="1">SUMIF(mongHTDL,chitiet!$A92,slmongHTDL)</f>
        <v>0</v>
      </c>
      <c r="O92" s="1239">
        <f ca="1">SUMIF(mongHTCS,chitiet!$A92,slmongHTCS)</f>
        <v>0</v>
      </c>
      <c r="P92" s="1239">
        <f ca="1">H92+Q92-R92</f>
        <v>0</v>
      </c>
      <c r="Q92" s="1239"/>
      <c r="R92" s="1239"/>
      <c r="S92" s="1239"/>
      <c r="T92" s="1671"/>
      <c r="U92" s="1664">
        <f>IFERROR(VLOOKUP(B92,ChiTietDuToan!C:H,5,0),"")</f>
        <v>0</v>
      </c>
      <c r="V92" s="2309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57" t="s">
        <v>759</v>
      </c>
      <c r="C93" s="67" t="str">
        <f t="shared" ca="1" si="14"/>
        <v xml:space="preserve"> </v>
      </c>
      <c r="D93" s="1240">
        <f>VLOOKUP($B93,DG!A:D,DG!$B$2,)</f>
        <v>0</v>
      </c>
      <c r="E93" s="1241" t="str">
        <f>VLOOKUP($B93,DG!A:D,DG!$C$2,)</f>
        <v xml:space="preserve">Ximăng </v>
      </c>
      <c r="F93" s="1240" t="str">
        <f>VLOOKUP($B93,DG!A:D,DG!$D$2,)</f>
        <v>kg</v>
      </c>
      <c r="G93" s="1919">
        <v>162</v>
      </c>
      <c r="H93" s="1244">
        <f t="shared" ref="H93:H98" ca="1" si="15">$H$92*G93</f>
        <v>0</v>
      </c>
      <c r="I93" s="1244">
        <f t="shared" ref="I93:O97" ca="1" si="16">I$75*$G93</f>
        <v>0</v>
      </c>
      <c r="J93" s="1244">
        <f t="shared" si="16"/>
        <v>0</v>
      </c>
      <c r="K93" s="1244">
        <f t="shared" ca="1" si="16"/>
        <v>0</v>
      </c>
      <c r="L93" s="1244">
        <f t="shared" si="16"/>
        <v>0</v>
      </c>
      <c r="M93" s="1244">
        <f t="shared" si="16"/>
        <v>0</v>
      </c>
      <c r="N93" s="1244">
        <f t="shared" ca="1" si="16"/>
        <v>0</v>
      </c>
      <c r="O93" s="1244">
        <f t="shared" ca="1" si="16"/>
        <v>0</v>
      </c>
      <c r="P93" s="1239">
        <f ca="1">H93+Q93-R93</f>
        <v>0</v>
      </c>
      <c r="Q93" s="1244"/>
      <c r="R93" s="1244"/>
      <c r="S93" s="1244"/>
      <c r="T93" s="1671"/>
      <c r="U93" s="1664" t="str">
        <f>IFERROR(VLOOKUP(B93,ChiTietDuToan!C:H,5,0),"")</f>
        <v>kg</v>
      </c>
      <c r="V93" s="2309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58" t="s">
        <v>4665</v>
      </c>
      <c r="C94" s="67" t="str">
        <f t="shared" ca="1" si="14"/>
        <v xml:space="preserve"> </v>
      </c>
      <c r="D94" s="1240">
        <f>VLOOKUP($B94,DG!A:D,DG!$B$2,)</f>
        <v>0</v>
      </c>
      <c r="E94" s="1241" t="str">
        <f>VLOOKUP($B94,DG!A:D,DG!$C$2,)</f>
        <v>Cát vàng</v>
      </c>
      <c r="F94" s="1240" t="str">
        <f>VLOOKUP($B94,DG!A:D,DG!$D$2,)</f>
        <v>m3</v>
      </c>
      <c r="G94" s="1916">
        <v>0.26</v>
      </c>
      <c r="H94" s="1242">
        <f t="shared" ca="1" si="15"/>
        <v>0</v>
      </c>
      <c r="I94" s="1244">
        <f t="shared" ca="1" si="16"/>
        <v>0</v>
      </c>
      <c r="J94" s="1244">
        <f t="shared" si="16"/>
        <v>0</v>
      </c>
      <c r="K94" s="1244">
        <f t="shared" ca="1" si="16"/>
        <v>0</v>
      </c>
      <c r="L94" s="1244">
        <f t="shared" si="16"/>
        <v>0</v>
      </c>
      <c r="M94" s="1244">
        <f t="shared" si="16"/>
        <v>0</v>
      </c>
      <c r="N94" s="1244">
        <f t="shared" ca="1" si="16"/>
        <v>0</v>
      </c>
      <c r="O94" s="1244">
        <f t="shared" ca="1" si="16"/>
        <v>0</v>
      </c>
      <c r="P94" s="2204">
        <f ca="1">H94+Q94-R94</f>
        <v>0</v>
      </c>
      <c r="Q94" s="1244"/>
      <c r="R94" s="1244"/>
      <c r="S94" s="1244"/>
      <c r="T94" s="1671"/>
      <c r="U94" s="1664" t="str">
        <f>IFERROR(VLOOKUP(B94,ChiTietDuToan!C:H,5,0),"")</f>
        <v>m3</v>
      </c>
      <c r="V94" s="2309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57" t="s">
        <v>884</v>
      </c>
      <c r="C95" s="67" t="str">
        <f t="shared" ca="1" si="14"/>
        <v xml:space="preserve"> </v>
      </c>
      <c r="D95" s="1240">
        <f>VLOOKUP($B95,DG!A:D,DG!$B$2,)</f>
        <v>0</v>
      </c>
      <c r="E95" s="1241" t="str">
        <f>VLOOKUP($B95,DG!A:D,DG!$C$2,)</f>
        <v>Đá 1x2</v>
      </c>
      <c r="F95" s="1240" t="str">
        <f>VLOOKUP($B95,DG!A:D,DG!$D$2,)</f>
        <v>m3</v>
      </c>
      <c r="G95" s="1916">
        <v>0.48299999999999998</v>
      </c>
      <c r="H95" s="1242">
        <f t="shared" ca="1" si="15"/>
        <v>0</v>
      </c>
      <c r="I95" s="1244">
        <f t="shared" ca="1" si="16"/>
        <v>0</v>
      </c>
      <c r="J95" s="1244">
        <f t="shared" si="16"/>
        <v>0</v>
      </c>
      <c r="K95" s="1244">
        <f t="shared" ca="1" si="16"/>
        <v>0</v>
      </c>
      <c r="L95" s="1244">
        <f t="shared" si="16"/>
        <v>0</v>
      </c>
      <c r="M95" s="1244">
        <f t="shared" si="16"/>
        <v>0</v>
      </c>
      <c r="N95" s="1244">
        <f t="shared" ca="1" si="16"/>
        <v>0</v>
      </c>
      <c r="O95" s="1244">
        <f t="shared" ca="1" si="16"/>
        <v>0</v>
      </c>
      <c r="P95" s="2204">
        <f ca="1">H95+Q95-R95</f>
        <v>0</v>
      </c>
      <c r="Q95" s="1679"/>
      <c r="R95" s="1679"/>
      <c r="S95" s="1679"/>
      <c r="T95" s="1671"/>
      <c r="U95" s="1664" t="str">
        <f>IFERROR(VLOOKUP(B95,ChiTietDuToan!C:H,5,0),"")</f>
        <v/>
      </c>
      <c r="V95" s="2309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57" t="s">
        <v>2061</v>
      </c>
      <c r="C96" s="67" t="str">
        <f t="shared" ca="1" si="14"/>
        <v xml:space="preserve"> </v>
      </c>
      <c r="D96" s="1240">
        <f>VLOOKUP($B96,DG!A:D,DG!$B$2,)</f>
        <v>0</v>
      </c>
      <c r="E96" s="1246" t="str">
        <f>VLOOKUP($B96,DG!A:D,DG!$C$2,)</f>
        <v>Sắt   Ø10</v>
      </c>
      <c r="F96" s="1240" t="str">
        <f>VLOOKUP($B96,DG!A:D,DG!$D$2,)</f>
        <v>kg</v>
      </c>
      <c r="G96" s="1916"/>
      <c r="H96" s="1244">
        <f t="shared" ca="1" si="15"/>
        <v>0</v>
      </c>
      <c r="I96" s="1244">
        <f t="shared" ca="1" si="16"/>
        <v>0</v>
      </c>
      <c r="J96" s="1244">
        <f t="shared" si="16"/>
        <v>0</v>
      </c>
      <c r="K96" s="1244">
        <f t="shared" ca="1" si="16"/>
        <v>0</v>
      </c>
      <c r="L96" s="1244">
        <f t="shared" si="16"/>
        <v>0</v>
      </c>
      <c r="M96" s="1244">
        <f t="shared" si="16"/>
        <v>0</v>
      </c>
      <c r="N96" s="1244">
        <f t="shared" ca="1" si="16"/>
        <v>0</v>
      </c>
      <c r="O96" s="1244">
        <f t="shared" ca="1" si="16"/>
        <v>0</v>
      </c>
      <c r="P96" s="1244"/>
      <c r="Q96" s="1244"/>
      <c r="R96" s="1244"/>
      <c r="S96" s="1244"/>
      <c r="T96" s="1671"/>
      <c r="U96" s="1664" t="str">
        <f>IFERROR(VLOOKUP(B96,ChiTietDuToan!C:H,5,0),"")</f>
        <v/>
      </c>
      <c r="V96" s="2309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57" t="s">
        <v>1458</v>
      </c>
      <c r="C97" s="67" t="str">
        <f t="shared" ca="1" si="14"/>
        <v xml:space="preserve"> </v>
      </c>
      <c r="D97" s="1240">
        <f>VLOOKUP($B97,DG!A:D,DG!$B$2,)</f>
        <v>0</v>
      </c>
      <c r="E97" s="1246" t="str">
        <f>VLOOKUP($B97,DG!A:D,DG!$C$2,)</f>
        <v>Kẽm</v>
      </c>
      <c r="F97" s="1240" t="str">
        <f>VLOOKUP($B97,DG!A:D,DG!$D$2,)</f>
        <v>kg</v>
      </c>
      <c r="G97" s="1916"/>
      <c r="H97" s="1244">
        <f t="shared" ca="1" si="15"/>
        <v>0</v>
      </c>
      <c r="I97" s="1244">
        <f t="shared" ca="1" si="16"/>
        <v>0</v>
      </c>
      <c r="J97" s="1244">
        <f t="shared" si="16"/>
        <v>0</v>
      </c>
      <c r="K97" s="1244">
        <f t="shared" ca="1" si="16"/>
        <v>0</v>
      </c>
      <c r="L97" s="1244">
        <f t="shared" si="16"/>
        <v>0</v>
      </c>
      <c r="M97" s="1244">
        <f t="shared" si="16"/>
        <v>0</v>
      </c>
      <c r="N97" s="1244">
        <f t="shared" ca="1" si="16"/>
        <v>0</v>
      </c>
      <c r="O97" s="1244">
        <f t="shared" ca="1" si="16"/>
        <v>0</v>
      </c>
      <c r="P97" s="1244"/>
      <c r="Q97" s="1244"/>
      <c r="R97" s="1244"/>
      <c r="S97" s="1244"/>
      <c r="T97" s="1671"/>
      <c r="U97" s="1664" t="str">
        <f>IFERROR(VLOOKUP(B97,ChiTietDuToan!C:H,5,0),"")</f>
        <v/>
      </c>
      <c r="V97" s="2309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57" t="s">
        <v>644</v>
      </c>
      <c r="C98" s="67" t="str">
        <f t="shared" ca="1" si="14"/>
        <v xml:space="preserve"> </v>
      </c>
      <c r="D98" s="1240" t="str">
        <f>VLOOKUP($B98,DG!A:D,DG!$B$2,)</f>
        <v>03.1013</v>
      </c>
      <c r="E98" s="1241" t="str">
        <f>VLOOKUP($B98,DG!A:D,DG!$C$2,)</f>
        <v>Đào hố móng đất cấp 3 sâu &gt;1m DT&lt;5m2</v>
      </c>
      <c r="F98" s="1240" t="str">
        <f>VLOOKUP($B98,DG!A:D,DG!$D$2,)</f>
        <v>m3</v>
      </c>
      <c r="G98" s="1916">
        <v>0.7</v>
      </c>
      <c r="H98" s="1242">
        <f t="shared" ca="1" si="15"/>
        <v>0</v>
      </c>
      <c r="I98" s="1247"/>
      <c r="J98" s="1247"/>
      <c r="K98" s="1247"/>
      <c r="L98" s="1247"/>
      <c r="M98" s="1247"/>
      <c r="N98" s="1247"/>
      <c r="O98" s="1247"/>
      <c r="P98" s="2204">
        <f ca="1">H98+Q98-R98</f>
        <v>0</v>
      </c>
      <c r="Q98" s="1679"/>
      <c r="R98" s="1679"/>
      <c r="S98" s="1679"/>
      <c r="T98" s="1671"/>
      <c r="U98" s="1664" t="str">
        <f>IFERROR(VLOOKUP(B98,ChiTietDuToan!C:H,5,0),"")</f>
        <v>m3</v>
      </c>
      <c r="V98" s="2309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57" t="s">
        <v>21</v>
      </c>
      <c r="C99" s="67" t="str">
        <f t="shared" ca="1" si="14"/>
        <v xml:space="preserve"> </v>
      </c>
      <c r="D99" s="1240" t="str">
        <f>VLOOKUP($B99,DG!A:D,DG!$B$2,)</f>
        <v>03.4113</v>
      </c>
      <c r="E99" s="1241" t="str">
        <f>VLOOKUP($B99,DG!A:D,DG!$C$2,)</f>
        <v>Đắp đất hố móng, độ chặt k=0,95</v>
      </c>
      <c r="F99" s="1240" t="str">
        <f>VLOOKUP($B99,DG!A:D,DG!$D$2,)</f>
        <v>m3</v>
      </c>
      <c r="G99" s="1916">
        <v>0.7</v>
      </c>
      <c r="H99" s="1242">
        <f t="shared" ref="H99:H107" ca="1" si="17">$H$92*G99</f>
        <v>0</v>
      </c>
      <c r="I99" s="1247"/>
      <c r="J99" s="1247"/>
      <c r="K99" s="1247"/>
      <c r="L99" s="1247"/>
      <c r="M99" s="1247"/>
      <c r="N99" s="1247"/>
      <c r="O99" s="1247"/>
      <c r="P99" s="2204">
        <f ca="1">H99+Q99-R99</f>
        <v>0</v>
      </c>
      <c r="Q99" s="1244"/>
      <c r="R99" s="1244"/>
      <c r="S99" s="1244"/>
      <c r="T99" s="1671"/>
      <c r="U99" s="1664" t="str">
        <f>IFERROR(VLOOKUP(B99,ChiTietDuToan!C:H,5,0),"")</f>
        <v>m3</v>
      </c>
      <c r="V99" s="2309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57" t="s">
        <v>1326</v>
      </c>
      <c r="C100" s="67" t="str">
        <f t="shared" ca="1" si="14"/>
        <v xml:space="preserve"> </v>
      </c>
      <c r="D100" s="1240" t="str">
        <f>VLOOKUP($B100,DG!A:D,DG!$B$2,)</f>
        <v>02.1101</v>
      </c>
      <c r="E100" s="1241" t="str">
        <f>VLOOKUP($B100,DG!A:D,DG!$C$2,)</f>
        <v>Bốc dỡ xi măng</v>
      </c>
      <c r="F100" s="1240" t="str">
        <f>VLOOKUP($B100,DG!A:D,DG!$D$2,)</f>
        <v>tấn</v>
      </c>
      <c r="G100" s="1916"/>
      <c r="H100" s="1244">
        <f t="shared" ca="1" si="17"/>
        <v>0</v>
      </c>
      <c r="I100" s="1247"/>
      <c r="J100" s="1247"/>
      <c r="K100" s="1247"/>
      <c r="L100" s="1247"/>
      <c r="M100" s="1247"/>
      <c r="N100" s="1247"/>
      <c r="O100" s="1247"/>
      <c r="P100" s="1244"/>
      <c r="Q100" s="1244"/>
      <c r="R100" s="1244"/>
      <c r="S100" s="1244"/>
      <c r="T100" s="1671"/>
      <c r="U100" s="1664" t="str">
        <f>IFERROR(VLOOKUP(B100,ChiTietDuToan!C:H,5,0),"")</f>
        <v/>
      </c>
      <c r="V100" s="2309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57" t="s">
        <v>134</v>
      </c>
      <c r="C101" s="67" t="str">
        <f t="shared" ca="1" si="14"/>
        <v xml:space="preserve"> </v>
      </c>
      <c r="D101" s="1240" t="str">
        <f>VLOOKUP($B101,DG!A:D,DG!$B$2,)</f>
        <v>02.1103</v>
      </c>
      <c r="E101" s="1241" t="str">
        <f>VLOOKUP($B101,DG!A:D,DG!$C$2,)</f>
        <v>Bốc dỡ cát</v>
      </c>
      <c r="F101" s="1240" t="str">
        <f>VLOOKUP($B101,DG!A:D,DG!$D$2,)</f>
        <v>m3</v>
      </c>
      <c r="G101" s="1916"/>
      <c r="H101" s="1244">
        <f t="shared" ca="1" si="17"/>
        <v>0</v>
      </c>
      <c r="I101" s="1247"/>
      <c r="J101" s="1247"/>
      <c r="K101" s="1247"/>
      <c r="L101" s="1247"/>
      <c r="M101" s="1247"/>
      <c r="N101" s="1247"/>
      <c r="O101" s="1247"/>
      <c r="P101" s="1244"/>
      <c r="Q101" s="1244"/>
      <c r="R101" s="1244"/>
      <c r="S101" s="1244"/>
      <c r="T101" s="1671"/>
      <c r="U101" s="1664" t="str">
        <f>IFERROR(VLOOKUP(B101,ChiTietDuToan!C:H,5,0),"")</f>
        <v/>
      </c>
      <c r="V101" s="2309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57" t="s">
        <v>136</v>
      </c>
      <c r="C102" s="67" t="str">
        <f t="shared" ca="1" si="14"/>
        <v xml:space="preserve"> </v>
      </c>
      <c r="D102" s="1240" t="str">
        <f>VLOOKUP($B102,DG!A:D,DG!$B$2,)</f>
        <v>02.1104</v>
      </c>
      <c r="E102" s="1241" t="str">
        <f>VLOOKUP($B102,DG!A:D,DG!$C$2,)</f>
        <v>Bốc dỡ đá dăm</v>
      </c>
      <c r="F102" s="1240" t="str">
        <f>VLOOKUP($B102,DG!A:D,DG!$D$2,)</f>
        <v>m3</v>
      </c>
      <c r="G102" s="1916"/>
      <c r="H102" s="1244">
        <f t="shared" ca="1" si="17"/>
        <v>0</v>
      </c>
      <c r="I102" s="1247"/>
      <c r="J102" s="1247"/>
      <c r="K102" s="1247"/>
      <c r="L102" s="1247"/>
      <c r="M102" s="1247"/>
      <c r="N102" s="1247"/>
      <c r="O102" s="1247"/>
      <c r="P102" s="1244"/>
      <c r="Q102" s="1244"/>
      <c r="R102" s="1244"/>
      <c r="S102" s="1244"/>
      <c r="T102" s="1671"/>
      <c r="U102" s="1664" t="str">
        <f>IFERROR(VLOOKUP(B102,ChiTietDuToan!C:H,5,0),"")</f>
        <v/>
      </c>
      <c r="V102" s="2309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57" t="s">
        <v>9</v>
      </c>
      <c r="C103" s="67" t="str">
        <f t="shared" ca="1" si="14"/>
        <v xml:space="preserve"> </v>
      </c>
      <c r="D103" s="1240" t="str">
        <f>VLOOKUP($B103,DG!A:D,DG!$B$2,)</f>
        <v>04.5101</v>
      </c>
      <c r="E103" s="1241" t="str">
        <f>VLOOKUP($B103,DG!A:D,DG!$C$2,)</f>
        <v>Gia công và lắp dựng cốt thép D&lt;=10</v>
      </c>
      <c r="F103" s="1240" t="str">
        <f>VLOOKUP($B103,DG!A:D,DG!$D$2,)</f>
        <v>kg</v>
      </c>
      <c r="G103" s="1916">
        <f>G96</f>
        <v>0</v>
      </c>
      <c r="H103" s="1244">
        <f t="shared" ca="1" si="17"/>
        <v>0</v>
      </c>
      <c r="I103" s="1247"/>
      <c r="J103" s="1247"/>
      <c r="K103" s="1247"/>
      <c r="L103" s="1247"/>
      <c r="M103" s="1247"/>
      <c r="N103" s="1247"/>
      <c r="O103" s="1247"/>
      <c r="P103" s="1244"/>
      <c r="Q103" s="1244"/>
      <c r="R103" s="1244"/>
      <c r="S103" s="1244"/>
      <c r="T103" s="1671"/>
      <c r="U103" s="1664" t="str">
        <f>IFERROR(VLOOKUP(B103,ChiTietDuToan!C:H,5,0),"")</f>
        <v/>
      </c>
      <c r="V103" s="2309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57" t="s">
        <v>498</v>
      </c>
      <c r="C104" s="67" t="str">
        <f t="shared" ca="1" si="14"/>
        <v xml:space="preserve"> </v>
      </c>
      <c r="D104" s="1240" t="str">
        <f>VLOOKUP($B104,DG!A:D,DG!$B$2,)</f>
        <v>02.1211</v>
      </c>
      <c r="E104" s="1241" t="str">
        <f>VLOOKUP($B104,DG!A:D,DG!$C$2,)</f>
        <v>V/c xi măng ( cự ly &lt;=100m)</v>
      </c>
      <c r="F104" s="1240" t="str">
        <f>VLOOKUP($B104,DG!A:D,DG!$D$2,)</f>
        <v>tấn</v>
      </c>
      <c r="G104" s="1916"/>
      <c r="H104" s="1244">
        <f t="shared" ca="1" si="17"/>
        <v>0</v>
      </c>
      <c r="I104" s="1247"/>
      <c r="J104" s="1247"/>
      <c r="K104" s="1247"/>
      <c r="L104" s="1247"/>
      <c r="M104" s="1247"/>
      <c r="N104" s="1247"/>
      <c r="O104" s="1247"/>
      <c r="P104" s="1244"/>
      <c r="Q104" s="1244"/>
      <c r="R104" s="1244"/>
      <c r="S104" s="1244"/>
      <c r="T104" s="1671"/>
      <c r="U104" s="1664" t="str">
        <f>IFERROR(VLOOKUP(B104,ChiTietDuToan!C:H,5,0),"")</f>
        <v/>
      </c>
      <c r="V104" s="2309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57" t="s">
        <v>1663</v>
      </c>
      <c r="C105" s="67" t="str">
        <f t="shared" ca="1" si="14"/>
        <v xml:space="preserve"> </v>
      </c>
      <c r="D105" s="1240" t="str">
        <f>VLOOKUP($B105,DG!A:D,DG!$B$2,)</f>
        <v>02.1231</v>
      </c>
      <c r="E105" s="1241" t="str">
        <f>VLOOKUP($B105,DG!A:D,DG!$C$2,)</f>
        <v>V/c cát vàng cự ly &lt;=100m</v>
      </c>
      <c r="F105" s="1240" t="str">
        <f>VLOOKUP($B105,DG!A:D,DG!$D$2,)</f>
        <v>m3</v>
      </c>
      <c r="G105" s="1916"/>
      <c r="H105" s="1244">
        <f t="shared" ca="1" si="17"/>
        <v>0</v>
      </c>
      <c r="I105" s="1247"/>
      <c r="J105" s="1247"/>
      <c r="K105" s="1247"/>
      <c r="L105" s="1247"/>
      <c r="M105" s="1247"/>
      <c r="N105" s="1247"/>
      <c r="O105" s="1247"/>
      <c r="P105" s="1244"/>
      <c r="Q105" s="1244"/>
      <c r="R105" s="1244"/>
      <c r="S105" s="1244"/>
      <c r="T105" s="1671"/>
      <c r="U105" s="1664" t="str">
        <f>IFERROR(VLOOKUP(B105,ChiTietDuToan!C:H,5,0),"")</f>
        <v/>
      </c>
      <c r="V105" s="2309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57" t="s">
        <v>524</v>
      </c>
      <c r="C106" s="67" t="str">
        <f t="shared" ca="1" si="14"/>
        <v xml:space="preserve"> </v>
      </c>
      <c r="D106" s="1240" t="str">
        <f>VLOOKUP($B106,DG!A:D,DG!$B$2,)</f>
        <v>02.1241</v>
      </c>
      <c r="E106" s="1241" t="str">
        <f>VLOOKUP($B106,DG!A:D,DG!$C$2,)</f>
        <v>V/c đá dăm ( cự ly &lt;=100m)</v>
      </c>
      <c r="F106" s="1240" t="str">
        <f>VLOOKUP($B106,DG!A:D,DG!$D$2,)</f>
        <v>m3</v>
      </c>
      <c r="G106" s="1916"/>
      <c r="H106" s="1244">
        <f t="shared" ca="1" si="17"/>
        <v>0</v>
      </c>
      <c r="I106" s="1247"/>
      <c r="J106" s="1247"/>
      <c r="K106" s="1247"/>
      <c r="L106" s="1247"/>
      <c r="M106" s="1247"/>
      <c r="N106" s="1247"/>
      <c r="O106" s="1247"/>
      <c r="P106" s="1244"/>
      <c r="Q106" s="1244"/>
      <c r="R106" s="1244"/>
      <c r="S106" s="1244"/>
      <c r="T106" s="1671"/>
      <c r="U106" s="1664" t="str">
        <f>IFERROR(VLOOKUP(B106,ChiTietDuToan!C:H,5,0),"")</f>
        <v/>
      </c>
      <c r="V106" s="2309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57" t="s">
        <v>2034</v>
      </c>
      <c r="C107" s="67" t="str">
        <f t="shared" ca="1" si="14"/>
        <v xml:space="preserve"> </v>
      </c>
      <c r="D107" s="1240" t="str">
        <f>VLOOKUP($B107,DG!A:D,DG!$B$2,)</f>
        <v>02.1482</v>
      </c>
      <c r="E107" s="1241" t="str">
        <f>VLOOKUP($B107,DG!A:D,DG!$C$2,)</f>
        <v>V/c dụng cụ thi công ( cự ly &lt;=100m)</v>
      </c>
      <c r="F107" s="1240" t="str">
        <f>VLOOKUP($B107,DG!A:D,DG!$D$2,)</f>
        <v>tấn</v>
      </c>
      <c r="G107" s="1916"/>
      <c r="H107" s="1244">
        <f t="shared" ca="1" si="17"/>
        <v>0</v>
      </c>
      <c r="I107" s="1247"/>
      <c r="J107" s="1247"/>
      <c r="K107" s="1247"/>
      <c r="L107" s="1247"/>
      <c r="M107" s="1247"/>
      <c r="N107" s="1247"/>
      <c r="O107" s="1247"/>
      <c r="P107" s="1244"/>
      <c r="Q107" s="1244"/>
      <c r="R107" s="1244"/>
      <c r="S107" s="1244"/>
      <c r="T107" s="1671"/>
      <c r="U107" s="1664" t="str">
        <f>IFERROR(VLOOKUP(B107,ChiTietDuToan!C:H,5,0),"")</f>
        <v/>
      </c>
      <c r="V107" s="2309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57" t="s">
        <v>1888</v>
      </c>
      <c r="C108" s="67" t="str">
        <f t="shared" ca="1" si="14"/>
        <v xml:space="preserve"> </v>
      </c>
      <c r="D108" s="1240" t="str">
        <f>VLOOKUP($B108,DG!A:D,DG!$B$2,)</f>
        <v>04.1203b</v>
      </c>
      <c r="E108" s="1241" t="str">
        <f>VLOOKUP($B108,DG!A:D,DG!$C$2,)</f>
        <v>Đổ bê tông mác M150 đá 1x2</v>
      </c>
      <c r="F108" s="1240" t="str">
        <f>VLOOKUP($B108,DG!A:D,DG!$D$2,)</f>
        <v>m3</v>
      </c>
      <c r="G108" s="1916">
        <v>0.55000000000000004</v>
      </c>
      <c r="H108" s="1679">
        <f ca="1">$H$92*G108</f>
        <v>0</v>
      </c>
      <c r="I108" s="1247"/>
      <c r="J108" s="1247"/>
      <c r="K108" s="1247"/>
      <c r="L108" s="1247"/>
      <c r="M108" s="1247"/>
      <c r="N108" s="1247"/>
      <c r="O108" s="1247"/>
      <c r="P108" s="2204">
        <f ca="1">H108+Q108-R108</f>
        <v>0</v>
      </c>
      <c r="Q108" s="1679"/>
      <c r="R108" s="1679"/>
      <c r="S108" s="1679"/>
      <c r="T108" s="1671"/>
      <c r="U108" s="1664" t="str">
        <f>IFERROR(VLOOKUP(B108,ChiTietDuToan!C:H,5,0),"")</f>
        <v/>
      </c>
      <c r="V108" s="2309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56"/>
      <c r="C109" s="65" t="str">
        <f t="shared" ca="1" si="14"/>
        <v xml:space="preserve"> </v>
      </c>
      <c r="D109" s="1237"/>
      <c r="E109" s="1666" t="s">
        <v>2400</v>
      </c>
      <c r="F109" s="1238" t="s">
        <v>2391</v>
      </c>
      <c r="G109" s="1912"/>
      <c r="H109" s="1523">
        <f ca="1">SUM(I109:O109)+T109</f>
        <v>0</v>
      </c>
      <c r="I109" s="1239">
        <f ca="1">SUMIF(mong3pm,chitiet!$A109,slmong3pm)+SUMIF(mong3p1m,chitiet!$A109,slmong3p1m)</f>
        <v>0</v>
      </c>
      <c r="J109" s="1239">
        <f ca="1">SUMIF(mongct,chitiet!$A109,slmongct)</f>
        <v>0</v>
      </c>
      <c r="K109" s="1239">
        <f ca="1">SUMIF(mong1pm,chitiet!$A109,slmong1pm)</f>
        <v>0</v>
      </c>
      <c r="L109" s="1239">
        <f>IFERROR(HLOOKUP(A109,pp1p!$6:$90,85,0),0)</f>
        <v>0</v>
      </c>
      <c r="M109" s="1239">
        <f ca="1">SUMIF(mongHTHH,chitiet!$A109,slmongHTHH)</f>
        <v>0</v>
      </c>
      <c r="N109" s="1239">
        <f ca="1">SUMIF(mongHTDL,chitiet!$A109,slmongHTDL)</f>
        <v>0</v>
      </c>
      <c r="O109" s="1239">
        <f ca="1">SUMIF(mongHTCS,chitiet!$A109,slmongHTCS)</f>
        <v>0</v>
      </c>
      <c r="P109" s="1239"/>
      <c r="Q109" s="1239"/>
      <c r="R109" s="1239"/>
      <c r="S109" s="1239"/>
      <c r="T109" s="1671"/>
      <c r="U109" s="1664">
        <f>IFERROR(VLOOKUP(B109,ChiTietDuToan!C:H,5,0),"")</f>
        <v>0</v>
      </c>
      <c r="V109" s="2309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75" t="s">
        <v>1627</v>
      </c>
      <c r="C110" s="67" t="str">
        <f t="shared" ca="1" si="14"/>
        <v xml:space="preserve"> </v>
      </c>
      <c r="D110" s="1236" t="str">
        <f>VLOOKUP($B110,DG!A:D,DG!$B$2,)</f>
        <v>04.3801</v>
      </c>
      <c r="E110" s="1246" t="str">
        <f>VLOOKUP($B110,DG!A:D,DG!$C$2,)</f>
        <v>Đà cản BTCT 1,5m</v>
      </c>
      <c r="F110" s="1240" t="str">
        <f>VLOOKUP($B110,DG!A:D,DG!$D$2,)</f>
        <v>cái</v>
      </c>
      <c r="G110" s="1918">
        <v>1</v>
      </c>
      <c r="H110" s="1244">
        <f ca="1">H$109*$G110</f>
        <v>0</v>
      </c>
      <c r="I110" s="1244">
        <f ca="1">I$109*$G110</f>
        <v>0</v>
      </c>
      <c r="J110" s="1244">
        <f t="shared" ref="J110:O111" ca="1" si="18">J$109*$G110</f>
        <v>0</v>
      </c>
      <c r="K110" s="1244">
        <f t="shared" ca="1" si="18"/>
        <v>0</v>
      </c>
      <c r="L110" s="1244">
        <f t="shared" si="18"/>
        <v>0</v>
      </c>
      <c r="M110" s="1244">
        <f t="shared" ca="1" si="18"/>
        <v>0</v>
      </c>
      <c r="N110" s="1244">
        <f t="shared" ca="1" si="18"/>
        <v>0</v>
      </c>
      <c r="O110" s="1244">
        <f t="shared" ca="1" si="18"/>
        <v>0</v>
      </c>
      <c r="P110" s="1244"/>
      <c r="Q110" s="1244"/>
      <c r="R110" s="1244"/>
      <c r="S110" s="1244"/>
      <c r="T110" s="1671"/>
      <c r="U110" s="1664" t="str">
        <f>IFERROR(VLOOKUP(B110,ChiTietDuToan!C:H,5,0),"")</f>
        <v>cái</v>
      </c>
      <c r="V110" s="2309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75" t="s">
        <v>727</v>
      </c>
      <c r="C111" s="67" t="str">
        <f t="shared" ca="1" si="14"/>
        <v xml:space="preserve"> </v>
      </c>
      <c r="D111" s="1240"/>
      <c r="E111" s="1246" t="str">
        <f>VLOOKUP($B111,DG!A:D,DG!$C$2,)</f>
        <v>Boulon 22x550/100+ 2 long đền vuông D24-50x50x3/Zn</v>
      </c>
      <c r="F111" s="1240" t="str">
        <f>VLOOKUP($B111,DG!A:D,DG!$D$2,)</f>
        <v>bộ</v>
      </c>
      <c r="G111" s="1918">
        <v>1</v>
      </c>
      <c r="H111" s="1244">
        <f ca="1">H$109*$G111</f>
        <v>0</v>
      </c>
      <c r="I111" s="1244">
        <f ca="1">I$109*$G111</f>
        <v>0</v>
      </c>
      <c r="J111" s="1244">
        <f t="shared" ca="1" si="18"/>
        <v>0</v>
      </c>
      <c r="K111" s="1244">
        <f t="shared" ca="1" si="18"/>
        <v>0</v>
      </c>
      <c r="L111" s="1244">
        <f t="shared" si="18"/>
        <v>0</v>
      </c>
      <c r="M111" s="1244">
        <f t="shared" ca="1" si="18"/>
        <v>0</v>
      </c>
      <c r="N111" s="1244">
        <f t="shared" ca="1" si="18"/>
        <v>0</v>
      </c>
      <c r="O111" s="1244">
        <f t="shared" ca="1" si="18"/>
        <v>0</v>
      </c>
      <c r="P111" s="1244"/>
      <c r="Q111" s="1244"/>
      <c r="R111" s="1244"/>
      <c r="S111" s="1244"/>
      <c r="T111" s="1671"/>
      <c r="U111" s="1664" t="str">
        <f>IFERROR(VLOOKUP(B111,ChiTietDuToan!C:H,5,0),"")</f>
        <v/>
      </c>
      <c r="V111" s="2309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75" t="str">
        <f>IF(F5=1,"MDD1",IF(F5=2,"MDD2",IF(F5=3,"MDD3",IF(F5=4,"MDD4"))))</f>
        <v>MDD3</v>
      </c>
      <c r="C112" s="67" t="str">
        <f t="shared" si="14"/>
        <v xml:space="preserve"> </v>
      </c>
      <c r="D112" s="1240" t="str">
        <f>VLOOKUP($B112,DG!A:D,DG!$B$2,)</f>
        <v>03.1013</v>
      </c>
      <c r="E112" s="1241" t="str">
        <f>VLOOKUP($B112,DG!A:D,DG!$C$2,)</f>
        <v>Đào hố móng đất cấp 3 sâu &gt;1m DT&lt;5m2</v>
      </c>
      <c r="F112" s="1240" t="str">
        <f>VLOOKUP($B112,DG!A:D,DG!$D$2,)</f>
        <v>m3</v>
      </c>
      <c r="G112" s="1917">
        <v>1.17</v>
      </c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671"/>
      <c r="U112" s="1664" t="str">
        <f>IFERROR(VLOOKUP(B112,ChiTietDuToan!C:H,5,0),"")</f>
        <v>m3</v>
      </c>
      <c r="V112" s="2309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75" t="str">
        <f>IF(F5=1,"MDAP1",IF(F5=2,"MDAP2",IF(F5=3,"MDAP3",IF(F5=4,"MDAP4"))))</f>
        <v>MDAP3</v>
      </c>
      <c r="C113" s="67" t="str">
        <f t="shared" si="14"/>
        <v xml:space="preserve"> </v>
      </c>
      <c r="D113" s="1240" t="str">
        <f>VLOOKUP($B113,DG!A:D,DG!$B$2,)</f>
        <v>03.4113</v>
      </c>
      <c r="E113" s="1241" t="str">
        <f>VLOOKUP($B113,DG!A:D,DG!$C$2,)</f>
        <v>Đắp đất hố móng, độ chặt k=0,95</v>
      </c>
      <c r="F113" s="1240" t="str">
        <f>VLOOKUP($B113,DG!A:D,DG!$D$2,)</f>
        <v>m3</v>
      </c>
      <c r="G113" s="1917">
        <v>2.0099999999999998</v>
      </c>
      <c r="H113" s="1247"/>
      <c r="I113" s="1247"/>
      <c r="J113" s="1247"/>
      <c r="K113" s="1247"/>
      <c r="L113" s="1247"/>
      <c r="M113" s="1247"/>
      <c r="N113" s="1247"/>
      <c r="O113" s="1247"/>
      <c r="P113" s="1247"/>
      <c r="Q113" s="1247"/>
      <c r="R113" s="1247"/>
      <c r="S113" s="1247"/>
      <c r="T113" s="1671"/>
      <c r="U113" s="1664" t="str">
        <f>IFERROR(VLOOKUP(B113,ChiTietDuToan!C:H,5,0),"")</f>
        <v>m3</v>
      </c>
      <c r="V113" s="2309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75" t="s">
        <v>642</v>
      </c>
      <c r="C114" s="67" t="str">
        <f t="shared" si="14"/>
        <v xml:space="preserve"> </v>
      </c>
      <c r="D114" s="1240" t="str">
        <f>VLOOKUP($B114,DG!A:D,DG!$B$2,)</f>
        <v>02.1123</v>
      </c>
      <c r="E114" s="1241" t="str">
        <f>VLOOKUP($B114,DG!A:D,DG!$C$2,)</f>
        <v>Bốc dỡ đà cản, đế néo</v>
      </c>
      <c r="F114" s="1240" t="str">
        <f>VLOOKUP($B114,DG!A:D,DG!$D$2,)</f>
        <v>tấn</v>
      </c>
      <c r="G114" s="1917">
        <v>0.255</v>
      </c>
      <c r="H114" s="1244"/>
      <c r="I114" s="1244"/>
      <c r="J114" s="1244"/>
      <c r="K114" s="1244"/>
      <c r="L114" s="1244"/>
      <c r="M114" s="1244"/>
      <c r="N114" s="1244"/>
      <c r="O114" s="1244"/>
      <c r="P114" s="1244"/>
      <c r="Q114" s="1244"/>
      <c r="R114" s="1244"/>
      <c r="S114" s="1244"/>
      <c r="T114" s="1671"/>
      <c r="U114" s="1664" t="str">
        <f>IFERROR(VLOOKUP(B114,ChiTietDuToan!C:H,5,0),"")</f>
        <v/>
      </c>
      <c r="V114" s="2309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57" t="s">
        <v>2125</v>
      </c>
      <c r="C115" s="67" t="str">
        <f t="shared" si="14"/>
        <v xml:space="preserve"> </v>
      </c>
      <c r="D115" s="1240" t="str">
        <f>VLOOKUP($B115,DG!A:C,2,)</f>
        <v>02.1451</v>
      </c>
      <c r="E115" s="1241" t="str">
        <f>VLOOKUP($B115,DG!A:C,3,)</f>
        <v>V/c đà cản vào vị trí (cự ly &lt;=100m)</v>
      </c>
      <c r="F115" s="1240" t="str">
        <f>VLOOKUP($B115,DG!A:D,4,0)</f>
        <v>tấn</v>
      </c>
      <c r="G115" s="1917">
        <f>G114</f>
        <v>0.255</v>
      </c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671"/>
      <c r="U115" s="1664" t="str">
        <f>IFERROR(VLOOKUP(B115,ChiTietDuToan!C:H,5,0),"")</f>
        <v/>
      </c>
      <c r="V115" s="2309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57" t="s">
        <v>640</v>
      </c>
      <c r="C116" s="67" t="str">
        <f t="shared" si="14"/>
        <v xml:space="preserve"> </v>
      </c>
      <c r="D116" s="1240" t="str">
        <f>VLOOKUP($B116,DG!A:C,2,)</f>
        <v>02.1482</v>
      </c>
      <c r="E116" s="1241" t="str">
        <f>VLOOKUP($B116,DG!A:C,3,)</f>
        <v>V/c dụng cụ thi công vào vị trí (cự ly &lt;=100m)</v>
      </c>
      <c r="F116" s="1240" t="str">
        <f>VLOOKUP($B116,DG!A:D,4,0)</f>
        <v>tấn</v>
      </c>
      <c r="G116" s="1917">
        <v>0.2</v>
      </c>
      <c r="H116" s="1247"/>
      <c r="I116" s="1247"/>
      <c r="J116" s="1247"/>
      <c r="K116" s="1247"/>
      <c r="L116" s="1247"/>
      <c r="M116" s="1247"/>
      <c r="N116" s="1247"/>
      <c r="O116" s="1247"/>
      <c r="P116" s="1247"/>
      <c r="Q116" s="1247"/>
      <c r="R116" s="1247"/>
      <c r="S116" s="1247"/>
      <c r="T116" s="1671"/>
      <c r="U116" s="1664" t="str">
        <f>IFERROR(VLOOKUP(B116,ChiTietDuToan!C:H,5,0),"")</f>
        <v/>
      </c>
      <c r="V116" s="2309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56"/>
      <c r="C117" s="65" t="str">
        <f t="shared" ca="1" si="14"/>
        <v xml:space="preserve"> </v>
      </c>
      <c r="D117" s="1237"/>
      <c r="E117" s="1666" t="s">
        <v>2401</v>
      </c>
      <c r="F117" s="1238" t="s">
        <v>2391</v>
      </c>
      <c r="G117" s="1912"/>
      <c r="H117" s="1523">
        <f ca="1">SUM(I117:O117)+T117</f>
        <v>0</v>
      </c>
      <c r="I117" s="1239">
        <f ca="1">SUMIF(mong3pm,chitiet!$A117,slmong3pm)+SUMIF(mong3p1m,chitiet!$A117,slmong3p1m)</f>
        <v>0</v>
      </c>
      <c r="J117" s="1239">
        <f ca="1">SUMIF(mongct,chitiet!$A117,slmongct)</f>
        <v>0</v>
      </c>
      <c r="K117" s="1239">
        <f ca="1">SUMIF(mong1pm,chitiet!$A117,slmong1pm)</f>
        <v>0</v>
      </c>
      <c r="L117" s="1239">
        <f>IFERROR(HLOOKUP(A117,pp1p!$6:$90,85,0),0)</f>
        <v>0</v>
      </c>
      <c r="M117" s="1239">
        <f ca="1">SUMIF(mongHTHH,chitiet!$A117,slmongHTHH)</f>
        <v>0</v>
      </c>
      <c r="N117" s="1239">
        <f ca="1">SUMIF(mongHTDL,chitiet!$A117,slmongHTDL)</f>
        <v>0</v>
      </c>
      <c r="O117" s="1239"/>
      <c r="P117" s="1239"/>
      <c r="Q117" s="1239"/>
      <c r="R117" s="1239"/>
      <c r="S117" s="1239"/>
      <c r="T117" s="1671"/>
      <c r="U117" s="1664">
        <f>IFERROR(VLOOKUP(B117,ChiTietDuToan!C:H,5,0),"")</f>
        <v>0</v>
      </c>
      <c r="V117" s="2309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75" t="s">
        <v>641</v>
      </c>
      <c r="C118" s="67" t="str">
        <f t="shared" ca="1" si="14"/>
        <v xml:space="preserve"> </v>
      </c>
      <c r="D118" s="1236" t="str">
        <f>VLOOKUP($B118,DG!A:D,DG!$B$2,)</f>
        <v>04.4001</v>
      </c>
      <c r="E118" s="1246" t="str">
        <f>VLOOKUP($B118,DG!A:D,DG!$C$2,)</f>
        <v>Đà cản BTCT 1,2m</v>
      </c>
      <c r="F118" s="1240" t="str">
        <f>VLOOKUP($B118,DG!A:D,DG!$D$2,)</f>
        <v>cái</v>
      </c>
      <c r="G118" s="1918">
        <v>2</v>
      </c>
      <c r="H118" s="1244">
        <f ca="1">H$117*$G118</f>
        <v>0</v>
      </c>
      <c r="I118" s="1244">
        <f t="shared" ref="I118:N119" ca="1" si="19">I$117*$G118</f>
        <v>0</v>
      </c>
      <c r="J118" s="1244">
        <f t="shared" ca="1" si="19"/>
        <v>0</v>
      </c>
      <c r="K118" s="1244">
        <f t="shared" ca="1" si="19"/>
        <v>0</v>
      </c>
      <c r="L118" s="1244">
        <f t="shared" si="19"/>
        <v>0</v>
      </c>
      <c r="M118" s="1244">
        <f t="shared" ca="1" si="19"/>
        <v>0</v>
      </c>
      <c r="N118" s="1244">
        <f t="shared" ca="1" si="19"/>
        <v>0</v>
      </c>
      <c r="O118" s="1244"/>
      <c r="P118" s="1244"/>
      <c r="Q118" s="1244"/>
      <c r="R118" s="1244"/>
      <c r="S118" s="1244"/>
      <c r="T118" s="1671"/>
      <c r="U118" s="1664" t="str">
        <f>IFERROR(VLOOKUP(B118,ChiTietDuToan!C:H,5,0),"")</f>
        <v>cái</v>
      </c>
      <c r="V118" s="2309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75" t="s">
        <v>727</v>
      </c>
      <c r="C119" s="67" t="str">
        <f t="shared" ca="1" si="14"/>
        <v xml:space="preserve"> </v>
      </c>
      <c r="D119" s="1240"/>
      <c r="E119" s="1246" t="str">
        <f>VLOOKUP($B119,DG!A:D,DG!$C$2,)</f>
        <v>Boulon 22x550/100+ 2 long đền vuông D24-50x50x3/Zn</v>
      </c>
      <c r="F119" s="1240" t="str">
        <f>VLOOKUP($B119,DG!A:D,DG!$D$2,)</f>
        <v>bộ</v>
      </c>
      <c r="G119" s="1918">
        <v>2</v>
      </c>
      <c r="H119" s="1244">
        <f ca="1">H$117*$G119</f>
        <v>0</v>
      </c>
      <c r="I119" s="1244">
        <f ca="1">I$117*$G119</f>
        <v>0</v>
      </c>
      <c r="J119" s="1244">
        <f t="shared" ca="1" si="19"/>
        <v>0</v>
      </c>
      <c r="K119" s="1244">
        <f t="shared" ca="1" si="19"/>
        <v>0</v>
      </c>
      <c r="L119" s="1244">
        <f t="shared" si="19"/>
        <v>0</v>
      </c>
      <c r="M119" s="1244">
        <f t="shared" ca="1" si="19"/>
        <v>0</v>
      </c>
      <c r="N119" s="1244">
        <f t="shared" ca="1" si="19"/>
        <v>0</v>
      </c>
      <c r="O119" s="1244"/>
      <c r="P119" s="1244"/>
      <c r="Q119" s="1244"/>
      <c r="R119" s="1244"/>
      <c r="S119" s="1244"/>
      <c r="T119" s="1671"/>
      <c r="U119" s="1664" t="str">
        <f>IFERROR(VLOOKUP(B119,ChiTietDuToan!C:H,5,0),"")</f>
        <v/>
      </c>
      <c r="V119" s="2309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75" t="str">
        <f>IF(F5=1,"MDD1",IF(F5=2,"MDD2",IF(F5=3,"MDD3",IF(F5=4,"MDD4"))))</f>
        <v>MDD3</v>
      </c>
      <c r="C120" s="67" t="str">
        <f t="shared" si="14"/>
        <v xml:space="preserve"> </v>
      </c>
      <c r="D120" s="1240" t="str">
        <f>VLOOKUP($B120,DG!A:D,DG!$B$2,)</f>
        <v>03.1013</v>
      </c>
      <c r="E120" s="1241" t="str">
        <f>VLOOKUP($B120,DG!A:D,DG!$C$2,)</f>
        <v>Đào hố móng đất cấp 3 sâu &gt;1m DT&lt;5m2</v>
      </c>
      <c r="F120" s="1240" t="str">
        <f>VLOOKUP($B120,DG!A:D,DG!$D$2,)</f>
        <v>m3</v>
      </c>
      <c r="G120" s="1917">
        <v>3.65</v>
      </c>
      <c r="H120" s="1247"/>
      <c r="I120" s="1247"/>
      <c r="J120" s="1247"/>
      <c r="K120" s="1247"/>
      <c r="L120" s="1247"/>
      <c r="M120" s="1247"/>
      <c r="N120" s="1247"/>
      <c r="O120" s="1247"/>
      <c r="P120" s="1247"/>
      <c r="Q120" s="1247"/>
      <c r="R120" s="1247"/>
      <c r="S120" s="1247"/>
      <c r="T120" s="1671"/>
      <c r="U120" s="1664" t="str">
        <f>IFERROR(VLOOKUP(B120,ChiTietDuToan!C:H,5,0),"")</f>
        <v>m3</v>
      </c>
      <c r="V120" s="2309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75" t="str">
        <f>IF(F5=1,"MDAP1",IF(F5=2,"MDAP2",IF(F5=3,"MDAP3",IF(F5=4,"MDAP4"))))</f>
        <v>MDAP3</v>
      </c>
      <c r="C121" s="67" t="str">
        <f t="shared" si="14"/>
        <v xml:space="preserve"> </v>
      </c>
      <c r="D121" s="1240" t="str">
        <f>VLOOKUP($B121,DG!A:D,DG!$B$2,)</f>
        <v>03.4113</v>
      </c>
      <c r="E121" s="1241" t="str">
        <f>VLOOKUP($B121,DG!A:D,DG!$C$2,)</f>
        <v>Đắp đất hố móng, độ chặt k=0,95</v>
      </c>
      <c r="F121" s="1240" t="str">
        <f>VLOOKUP($B121,DG!A:D,DG!$D$2,)</f>
        <v>m3</v>
      </c>
      <c r="G121" s="1917">
        <v>4.41</v>
      </c>
      <c r="H121" s="1247"/>
      <c r="I121" s="1247"/>
      <c r="J121" s="1247"/>
      <c r="K121" s="1247"/>
      <c r="L121" s="1247"/>
      <c r="M121" s="1247"/>
      <c r="N121" s="1247"/>
      <c r="O121" s="1247"/>
      <c r="P121" s="1247"/>
      <c r="Q121" s="1247"/>
      <c r="R121" s="1247"/>
      <c r="S121" s="1247"/>
      <c r="T121" s="1671"/>
      <c r="U121" s="1664" t="str">
        <f>IFERROR(VLOOKUP(B121,ChiTietDuToan!C:H,5,0),"")</f>
        <v>m3</v>
      </c>
      <c r="V121" s="2309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75" t="s">
        <v>642</v>
      </c>
      <c r="C122" s="67" t="str">
        <f t="shared" si="14"/>
        <v xml:space="preserve"> </v>
      </c>
      <c r="D122" s="1240" t="str">
        <f>VLOOKUP($B122,DG!A:D,DG!$B$2,)</f>
        <v>02.1123</v>
      </c>
      <c r="E122" s="1241" t="str">
        <f>VLOOKUP($B122,DG!A:D,DG!$C$2,)</f>
        <v>Bốc dỡ đà cản, đế néo</v>
      </c>
      <c r="F122" s="1240" t="str">
        <f>VLOOKUP($B122,DG!A:D,DG!$D$2,)</f>
        <v>tấn</v>
      </c>
      <c r="G122" s="1917">
        <f>0.1*G118</f>
        <v>0.2</v>
      </c>
      <c r="H122" s="1244"/>
      <c r="I122" s="1244"/>
      <c r="J122" s="1244"/>
      <c r="K122" s="1244"/>
      <c r="L122" s="1244"/>
      <c r="M122" s="1244"/>
      <c r="N122" s="1244"/>
      <c r="O122" s="1244"/>
      <c r="P122" s="1244"/>
      <c r="Q122" s="1244"/>
      <c r="R122" s="1244"/>
      <c r="S122" s="1244"/>
      <c r="T122" s="1671"/>
      <c r="U122" s="1664" t="str">
        <f>IFERROR(VLOOKUP(B122,ChiTietDuToan!C:H,5,0),"")</f>
        <v/>
      </c>
      <c r="V122" s="2309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57" t="s">
        <v>2125</v>
      </c>
      <c r="C123" s="67" t="str">
        <f t="shared" si="14"/>
        <v xml:space="preserve"> </v>
      </c>
      <c r="D123" s="1240" t="str">
        <f>VLOOKUP($B123,DG!A:C,2,)</f>
        <v>02.1451</v>
      </c>
      <c r="E123" s="1241" t="str">
        <f>VLOOKUP($B123,DG!A:C,3,)</f>
        <v>V/c đà cản vào vị trí (cự ly &lt;=100m)</v>
      </c>
      <c r="F123" s="1240" t="str">
        <f>VLOOKUP($B123,DG!A:D,4,0)</f>
        <v>tấn</v>
      </c>
      <c r="G123" s="1917">
        <f>G122</f>
        <v>0.2</v>
      </c>
      <c r="H123" s="1247"/>
      <c r="I123" s="1247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671"/>
      <c r="U123" s="1664" t="str">
        <f>IFERROR(VLOOKUP(B123,ChiTietDuToan!C:H,5,0),"")</f>
        <v/>
      </c>
      <c r="V123" s="2309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57" t="s">
        <v>640</v>
      </c>
      <c r="C124" s="67" t="str">
        <f t="shared" si="14"/>
        <v xml:space="preserve"> </v>
      </c>
      <c r="D124" s="1240" t="str">
        <f>VLOOKUP($B124,DG!A:C,2,)</f>
        <v>02.1482</v>
      </c>
      <c r="E124" s="1241" t="str">
        <f>VLOOKUP($B124,DG!A:C,3,)</f>
        <v>V/c dụng cụ thi công vào vị trí (cự ly &lt;=100m)</v>
      </c>
      <c r="F124" s="1240" t="str">
        <f>VLOOKUP($B124,DG!A:D,4,0)</f>
        <v>tấn</v>
      </c>
      <c r="G124" s="1917">
        <f>G123</f>
        <v>0.2</v>
      </c>
      <c r="H124" s="1247"/>
      <c r="I124" s="1247"/>
      <c r="J124" s="1247"/>
      <c r="K124" s="1247"/>
      <c r="L124" s="1247"/>
      <c r="M124" s="1247"/>
      <c r="N124" s="1247"/>
      <c r="O124" s="1247"/>
      <c r="P124" s="1247"/>
      <c r="Q124" s="1247"/>
      <c r="R124" s="1247"/>
      <c r="S124" s="1247"/>
      <c r="T124" s="1671"/>
      <c r="U124" s="1664" t="str">
        <f>IFERROR(VLOOKUP(B124,ChiTietDuToan!C:H,5,0),"")</f>
        <v/>
      </c>
      <c r="V124" s="2309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56"/>
      <c r="C125" s="65" t="str">
        <f t="shared" ca="1" si="14"/>
        <v xml:space="preserve"> </v>
      </c>
      <c r="D125" s="1237"/>
      <c r="E125" s="1666" t="s">
        <v>2402</v>
      </c>
      <c r="F125" s="1238" t="s">
        <v>2391</v>
      </c>
      <c r="G125" s="1912"/>
      <c r="H125" s="1523">
        <f ca="1">SUM(I125:O125)+T125</f>
        <v>0</v>
      </c>
      <c r="I125" s="1239">
        <f ca="1">SUMIF(mong3pm,chitiet!$A125,slmong3pm)+SUMIF(mong3p1m,chitiet!$A125,slmong3p1m)</f>
        <v>0</v>
      </c>
      <c r="J125" s="1239">
        <f ca="1">SUMIF(mongct,chitiet!$A125,slmongct)</f>
        <v>0</v>
      </c>
      <c r="K125" s="1239">
        <f ca="1">SUMIF(mong1pm,chitiet!$A125,slmong1pm)</f>
        <v>0</v>
      </c>
      <c r="L125" s="1239">
        <f>IFERROR(HLOOKUP(A125,pp1p!$6:$90,85,0),0)</f>
        <v>0</v>
      </c>
      <c r="M125" s="1239">
        <f ca="1">SUMIF(mongHTHH,chitiet!$A125,slmongHTHH)</f>
        <v>0</v>
      </c>
      <c r="N125" s="1239">
        <f ca="1">SUMIF(mongHTDL,chitiet!$A125,slmongHTDL)</f>
        <v>0</v>
      </c>
      <c r="O125" s="1239"/>
      <c r="P125" s="1239"/>
      <c r="Q125" s="1239"/>
      <c r="R125" s="1239"/>
      <c r="S125" s="1239"/>
      <c r="T125" s="1671"/>
      <c r="U125" s="1664">
        <f>IFERROR(VLOOKUP(B125,ChiTietDuToan!C:H,5,0),"")</f>
        <v>0</v>
      </c>
      <c r="V125" s="2309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75" t="s">
        <v>1627</v>
      </c>
      <c r="C126" s="67" t="str">
        <f t="shared" ca="1" si="14"/>
        <v xml:space="preserve"> </v>
      </c>
      <c r="D126" s="1236" t="str">
        <f>VLOOKUP($B126,DG!A:D,DG!$B$2,)</f>
        <v>04.3801</v>
      </c>
      <c r="E126" s="1246" t="str">
        <f>VLOOKUP($B126,DG!A:D,DG!$C$2,)</f>
        <v>Đà cản BTCT 1,5m</v>
      </c>
      <c r="F126" s="1240" t="str">
        <f>VLOOKUP($B126,DG!A:D,DG!$D$2,)</f>
        <v>cái</v>
      </c>
      <c r="G126" s="1918">
        <v>1</v>
      </c>
      <c r="H126" s="1244">
        <f ca="1">H$125*$G126</f>
        <v>0</v>
      </c>
      <c r="I126" s="1244">
        <f t="shared" ref="I126:N128" ca="1" si="20">I$125*$G126</f>
        <v>0</v>
      </c>
      <c r="J126" s="1244">
        <f t="shared" ca="1" si="20"/>
        <v>0</v>
      </c>
      <c r="K126" s="1244">
        <f t="shared" ca="1" si="20"/>
        <v>0</v>
      </c>
      <c r="L126" s="1244">
        <f t="shared" si="20"/>
        <v>0</v>
      </c>
      <c r="M126" s="1244">
        <f t="shared" ca="1" si="20"/>
        <v>0</v>
      </c>
      <c r="N126" s="1244">
        <f t="shared" ca="1" si="20"/>
        <v>0</v>
      </c>
      <c r="O126" s="1244"/>
      <c r="P126" s="1244"/>
      <c r="Q126" s="1244"/>
      <c r="R126" s="1244"/>
      <c r="S126" s="1244"/>
      <c r="T126" s="1671"/>
      <c r="U126" s="1664" t="str">
        <f>IFERROR(VLOOKUP(B126,ChiTietDuToan!C:H,5,0),"")</f>
        <v>cái</v>
      </c>
      <c r="V126" s="2309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75" t="s">
        <v>641</v>
      </c>
      <c r="C127" s="67" t="str">
        <f t="shared" ca="1" si="14"/>
        <v xml:space="preserve"> </v>
      </c>
      <c r="D127" s="1236" t="str">
        <f>VLOOKUP($B127,DG!A:D,DG!$B$2,)</f>
        <v>04.4001</v>
      </c>
      <c r="E127" s="1246" t="str">
        <f>VLOOKUP($B127,DG!A:D,DG!$C$2,)</f>
        <v>Đà cản BTCT 1,2m</v>
      </c>
      <c r="F127" s="1240" t="str">
        <f>VLOOKUP($B127,DG!A:D,DG!$D$2,)</f>
        <v>cái</v>
      </c>
      <c r="G127" s="1918">
        <v>1</v>
      </c>
      <c r="H127" s="1244">
        <f ca="1">H$125*$G127</f>
        <v>0</v>
      </c>
      <c r="I127" s="1244">
        <f t="shared" ca="1" si="20"/>
        <v>0</v>
      </c>
      <c r="J127" s="1244">
        <f t="shared" ca="1" si="20"/>
        <v>0</v>
      </c>
      <c r="K127" s="1244">
        <f t="shared" ca="1" si="20"/>
        <v>0</v>
      </c>
      <c r="L127" s="1244">
        <f t="shared" si="20"/>
        <v>0</v>
      </c>
      <c r="M127" s="1244">
        <f t="shared" ca="1" si="20"/>
        <v>0</v>
      </c>
      <c r="N127" s="1244">
        <f t="shared" ca="1" si="20"/>
        <v>0</v>
      </c>
      <c r="O127" s="1244"/>
      <c r="P127" s="1244"/>
      <c r="Q127" s="1244"/>
      <c r="R127" s="1244"/>
      <c r="S127" s="1244"/>
      <c r="T127" s="1671"/>
      <c r="U127" s="1664" t="str">
        <f>IFERROR(VLOOKUP(B127,ChiTietDuToan!C:H,5,0),"")</f>
        <v>cái</v>
      </c>
      <c r="V127" s="2309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75" t="s">
        <v>727</v>
      </c>
      <c r="C128" s="67" t="str">
        <f t="shared" ca="1" si="14"/>
        <v xml:space="preserve"> </v>
      </c>
      <c r="D128" s="1240"/>
      <c r="E128" s="1246" t="str">
        <f>VLOOKUP($B128,DG!A:D,DG!$C$2,)</f>
        <v>Boulon 22x550/100+ 2 long đền vuông D24-50x50x3/Zn</v>
      </c>
      <c r="F128" s="1240" t="str">
        <f>VLOOKUP($B128,DG!A:D,DG!$D$2,)</f>
        <v>bộ</v>
      </c>
      <c r="G128" s="1918">
        <v>2</v>
      </c>
      <c r="H128" s="1244">
        <f ca="1">H$125*$G128</f>
        <v>0</v>
      </c>
      <c r="I128" s="1244">
        <f t="shared" ca="1" si="20"/>
        <v>0</v>
      </c>
      <c r="J128" s="1244">
        <f t="shared" ca="1" si="20"/>
        <v>0</v>
      </c>
      <c r="K128" s="1244">
        <f t="shared" ca="1" si="20"/>
        <v>0</v>
      </c>
      <c r="L128" s="1244">
        <f t="shared" si="20"/>
        <v>0</v>
      </c>
      <c r="M128" s="1244">
        <f t="shared" ca="1" si="20"/>
        <v>0</v>
      </c>
      <c r="N128" s="1244">
        <f t="shared" ca="1" si="20"/>
        <v>0</v>
      </c>
      <c r="O128" s="1244"/>
      <c r="P128" s="1244"/>
      <c r="Q128" s="1244"/>
      <c r="R128" s="1244"/>
      <c r="S128" s="1244"/>
      <c r="T128" s="1671"/>
      <c r="U128" s="1664" t="str">
        <f>IFERROR(VLOOKUP(B128,ChiTietDuToan!C:H,5,0),"")</f>
        <v/>
      </c>
      <c r="V128" s="2309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75" t="str">
        <f>IF(F5=1,"MDD1",IF(F5=2,"MDD2",IF(F5=3,"MDD3",IF(F5=4,"MDD4"))))</f>
        <v>MDD3</v>
      </c>
      <c r="C129" s="67" t="str">
        <f t="shared" si="14"/>
        <v xml:space="preserve"> </v>
      </c>
      <c r="D129" s="1240" t="str">
        <f>VLOOKUP($B129,DG!A:D,DG!$B$2,)</f>
        <v>03.1013</v>
      </c>
      <c r="E129" s="1241" t="str">
        <f>VLOOKUP($B129,DG!A:D,DG!$C$2,)</f>
        <v>Đào hố móng đất cấp 3 sâu &gt;1m DT&lt;5m2</v>
      </c>
      <c r="F129" s="1240" t="str">
        <f>VLOOKUP($B129,DG!A:D,DG!$D$2,)</f>
        <v>m3</v>
      </c>
      <c r="G129" s="1914">
        <v>3.81</v>
      </c>
      <c r="H129" s="1247"/>
      <c r="I129" s="1247"/>
      <c r="J129" s="1247"/>
      <c r="K129" s="1247"/>
      <c r="L129" s="1247"/>
      <c r="M129" s="1247"/>
      <c r="N129" s="1247"/>
      <c r="O129" s="1247"/>
      <c r="P129" s="1247"/>
      <c r="Q129" s="1247"/>
      <c r="R129" s="1247"/>
      <c r="S129" s="1247"/>
      <c r="T129" s="1671"/>
      <c r="U129" s="1664" t="str">
        <f>IFERROR(VLOOKUP(B129,ChiTietDuToan!C:H,5,0),"")</f>
        <v>m3</v>
      </c>
      <c r="V129" s="2309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75" t="str">
        <f>IF(F5=1,"MDAP1",IF(F5=2,"MDAP2",IF(F5=3,"MDAP3",IF(F5=4,"MDAP4"))))</f>
        <v>MDAP3</v>
      </c>
      <c r="C130" s="67" t="str">
        <f t="shared" si="14"/>
        <v xml:space="preserve"> </v>
      </c>
      <c r="D130" s="1240" t="str">
        <f>VLOOKUP($B130,DG!A:D,DG!$B$2,)</f>
        <v>03.4113</v>
      </c>
      <c r="E130" s="1241" t="str">
        <f>VLOOKUP($B130,DG!A:D,DG!$C$2,)</f>
        <v>Đắp đất hố móng, độ chặt k=0,95</v>
      </c>
      <c r="F130" s="1240" t="str">
        <f>VLOOKUP($B130,DG!A:D,DG!$D$2,)</f>
        <v>m3</v>
      </c>
      <c r="G130" s="1914">
        <v>4.63</v>
      </c>
      <c r="H130" s="1247"/>
      <c r="I130" s="1247"/>
      <c r="J130" s="1247"/>
      <c r="K130" s="1247"/>
      <c r="L130" s="1247"/>
      <c r="M130" s="1247"/>
      <c r="N130" s="1247"/>
      <c r="O130" s="1247"/>
      <c r="P130" s="1247"/>
      <c r="Q130" s="1247"/>
      <c r="R130" s="1247"/>
      <c r="S130" s="1247"/>
      <c r="T130" s="1671"/>
      <c r="U130" s="1664" t="str">
        <f>IFERROR(VLOOKUP(B130,ChiTietDuToan!C:H,5,0),"")</f>
        <v>m3</v>
      </c>
      <c r="V130" s="2309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75" t="s">
        <v>642</v>
      </c>
      <c r="C131" s="67" t="str">
        <f t="shared" si="14"/>
        <v xml:space="preserve"> </v>
      </c>
      <c r="D131" s="1240" t="str">
        <f>VLOOKUP($B131,DG!A:D,DG!$B$2,)</f>
        <v>02.1123</v>
      </c>
      <c r="E131" s="1241" t="str">
        <f>VLOOKUP($B131,DG!A:D,DG!$C$2,)</f>
        <v>Bốc dỡ đà cản, đế néo</v>
      </c>
      <c r="F131" s="1240" t="str">
        <f>VLOOKUP($B131,DG!A:D,DG!$D$2,)</f>
        <v>tấn</v>
      </c>
      <c r="G131" s="1917">
        <f>0.1+0.255</f>
        <v>0.35499999999999998</v>
      </c>
      <c r="H131" s="1244"/>
      <c r="I131" s="1244"/>
      <c r="J131" s="1244"/>
      <c r="K131" s="1244"/>
      <c r="L131" s="1244"/>
      <c r="M131" s="1244"/>
      <c r="N131" s="1244"/>
      <c r="O131" s="1244"/>
      <c r="P131" s="1244"/>
      <c r="Q131" s="1244"/>
      <c r="R131" s="1244"/>
      <c r="S131" s="1244"/>
      <c r="T131" s="1671"/>
      <c r="U131" s="1664" t="str">
        <f>IFERROR(VLOOKUP(B131,ChiTietDuToan!C:H,5,0),"")</f>
        <v/>
      </c>
      <c r="V131" s="2309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57" t="s">
        <v>2125</v>
      </c>
      <c r="C132" s="67" t="str">
        <f t="shared" si="14"/>
        <v xml:space="preserve"> </v>
      </c>
      <c r="D132" s="1240" t="str">
        <f>VLOOKUP($B132,DG!A:C,2,)</f>
        <v>02.1451</v>
      </c>
      <c r="E132" s="1241" t="str">
        <f>VLOOKUP($B132,DG!A:C,3,)</f>
        <v>V/c đà cản vào vị trí (cự ly &lt;=100m)</v>
      </c>
      <c r="F132" s="1240" t="str">
        <f>VLOOKUP($B132,DG!A:D,4,0)</f>
        <v>tấn</v>
      </c>
      <c r="G132" s="1917">
        <f>G131</f>
        <v>0.35499999999999998</v>
      </c>
      <c r="H132" s="1247"/>
      <c r="I132" s="1247"/>
      <c r="J132" s="1247"/>
      <c r="K132" s="1247"/>
      <c r="L132" s="1247"/>
      <c r="M132" s="1247"/>
      <c r="N132" s="1247"/>
      <c r="O132" s="1247"/>
      <c r="P132" s="1247"/>
      <c r="Q132" s="1247"/>
      <c r="R132" s="1247"/>
      <c r="S132" s="1247"/>
      <c r="T132" s="1671"/>
      <c r="U132" s="1664" t="str">
        <f>IFERROR(VLOOKUP(B132,ChiTietDuToan!C:H,5,0),"")</f>
        <v/>
      </c>
      <c r="V132" s="2309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57" t="s">
        <v>640</v>
      </c>
      <c r="C133" s="67" t="str">
        <f t="shared" si="14"/>
        <v xml:space="preserve"> </v>
      </c>
      <c r="D133" s="1240" t="str">
        <f>VLOOKUP($B133,DG!A:C,2,)</f>
        <v>02.1482</v>
      </c>
      <c r="E133" s="1241" t="str">
        <f>VLOOKUP($B133,DG!A:C,3,)</f>
        <v>V/c dụng cụ thi công vào vị trí (cự ly &lt;=100m)</v>
      </c>
      <c r="F133" s="1240" t="str">
        <f>VLOOKUP($B133,DG!A:D,4,0)</f>
        <v>tấn</v>
      </c>
      <c r="G133" s="1917">
        <v>0.2</v>
      </c>
      <c r="H133" s="1247"/>
      <c r="I133" s="1247"/>
      <c r="J133" s="1247"/>
      <c r="K133" s="1247"/>
      <c r="L133" s="1247"/>
      <c r="M133" s="1247"/>
      <c r="N133" s="1247"/>
      <c r="O133" s="1247"/>
      <c r="P133" s="1247"/>
      <c r="Q133" s="1247"/>
      <c r="R133" s="1247"/>
      <c r="S133" s="1247"/>
      <c r="T133" s="1671"/>
      <c r="U133" s="1664" t="str">
        <f>IFERROR(VLOOKUP(B133,ChiTietDuToan!C:H,5,0),"")</f>
        <v/>
      </c>
      <c r="V133" s="2309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56"/>
      <c r="C134" s="65" t="str">
        <f t="shared" ca="1" si="14"/>
        <v xml:space="preserve"> </v>
      </c>
      <c r="D134" s="1237"/>
      <c r="E134" s="1666" t="s">
        <v>2403</v>
      </c>
      <c r="F134" s="1238" t="s">
        <v>2391</v>
      </c>
      <c r="G134" s="1912"/>
      <c r="H134" s="1523">
        <f ca="1">SUM(I134:O134)+T134</f>
        <v>0</v>
      </c>
      <c r="I134" s="1239">
        <f ca="1">SUMIF(mong3pm,chitiet!$A134,slmong3pm)+SUMIF(mong3p1m,chitiet!$A134,slmong3p1m)</f>
        <v>0</v>
      </c>
      <c r="J134" s="1239">
        <f ca="1">SUMIF(mongct,chitiet!$A134,slmongct)</f>
        <v>0</v>
      </c>
      <c r="K134" s="1239">
        <f ca="1">SUMIF(mong1pm,chitiet!$A134,slmong1pm)</f>
        <v>0</v>
      </c>
      <c r="L134" s="1239">
        <f>IFERROR(HLOOKUP(A134,pp1p!$6:$90,85,0),0)</f>
        <v>0</v>
      </c>
      <c r="M134" s="1239">
        <f ca="1">SUMIF(mongHTHH,chitiet!$A134,slmongHTHH)</f>
        <v>0</v>
      </c>
      <c r="N134" s="1239">
        <f ca="1">SUMIF(mongHTDL,chitiet!$A134,slmongHTDL)</f>
        <v>0</v>
      </c>
      <c r="O134" s="1239"/>
      <c r="P134" s="1239"/>
      <c r="Q134" s="1239"/>
      <c r="R134" s="1239"/>
      <c r="S134" s="1239"/>
      <c r="T134" s="1671"/>
      <c r="U134" s="1664">
        <f>IFERROR(VLOOKUP(B134,ChiTietDuToan!C:H,5,0),"")</f>
        <v>0</v>
      </c>
      <c r="V134" s="2309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75" t="s">
        <v>1627</v>
      </c>
      <c r="C135" s="67" t="str">
        <f t="shared" ca="1" si="14"/>
        <v xml:space="preserve"> </v>
      </c>
      <c r="D135" s="1236" t="str">
        <f>VLOOKUP($B135,DG!A:D,DG!$B$2,)</f>
        <v>04.3801</v>
      </c>
      <c r="E135" s="1246" t="str">
        <f>VLOOKUP($B135,DG!A:D,DG!$C$2,)</f>
        <v>Đà cản BTCT 1,5m</v>
      </c>
      <c r="F135" s="1240" t="str">
        <f>VLOOKUP($B135,DG!A:D,DG!$D$2,)</f>
        <v>cái</v>
      </c>
      <c r="G135" s="1918">
        <v>2</v>
      </c>
      <c r="H135" s="1244">
        <f ca="1">H$134*$G135</f>
        <v>0</v>
      </c>
      <c r="I135" s="1244">
        <f t="shared" ref="I135:N136" ca="1" si="21">I$134*$G135</f>
        <v>0</v>
      </c>
      <c r="J135" s="1244">
        <f t="shared" ca="1" si="21"/>
        <v>0</v>
      </c>
      <c r="K135" s="1244">
        <f t="shared" ca="1" si="21"/>
        <v>0</v>
      </c>
      <c r="L135" s="1244">
        <f t="shared" si="21"/>
        <v>0</v>
      </c>
      <c r="M135" s="1244">
        <f t="shared" ca="1" si="21"/>
        <v>0</v>
      </c>
      <c r="N135" s="1244">
        <f t="shared" ca="1" si="21"/>
        <v>0</v>
      </c>
      <c r="O135" s="1244"/>
      <c r="P135" s="1244"/>
      <c r="Q135" s="1244"/>
      <c r="R135" s="1244"/>
      <c r="S135" s="1244"/>
      <c r="T135" s="1671"/>
      <c r="U135" s="1664" t="str">
        <f>IFERROR(VLOOKUP(B135,ChiTietDuToan!C:H,5,0),"")</f>
        <v>cái</v>
      </c>
      <c r="V135" s="2309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75" t="s">
        <v>727</v>
      </c>
      <c r="C136" s="67" t="str">
        <f t="shared" ca="1" si="14"/>
        <v xml:space="preserve"> </v>
      </c>
      <c r="D136" s="1240"/>
      <c r="E136" s="1246" t="str">
        <f>VLOOKUP($B136,DG!A:D,DG!$C$2,)</f>
        <v>Boulon 22x550/100+ 2 long đền vuông D24-50x50x3/Zn</v>
      </c>
      <c r="F136" s="1240" t="str">
        <f>VLOOKUP($B136,DG!A:D,DG!$D$2,)</f>
        <v>bộ</v>
      </c>
      <c r="G136" s="1918">
        <v>2</v>
      </c>
      <c r="H136" s="1244">
        <f ca="1">H$134*$G136</f>
        <v>0</v>
      </c>
      <c r="I136" s="1244">
        <f ca="1">I$134*$G136</f>
        <v>0</v>
      </c>
      <c r="J136" s="1244">
        <f t="shared" ca="1" si="21"/>
        <v>0</v>
      </c>
      <c r="K136" s="1244">
        <f t="shared" ca="1" si="21"/>
        <v>0</v>
      </c>
      <c r="L136" s="1244">
        <f t="shared" si="21"/>
        <v>0</v>
      </c>
      <c r="M136" s="1244">
        <f t="shared" ca="1" si="21"/>
        <v>0</v>
      </c>
      <c r="N136" s="1244">
        <f t="shared" ca="1" si="21"/>
        <v>0</v>
      </c>
      <c r="O136" s="1244"/>
      <c r="P136" s="1244"/>
      <c r="Q136" s="1244"/>
      <c r="R136" s="1244"/>
      <c r="S136" s="1244"/>
      <c r="T136" s="1671"/>
      <c r="U136" s="1664" t="str">
        <f>IFERROR(VLOOKUP(B136,ChiTietDuToan!C:H,5,0),"")</f>
        <v/>
      </c>
      <c r="V136" s="2309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75" t="str">
        <f>IF(F5=1,"MDD1",IF(F5=2,"MDD2",IF(F5=3,"MDD3",IF(F5=4,"MDD4"))))</f>
        <v>MDD3</v>
      </c>
      <c r="C137" s="67" t="str">
        <f t="shared" si="14"/>
        <v xml:space="preserve"> </v>
      </c>
      <c r="D137" s="1240" t="str">
        <f>VLOOKUP($B137,DG!A:D,DG!$B$2,)</f>
        <v>03.1013</v>
      </c>
      <c r="E137" s="1241" t="str">
        <f>VLOOKUP($B137,DG!A:D,DG!$C$2,)</f>
        <v>Đào hố móng đất cấp 3 sâu &gt;1m DT&lt;5m2</v>
      </c>
      <c r="F137" s="1240" t="str">
        <f>VLOOKUP($B137,DG!A:D,DG!$D$2,)</f>
        <v>m3</v>
      </c>
      <c r="G137" s="1917">
        <v>2.8</v>
      </c>
      <c r="H137" s="1247"/>
      <c r="I137" s="1247"/>
      <c r="J137" s="1247"/>
      <c r="K137" s="1247"/>
      <c r="L137" s="1247"/>
      <c r="M137" s="1247"/>
      <c r="N137" s="1247"/>
      <c r="O137" s="1247"/>
      <c r="P137" s="1247"/>
      <c r="Q137" s="1247"/>
      <c r="R137" s="1247"/>
      <c r="S137" s="1247"/>
      <c r="T137" s="1671"/>
      <c r="U137" s="1664" t="str">
        <f>IFERROR(VLOOKUP(B137,ChiTietDuToan!C:H,5,0),"")</f>
        <v>m3</v>
      </c>
      <c r="V137" s="2309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75" t="str">
        <f>IF(F5=1,"MDAP1",IF(F5=2,"MDAP2",IF(F5=3,"MDAP3",IF(F5=4,"MDAP4"))))</f>
        <v>MDAP3</v>
      </c>
      <c r="C138" s="67" t="str">
        <f t="shared" si="14"/>
        <v xml:space="preserve"> </v>
      </c>
      <c r="D138" s="1240" t="str">
        <f>VLOOKUP($B138,DG!A:D,DG!$B$2,)</f>
        <v>03.4113</v>
      </c>
      <c r="E138" s="1241" t="str">
        <f>VLOOKUP($B138,DG!A:D,DG!$C$2,)</f>
        <v>Đắp đất hố móng, độ chặt k=0,95</v>
      </c>
      <c r="F138" s="1240" t="str">
        <f>VLOOKUP($B138,DG!A:D,DG!$D$2,)</f>
        <v>m3</v>
      </c>
      <c r="G138" s="1917">
        <v>3.25</v>
      </c>
      <c r="H138" s="1247"/>
      <c r="I138" s="1247"/>
      <c r="J138" s="1247"/>
      <c r="K138" s="1247"/>
      <c r="L138" s="1247"/>
      <c r="M138" s="1247"/>
      <c r="N138" s="1247"/>
      <c r="O138" s="1247"/>
      <c r="P138" s="1247"/>
      <c r="Q138" s="1247"/>
      <c r="R138" s="1247"/>
      <c r="S138" s="1247"/>
      <c r="T138" s="1671"/>
      <c r="U138" s="1664" t="str">
        <f>IFERROR(VLOOKUP(B138,ChiTietDuToan!C:H,5,0),"")</f>
        <v>m3</v>
      </c>
      <c r="V138" s="2309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75" t="s">
        <v>642</v>
      </c>
      <c r="C139" s="67" t="str">
        <f t="shared" si="14"/>
        <v xml:space="preserve"> </v>
      </c>
      <c r="D139" s="1240" t="str">
        <f>VLOOKUP($B139,DG!A:D,DG!$B$2,)</f>
        <v>02.1123</v>
      </c>
      <c r="E139" s="1241" t="str">
        <f>VLOOKUP($B139,DG!A:D,DG!$C$2,)</f>
        <v>Bốc dỡ đà cản, đế néo</v>
      </c>
      <c r="F139" s="1240" t="str">
        <f>VLOOKUP($B139,DG!A:D,DG!$D$2,)</f>
        <v>tấn</v>
      </c>
      <c r="G139" s="1917">
        <f>0.255*2</f>
        <v>0.51</v>
      </c>
      <c r="H139" s="1244"/>
      <c r="I139" s="1244"/>
      <c r="J139" s="1244"/>
      <c r="K139" s="1244"/>
      <c r="L139" s="1244"/>
      <c r="M139" s="1244"/>
      <c r="N139" s="1244"/>
      <c r="O139" s="1244"/>
      <c r="P139" s="1244"/>
      <c r="Q139" s="1244"/>
      <c r="R139" s="1244"/>
      <c r="S139" s="1244"/>
      <c r="T139" s="1671"/>
      <c r="U139" s="1664" t="str">
        <f>IFERROR(VLOOKUP(B139,ChiTietDuToan!C:H,5,0),"")</f>
        <v/>
      </c>
      <c r="V139" s="2309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57" t="s">
        <v>2125</v>
      </c>
      <c r="C140" s="67" t="str">
        <f t="shared" si="14"/>
        <v xml:space="preserve"> </v>
      </c>
      <c r="D140" s="1240" t="str">
        <f>VLOOKUP($B140,DG!A:C,2,)</f>
        <v>02.1451</v>
      </c>
      <c r="E140" s="1241" t="str">
        <f>VLOOKUP($B140,DG!A:C,3,)</f>
        <v>V/c đà cản vào vị trí (cự ly &lt;=100m)</v>
      </c>
      <c r="F140" s="1240" t="str">
        <f>VLOOKUP($B140,DG!A:D,4,0)</f>
        <v>tấn</v>
      </c>
      <c r="G140" s="1917">
        <f>G139</f>
        <v>0.51</v>
      </c>
      <c r="H140" s="1247"/>
      <c r="I140" s="1247"/>
      <c r="J140" s="1247"/>
      <c r="K140" s="1247"/>
      <c r="L140" s="1247"/>
      <c r="M140" s="1247"/>
      <c r="N140" s="1247"/>
      <c r="O140" s="1247"/>
      <c r="P140" s="1247"/>
      <c r="Q140" s="1247"/>
      <c r="R140" s="1247"/>
      <c r="S140" s="1247"/>
      <c r="T140" s="1671"/>
      <c r="U140" s="1664" t="str">
        <f>IFERROR(VLOOKUP(B140,ChiTietDuToan!C:H,5,0),"")</f>
        <v/>
      </c>
      <c r="V140" s="2309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74" t="s">
        <v>640</v>
      </c>
      <c r="C141" s="67" t="str">
        <f t="shared" si="14"/>
        <v xml:space="preserve"> </v>
      </c>
      <c r="D141" s="1240" t="str">
        <f>VLOOKUP($B141,DG!A:C,2,)</f>
        <v>02.1482</v>
      </c>
      <c r="E141" s="1241" t="str">
        <f>VLOOKUP($B141,DG!A:C,3,)</f>
        <v>V/c dụng cụ thi công vào vị trí (cự ly &lt;=100m)</v>
      </c>
      <c r="F141" s="1240" t="str">
        <f>VLOOKUP($B141,DG!A:D,4,0)</f>
        <v>tấn</v>
      </c>
      <c r="G141" s="1917">
        <f>G140</f>
        <v>0.51</v>
      </c>
      <c r="H141" s="1247"/>
      <c r="I141" s="1247"/>
      <c r="J141" s="1247"/>
      <c r="K141" s="1247"/>
      <c r="L141" s="1247"/>
      <c r="M141" s="1247"/>
      <c r="N141" s="1247"/>
      <c r="O141" s="1247"/>
      <c r="P141" s="1247"/>
      <c r="Q141" s="1247"/>
      <c r="R141" s="1247"/>
      <c r="S141" s="1247"/>
      <c r="T141" s="1671"/>
      <c r="U141" s="1664" t="str">
        <f>IFERROR(VLOOKUP(B141,ChiTietDuToan!C:H,5,0),"")</f>
        <v/>
      </c>
      <c r="V141" s="2309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56"/>
      <c r="C142" s="65" t="str">
        <f t="shared" ca="1" si="14"/>
        <v xml:space="preserve"> </v>
      </c>
      <c r="D142" s="1237"/>
      <c r="E142" s="1666" t="s">
        <v>2404</v>
      </c>
      <c r="F142" s="1238" t="s">
        <v>2391</v>
      </c>
      <c r="G142" s="1912"/>
      <c r="H142" s="1523">
        <f ca="1">SUM(I142:O142)+T142</f>
        <v>0</v>
      </c>
      <c r="I142" s="1239">
        <f ca="1">SUMIF(mong3pm,chitiet!$A142,slmong3pm)+SUMIF(mong3p1m,chitiet!$A142,slmong3p1m)</f>
        <v>0</v>
      </c>
      <c r="J142" s="1239">
        <f ca="1">SUMIF(mongct,chitiet!$A142,slmongct)</f>
        <v>0</v>
      </c>
      <c r="K142" s="1239">
        <f ca="1">SUMIF(mong1pm,chitiet!$A142,slmong1pm)</f>
        <v>0</v>
      </c>
      <c r="L142" s="1239">
        <f>IFERROR(HLOOKUP(A142,pp1p!$6:$90,85,0),0)</f>
        <v>0</v>
      </c>
      <c r="M142" s="1239">
        <f ca="1">SUMIF(mongHTHH,chitiet!$A142,slmongHTHH)</f>
        <v>0</v>
      </c>
      <c r="N142" s="1239">
        <f ca="1">SUMIF(mongHTDL,chitiet!$A142,slmongHTDL)</f>
        <v>0</v>
      </c>
      <c r="O142" s="1239"/>
      <c r="P142" s="1239"/>
      <c r="Q142" s="1239"/>
      <c r="R142" s="1239"/>
      <c r="S142" s="1239"/>
      <c r="T142" s="1671"/>
      <c r="U142" s="1664">
        <f>IFERROR(VLOOKUP(B142,ChiTietDuToan!C:H,5,0),"")</f>
        <v>0</v>
      </c>
      <c r="V142" s="2309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75" t="s">
        <v>641</v>
      </c>
      <c r="C143" s="67" t="str">
        <f t="shared" ref="C143:C206" ca="1" si="23">IF(OR(P143&lt;&gt;0,H143&lt;&gt;0),"x"," ")</f>
        <v xml:space="preserve"> </v>
      </c>
      <c r="D143" s="1236" t="str">
        <f>VLOOKUP($B143,DG!A:D,DG!$B$2,)</f>
        <v>04.4001</v>
      </c>
      <c r="E143" s="1246" t="str">
        <f>VLOOKUP($B143,DG!A:D,DG!$C$2,)</f>
        <v>Đà cản BTCT 1,2m</v>
      </c>
      <c r="F143" s="1240" t="str">
        <f>VLOOKUP($B143,DG!A:D,DG!$D$2,)</f>
        <v>cái</v>
      </c>
      <c r="G143" s="1918">
        <v>2</v>
      </c>
      <c r="H143" s="1244">
        <f ca="1">H$142*$G143</f>
        <v>0</v>
      </c>
      <c r="I143" s="1244">
        <f t="shared" ref="I143:N144" ca="1" si="24">I$142*$G143</f>
        <v>0</v>
      </c>
      <c r="J143" s="1244">
        <f t="shared" ca="1" si="24"/>
        <v>0</v>
      </c>
      <c r="K143" s="1244">
        <f t="shared" ca="1" si="24"/>
        <v>0</v>
      </c>
      <c r="L143" s="1244">
        <f t="shared" si="24"/>
        <v>0</v>
      </c>
      <c r="M143" s="1244">
        <f t="shared" ca="1" si="24"/>
        <v>0</v>
      </c>
      <c r="N143" s="1244">
        <f t="shared" ca="1" si="24"/>
        <v>0</v>
      </c>
      <c r="O143" s="1244"/>
      <c r="P143" s="1244"/>
      <c r="Q143" s="1244"/>
      <c r="R143" s="1244"/>
      <c r="S143" s="1244"/>
      <c r="T143" s="1671"/>
      <c r="U143" s="1664" t="str">
        <f>IFERROR(VLOOKUP(B143,ChiTietDuToan!C:H,5,0),"")</f>
        <v>cái</v>
      </c>
      <c r="V143" s="2309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59" t="s">
        <v>728</v>
      </c>
      <c r="C144" s="67" t="str">
        <f t="shared" ca="1" si="23"/>
        <v xml:space="preserve"> </v>
      </c>
      <c r="D144" s="1240"/>
      <c r="E144" s="1246" t="str">
        <f>VLOOKUP($B144,DG!A:D,DG!$C$2,)</f>
        <v>Boulon 22x750+ 2 long đền vuông D24-50x50x3/Zn</v>
      </c>
      <c r="F144" s="1240" t="str">
        <f>VLOOKUP($B144,DG!A:D,DG!$D$2,)</f>
        <v>bộ</v>
      </c>
      <c r="G144" s="1918">
        <v>1</v>
      </c>
      <c r="H144" s="1244">
        <f ca="1">H$142*$G144</f>
        <v>0</v>
      </c>
      <c r="I144" s="1244">
        <f t="shared" ca="1" si="24"/>
        <v>0</v>
      </c>
      <c r="J144" s="1244">
        <f t="shared" ca="1" si="24"/>
        <v>0</v>
      </c>
      <c r="K144" s="1244">
        <f t="shared" ca="1" si="24"/>
        <v>0</v>
      </c>
      <c r="L144" s="1244">
        <f t="shared" si="24"/>
        <v>0</v>
      </c>
      <c r="M144" s="1244">
        <f t="shared" ca="1" si="24"/>
        <v>0</v>
      </c>
      <c r="N144" s="1244">
        <f t="shared" ca="1" si="24"/>
        <v>0</v>
      </c>
      <c r="O144" s="1244"/>
      <c r="P144" s="1244"/>
      <c r="Q144" s="1244"/>
      <c r="R144" s="1244"/>
      <c r="S144" s="1244"/>
      <c r="T144" s="1671"/>
      <c r="U144" s="1664" t="str">
        <f>IFERROR(VLOOKUP(B144,ChiTietDuToan!C:H,5,0),"")</f>
        <v/>
      </c>
      <c r="V144" s="2309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59" t="s">
        <v>1865</v>
      </c>
      <c r="C145" s="67" t="str">
        <f t="shared" ca="1" si="23"/>
        <v xml:space="preserve"> </v>
      </c>
      <c r="D145" s="1236">
        <f>VLOOKUP($B145,DG!A:D,DG!$B$2,)</f>
        <v>0</v>
      </c>
      <c r="E145" s="1241" t="str">
        <f>VLOOKUP($B145,DG!A:D,DG!$C$2,)</f>
        <v>Đá 2x4</v>
      </c>
      <c r="F145" s="1236" t="str">
        <f>VLOOKUP($B145,DG!A:D,DG!$D$2,)</f>
        <v>m3</v>
      </c>
      <c r="G145" s="1913">
        <v>0.155</v>
      </c>
      <c r="H145" s="1245">
        <f t="shared" ref="H145:N145" ca="1" si="25">H$18*$G145</f>
        <v>0</v>
      </c>
      <c r="I145" s="1245">
        <f t="shared" ca="1" si="25"/>
        <v>0</v>
      </c>
      <c r="J145" s="1245">
        <f t="shared" ca="1" si="25"/>
        <v>0</v>
      </c>
      <c r="K145" s="1245">
        <f t="shared" ca="1" si="25"/>
        <v>0</v>
      </c>
      <c r="L145" s="1245">
        <f t="shared" si="25"/>
        <v>0</v>
      </c>
      <c r="M145" s="1245">
        <f t="shared" ca="1" si="25"/>
        <v>0</v>
      </c>
      <c r="N145" s="1245">
        <f t="shared" ca="1" si="25"/>
        <v>0</v>
      </c>
      <c r="O145" s="1245"/>
      <c r="P145" s="1245"/>
      <c r="Q145" s="1245"/>
      <c r="R145" s="1245"/>
      <c r="S145" s="1245"/>
      <c r="T145" s="1671"/>
      <c r="U145" s="1664" t="str">
        <f>IFERROR(VLOOKUP(B145,ChiTietDuToan!C:H,5,0),"")</f>
        <v>m3</v>
      </c>
      <c r="V145" s="2309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75" t="str">
        <f>IF(F5=1,"MDD1",IF(F5=2,"MDD2",IF(F5=3,"MDD3",IF(F5=4,"MDD4"))))</f>
        <v>MDD3</v>
      </c>
      <c r="C146" s="67" t="str">
        <f t="shared" si="23"/>
        <v xml:space="preserve"> </v>
      </c>
      <c r="D146" s="1240" t="str">
        <f>VLOOKUP($B146,DG!A:D,DG!$B$2,)</f>
        <v>03.1013</v>
      </c>
      <c r="E146" s="1241" t="str">
        <f>VLOOKUP($B146,DG!A:D,DG!$C$2,)</f>
        <v>Đào hố móng đất cấp 3 sâu &gt;1m DT&lt;5m2</v>
      </c>
      <c r="F146" s="1240" t="str">
        <f>VLOOKUP($B146,DG!A:D,DG!$D$2,)</f>
        <v>m3</v>
      </c>
      <c r="G146" s="1917">
        <v>2.8</v>
      </c>
      <c r="H146" s="1247"/>
      <c r="I146" s="1247"/>
      <c r="J146" s="1247"/>
      <c r="K146" s="1247"/>
      <c r="L146" s="1247"/>
      <c r="M146" s="1247"/>
      <c r="N146" s="1247"/>
      <c r="O146" s="1247"/>
      <c r="P146" s="1247"/>
      <c r="Q146" s="1247"/>
      <c r="R146" s="1247"/>
      <c r="S146" s="1247"/>
      <c r="T146" s="1671"/>
      <c r="U146" s="1664" t="str">
        <f>IFERROR(VLOOKUP(B146,ChiTietDuToan!C:H,5,0),"")</f>
        <v>m3</v>
      </c>
      <c r="V146" s="2309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75" t="str">
        <f>IF(F5=1,"MDAP1",IF(F5=2,"MDAP2",IF(F5=3,"MDAP3",IF(F5=4,"MDAP4"))))</f>
        <v>MDAP3</v>
      </c>
      <c r="C147" s="67" t="str">
        <f t="shared" si="23"/>
        <v xml:space="preserve"> </v>
      </c>
      <c r="D147" s="1240" t="str">
        <f>VLOOKUP($B147,DG!A:D,DG!$B$2,)</f>
        <v>03.4113</v>
      </c>
      <c r="E147" s="1241" t="str">
        <f>VLOOKUP($B147,DG!A:D,DG!$C$2,)</f>
        <v>Đắp đất hố móng, độ chặt k=0,95</v>
      </c>
      <c r="F147" s="1240" t="str">
        <f>VLOOKUP($B147,DG!A:D,DG!$D$2,)</f>
        <v>m3</v>
      </c>
      <c r="G147" s="1917">
        <v>3.25</v>
      </c>
      <c r="H147" s="1247"/>
      <c r="I147" s="1247"/>
      <c r="J147" s="1247"/>
      <c r="K147" s="1247"/>
      <c r="L147" s="1247"/>
      <c r="M147" s="1247"/>
      <c r="N147" s="1247"/>
      <c r="O147" s="1247"/>
      <c r="P147" s="1247"/>
      <c r="Q147" s="1247"/>
      <c r="R147" s="1247"/>
      <c r="S147" s="1247"/>
      <c r="T147" s="1671"/>
      <c r="U147" s="1664" t="str">
        <f>IFERROR(VLOOKUP(B147,ChiTietDuToan!C:H,5,0),"")</f>
        <v>m3</v>
      </c>
      <c r="V147" s="2309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75" t="s">
        <v>642</v>
      </c>
      <c r="C148" s="67" t="str">
        <f t="shared" si="23"/>
        <v xml:space="preserve"> </v>
      </c>
      <c r="D148" s="1240" t="str">
        <f>VLOOKUP($B148,DG!A:D,DG!$B$2,)</f>
        <v>02.1123</v>
      </c>
      <c r="E148" s="1241" t="str">
        <f>VLOOKUP($B148,DG!A:D,DG!$C$2,)</f>
        <v>Bốc dỡ đà cản, đế néo</v>
      </c>
      <c r="F148" s="1240" t="str">
        <f>VLOOKUP($B148,DG!A:D,DG!$D$2,)</f>
        <v>tấn</v>
      </c>
      <c r="G148" s="1917">
        <f>0.1*G143</f>
        <v>0.2</v>
      </c>
      <c r="H148" s="1244"/>
      <c r="I148" s="1244"/>
      <c r="J148" s="1244"/>
      <c r="K148" s="1244"/>
      <c r="L148" s="1244"/>
      <c r="M148" s="1244"/>
      <c r="N148" s="1244"/>
      <c r="O148" s="1244"/>
      <c r="P148" s="1244"/>
      <c r="Q148" s="1244"/>
      <c r="R148" s="1244"/>
      <c r="S148" s="1244"/>
      <c r="T148" s="1671"/>
      <c r="U148" s="1664" t="str">
        <f>IFERROR(VLOOKUP(B148,ChiTietDuToan!C:H,5,0),"")</f>
        <v/>
      </c>
      <c r="V148" s="2309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57" t="s">
        <v>2125</v>
      </c>
      <c r="C149" s="67" t="str">
        <f t="shared" si="23"/>
        <v xml:space="preserve"> </v>
      </c>
      <c r="D149" s="1240" t="str">
        <f>VLOOKUP($B149,DG!A:C,2,)</f>
        <v>02.1451</v>
      </c>
      <c r="E149" s="1241" t="str">
        <f>VLOOKUP($B149,DG!A:C,3,)</f>
        <v>V/c đà cản vào vị trí (cự ly &lt;=100m)</v>
      </c>
      <c r="F149" s="1240" t="str">
        <f>VLOOKUP($B149,DG!A:D,4,0)</f>
        <v>tấn</v>
      </c>
      <c r="G149" s="1917">
        <f>G148</f>
        <v>0.2</v>
      </c>
      <c r="H149" s="1247"/>
      <c r="I149" s="1247"/>
      <c r="J149" s="1247"/>
      <c r="K149" s="1247"/>
      <c r="L149" s="1247"/>
      <c r="M149" s="1247"/>
      <c r="N149" s="1247"/>
      <c r="O149" s="1247"/>
      <c r="P149" s="1247"/>
      <c r="Q149" s="1247"/>
      <c r="R149" s="1247"/>
      <c r="S149" s="1247"/>
      <c r="T149" s="1671"/>
      <c r="U149" s="1664" t="str">
        <f>IFERROR(VLOOKUP(B149,ChiTietDuToan!C:H,5,0),"")</f>
        <v/>
      </c>
      <c r="V149" s="2309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74" t="s">
        <v>679</v>
      </c>
      <c r="C150" s="67" t="str">
        <f t="shared" si="23"/>
        <v xml:space="preserve"> </v>
      </c>
      <c r="D150" s="1236" t="str">
        <f>VLOOKUP($B150,DG!A:C,2,)</f>
        <v>02.1241</v>
      </c>
      <c r="E150" s="1241" t="str">
        <f>VLOOKUP($B150,DG!A:C,3,)</f>
        <v>V/c đá dăm ( cự ly &lt;=100m)</v>
      </c>
      <c r="F150" s="1236" t="str">
        <f>VLOOKUP($B150,DG!A:D,4,0)</f>
        <v>m3</v>
      </c>
      <c r="G150" s="1913">
        <f>G145</f>
        <v>0.155</v>
      </c>
      <c r="H150" s="1250"/>
      <c r="I150" s="1250"/>
      <c r="J150" s="1250"/>
      <c r="K150" s="1250"/>
      <c r="L150" s="1250"/>
      <c r="M150" s="1250"/>
      <c r="N150" s="1250"/>
      <c r="O150" s="1250"/>
      <c r="P150" s="1250"/>
      <c r="Q150" s="1250"/>
      <c r="R150" s="1250"/>
      <c r="S150" s="1250"/>
      <c r="T150" s="1671"/>
      <c r="U150" s="1664" t="str">
        <f>IFERROR(VLOOKUP(B150,ChiTietDuToan!C:H,5,0),"")</f>
        <v/>
      </c>
      <c r="V150" s="2309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57" t="s">
        <v>640</v>
      </c>
      <c r="C151" s="67" t="str">
        <f t="shared" si="23"/>
        <v xml:space="preserve"> </v>
      </c>
      <c r="D151" s="1240" t="str">
        <f>VLOOKUP($B151,DG!A:C,2,)</f>
        <v>02.1482</v>
      </c>
      <c r="E151" s="1241" t="str">
        <f>VLOOKUP($B151,DG!A:C,3,)</f>
        <v>V/c dụng cụ thi công vào vị trí (cự ly &lt;=100m)</v>
      </c>
      <c r="F151" s="1240" t="str">
        <f>VLOOKUP($B151,DG!A:D,4,0)</f>
        <v>tấn</v>
      </c>
      <c r="G151" s="1917">
        <f>G149</f>
        <v>0.2</v>
      </c>
      <c r="H151" s="1247"/>
      <c r="I151" s="1247"/>
      <c r="J151" s="1247"/>
      <c r="K151" s="1247"/>
      <c r="L151" s="1247"/>
      <c r="M151" s="1247"/>
      <c r="N151" s="1247"/>
      <c r="O151" s="1247"/>
      <c r="P151" s="1247"/>
      <c r="Q151" s="1247"/>
      <c r="R151" s="1247"/>
      <c r="S151" s="1247"/>
      <c r="T151" s="1671"/>
      <c r="U151" s="1664" t="str">
        <f>IFERROR(VLOOKUP(B151,ChiTietDuToan!C:H,5,0),"")</f>
        <v/>
      </c>
      <c r="V151" s="2309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56"/>
      <c r="C152" s="65" t="str">
        <f t="shared" ca="1" si="23"/>
        <v xml:space="preserve"> </v>
      </c>
      <c r="D152" s="1237"/>
      <c r="E152" s="1666" t="s">
        <v>2405</v>
      </c>
      <c r="F152" s="1238" t="s">
        <v>2391</v>
      </c>
      <c r="G152" s="1912"/>
      <c r="H152" s="1523">
        <f ca="1">SUM(I152:O152)+T152</f>
        <v>0</v>
      </c>
      <c r="I152" s="1239">
        <f ca="1">SUMIF(mong3pm,chitiet!$A152,slmong3pm)</f>
        <v>0</v>
      </c>
      <c r="J152" s="1239">
        <f ca="1">SUMIF(mongct,chitiet!$A152,slmongct)</f>
        <v>0</v>
      </c>
      <c r="K152" s="1239">
        <f>+SUMIF(mong3p1m,chitiet!$A152,slmong3p1m)</f>
        <v>0</v>
      </c>
      <c r="L152" s="1239">
        <f>IFERROR(HLOOKUP(A152,pp1p!$6:$90,85,0),0)</f>
        <v>0</v>
      </c>
      <c r="M152" s="1239">
        <f ca="1">SUMIF(mongHTHH,chitiet!$A152,slmongHTHH)</f>
        <v>0</v>
      </c>
      <c r="N152" s="1239">
        <f ca="1">SUMIF(mongHTDL,chitiet!$A152,slmongHTDL)</f>
        <v>0</v>
      </c>
      <c r="O152" s="1239">
        <f ca="1">SUMIF(mongHTCS,chitiet!$A152,slmongHTCS)</f>
        <v>0</v>
      </c>
      <c r="P152" s="1239">
        <f ca="1">H152+Q152-R152</f>
        <v>0</v>
      </c>
      <c r="Q152" s="1239"/>
      <c r="R152" s="1239"/>
      <c r="S152" s="1239"/>
      <c r="T152" s="1671"/>
      <c r="U152" s="1664">
        <f>IFERROR(VLOOKUP(B152,ChiTietDuToan!C:H,5,0),"")</f>
        <v>0</v>
      </c>
      <c r="V152" s="2309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75" t="s">
        <v>644</v>
      </c>
      <c r="C153" s="67" t="str">
        <f t="shared" ca="1" si="23"/>
        <v xml:space="preserve"> </v>
      </c>
      <c r="D153" s="1240"/>
      <c r="E153" s="1241" t="str">
        <f>VLOOKUP($B153,DG!A:D,DG!$C$2,)</f>
        <v>Đào hố móng đất cấp 3 sâu &gt;1m DT&lt;5m2</v>
      </c>
      <c r="F153" s="1240" t="str">
        <f>VLOOKUP($B153,DG!A:D,DG!$D$2,)</f>
        <v>m3</v>
      </c>
      <c r="G153" s="1916">
        <v>0.20100000000000001</v>
      </c>
      <c r="H153" s="1243">
        <f ca="1">$H$152*$G153</f>
        <v>0</v>
      </c>
      <c r="I153" s="1244">
        <f t="shared" ref="I153:O153" ca="1" si="26">I$244*$G153</f>
        <v>0</v>
      </c>
      <c r="J153" s="1244">
        <f t="shared" ca="1" si="26"/>
        <v>0</v>
      </c>
      <c r="K153" s="1244">
        <f t="shared" si="26"/>
        <v>0</v>
      </c>
      <c r="L153" s="1244">
        <f t="shared" si="26"/>
        <v>0</v>
      </c>
      <c r="M153" s="1244">
        <f t="shared" ca="1" si="26"/>
        <v>0</v>
      </c>
      <c r="N153" s="1244">
        <f t="shared" ca="1" si="26"/>
        <v>0</v>
      </c>
      <c r="O153" s="1244">
        <f t="shared" si="26"/>
        <v>0</v>
      </c>
      <c r="P153" s="1243">
        <f ca="1">$P$152*G153</f>
        <v>0</v>
      </c>
      <c r="Q153" s="1244"/>
      <c r="R153" s="1244"/>
      <c r="S153" s="1244"/>
      <c r="T153" s="1671"/>
      <c r="U153" s="1664" t="str">
        <f>IFERROR(VLOOKUP(B153,ChiTietDuToan!C:H,5,0),"")</f>
        <v>m3</v>
      </c>
      <c r="V153" s="2309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59" t="s">
        <v>21</v>
      </c>
      <c r="C154" s="67" t="str">
        <f t="shared" ca="1" si="23"/>
        <v xml:space="preserve"> </v>
      </c>
      <c r="D154" s="1236" t="str">
        <f>VLOOKUP($B154,DG!A:D,DG!$B$2,)</f>
        <v>03.4113</v>
      </c>
      <c r="E154" s="1241" t="str">
        <f>VLOOKUP($B154,DG!A:D,DG!$C$2,)</f>
        <v>Đắp đất hố móng, độ chặt k=0,95</v>
      </c>
      <c r="F154" s="1236" t="str">
        <f>VLOOKUP($B154,DG!A:D,DG!$D$2,)</f>
        <v>m3</v>
      </c>
      <c r="G154" s="1913">
        <v>0.182</v>
      </c>
      <c r="H154" s="1243">
        <f ca="1">$H$152*$G154</f>
        <v>0</v>
      </c>
      <c r="I154" s="1245">
        <f t="shared" ref="I154:O154" ca="1" si="27">I$18*$G154</f>
        <v>0</v>
      </c>
      <c r="J154" s="1245">
        <f t="shared" ca="1" si="27"/>
        <v>0</v>
      </c>
      <c r="K154" s="1245">
        <f t="shared" ca="1" si="27"/>
        <v>0</v>
      </c>
      <c r="L154" s="1245">
        <f t="shared" si="27"/>
        <v>0</v>
      </c>
      <c r="M154" s="1245">
        <f t="shared" ca="1" si="27"/>
        <v>0</v>
      </c>
      <c r="N154" s="1245">
        <f t="shared" ca="1" si="27"/>
        <v>0</v>
      </c>
      <c r="O154" s="1245">
        <f t="shared" ca="1" si="27"/>
        <v>0</v>
      </c>
      <c r="P154" s="1243">
        <f ca="1">$P$152*G154</f>
        <v>0</v>
      </c>
      <c r="Q154" s="1245"/>
      <c r="R154" s="1245"/>
      <c r="S154" s="1245"/>
      <c r="T154" s="1671"/>
      <c r="U154" s="1664" t="str">
        <f>IFERROR(VLOOKUP(B154,ChiTietDuToan!C:H,5,0),"")</f>
        <v>m3</v>
      </c>
      <c r="V154" s="2309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57" t="s">
        <v>640</v>
      </c>
      <c r="C155" s="67" t="str">
        <f t="shared" si="23"/>
        <v xml:space="preserve"> </v>
      </c>
      <c r="D155" s="1240" t="str">
        <f>VLOOKUP($B155,DG!A:C,2,)</f>
        <v>02.1482</v>
      </c>
      <c r="E155" s="1241" t="str">
        <f>VLOOKUP($B155,DG!A:C,3,)</f>
        <v>V/c dụng cụ thi công vào vị trí (cự ly &lt;=100m)</v>
      </c>
      <c r="F155" s="1240" t="str">
        <f>VLOOKUP($B155,DG!A:D,4,0)</f>
        <v>tấn</v>
      </c>
      <c r="G155" s="1916"/>
      <c r="H155" s="1247"/>
      <c r="I155" s="1247"/>
      <c r="J155" s="1247"/>
      <c r="K155" s="1247"/>
      <c r="L155" s="1247"/>
      <c r="M155" s="1247"/>
      <c r="N155" s="1247"/>
      <c r="O155" s="1247"/>
      <c r="P155" s="1247"/>
      <c r="Q155" s="1247"/>
      <c r="R155" s="1247"/>
      <c r="S155" s="1247"/>
      <c r="T155" s="1671"/>
      <c r="U155" s="1664" t="str">
        <f>IFERROR(VLOOKUP(B155,ChiTietDuToan!C:H,5,0),"")</f>
        <v/>
      </c>
      <c r="V155" s="2309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56"/>
      <c r="C156" s="65" t="str">
        <f t="shared" ca="1" si="23"/>
        <v xml:space="preserve"> </v>
      </c>
      <c r="D156" s="1237"/>
      <c r="E156" s="1666" t="s">
        <v>2406</v>
      </c>
      <c r="F156" s="1238" t="s">
        <v>2391</v>
      </c>
      <c r="G156" s="1912"/>
      <c r="H156" s="1523">
        <f ca="1">SUM(I156:O156)+T156</f>
        <v>0</v>
      </c>
      <c r="I156" s="1239">
        <f ca="1">SUMIF(mong3pm,chitiet!$A156,slmong3pm)</f>
        <v>0</v>
      </c>
      <c r="J156" s="1239">
        <f ca="1">SUMIF(mongct,chitiet!$A156,slmongct)</f>
        <v>0</v>
      </c>
      <c r="K156" s="1239"/>
      <c r="L156" s="1239">
        <f>IFERROR(HLOOKUP(A156,pp1p!$6:$90,85,0),0)</f>
        <v>0</v>
      </c>
      <c r="M156" s="1239">
        <f ca="1">SUMIF(mongHTHH,chitiet!$A156,slmongHTHH)</f>
        <v>0</v>
      </c>
      <c r="N156" s="1239">
        <f ca="1">SUMIF(mongHTDL,chitiet!$A156,slmongHTDL)</f>
        <v>0</v>
      </c>
      <c r="O156" s="1239">
        <f ca="1">SUMIF(mongHTCS,chitiet!$A156,slmongHTCS)</f>
        <v>0</v>
      </c>
      <c r="P156" s="1239"/>
      <c r="Q156" s="1239"/>
      <c r="R156" s="1239"/>
      <c r="S156" s="1239"/>
      <c r="T156" s="1671"/>
      <c r="U156" s="1664">
        <f>IFERROR(VLOOKUP(B156,ChiTietDuToan!C:H,5,0),"")</f>
        <v>0</v>
      </c>
      <c r="V156" s="2309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59" t="s">
        <v>641</v>
      </c>
      <c r="C157" s="67" t="str">
        <f t="shared" ca="1" si="23"/>
        <v xml:space="preserve"> </v>
      </c>
      <c r="D157" s="1236" t="str">
        <f>VLOOKUP($B157,DG!A:D,DG!$B$2,)</f>
        <v>04.4001</v>
      </c>
      <c r="E157" s="1248" t="str">
        <f>VLOOKUP($B157,DG!A:D,DG!$C$2,)</f>
        <v>Đà cản BTCT 1,2m</v>
      </c>
      <c r="F157" s="1236" t="str">
        <f>VLOOKUP($B157,DG!A:D,DG!$D$2,)</f>
        <v>cái</v>
      </c>
      <c r="G157" s="1915">
        <v>1</v>
      </c>
      <c r="H157" s="1245">
        <f ca="1">H156*$G157</f>
        <v>0</v>
      </c>
      <c r="I157" s="1245">
        <f t="shared" ref="I157:O157" ca="1" si="28">I156*$G157</f>
        <v>0</v>
      </c>
      <c r="J157" s="1245">
        <f t="shared" ca="1" si="28"/>
        <v>0</v>
      </c>
      <c r="K157" s="1245">
        <f t="shared" si="28"/>
        <v>0</v>
      </c>
      <c r="L157" s="1245">
        <f t="shared" si="28"/>
        <v>0</v>
      </c>
      <c r="M157" s="1245">
        <f t="shared" ca="1" si="28"/>
        <v>0</v>
      </c>
      <c r="N157" s="1245">
        <f t="shared" ca="1" si="28"/>
        <v>0</v>
      </c>
      <c r="O157" s="1245">
        <f t="shared" ca="1" si="28"/>
        <v>0</v>
      </c>
      <c r="P157" s="1245"/>
      <c r="Q157" s="1245"/>
      <c r="R157" s="1245"/>
      <c r="S157" s="1245"/>
      <c r="T157" s="1671"/>
      <c r="U157" s="1664" t="str">
        <f>IFERROR(VLOOKUP(B157,ChiTietDuToan!C:H,5,0),"")</f>
        <v>cái</v>
      </c>
      <c r="V157" s="2309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59" t="s">
        <v>570</v>
      </c>
      <c r="C158" s="67" t="str">
        <f t="shared" ca="1" si="23"/>
        <v xml:space="preserve"> </v>
      </c>
      <c r="D158" s="1236"/>
      <c r="E158" s="1248" t="str">
        <f>VLOOKUP($B158,DG!A:D,DG!$C$2,)</f>
        <v>Boulon 22x650+ 2 long đền vuông D24-50x50x3/Zn</v>
      </c>
      <c r="F158" s="1236" t="str">
        <f>VLOOKUP($B158,DG!A:D,DG!$D$2,)</f>
        <v>bộ</v>
      </c>
      <c r="G158" s="1915">
        <v>1</v>
      </c>
      <c r="H158" s="1245">
        <f ca="1">H157*$G158</f>
        <v>0</v>
      </c>
      <c r="I158" s="1245">
        <f t="shared" ref="I158:O158" ca="1" si="29">I157*$G158</f>
        <v>0</v>
      </c>
      <c r="J158" s="1245">
        <f t="shared" ca="1" si="29"/>
        <v>0</v>
      </c>
      <c r="K158" s="1245">
        <f t="shared" si="29"/>
        <v>0</v>
      </c>
      <c r="L158" s="1245">
        <f t="shared" si="29"/>
        <v>0</v>
      </c>
      <c r="M158" s="1245">
        <f t="shared" ca="1" si="29"/>
        <v>0</v>
      </c>
      <c r="N158" s="1245">
        <f t="shared" ca="1" si="29"/>
        <v>0</v>
      </c>
      <c r="O158" s="1245">
        <f t="shared" ca="1" si="29"/>
        <v>0</v>
      </c>
      <c r="P158" s="1245"/>
      <c r="Q158" s="1245"/>
      <c r="R158" s="1245"/>
      <c r="S158" s="1245"/>
      <c r="T158" s="1671"/>
      <c r="U158" s="1664" t="str">
        <f>IFERROR(VLOOKUP(B158,ChiTietDuToan!C:H,5,0),"")</f>
        <v>bộ</v>
      </c>
      <c r="V158" s="2309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59" t="str">
        <f>IF(F5=1,"MDD1",IF(F5=2,"MDD2",IF(F5=3,"MDD3",IF(F5=4,"MDD4"))))</f>
        <v>MDD3</v>
      </c>
      <c r="C159" s="67" t="str">
        <f t="shared" si="23"/>
        <v xml:space="preserve"> </v>
      </c>
      <c r="D159" s="1236" t="str">
        <f>VLOOKUP($B159,DG!A:D,DG!$B$2,)</f>
        <v>03.1013</v>
      </c>
      <c r="E159" s="1241" t="str">
        <f>VLOOKUP($B159,DG!A:D,DG!$C$2,)</f>
        <v>Đào hố móng đất cấp 3 sâu &gt;1m DT&lt;5m2</v>
      </c>
      <c r="F159" s="1236" t="str">
        <f>VLOOKUP($B159,DG!A:D,DG!$D$2,)</f>
        <v>m3</v>
      </c>
      <c r="G159" s="1914">
        <v>0.78</v>
      </c>
      <c r="H159" s="1250"/>
      <c r="I159" s="1250"/>
      <c r="J159" s="1250"/>
      <c r="K159" s="1250"/>
      <c r="L159" s="1250"/>
      <c r="M159" s="1250"/>
      <c r="N159" s="1250"/>
      <c r="O159" s="1250"/>
      <c r="P159" s="1250"/>
      <c r="Q159" s="1250"/>
      <c r="R159" s="1250"/>
      <c r="S159" s="1250"/>
      <c r="T159" s="1671"/>
      <c r="U159" s="1664" t="str">
        <f>IFERROR(VLOOKUP(B159,ChiTietDuToan!C:H,5,0),"")</f>
        <v>m3</v>
      </c>
      <c r="V159" s="2309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59" t="str">
        <f>IF(F5=1,"MDAP1",IF(F5=2,"MDAP2",IF(F5=3,"MDAP3",IF(F5=4,"MDAP4"))))</f>
        <v>MDAP3</v>
      </c>
      <c r="C160" s="67" t="str">
        <f t="shared" si="23"/>
        <v xml:space="preserve"> </v>
      </c>
      <c r="D160" s="1236" t="str">
        <f>VLOOKUP($B160,DG!A:D,DG!$B$2,)</f>
        <v>03.4113</v>
      </c>
      <c r="E160" s="1241" t="str">
        <f>VLOOKUP($B160,DG!A:D,DG!$C$2,)</f>
        <v>Đắp đất hố móng, độ chặt k=0,95</v>
      </c>
      <c r="F160" s="1236" t="str">
        <f>VLOOKUP($B160,DG!A:D,DG!$D$2,)</f>
        <v>m3</v>
      </c>
      <c r="G160" s="1914">
        <f>+G159</f>
        <v>0.78</v>
      </c>
      <c r="H160" s="1250"/>
      <c r="I160" s="1250"/>
      <c r="J160" s="1250"/>
      <c r="K160" s="1250"/>
      <c r="L160" s="1250"/>
      <c r="M160" s="1250"/>
      <c r="N160" s="1250"/>
      <c r="O160" s="1250"/>
      <c r="P160" s="1250"/>
      <c r="Q160" s="1250"/>
      <c r="R160" s="1250"/>
      <c r="S160" s="1250"/>
      <c r="T160" s="1671"/>
      <c r="U160" s="1664" t="str">
        <f>IFERROR(VLOOKUP(B160,ChiTietDuToan!C:H,5,0),"")</f>
        <v>m3</v>
      </c>
      <c r="V160" s="2309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59" t="s">
        <v>642</v>
      </c>
      <c r="C161" s="67" t="str">
        <f t="shared" si="23"/>
        <v xml:space="preserve"> </v>
      </c>
      <c r="D161" s="1236" t="str">
        <f>VLOOKUP($B161,DG!A:D,DG!$B$2,)</f>
        <v>02.1123</v>
      </c>
      <c r="E161" s="1241" t="str">
        <f>VLOOKUP($B161,DG!A:D,DG!$C$2,)</f>
        <v>Bốc dỡ đà cản, đế néo</v>
      </c>
      <c r="F161" s="1236" t="str">
        <f>VLOOKUP($B161,DG!A:D,DG!$D$2,)</f>
        <v>tấn</v>
      </c>
      <c r="G161" s="1914"/>
      <c r="H161" s="1245"/>
      <c r="I161" s="1245"/>
      <c r="J161" s="1245"/>
      <c r="K161" s="1245"/>
      <c r="L161" s="1245"/>
      <c r="M161" s="1245"/>
      <c r="N161" s="1245"/>
      <c r="O161" s="1245"/>
      <c r="P161" s="1245"/>
      <c r="Q161" s="1245"/>
      <c r="R161" s="1245"/>
      <c r="S161" s="1245"/>
      <c r="T161" s="1671"/>
      <c r="U161" s="1664" t="str">
        <f>IFERROR(VLOOKUP(B161,ChiTietDuToan!C:H,5,0),"")</f>
        <v/>
      </c>
      <c r="V161" s="2309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74" t="s">
        <v>2125</v>
      </c>
      <c r="C162" s="67" t="str">
        <f t="shared" si="23"/>
        <v xml:space="preserve"> </v>
      </c>
      <c r="D162" s="1236" t="str">
        <f>VLOOKUP($B162,DG!A:C,2,)</f>
        <v>02.1451</v>
      </c>
      <c r="E162" s="1241" t="str">
        <f>VLOOKUP($B162,DG!A:C,3,)</f>
        <v>V/c đà cản vào vị trí (cự ly &lt;=100m)</v>
      </c>
      <c r="F162" s="1236" t="str">
        <f>VLOOKUP($B162,DG!A:D,4,0)</f>
        <v>tấn</v>
      </c>
      <c r="G162" s="1914"/>
      <c r="H162" s="1250"/>
      <c r="I162" s="1250"/>
      <c r="J162" s="1250"/>
      <c r="K162" s="1250"/>
      <c r="L162" s="1250"/>
      <c r="M162" s="1250"/>
      <c r="N162" s="1250"/>
      <c r="O162" s="1250"/>
      <c r="P162" s="1250"/>
      <c r="Q162" s="1250"/>
      <c r="R162" s="1250"/>
      <c r="S162" s="1250"/>
      <c r="T162" s="1671"/>
      <c r="U162" s="1664" t="str">
        <f>IFERROR(VLOOKUP(B162,ChiTietDuToan!C:H,5,0),"")</f>
        <v/>
      </c>
      <c r="V162" s="2309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74" t="s">
        <v>640</v>
      </c>
      <c r="C163" s="67" t="str">
        <f t="shared" si="23"/>
        <v xml:space="preserve"> </v>
      </c>
      <c r="D163" s="1236" t="str">
        <f>VLOOKUP($B163,DG!A:C,2,)</f>
        <v>02.1482</v>
      </c>
      <c r="E163" s="1241" t="str">
        <f>VLOOKUP($B163,DG!A:C,3,)</f>
        <v>V/c dụng cụ thi công vào vị trí (cự ly &lt;=100m)</v>
      </c>
      <c r="F163" s="1236" t="str">
        <f>VLOOKUP($B163,DG!A:D,4,0)</f>
        <v>tấn</v>
      </c>
      <c r="G163" s="1914"/>
      <c r="H163" s="1250"/>
      <c r="I163" s="1250"/>
      <c r="J163" s="1250"/>
      <c r="K163" s="1250"/>
      <c r="L163" s="1250"/>
      <c r="M163" s="1250"/>
      <c r="N163" s="1250"/>
      <c r="O163" s="1250"/>
      <c r="P163" s="1250"/>
      <c r="Q163" s="1250"/>
      <c r="R163" s="1250"/>
      <c r="S163" s="1250"/>
      <c r="T163" s="1671"/>
      <c r="U163" s="1664" t="str">
        <f>IFERROR(VLOOKUP(B163,ChiTietDuToan!C:H,5,0),"")</f>
        <v/>
      </c>
      <c r="V163" s="2309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56"/>
      <c r="C164" s="65" t="str">
        <f t="shared" ca="1" si="23"/>
        <v xml:space="preserve"> </v>
      </c>
      <c r="D164" s="1237"/>
      <c r="E164" s="1666" t="s">
        <v>2407</v>
      </c>
      <c r="F164" s="1238" t="s">
        <v>2391</v>
      </c>
      <c r="G164" s="1912"/>
      <c r="H164" s="1523">
        <f ca="1">SUM(I164:O164)+T164</f>
        <v>0</v>
      </c>
      <c r="I164" s="1239">
        <f ca="1">SUMIF(mong3pm,chitiet!$A164,slmong3pm)+SUMIF(mong3p1m,chitiet!$A164,slmong3p1m)</f>
        <v>0</v>
      </c>
      <c r="J164" s="1239">
        <f ca="1">SUMIF(mongct,chitiet!$A164,slmongct)</f>
        <v>0</v>
      </c>
      <c r="K164" s="1239">
        <f>SUMIF(mong3p1m,chitiet!$A164,slmong3p1m)</f>
        <v>0</v>
      </c>
      <c r="L164" s="1239">
        <f>IFERROR(HLOOKUP(A164,pp1p!$6:$90,85,0),0)</f>
        <v>0</v>
      </c>
      <c r="M164" s="1239">
        <f ca="1">SUMIF(mongHTHH,chitiet!$A164,slmongHTHH)</f>
        <v>0</v>
      </c>
      <c r="N164" s="1239">
        <f ca="1">SUMIF(mongHTDL,chitiet!$A164,slmongHTDL)</f>
        <v>0</v>
      </c>
      <c r="O164" s="1239"/>
      <c r="P164" s="1239"/>
      <c r="Q164" s="1239"/>
      <c r="R164" s="1239"/>
      <c r="S164" s="1239"/>
      <c r="T164" s="1671"/>
      <c r="U164" s="1664">
        <f>IFERROR(VLOOKUP(B164,ChiTietDuToan!C:H,5,0),"")</f>
        <v>0</v>
      </c>
      <c r="V164" s="2309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59" t="s">
        <v>1627</v>
      </c>
      <c r="C165" s="67" t="str">
        <f t="shared" ca="1" si="23"/>
        <v xml:space="preserve"> </v>
      </c>
      <c r="D165" s="1236" t="str">
        <f>VLOOKUP($B165,DG!A:D,DG!$B$2,)</f>
        <v>04.3801</v>
      </c>
      <c r="E165" s="1248" t="str">
        <f>VLOOKUP($B165,DG!A:D,DG!$C$2,)</f>
        <v>Đà cản BTCT 1,5m</v>
      </c>
      <c r="F165" s="1236" t="str">
        <f>VLOOKUP($B165,DG!A:D,DG!$D$2,)</f>
        <v>cái</v>
      </c>
      <c r="G165" s="1915">
        <v>1</v>
      </c>
      <c r="H165" s="1245">
        <f ca="1">H$164*$G165</f>
        <v>0</v>
      </c>
      <c r="I165" s="1245">
        <f t="shared" ref="I165:N166" ca="1" si="30">I$164*$G165</f>
        <v>0</v>
      </c>
      <c r="J165" s="1245">
        <f t="shared" ca="1" si="30"/>
        <v>0</v>
      </c>
      <c r="K165" s="1245">
        <f t="shared" si="30"/>
        <v>0</v>
      </c>
      <c r="L165" s="1245">
        <f t="shared" si="30"/>
        <v>0</v>
      </c>
      <c r="M165" s="1245">
        <f t="shared" ca="1" si="30"/>
        <v>0</v>
      </c>
      <c r="N165" s="1245">
        <f t="shared" ca="1" si="30"/>
        <v>0</v>
      </c>
      <c r="O165" s="1245"/>
      <c r="P165" s="1245"/>
      <c r="Q165" s="1245"/>
      <c r="R165" s="1245"/>
      <c r="S165" s="1245"/>
      <c r="T165" s="1671"/>
      <c r="U165" s="1664" t="str">
        <f>IFERROR(VLOOKUP(B165,ChiTietDuToan!C:H,5,0),"")</f>
        <v>cái</v>
      </c>
      <c r="V165" s="2309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59" t="s">
        <v>570</v>
      </c>
      <c r="C166" s="67" t="str">
        <f t="shared" ca="1" si="23"/>
        <v xml:space="preserve"> </v>
      </c>
      <c r="D166" s="1236"/>
      <c r="E166" s="1248" t="str">
        <f>VLOOKUP($B166,DG!A:D,DG!$C$2,)</f>
        <v>Boulon 22x650+ 2 long đền vuông D24-50x50x3/Zn</v>
      </c>
      <c r="F166" s="1236" t="str">
        <f>VLOOKUP($B166,DG!A:D,DG!$D$2,)</f>
        <v>bộ</v>
      </c>
      <c r="G166" s="1915">
        <v>1</v>
      </c>
      <c r="H166" s="1245">
        <f ca="1">H$164*$G166</f>
        <v>0</v>
      </c>
      <c r="I166" s="1245">
        <f t="shared" ca="1" si="30"/>
        <v>0</v>
      </c>
      <c r="J166" s="1245">
        <f t="shared" ca="1" si="30"/>
        <v>0</v>
      </c>
      <c r="K166" s="1245">
        <f t="shared" si="30"/>
        <v>0</v>
      </c>
      <c r="L166" s="1245">
        <f t="shared" si="30"/>
        <v>0</v>
      </c>
      <c r="M166" s="1245">
        <f t="shared" ca="1" si="30"/>
        <v>0</v>
      </c>
      <c r="N166" s="1245">
        <f t="shared" ca="1" si="30"/>
        <v>0</v>
      </c>
      <c r="O166" s="1245"/>
      <c r="P166" s="1245"/>
      <c r="Q166" s="1245"/>
      <c r="R166" s="1245"/>
      <c r="S166" s="1245"/>
      <c r="T166" s="1671"/>
      <c r="U166" s="1664" t="str">
        <f>IFERROR(VLOOKUP(B166,ChiTietDuToan!C:H,5,0),"")</f>
        <v>bộ</v>
      </c>
      <c r="V166" s="2309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59" t="s">
        <v>1865</v>
      </c>
      <c r="C167" s="67" t="str">
        <f t="shared" ca="1" si="23"/>
        <v xml:space="preserve"> </v>
      </c>
      <c r="D167" s="1236">
        <f>VLOOKUP($B167,DG!A:D,DG!$B$2,)</f>
        <v>0</v>
      </c>
      <c r="E167" s="1241" t="str">
        <f>VLOOKUP($B167,DG!A:D,DG!$C$2,)</f>
        <v>Đá 2x4</v>
      </c>
      <c r="F167" s="1236" t="str">
        <f>VLOOKUP($B167,DG!A:D,DG!$D$2,)</f>
        <v>m3</v>
      </c>
      <c r="G167" s="1913">
        <v>0.2</v>
      </c>
      <c r="H167" s="1245">
        <f t="shared" ref="H167:N167" ca="1" si="31">H$18*$G167</f>
        <v>0</v>
      </c>
      <c r="I167" s="1245">
        <f t="shared" ca="1" si="31"/>
        <v>0</v>
      </c>
      <c r="J167" s="1245">
        <f t="shared" ca="1" si="31"/>
        <v>0</v>
      </c>
      <c r="K167" s="1245">
        <f t="shared" ca="1" si="31"/>
        <v>0</v>
      </c>
      <c r="L167" s="1245">
        <f t="shared" si="31"/>
        <v>0</v>
      </c>
      <c r="M167" s="1245">
        <f t="shared" ca="1" si="31"/>
        <v>0</v>
      </c>
      <c r="N167" s="1245">
        <f t="shared" ca="1" si="31"/>
        <v>0</v>
      </c>
      <c r="O167" s="1245"/>
      <c r="P167" s="1245"/>
      <c r="Q167" s="1245"/>
      <c r="R167" s="1245"/>
      <c r="S167" s="1245"/>
      <c r="T167" s="1671"/>
      <c r="U167" s="1664" t="str">
        <f>IFERROR(VLOOKUP(B167,ChiTietDuToan!C:H,5,0),"")</f>
        <v>m3</v>
      </c>
      <c r="V167" s="2309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59" t="str">
        <f>IF(F5=1,"MDD1",IF(F5=2,"MDD2",IF(F5=3,"MDD3",IF(F5=4,"MDD4"))))</f>
        <v>MDD3</v>
      </c>
      <c r="C168" s="67" t="str">
        <f t="shared" si="23"/>
        <v xml:space="preserve"> </v>
      </c>
      <c r="D168" s="1236" t="str">
        <f>VLOOKUP($B168,DG!A:D,DG!$B$2,)</f>
        <v>03.1013</v>
      </c>
      <c r="E168" s="1241" t="str">
        <f>VLOOKUP($B168,DG!A:D,DG!$C$2,)</f>
        <v>Đào hố móng đất cấp 3 sâu &gt;1m DT&lt;5m2</v>
      </c>
      <c r="F168" s="1236" t="str">
        <f>VLOOKUP($B168,DG!A:D,DG!$D$2,)</f>
        <v>m3</v>
      </c>
      <c r="G168" s="1914">
        <v>1.77</v>
      </c>
      <c r="H168" s="1250"/>
      <c r="I168" s="1250"/>
      <c r="J168" s="1250"/>
      <c r="K168" s="1250"/>
      <c r="L168" s="1250"/>
      <c r="M168" s="1250"/>
      <c r="N168" s="1250"/>
      <c r="O168" s="1250"/>
      <c r="P168" s="1250"/>
      <c r="Q168" s="1250"/>
      <c r="R168" s="1250"/>
      <c r="S168" s="1250"/>
      <c r="T168" s="1671"/>
      <c r="U168" s="1664" t="str">
        <f>IFERROR(VLOOKUP(B168,ChiTietDuToan!C:H,5,0),"")</f>
        <v>m3</v>
      </c>
      <c r="V168" s="2309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59" t="str">
        <f>IF(F5=1,"MDAP1",IF(F5=2,"MDAP2",IF(F5=3,"MDAP3",IF(F5=4,"MDAP4"))))</f>
        <v>MDAP3</v>
      </c>
      <c r="C169" s="67" t="str">
        <f t="shared" si="23"/>
        <v xml:space="preserve"> </v>
      </c>
      <c r="D169" s="1236" t="str">
        <f>VLOOKUP($B169,DG!A:D,DG!$B$2,)</f>
        <v>03.4113</v>
      </c>
      <c r="E169" s="1241" t="str">
        <f>VLOOKUP($B169,DG!A:D,DG!$C$2,)</f>
        <v>Đắp đất hố móng, độ chặt k=0,95</v>
      </c>
      <c r="F169" s="1236" t="str">
        <f>VLOOKUP($B169,DG!A:D,DG!$D$2,)</f>
        <v>m3</v>
      </c>
      <c r="G169" s="1914">
        <v>1.9319999999999999</v>
      </c>
      <c r="H169" s="1250"/>
      <c r="I169" s="1250"/>
      <c r="J169" s="1250"/>
      <c r="K169" s="1250"/>
      <c r="L169" s="1250"/>
      <c r="M169" s="1250"/>
      <c r="N169" s="1250"/>
      <c r="O169" s="1250"/>
      <c r="P169" s="1250"/>
      <c r="Q169" s="1250"/>
      <c r="R169" s="1250"/>
      <c r="S169" s="1250"/>
      <c r="T169" s="1671"/>
      <c r="U169" s="1664" t="str">
        <f>IFERROR(VLOOKUP(B169,ChiTietDuToan!C:H,5,0),"")</f>
        <v>m3</v>
      </c>
      <c r="V169" s="2309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59" t="s">
        <v>642</v>
      </c>
      <c r="C170" s="67" t="str">
        <f t="shared" si="23"/>
        <v xml:space="preserve"> </v>
      </c>
      <c r="D170" s="1236" t="str">
        <f>VLOOKUP($B170,DG!A:D,DG!$B$2,)</f>
        <v>02.1123</v>
      </c>
      <c r="E170" s="1241" t="str">
        <f>VLOOKUP($B170,DG!A:D,DG!$C$2,)</f>
        <v>Bốc dỡ đà cản, đế néo</v>
      </c>
      <c r="F170" s="1236" t="str">
        <f>VLOOKUP($B170,DG!A:D,DG!$D$2,)</f>
        <v>tấn</v>
      </c>
      <c r="G170" s="1914">
        <v>0.255</v>
      </c>
      <c r="H170" s="1245"/>
      <c r="I170" s="1245"/>
      <c r="J170" s="1245"/>
      <c r="K170" s="1245"/>
      <c r="L170" s="1245"/>
      <c r="M170" s="1245"/>
      <c r="N170" s="1245"/>
      <c r="O170" s="1245"/>
      <c r="P170" s="1245"/>
      <c r="Q170" s="1245"/>
      <c r="R170" s="1245"/>
      <c r="S170" s="1245"/>
      <c r="T170" s="1671"/>
      <c r="U170" s="1664" t="str">
        <f>IFERROR(VLOOKUP(B170,ChiTietDuToan!C:H,5,0),"")</f>
        <v/>
      </c>
      <c r="V170" s="2309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74" t="s">
        <v>2125</v>
      </c>
      <c r="C171" s="67" t="str">
        <f t="shared" si="23"/>
        <v xml:space="preserve"> </v>
      </c>
      <c r="D171" s="1236" t="str">
        <f>VLOOKUP($B171,DG!A:C,2,)</f>
        <v>02.1451</v>
      </c>
      <c r="E171" s="1241" t="str">
        <f>VLOOKUP($B171,DG!A:C,3,)</f>
        <v>V/c đà cản vào vị trí (cự ly &lt;=100m)</v>
      </c>
      <c r="F171" s="1236" t="str">
        <f>VLOOKUP($B171,DG!A:D,4,0)</f>
        <v>tấn</v>
      </c>
      <c r="G171" s="1914"/>
      <c r="H171" s="1250"/>
      <c r="I171" s="1250"/>
      <c r="J171" s="1250"/>
      <c r="K171" s="1250"/>
      <c r="L171" s="1250"/>
      <c r="M171" s="1250"/>
      <c r="N171" s="1250"/>
      <c r="O171" s="1250"/>
      <c r="P171" s="1250"/>
      <c r="Q171" s="1250"/>
      <c r="R171" s="1250"/>
      <c r="S171" s="1250"/>
      <c r="T171" s="1671"/>
      <c r="U171" s="1664" t="str">
        <f>IFERROR(VLOOKUP(B171,ChiTietDuToan!C:H,5,0),"")</f>
        <v/>
      </c>
      <c r="V171" s="2309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74" t="s">
        <v>679</v>
      </c>
      <c r="C172" s="67" t="str">
        <f t="shared" si="23"/>
        <v xml:space="preserve"> </v>
      </c>
      <c r="D172" s="1236" t="str">
        <f>VLOOKUP($B172,DG!A:C,2,)</f>
        <v>02.1241</v>
      </c>
      <c r="E172" s="1241" t="str">
        <f>VLOOKUP($B172,DG!A:C,3,)</f>
        <v>V/c đá dăm ( cự ly &lt;=100m)</v>
      </c>
      <c r="F172" s="1236" t="str">
        <f>VLOOKUP($B172,DG!A:D,4,0)</f>
        <v>m3</v>
      </c>
      <c r="G172" s="1913"/>
      <c r="H172" s="1250"/>
      <c r="I172" s="1250"/>
      <c r="J172" s="1250"/>
      <c r="K172" s="1250"/>
      <c r="L172" s="1250"/>
      <c r="M172" s="1250"/>
      <c r="N172" s="1250"/>
      <c r="O172" s="1250"/>
      <c r="P172" s="1250"/>
      <c r="Q172" s="1250"/>
      <c r="R172" s="1250"/>
      <c r="S172" s="1250"/>
      <c r="T172" s="1671"/>
      <c r="U172" s="1664" t="str">
        <f>IFERROR(VLOOKUP(B172,ChiTietDuToan!C:H,5,0),"")</f>
        <v/>
      </c>
      <c r="V172" s="2309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74" t="s">
        <v>640</v>
      </c>
      <c r="C173" s="67" t="str">
        <f t="shared" si="23"/>
        <v xml:space="preserve"> </v>
      </c>
      <c r="D173" s="1236" t="str">
        <f>VLOOKUP($B173,DG!A:C,2,)</f>
        <v>02.1482</v>
      </c>
      <c r="E173" s="1241" t="str">
        <f>VLOOKUP($B173,DG!A:C,3,)</f>
        <v>V/c dụng cụ thi công vào vị trí (cự ly &lt;=100m)</v>
      </c>
      <c r="F173" s="1236" t="str">
        <f>VLOOKUP($B173,DG!A:D,4,0)</f>
        <v>tấn</v>
      </c>
      <c r="G173" s="1914"/>
      <c r="H173" s="1250"/>
      <c r="I173" s="1250"/>
      <c r="J173" s="1250"/>
      <c r="K173" s="1250"/>
      <c r="L173" s="1250"/>
      <c r="M173" s="1250"/>
      <c r="N173" s="1250"/>
      <c r="O173" s="1250"/>
      <c r="P173" s="1250"/>
      <c r="Q173" s="1250"/>
      <c r="R173" s="1250"/>
      <c r="S173" s="1250"/>
      <c r="T173" s="1671"/>
      <c r="U173" s="1664" t="str">
        <f>IFERROR(VLOOKUP(B173,ChiTietDuToan!C:H,5,0),"")</f>
        <v/>
      </c>
      <c r="V173" s="2309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56"/>
      <c r="C174" s="65" t="str">
        <f t="shared" si="23"/>
        <v xml:space="preserve"> </v>
      </c>
      <c r="D174" s="1237"/>
      <c r="E174" s="1666" t="s">
        <v>2408</v>
      </c>
      <c r="F174" s="1238" t="s">
        <v>2391</v>
      </c>
      <c r="G174" s="1912"/>
      <c r="H174" s="1523">
        <f>SUM(I174:O174)+T174</f>
        <v>0</v>
      </c>
      <c r="I174" s="1239">
        <v>0</v>
      </c>
      <c r="J174" s="1239">
        <v>0</v>
      </c>
      <c r="K174" s="1239">
        <f>SUMIF(mong3p1m,chitiet!$A174,slmong3p1m)</f>
        <v>0</v>
      </c>
      <c r="L174" s="1239">
        <f>IFERROR(HLOOKUP(A174,pp1p!$6:$90,85,0),0)</f>
        <v>0</v>
      </c>
      <c r="M174" s="1239">
        <v>0</v>
      </c>
      <c r="N174" s="1239">
        <v>0</v>
      </c>
      <c r="O174" s="1239"/>
      <c r="P174" s="1239"/>
      <c r="Q174" s="1239"/>
      <c r="R174" s="1239"/>
      <c r="S174" s="1239"/>
      <c r="T174" s="1671"/>
      <c r="U174" s="1664">
        <f>IFERROR(VLOOKUP(B174,ChiTietDuToan!C:H,5,0),"")</f>
        <v>0</v>
      </c>
      <c r="V174" s="2309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57" t="s">
        <v>759</v>
      </c>
      <c r="C175" s="67" t="str">
        <f t="shared" si="23"/>
        <v xml:space="preserve"> </v>
      </c>
      <c r="D175" s="1240">
        <f>VLOOKUP($B175,DG!A:D,DG!$B$2,)</f>
        <v>0</v>
      </c>
      <c r="E175" s="1241" t="str">
        <f>VLOOKUP($B175,DG!A:D,DG!$C$2,)</f>
        <v xml:space="preserve">Ximăng </v>
      </c>
      <c r="F175" s="1240" t="str">
        <f>VLOOKUP($B175,DG!A:D,DG!$D$2,)</f>
        <v>kg</v>
      </c>
      <c r="G175" s="1919">
        <v>4.5999999999999996</v>
      </c>
      <c r="H175" s="1244">
        <f>$H$174*$G175</f>
        <v>0</v>
      </c>
      <c r="I175" s="1244">
        <f>I$491*$G175</f>
        <v>0</v>
      </c>
      <c r="J175" s="1244">
        <f>J$491*$G175</f>
        <v>0</v>
      </c>
      <c r="K175" s="1244">
        <f>K$339*$G175</f>
        <v>0</v>
      </c>
      <c r="L175" s="1244">
        <f>L$491*$G175</f>
        <v>0</v>
      </c>
      <c r="M175" s="1244">
        <f>M$491*$G175</f>
        <v>0</v>
      </c>
      <c r="N175" s="1244">
        <f>N$491*$G175</f>
        <v>0</v>
      </c>
      <c r="O175" s="1244"/>
      <c r="P175" s="1244"/>
      <c r="Q175" s="1244"/>
      <c r="R175" s="1244"/>
      <c r="S175" s="1244"/>
      <c r="T175" s="1671"/>
      <c r="U175" s="1664" t="str">
        <f>IFERROR(VLOOKUP(B175,ChiTietDuToan!C:H,5,0),"")</f>
        <v>kg</v>
      </c>
      <c r="V175" s="2309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58" t="s">
        <v>4665</v>
      </c>
      <c r="C176" s="67" t="str">
        <f>IF(OR(P176&lt;&gt;0,H176&lt;&gt;0),"x"," ")</f>
        <v xml:space="preserve"> </v>
      </c>
      <c r="D176" s="1240">
        <f>VLOOKUP($B176,DG!A:D,DG!$B$2,)</f>
        <v>0</v>
      </c>
      <c r="E176" s="1241" t="str">
        <f>VLOOKUP($B176,DG!A:D,DG!$C$2,)</f>
        <v>Cát vàng</v>
      </c>
      <c r="F176" s="1240" t="str">
        <f>VLOOKUP($B176,DG!A:D,DG!$D$2,)</f>
        <v>m3</v>
      </c>
      <c r="G176" s="1916">
        <v>8.0000000000000002E-3</v>
      </c>
      <c r="H176" s="1242">
        <f>$H$174*$G176</f>
        <v>0</v>
      </c>
      <c r="I176" s="1247"/>
      <c r="J176" s="1247"/>
      <c r="K176" s="1242">
        <f>K$339*$G176</f>
        <v>0</v>
      </c>
      <c r="L176" s="1247"/>
      <c r="M176" s="1247"/>
      <c r="N176" s="1247"/>
      <c r="O176" s="1247"/>
      <c r="P176" s="1242"/>
      <c r="Q176" s="1242"/>
      <c r="R176" s="1242"/>
      <c r="S176" s="1242"/>
      <c r="T176" s="1671"/>
      <c r="U176" s="1664" t="str">
        <f>IFERROR(VLOOKUP(B176,ChiTietDuToan!C:H,5,0),"")</f>
        <v>m3</v>
      </c>
      <c r="V176" s="2309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57" t="s">
        <v>884</v>
      </c>
      <c r="C177" s="67" t="str">
        <f t="shared" si="23"/>
        <v xml:space="preserve"> </v>
      </c>
      <c r="D177" s="1240">
        <f>VLOOKUP($B177,DG!A:D,DG!$B$2,)</f>
        <v>0</v>
      </c>
      <c r="E177" s="1241" t="str">
        <f>VLOOKUP($B177,DG!A:D,DG!$C$2,)</f>
        <v>Đá 1x2</v>
      </c>
      <c r="F177" s="1240" t="str">
        <f>VLOOKUP($B177,DG!A:D,DG!$D$2,)</f>
        <v>m3</v>
      </c>
      <c r="G177" s="1916">
        <v>1.2999999999999999E-2</v>
      </c>
      <c r="H177" s="1242">
        <f>$H$174*$G177</f>
        <v>0</v>
      </c>
      <c r="I177" s="1244"/>
      <c r="J177" s="1244"/>
      <c r="K177" s="1242">
        <f>K$339*$G177</f>
        <v>0</v>
      </c>
      <c r="L177" s="1244"/>
      <c r="M177" s="1244"/>
      <c r="N177" s="1244"/>
      <c r="O177" s="1244"/>
      <c r="P177" s="1242"/>
      <c r="Q177" s="1242"/>
      <c r="R177" s="1242"/>
      <c r="S177" s="1242"/>
      <c r="T177" s="1671"/>
      <c r="U177" s="1664" t="str">
        <f>IFERROR(VLOOKUP(B177,ChiTietDuToan!C:H,5,0),"")</f>
        <v/>
      </c>
      <c r="V177" s="2309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57" t="s">
        <v>2061</v>
      </c>
      <c r="C178" s="67" t="str">
        <f t="shared" si="23"/>
        <v xml:space="preserve"> </v>
      </c>
      <c r="D178" s="1240">
        <f>VLOOKUP($B178,DG!A:D,DG!$B$2,)</f>
        <v>0</v>
      </c>
      <c r="E178" s="1246" t="str">
        <f>VLOOKUP($B178,DG!A:D,DG!$C$2,)</f>
        <v>Sắt   Ø10</v>
      </c>
      <c r="F178" s="1240" t="str">
        <f>VLOOKUP($B178,DG!A:D,DG!$D$2,)</f>
        <v>kg</v>
      </c>
      <c r="G178" s="1916">
        <v>30</v>
      </c>
      <c r="H178" s="1242">
        <f>$H$174*$G178</f>
        <v>0</v>
      </c>
      <c r="I178" s="1247"/>
      <c r="J178" s="1247"/>
      <c r="K178" s="1242">
        <f>K$339*$G178</f>
        <v>0</v>
      </c>
      <c r="L178" s="1247"/>
      <c r="M178" s="1247"/>
      <c r="N178" s="1247"/>
      <c r="O178" s="1247"/>
      <c r="P178" s="1242"/>
      <c r="Q178" s="1242"/>
      <c r="R178" s="1242"/>
      <c r="S178" s="1242"/>
      <c r="T178" s="1671"/>
      <c r="U178" s="1664" t="str">
        <f>IFERROR(VLOOKUP(B178,ChiTietDuToan!C:H,5,0),"")</f>
        <v/>
      </c>
      <c r="V178" s="2309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57" t="s">
        <v>1458</v>
      </c>
      <c r="C179" s="67" t="str">
        <f t="shared" si="23"/>
        <v xml:space="preserve"> </v>
      </c>
      <c r="D179" s="1240">
        <f>VLOOKUP($B179,DG!A:D,DG!$B$2,)</f>
        <v>0</v>
      </c>
      <c r="E179" s="1246" t="str">
        <f>VLOOKUP($B179,DG!A:D,DG!$C$2,)</f>
        <v>Kẽm</v>
      </c>
      <c r="F179" s="1240" t="str">
        <f>VLOOKUP($B179,DG!A:D,DG!$D$2,)</f>
        <v>kg</v>
      </c>
      <c r="G179" s="1916">
        <v>0.65</v>
      </c>
      <c r="H179" s="1242">
        <f>$H$174*$G179</f>
        <v>0</v>
      </c>
      <c r="I179" s="1244"/>
      <c r="J179" s="1244"/>
      <c r="K179" s="1242">
        <f>K$339*$G179</f>
        <v>0</v>
      </c>
      <c r="L179" s="1244"/>
      <c r="M179" s="1244"/>
      <c r="N179" s="1244"/>
      <c r="O179" s="1244"/>
      <c r="P179" s="1242"/>
      <c r="Q179" s="1242"/>
      <c r="R179" s="1242"/>
      <c r="S179" s="1242"/>
      <c r="T179" s="1671"/>
      <c r="U179" s="1664" t="str">
        <f>IFERROR(VLOOKUP(B179,ChiTietDuToan!C:H,5,0),"")</f>
        <v/>
      </c>
      <c r="V179" s="2309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57" t="s">
        <v>1259</v>
      </c>
      <c r="C180" s="67" t="str">
        <f t="shared" si="23"/>
        <v xml:space="preserve"> </v>
      </c>
      <c r="D180" s="1240" t="str">
        <f>VLOOKUP($B180,DG!A:D,DG!$B$2,)</f>
        <v>03.1113</v>
      </c>
      <c r="E180" s="1246" t="str">
        <f>VLOOKUP($B180,DG!A:D,DG!$C$2,)</f>
        <v>Khoan cắt BT bằng máy khoan cằm tay</v>
      </c>
      <c r="F180" s="1240" t="str">
        <f>VLOOKUP($B180,DG!A:D,DG!$D$2,)</f>
        <v>m3</v>
      </c>
      <c r="G180" s="1916">
        <v>2.5000000000000001E-2</v>
      </c>
      <c r="H180" s="1242"/>
      <c r="I180" s="1244"/>
      <c r="J180" s="1244"/>
      <c r="K180" s="1242"/>
      <c r="L180" s="1244"/>
      <c r="M180" s="1244"/>
      <c r="N180" s="1244"/>
      <c r="O180" s="1244"/>
      <c r="P180" s="1242"/>
      <c r="Q180" s="1242"/>
      <c r="R180" s="1242"/>
      <c r="S180" s="1242"/>
      <c r="T180" s="1671"/>
      <c r="U180" s="1664" t="str">
        <f>IFERROR(VLOOKUP(B180,ChiTietDuToan!C:H,5,0),"")</f>
        <v/>
      </c>
      <c r="V180" s="2309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57" t="s">
        <v>644</v>
      </c>
      <c r="C181" s="67" t="str">
        <f t="shared" si="23"/>
        <v xml:space="preserve"> </v>
      </c>
      <c r="D181" s="1240" t="str">
        <f>VLOOKUP($B181,DG!A:D,DG!$B$2,)</f>
        <v>03.1013</v>
      </c>
      <c r="E181" s="1241" t="str">
        <f>VLOOKUP($B181,DG!A:D,DG!$C$2,)</f>
        <v>Đào hố móng đất cấp 3 sâu &gt;1m DT&lt;5m2</v>
      </c>
      <c r="F181" s="1240" t="str">
        <f>VLOOKUP($B181,DG!A:D,DG!$D$2,)</f>
        <v>m3</v>
      </c>
      <c r="G181" s="1916">
        <v>0.29399999999999998</v>
      </c>
      <c r="H181" s="1247"/>
      <c r="I181" s="1247"/>
      <c r="J181" s="1247"/>
      <c r="K181" s="1247"/>
      <c r="L181" s="1247"/>
      <c r="M181" s="1247"/>
      <c r="N181" s="1247"/>
      <c r="O181" s="1247"/>
      <c r="P181" s="1247"/>
      <c r="Q181" s="1247"/>
      <c r="R181" s="1247"/>
      <c r="S181" s="1247"/>
      <c r="T181" s="1671"/>
      <c r="U181" s="1664" t="str">
        <f>IFERROR(VLOOKUP(B181,ChiTietDuToan!C:H,5,0),"")</f>
        <v>m3</v>
      </c>
      <c r="V181" s="2309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57" t="s">
        <v>21</v>
      </c>
      <c r="C182" s="67" t="str">
        <f t="shared" si="23"/>
        <v xml:space="preserve"> </v>
      </c>
      <c r="D182" s="1240" t="str">
        <f>VLOOKUP($B182,DG!A:D,DG!$B$2,)</f>
        <v>03.4113</v>
      </c>
      <c r="E182" s="1241" t="str">
        <f>VLOOKUP($B182,DG!A:D,DG!$C$2,)</f>
        <v>Đắp đất hố móng, độ chặt k=0,95</v>
      </c>
      <c r="F182" s="1240" t="str">
        <f>VLOOKUP($B182,DG!A:D,DG!$D$2,)</f>
        <v>m3</v>
      </c>
      <c r="G182" s="1916">
        <v>0.15</v>
      </c>
      <c r="H182" s="1247"/>
      <c r="I182" s="1247"/>
      <c r="J182" s="1247"/>
      <c r="K182" s="1247"/>
      <c r="L182" s="1247"/>
      <c r="M182" s="1247"/>
      <c r="N182" s="1247"/>
      <c r="O182" s="1247"/>
      <c r="P182" s="1247"/>
      <c r="Q182" s="1247"/>
      <c r="R182" s="1247"/>
      <c r="S182" s="1247"/>
      <c r="T182" s="1671"/>
      <c r="U182" s="1664" t="str">
        <f>IFERROR(VLOOKUP(B182,ChiTietDuToan!C:H,5,0),"")</f>
        <v>m3</v>
      </c>
      <c r="V182" s="2309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57" t="s">
        <v>1326</v>
      </c>
      <c r="C183" s="67" t="str">
        <f t="shared" si="23"/>
        <v xml:space="preserve"> </v>
      </c>
      <c r="D183" s="1240" t="str">
        <f>VLOOKUP($B183,DG!A:D,DG!$B$2,)</f>
        <v>02.1101</v>
      </c>
      <c r="E183" s="1241" t="str">
        <f>VLOOKUP($B183,DG!A:D,DG!$C$2,)</f>
        <v>Bốc dỡ xi măng</v>
      </c>
      <c r="F183" s="1240" t="str">
        <f>VLOOKUP($B183,DG!A:D,DG!$D$2,)</f>
        <v>tấn</v>
      </c>
      <c r="G183" s="1916"/>
      <c r="H183" s="1247"/>
      <c r="I183" s="1247"/>
      <c r="J183" s="1247"/>
      <c r="K183" s="1247"/>
      <c r="L183" s="1247"/>
      <c r="M183" s="1247"/>
      <c r="N183" s="1247"/>
      <c r="O183" s="1247"/>
      <c r="P183" s="1247"/>
      <c r="Q183" s="1247"/>
      <c r="R183" s="1247"/>
      <c r="S183" s="1247"/>
      <c r="T183" s="1671"/>
      <c r="U183" s="1664" t="str">
        <f>IFERROR(VLOOKUP(B183,ChiTietDuToan!C:H,5,0),"")</f>
        <v/>
      </c>
      <c r="V183" s="2309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57" t="s">
        <v>134</v>
      </c>
      <c r="C184" s="67" t="str">
        <f t="shared" si="23"/>
        <v xml:space="preserve"> </v>
      </c>
      <c r="D184" s="1240" t="str">
        <f>VLOOKUP($B184,DG!A:D,DG!$B$2,)</f>
        <v>02.1103</v>
      </c>
      <c r="E184" s="1241" t="str">
        <f>VLOOKUP($B184,DG!A:D,DG!$C$2,)</f>
        <v>Bốc dỡ cát</v>
      </c>
      <c r="F184" s="1240" t="str">
        <f>VLOOKUP($B184,DG!A:D,DG!$D$2,)</f>
        <v>m3</v>
      </c>
      <c r="G184" s="1916"/>
      <c r="H184" s="1247"/>
      <c r="I184" s="1247"/>
      <c r="J184" s="1247"/>
      <c r="K184" s="1247"/>
      <c r="L184" s="1247"/>
      <c r="M184" s="1247"/>
      <c r="N184" s="1247"/>
      <c r="O184" s="1247"/>
      <c r="P184" s="1247"/>
      <c r="Q184" s="1247"/>
      <c r="R184" s="1247"/>
      <c r="S184" s="1247"/>
      <c r="T184" s="1671"/>
      <c r="U184" s="1664" t="str">
        <f>IFERROR(VLOOKUP(B184,ChiTietDuToan!C:H,5,0),"")</f>
        <v/>
      </c>
      <c r="V184" s="2309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57" t="s">
        <v>136</v>
      </c>
      <c r="C185" s="67" t="str">
        <f t="shared" si="23"/>
        <v xml:space="preserve"> </v>
      </c>
      <c r="D185" s="1240" t="str">
        <f>VLOOKUP($B185,DG!A:D,DG!$B$2,)</f>
        <v>02.1104</v>
      </c>
      <c r="E185" s="1241" t="str">
        <f>VLOOKUP($B185,DG!A:D,DG!$C$2,)</f>
        <v>Bốc dỡ đá dăm</v>
      </c>
      <c r="F185" s="1240" t="str">
        <f>VLOOKUP($B185,DG!A:D,DG!$D$2,)</f>
        <v>m3</v>
      </c>
      <c r="G185" s="1916"/>
      <c r="H185" s="1247"/>
      <c r="I185" s="1247"/>
      <c r="J185" s="1247"/>
      <c r="K185" s="1247"/>
      <c r="L185" s="1247"/>
      <c r="M185" s="1247"/>
      <c r="N185" s="1247"/>
      <c r="O185" s="1247"/>
      <c r="P185" s="1247"/>
      <c r="Q185" s="1247"/>
      <c r="R185" s="1247"/>
      <c r="S185" s="1247"/>
      <c r="T185" s="1671"/>
      <c r="U185" s="1664" t="str">
        <f>IFERROR(VLOOKUP(B185,ChiTietDuToan!C:H,5,0),"")</f>
        <v/>
      </c>
      <c r="V185" s="2309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57" t="s">
        <v>9</v>
      </c>
      <c r="C186" s="67" t="str">
        <f t="shared" si="23"/>
        <v xml:space="preserve"> </v>
      </c>
      <c r="D186" s="1240" t="str">
        <f>VLOOKUP($B186,DG!A:D,DG!$B$2,)</f>
        <v>04.5101</v>
      </c>
      <c r="E186" s="1241" t="str">
        <f>VLOOKUP($B186,DG!A:D,DG!$C$2,)</f>
        <v>Gia công và lắp dựng cốt thép D&lt;=10</v>
      </c>
      <c r="F186" s="1240" t="str">
        <f>VLOOKUP($B186,DG!A:D,DG!$D$2,)</f>
        <v>kg</v>
      </c>
      <c r="G186" s="1916">
        <f>G178</f>
        <v>30</v>
      </c>
      <c r="H186" s="1247"/>
      <c r="I186" s="1247"/>
      <c r="J186" s="1247"/>
      <c r="K186" s="1247"/>
      <c r="L186" s="1247"/>
      <c r="M186" s="1247"/>
      <c r="N186" s="1247"/>
      <c r="O186" s="1247"/>
      <c r="P186" s="1247"/>
      <c r="Q186" s="1247"/>
      <c r="R186" s="1247"/>
      <c r="S186" s="1247"/>
      <c r="T186" s="1671"/>
      <c r="U186" s="1664" t="str">
        <f>IFERROR(VLOOKUP(B186,ChiTietDuToan!C:H,5,0),"")</f>
        <v/>
      </c>
      <c r="V186" s="2309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57" t="s">
        <v>1888</v>
      </c>
      <c r="C187" s="67" t="str">
        <f t="shared" si="23"/>
        <v xml:space="preserve"> </v>
      </c>
      <c r="D187" s="1240" t="str">
        <f>VLOOKUP($B187,DG!A:D,DG!$B$2,)</f>
        <v>04.1203b</v>
      </c>
      <c r="E187" s="1241" t="str">
        <f>VLOOKUP($B187,DG!A:D,DG!$C$2,)&amp; ": Taùi laäp laïi neàn"</f>
        <v>Đổ bê tông mác M150 đá 1x2: Taùi laäp laïi neàn</v>
      </c>
      <c r="F187" s="1240" t="str">
        <f>VLOOKUP($B187,DG!A:D,DG!$D$2,)</f>
        <v>m3</v>
      </c>
      <c r="G187" s="1916">
        <v>1.4999999999999999E-2</v>
      </c>
      <c r="H187" s="1247"/>
      <c r="I187" s="1247"/>
      <c r="J187" s="1247"/>
      <c r="K187" s="1247"/>
      <c r="L187" s="1247"/>
      <c r="M187" s="1247"/>
      <c r="N187" s="1247"/>
      <c r="O187" s="1247"/>
      <c r="P187" s="1247"/>
      <c r="Q187" s="1247"/>
      <c r="R187" s="1247"/>
      <c r="S187" s="1247"/>
      <c r="T187" s="1671"/>
      <c r="U187" s="1664" t="str">
        <f>IFERROR(VLOOKUP(B187,ChiTietDuToan!C:H,5,0),"")</f>
        <v/>
      </c>
      <c r="V187" s="2309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56"/>
      <c r="C188" s="65" t="str">
        <f t="shared" ca="1" si="23"/>
        <v xml:space="preserve"> </v>
      </c>
      <c r="D188" s="1237"/>
      <c r="E188" s="1666" t="s">
        <v>2409</v>
      </c>
      <c r="F188" s="1238" t="s">
        <v>2391</v>
      </c>
      <c r="G188" s="1912"/>
      <c r="H188" s="1523">
        <f ca="1">SUM(I188:O188)+T188</f>
        <v>0</v>
      </c>
      <c r="I188" s="1239">
        <f ca="1">SUMIF(mong3pm,chitiet!$A188,slmong3pm)+SUMIF(mong3p1m,chitiet!$A188,slmong3p1m)</f>
        <v>0</v>
      </c>
      <c r="J188" s="1239">
        <f ca="1">SUMIF(mongct,chitiet!$A188,slmongct)</f>
        <v>0</v>
      </c>
      <c r="K188" s="1239">
        <f>SUMIF(mong3p1m,chitiet!$A188,slmong3p1m)</f>
        <v>0</v>
      </c>
      <c r="L188" s="1239">
        <f>IFERROR(HLOOKUP(A188,pp1p!$6:$90,85,0),0)</f>
        <v>0</v>
      </c>
      <c r="M188" s="1239">
        <f ca="1">SUMIF(mongHTHH,chitiet!$A188,slmongHTHH)</f>
        <v>0</v>
      </c>
      <c r="N188" s="1239">
        <f ca="1">SUMIF(mongHTDL,chitiet!$A188,slmongHTDL)</f>
        <v>0</v>
      </c>
      <c r="O188" s="1239"/>
      <c r="P188" s="1239"/>
      <c r="Q188" s="1239"/>
      <c r="R188" s="1239"/>
      <c r="S188" s="1239"/>
      <c r="T188" s="1671"/>
      <c r="U188" s="1664">
        <f>IFERROR(VLOOKUP(B188,ChiTietDuToan!C:H,5,0),"")</f>
        <v>0</v>
      </c>
      <c r="V188" s="2309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59" t="s">
        <v>641</v>
      </c>
      <c r="C189" s="67" t="str">
        <f t="shared" ca="1" si="23"/>
        <v xml:space="preserve"> </v>
      </c>
      <c r="D189" s="1236" t="str">
        <f>VLOOKUP($B189,DG!A:D,DG!$B$2,)</f>
        <v>04.4001</v>
      </c>
      <c r="E189" s="1248" t="str">
        <f>VLOOKUP($B189,DG!A:D,DG!$C$2,)</f>
        <v>Đà cản BTCT 1,2m</v>
      </c>
      <c r="F189" s="1236" t="str">
        <f>VLOOKUP($B189,DG!A:D,DG!$D$2,)</f>
        <v>cái</v>
      </c>
      <c r="G189" s="1915">
        <v>2</v>
      </c>
      <c r="H189" s="1245">
        <f ca="1">H$188*$G189</f>
        <v>0</v>
      </c>
      <c r="I189" s="1245">
        <f t="shared" ref="I189:N190" ca="1" si="32">I$188*$G189</f>
        <v>0</v>
      </c>
      <c r="J189" s="1245">
        <f t="shared" ca="1" si="32"/>
        <v>0</v>
      </c>
      <c r="K189" s="1245">
        <f t="shared" si="32"/>
        <v>0</v>
      </c>
      <c r="L189" s="1245">
        <f t="shared" si="32"/>
        <v>0</v>
      </c>
      <c r="M189" s="1245">
        <f t="shared" ca="1" si="32"/>
        <v>0</v>
      </c>
      <c r="N189" s="1245">
        <f t="shared" ca="1" si="32"/>
        <v>0</v>
      </c>
      <c r="O189" s="1245"/>
      <c r="P189" s="1245"/>
      <c r="Q189" s="1245"/>
      <c r="R189" s="1245"/>
      <c r="S189" s="1245"/>
      <c r="T189" s="1671"/>
      <c r="U189" s="1664" t="str">
        <f>IFERROR(VLOOKUP(B189,ChiTietDuToan!C:H,5,0),"")</f>
        <v>cái</v>
      </c>
      <c r="V189" s="2309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59" t="s">
        <v>570</v>
      </c>
      <c r="C190" s="67" t="str">
        <f t="shared" ca="1" si="23"/>
        <v xml:space="preserve"> </v>
      </c>
      <c r="D190" s="1236"/>
      <c r="E190" s="1248" t="str">
        <f>VLOOKUP($B190,DG!A:D,DG!$C$2,)</f>
        <v>Boulon 22x650+ 2 long đền vuông D24-50x50x3/Zn</v>
      </c>
      <c r="F190" s="1236" t="str">
        <f>VLOOKUP($B190,DG!A:D,DG!$D$2,)</f>
        <v>bộ</v>
      </c>
      <c r="G190" s="1915">
        <v>2</v>
      </c>
      <c r="H190" s="1245">
        <f ca="1">H$188*$G190</f>
        <v>0</v>
      </c>
      <c r="I190" s="1245">
        <f t="shared" ca="1" si="32"/>
        <v>0</v>
      </c>
      <c r="J190" s="1245">
        <f t="shared" ca="1" si="32"/>
        <v>0</v>
      </c>
      <c r="K190" s="1245">
        <f t="shared" si="32"/>
        <v>0</v>
      </c>
      <c r="L190" s="1245">
        <f t="shared" si="32"/>
        <v>0</v>
      </c>
      <c r="M190" s="1245">
        <f t="shared" ca="1" si="32"/>
        <v>0</v>
      </c>
      <c r="N190" s="1245">
        <f t="shared" ca="1" si="32"/>
        <v>0</v>
      </c>
      <c r="O190" s="1245"/>
      <c r="P190" s="1245"/>
      <c r="Q190" s="1245"/>
      <c r="R190" s="1245"/>
      <c r="S190" s="1245"/>
      <c r="T190" s="1671"/>
      <c r="U190" s="1664" t="str">
        <f>IFERROR(VLOOKUP(B190,ChiTietDuToan!C:H,5,0),"")</f>
        <v>bộ</v>
      </c>
      <c r="V190" s="2309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59" t="str">
        <f>IF(F5=1,"MDD1",IF(F5=2,"MDD2",IF(F5=3,"MDD3",IF(F5=4,"MDD4"))))</f>
        <v>MDD3</v>
      </c>
      <c r="C191" s="67" t="str">
        <f t="shared" si="23"/>
        <v xml:space="preserve"> </v>
      </c>
      <c r="D191" s="1236" t="str">
        <f>VLOOKUP($B191,DG!A:D,DG!$B$2,)</f>
        <v>03.1013</v>
      </c>
      <c r="E191" s="1241" t="str">
        <f>VLOOKUP($B191,DG!A:D,DG!$C$2,)</f>
        <v>Đào hố móng đất cấp 3 sâu &gt;1m DT&lt;5m2</v>
      </c>
      <c r="F191" s="1236" t="str">
        <f>VLOOKUP($B191,DG!A:D,DG!$D$2,)</f>
        <v>m3</v>
      </c>
      <c r="G191" s="1914">
        <v>5.39</v>
      </c>
      <c r="H191" s="1250"/>
      <c r="I191" s="1250"/>
      <c r="J191" s="1250"/>
      <c r="K191" s="1250"/>
      <c r="L191" s="1250"/>
      <c r="M191" s="1250"/>
      <c r="N191" s="1250"/>
      <c r="O191" s="1250"/>
      <c r="P191" s="1250"/>
      <c r="Q191" s="1250"/>
      <c r="R191" s="1250"/>
      <c r="S191" s="1250"/>
      <c r="T191" s="1671"/>
      <c r="U191" s="1664" t="str">
        <f>IFERROR(VLOOKUP(B191,ChiTietDuToan!C:H,5,0),"")</f>
        <v>m3</v>
      </c>
      <c r="V191" s="2309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59" t="str">
        <f>IF(F5=1,"MDAP1",IF(F5=2,"MDAP2",IF(F5=3,"MDAP3",IF(F5=4,"MDAP4"))))</f>
        <v>MDAP3</v>
      </c>
      <c r="C192" s="67" t="str">
        <f t="shared" si="23"/>
        <v xml:space="preserve"> </v>
      </c>
      <c r="D192" s="1236" t="str">
        <f>VLOOKUP($B192,DG!A:D,DG!$B$2,)</f>
        <v>03.4113</v>
      </c>
      <c r="E192" s="1241" t="str">
        <f>VLOOKUP($B192,DG!A:D,DG!$C$2,)</f>
        <v>Đắp đất hố móng, độ chặt k=0,95</v>
      </c>
      <c r="F192" s="1236" t="str">
        <f>VLOOKUP($B192,DG!A:D,DG!$D$2,)</f>
        <v>m3</v>
      </c>
      <c r="G192" s="1914">
        <v>6.37</v>
      </c>
      <c r="H192" s="1250"/>
      <c r="I192" s="1250"/>
      <c r="J192" s="1250"/>
      <c r="K192" s="1250"/>
      <c r="L192" s="1250"/>
      <c r="M192" s="1250"/>
      <c r="N192" s="1250"/>
      <c r="O192" s="1250"/>
      <c r="P192" s="1250"/>
      <c r="Q192" s="1250"/>
      <c r="R192" s="1250"/>
      <c r="S192" s="1250"/>
      <c r="T192" s="1671"/>
      <c r="U192" s="1664" t="str">
        <f>IFERROR(VLOOKUP(B192,ChiTietDuToan!C:H,5,0),"")</f>
        <v>m3</v>
      </c>
      <c r="V192" s="2309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59" t="s">
        <v>642</v>
      </c>
      <c r="C193" s="67" t="str">
        <f t="shared" si="23"/>
        <v xml:space="preserve"> </v>
      </c>
      <c r="D193" s="1236" t="str">
        <f>VLOOKUP($B193,DG!A:D,DG!$B$2,)</f>
        <v>02.1123</v>
      </c>
      <c r="E193" s="1241" t="str">
        <f>VLOOKUP($B193,DG!A:D,DG!$C$2,)</f>
        <v>Bốc dỡ đà cản, đế néo</v>
      </c>
      <c r="F193" s="1236" t="str">
        <f>VLOOKUP($B193,DG!A:D,DG!$D$2,)</f>
        <v>tấn</v>
      </c>
      <c r="G193" s="1914"/>
      <c r="H193" s="1245"/>
      <c r="I193" s="1245"/>
      <c r="J193" s="1245"/>
      <c r="K193" s="1245"/>
      <c r="L193" s="1245"/>
      <c r="M193" s="1245"/>
      <c r="N193" s="1245"/>
      <c r="O193" s="1245"/>
      <c r="P193" s="1245"/>
      <c r="Q193" s="1245"/>
      <c r="R193" s="1245"/>
      <c r="S193" s="1245"/>
      <c r="T193" s="1671"/>
      <c r="U193" s="1664" t="str">
        <f>IFERROR(VLOOKUP(B193,ChiTietDuToan!C:H,5,0),"")</f>
        <v/>
      </c>
      <c r="V193" s="2309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74" t="s">
        <v>2125</v>
      </c>
      <c r="C194" s="67" t="str">
        <f t="shared" si="23"/>
        <v xml:space="preserve"> </v>
      </c>
      <c r="D194" s="1236" t="str">
        <f>VLOOKUP($B194,DG!A:C,2,)</f>
        <v>02.1451</v>
      </c>
      <c r="E194" s="1241" t="str">
        <f>VLOOKUP($B194,DG!A:C,3,)</f>
        <v>V/c đà cản vào vị trí (cự ly &lt;=100m)</v>
      </c>
      <c r="F194" s="1236" t="str">
        <f>VLOOKUP($B194,DG!A:D,4,0)</f>
        <v>tấn</v>
      </c>
      <c r="G194" s="1914"/>
      <c r="H194" s="1250"/>
      <c r="I194" s="1250"/>
      <c r="J194" s="1250"/>
      <c r="K194" s="1250"/>
      <c r="L194" s="1250"/>
      <c r="M194" s="1250"/>
      <c r="N194" s="1250"/>
      <c r="O194" s="1250"/>
      <c r="P194" s="1250"/>
      <c r="Q194" s="1250"/>
      <c r="R194" s="1250"/>
      <c r="S194" s="1250"/>
      <c r="T194" s="1671"/>
      <c r="U194" s="1664" t="str">
        <f>IFERROR(VLOOKUP(B194,ChiTietDuToan!C:H,5,0),"")</f>
        <v/>
      </c>
      <c r="V194" s="2309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74" t="s">
        <v>640</v>
      </c>
      <c r="C195" s="67" t="str">
        <f t="shared" si="23"/>
        <v xml:space="preserve"> </v>
      </c>
      <c r="D195" s="1236" t="str">
        <f>VLOOKUP($B195,DG!A:C,2,)</f>
        <v>02.1482</v>
      </c>
      <c r="E195" s="1241" t="str">
        <f>VLOOKUP($B195,DG!A:C,3,)</f>
        <v>V/c dụng cụ thi công vào vị trí (cự ly &lt;=100m)</v>
      </c>
      <c r="F195" s="1236" t="str">
        <f>VLOOKUP($B195,DG!A:D,4,0)</f>
        <v>tấn</v>
      </c>
      <c r="G195" s="1914"/>
      <c r="H195" s="1250"/>
      <c r="I195" s="1250"/>
      <c r="J195" s="1250"/>
      <c r="K195" s="1250"/>
      <c r="L195" s="1250"/>
      <c r="M195" s="1250"/>
      <c r="N195" s="1250"/>
      <c r="O195" s="1250"/>
      <c r="P195" s="1250"/>
      <c r="Q195" s="1250"/>
      <c r="R195" s="1250"/>
      <c r="S195" s="1250"/>
      <c r="T195" s="1671"/>
      <c r="U195" s="1664" t="str">
        <f>IFERROR(VLOOKUP(B195,ChiTietDuToan!C:H,5,0),"")</f>
        <v/>
      </c>
      <c r="V195" s="2309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56"/>
      <c r="C196" s="65" t="str">
        <f t="shared" ca="1" si="23"/>
        <v xml:space="preserve"> </v>
      </c>
      <c r="D196" s="1237"/>
      <c r="E196" s="1666" t="s">
        <v>2410</v>
      </c>
      <c r="F196" s="1238" t="s">
        <v>2391</v>
      </c>
      <c r="G196" s="1912"/>
      <c r="H196" s="1523">
        <f ca="1">SUM(I196:O196)+T196</f>
        <v>0</v>
      </c>
      <c r="I196" s="1239"/>
      <c r="J196" s="1239">
        <f ca="1">SUMIF(mongct,chitiet!$A196,slmongct)</f>
        <v>0</v>
      </c>
      <c r="K196" s="1239"/>
      <c r="L196" s="1239">
        <f>IFERROR(HLOOKUP(A196,pp1p!$6:$90,85,0),0)</f>
        <v>0</v>
      </c>
      <c r="M196" s="1239">
        <f ca="1">SUMIF(mongHTHH,chitiet!$A196,slmongHTHH)</f>
        <v>0</v>
      </c>
      <c r="N196" s="1239">
        <f ca="1">SUMIF(mongHTDL,chitiet!$A196,slmongHTDL)</f>
        <v>0</v>
      </c>
      <c r="O196" s="1239"/>
      <c r="P196" s="1239"/>
      <c r="Q196" s="1239"/>
      <c r="R196" s="1239"/>
      <c r="S196" s="1239"/>
      <c r="T196" s="1671"/>
      <c r="U196" s="1664">
        <f>IFERROR(VLOOKUP(B196,ChiTietDuToan!C:H,5,0),"")</f>
        <v>0</v>
      </c>
      <c r="V196" s="2309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59" t="s">
        <v>641</v>
      </c>
      <c r="C197" s="67" t="str">
        <f t="shared" ca="1" si="23"/>
        <v xml:space="preserve"> </v>
      </c>
      <c r="D197" s="1236" t="str">
        <f>VLOOKUP($B197,DG!A:D,DG!$B$2,)</f>
        <v>04.4001</v>
      </c>
      <c r="E197" s="1248" t="str">
        <f>VLOOKUP($B197,DG!A:D,DG!$C$2,)</f>
        <v>Đà cản BTCT 1,2m</v>
      </c>
      <c r="F197" s="1236" t="str">
        <f>VLOOKUP($B197,DG!A:D,DG!$D$2,)</f>
        <v>cái</v>
      </c>
      <c r="G197" s="1915">
        <v>1</v>
      </c>
      <c r="H197" s="1245">
        <f ca="1">H$196*$G197</f>
        <v>0</v>
      </c>
      <c r="I197" s="1245">
        <f t="shared" ref="I197:N199" si="33">I$196*$G197</f>
        <v>0</v>
      </c>
      <c r="J197" s="1245">
        <f t="shared" ca="1" si="33"/>
        <v>0</v>
      </c>
      <c r="K197" s="1245">
        <f>K$196*$G197</f>
        <v>0</v>
      </c>
      <c r="L197" s="1245">
        <f t="shared" si="33"/>
        <v>0</v>
      </c>
      <c r="M197" s="1245">
        <f t="shared" ca="1" si="33"/>
        <v>0</v>
      </c>
      <c r="N197" s="1245">
        <f t="shared" ca="1" si="33"/>
        <v>0</v>
      </c>
      <c r="O197" s="1245"/>
      <c r="P197" s="1245"/>
      <c r="Q197" s="1245"/>
      <c r="R197" s="1245"/>
      <c r="S197" s="1245"/>
      <c r="T197" s="1671"/>
      <c r="U197" s="1664" t="str">
        <f>IFERROR(VLOOKUP(B197,ChiTietDuToan!C:H,5,0),"")</f>
        <v>cái</v>
      </c>
      <c r="V197" s="2309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59" t="s">
        <v>1627</v>
      </c>
      <c r="C198" s="67" t="str">
        <f t="shared" ca="1" si="23"/>
        <v xml:space="preserve"> </v>
      </c>
      <c r="D198" s="1236" t="str">
        <f>VLOOKUP($B198,DG!A:D,DG!$B$2,)</f>
        <v>04.3801</v>
      </c>
      <c r="E198" s="1248" t="str">
        <f>VLOOKUP($B198,DG!A:D,DG!$C$2,)</f>
        <v>Đà cản BTCT 1,5m</v>
      </c>
      <c r="F198" s="1236" t="str">
        <f>VLOOKUP($B198,DG!A:D,DG!$D$2,)</f>
        <v>cái</v>
      </c>
      <c r="G198" s="1915">
        <v>1</v>
      </c>
      <c r="H198" s="1245">
        <f ca="1">H$196*$G198</f>
        <v>0</v>
      </c>
      <c r="I198" s="1245">
        <f t="shared" si="33"/>
        <v>0</v>
      </c>
      <c r="J198" s="1245">
        <f t="shared" ca="1" si="33"/>
        <v>0</v>
      </c>
      <c r="K198" s="1245">
        <f t="shared" si="33"/>
        <v>0</v>
      </c>
      <c r="L198" s="1245">
        <f t="shared" si="33"/>
        <v>0</v>
      </c>
      <c r="M198" s="1245">
        <f t="shared" ca="1" si="33"/>
        <v>0</v>
      </c>
      <c r="N198" s="1245">
        <f t="shared" ca="1" si="33"/>
        <v>0</v>
      </c>
      <c r="O198" s="1245"/>
      <c r="P198" s="1245"/>
      <c r="Q198" s="1245"/>
      <c r="R198" s="1245"/>
      <c r="S198" s="1245"/>
      <c r="T198" s="1671"/>
      <c r="U198" s="1664" t="str">
        <f>IFERROR(VLOOKUP(B198,ChiTietDuToan!C:H,5,0),"")</f>
        <v>cái</v>
      </c>
      <c r="V198" s="2309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59" t="s">
        <v>570</v>
      </c>
      <c r="C199" s="67" t="str">
        <f t="shared" ca="1" si="23"/>
        <v xml:space="preserve"> </v>
      </c>
      <c r="D199" s="1236"/>
      <c r="E199" s="1248" t="str">
        <f>VLOOKUP($B199,DG!A:D,DG!$C$2,)</f>
        <v>Boulon 22x650+ 2 long đền vuông D24-50x50x3/Zn</v>
      </c>
      <c r="F199" s="1236" t="str">
        <f>VLOOKUP($B199,DG!A:D,DG!$D$2,)</f>
        <v>bộ</v>
      </c>
      <c r="G199" s="1915">
        <v>2</v>
      </c>
      <c r="H199" s="1245">
        <f ca="1">H$196*$G199</f>
        <v>0</v>
      </c>
      <c r="I199" s="1245">
        <f t="shared" si="33"/>
        <v>0</v>
      </c>
      <c r="J199" s="1245">
        <f t="shared" ca="1" si="33"/>
        <v>0</v>
      </c>
      <c r="K199" s="1245">
        <f t="shared" si="33"/>
        <v>0</v>
      </c>
      <c r="L199" s="1245">
        <f t="shared" si="33"/>
        <v>0</v>
      </c>
      <c r="M199" s="1245">
        <f t="shared" ca="1" si="33"/>
        <v>0</v>
      </c>
      <c r="N199" s="1245">
        <f t="shared" ca="1" si="33"/>
        <v>0</v>
      </c>
      <c r="O199" s="1245"/>
      <c r="P199" s="1245"/>
      <c r="Q199" s="1245"/>
      <c r="R199" s="1245"/>
      <c r="S199" s="1245"/>
      <c r="T199" s="1671"/>
      <c r="U199" s="1664" t="str">
        <f>IFERROR(VLOOKUP(B199,ChiTietDuToan!C:H,5,0),"")</f>
        <v>bộ</v>
      </c>
      <c r="V199" s="2309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59" t="str">
        <f>IF(F5=1,"MDD1",IF(F5=2,"MDD2",IF(F5=3,"MDD3",IF(F5=4,"MDD4"))))</f>
        <v>MDD3</v>
      </c>
      <c r="C200" s="67" t="str">
        <f t="shared" si="23"/>
        <v xml:space="preserve"> </v>
      </c>
      <c r="D200" s="1236" t="str">
        <f>VLOOKUP($B200,DG!A:D,DG!$B$2,)</f>
        <v>03.1013</v>
      </c>
      <c r="E200" s="1241" t="str">
        <f>VLOOKUP($B200,DG!A:D,DG!$C$2,)</f>
        <v>Đào hố móng đất cấp 3 sâu &gt;1m DT&lt;5m2</v>
      </c>
      <c r="F200" s="1236" t="str">
        <f>VLOOKUP($B200,DG!A:D,DG!$D$2,)</f>
        <v>m3</v>
      </c>
      <c r="G200" s="1914">
        <v>5.56</v>
      </c>
      <c r="H200" s="1250"/>
      <c r="I200" s="1250"/>
      <c r="J200" s="1250"/>
      <c r="K200" s="1250"/>
      <c r="L200" s="1250"/>
      <c r="M200" s="1250"/>
      <c r="N200" s="1250"/>
      <c r="O200" s="1250"/>
      <c r="P200" s="1250"/>
      <c r="Q200" s="1250"/>
      <c r="R200" s="1250"/>
      <c r="S200" s="1250"/>
      <c r="T200" s="1671"/>
      <c r="U200" s="1664" t="str">
        <f>IFERROR(VLOOKUP(B200,ChiTietDuToan!C:H,5,0),"")</f>
        <v>m3</v>
      </c>
      <c r="V200" s="2309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59" t="str">
        <f>IF(F5=1,"MDAP1",IF(F5=2,"MDAP2",IF(F5=3,"MDAP3",IF(F5=4,"MDAP4"))))</f>
        <v>MDAP3</v>
      </c>
      <c r="C201" s="67" t="str">
        <f t="shared" si="23"/>
        <v xml:space="preserve"> </v>
      </c>
      <c r="D201" s="1236" t="str">
        <f>VLOOKUP($B201,DG!A:D,DG!$B$2,)</f>
        <v>03.4113</v>
      </c>
      <c r="E201" s="1241" t="str">
        <f>VLOOKUP($B201,DG!A:D,DG!$C$2,)</f>
        <v>Đắp đất hố móng, độ chặt k=0,95</v>
      </c>
      <c r="F201" s="1236" t="str">
        <f>VLOOKUP($B201,DG!A:D,DG!$D$2,)</f>
        <v>m3</v>
      </c>
      <c r="G201" s="1914">
        <v>6.54</v>
      </c>
      <c r="H201" s="1250"/>
      <c r="I201" s="1250"/>
      <c r="J201" s="1250"/>
      <c r="K201" s="1250"/>
      <c r="L201" s="1250"/>
      <c r="M201" s="1250"/>
      <c r="N201" s="1250"/>
      <c r="O201" s="1250"/>
      <c r="P201" s="1250"/>
      <c r="Q201" s="1250"/>
      <c r="R201" s="1250"/>
      <c r="S201" s="1250"/>
      <c r="T201" s="1671"/>
      <c r="U201" s="1664" t="str">
        <f>IFERROR(VLOOKUP(B201,ChiTietDuToan!C:H,5,0),"")</f>
        <v>m3</v>
      </c>
      <c r="V201" s="2309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59" t="s">
        <v>1628</v>
      </c>
      <c r="C202" s="67" t="str">
        <f t="shared" si="23"/>
        <v xml:space="preserve"> </v>
      </c>
      <c r="D202" s="1236" t="str">
        <f>VLOOKUP($B202,DG!A:D,DG!$B$2,)</f>
        <v>02.1123</v>
      </c>
      <c r="E202" s="1241" t="str">
        <f>VLOOKUP($B202,DG!A:D,DG!$C$2,)</f>
        <v>Bốc dỡ đà cản, đế néo</v>
      </c>
      <c r="F202" s="1236" t="str">
        <f>VLOOKUP($B202,DG!A:D,DG!$D$2,)</f>
        <v>tấn</v>
      </c>
      <c r="G202" s="1914"/>
      <c r="H202" s="1245"/>
      <c r="I202" s="1245"/>
      <c r="J202" s="1245"/>
      <c r="K202" s="1245"/>
      <c r="L202" s="1245"/>
      <c r="M202" s="1245"/>
      <c r="N202" s="1245"/>
      <c r="O202" s="1245"/>
      <c r="P202" s="1245"/>
      <c r="Q202" s="1245"/>
      <c r="R202" s="1245"/>
      <c r="S202" s="1245"/>
      <c r="T202" s="1671"/>
      <c r="U202" s="1664" t="str">
        <f>IFERROR(VLOOKUP(B202,ChiTietDuToan!C:H,5,0),"")</f>
        <v/>
      </c>
      <c r="V202" s="2309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74" t="s">
        <v>2125</v>
      </c>
      <c r="C203" s="67" t="str">
        <f t="shared" si="23"/>
        <v xml:space="preserve"> </v>
      </c>
      <c r="D203" s="1236" t="str">
        <f>VLOOKUP($B203,DG!A:C,2,)</f>
        <v>02.1451</v>
      </c>
      <c r="E203" s="1241" t="str">
        <f>VLOOKUP($B203,DG!A:C,3,)</f>
        <v>V/c đà cản vào vị trí (cự ly &lt;=100m)</v>
      </c>
      <c r="F203" s="1236" t="str">
        <f>VLOOKUP($B203,DG!A:D,4,0)</f>
        <v>tấn</v>
      </c>
      <c r="G203" s="1914"/>
      <c r="H203" s="1250"/>
      <c r="I203" s="1250"/>
      <c r="J203" s="1250"/>
      <c r="K203" s="1250"/>
      <c r="L203" s="1250"/>
      <c r="M203" s="1250"/>
      <c r="N203" s="1250"/>
      <c r="O203" s="1250"/>
      <c r="P203" s="1250"/>
      <c r="Q203" s="1250"/>
      <c r="R203" s="1250"/>
      <c r="S203" s="1250"/>
      <c r="T203" s="1671"/>
      <c r="U203" s="1664" t="str">
        <f>IFERROR(VLOOKUP(B203,ChiTietDuToan!C:H,5,0),"")</f>
        <v/>
      </c>
      <c r="V203" s="2309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74" t="s">
        <v>640</v>
      </c>
      <c r="C204" s="67" t="str">
        <f t="shared" si="23"/>
        <v xml:space="preserve"> </v>
      </c>
      <c r="D204" s="1236" t="str">
        <f>VLOOKUP($B204,DG!A:C,2,)</f>
        <v>02.1482</v>
      </c>
      <c r="E204" s="1241" t="str">
        <f>VLOOKUP($B204,DG!A:C,3,)</f>
        <v>V/c dụng cụ thi công vào vị trí (cự ly &lt;=100m)</v>
      </c>
      <c r="F204" s="1236" t="str">
        <f>VLOOKUP($B204,DG!A:D,4,0)</f>
        <v>tấn</v>
      </c>
      <c r="G204" s="1914"/>
      <c r="H204" s="1250"/>
      <c r="I204" s="1250"/>
      <c r="J204" s="1250"/>
      <c r="K204" s="1250"/>
      <c r="L204" s="1250"/>
      <c r="M204" s="1250"/>
      <c r="N204" s="1250"/>
      <c r="O204" s="1250"/>
      <c r="P204" s="1250"/>
      <c r="Q204" s="1250"/>
      <c r="R204" s="1250"/>
      <c r="S204" s="1250"/>
      <c r="T204" s="1671"/>
      <c r="U204" s="1664" t="str">
        <f>IFERROR(VLOOKUP(B204,ChiTietDuToan!C:H,5,0),"")</f>
        <v/>
      </c>
      <c r="V204" s="2309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56"/>
      <c r="C205" s="65" t="str">
        <f t="shared" ca="1" si="23"/>
        <v xml:space="preserve"> </v>
      </c>
      <c r="D205" s="1237"/>
      <c r="E205" s="1666" t="s">
        <v>2411</v>
      </c>
      <c r="F205" s="1238" t="s">
        <v>2391</v>
      </c>
      <c r="G205" s="1912"/>
      <c r="H205" s="1523">
        <f ca="1">SUM(I205:O205)+T205</f>
        <v>0</v>
      </c>
      <c r="I205" s="1239">
        <f ca="1">SUMIF(mong3pm,chitiet!$A205,slmong3pm)+SUMIF(mong3p1m,chitiet!$A205,slmong3p1m)</f>
        <v>0</v>
      </c>
      <c r="J205" s="1239">
        <f ca="1">SUMIF(mongct,chitiet!$A205,slmongct)</f>
        <v>0</v>
      </c>
      <c r="K205" s="1239">
        <f>SUMIF(mong3p1m,chitiet!$A205,slmong3p1m)</f>
        <v>0</v>
      </c>
      <c r="L205" s="1239">
        <f>IFERROR(HLOOKUP(A205,pp1p!$6:$90,85,0),0)</f>
        <v>0</v>
      </c>
      <c r="M205" s="1239">
        <f ca="1">SUMIF(mongHTHH,chitiet!$A205,slmongHTHH)</f>
        <v>0</v>
      </c>
      <c r="N205" s="1239">
        <f ca="1">SUMIF(mongHTDL,chitiet!$A205,slmongHTDL)</f>
        <v>0</v>
      </c>
      <c r="O205" s="1239"/>
      <c r="P205" s="1239"/>
      <c r="Q205" s="1239"/>
      <c r="R205" s="1239"/>
      <c r="S205" s="1239"/>
      <c r="T205" s="1671"/>
      <c r="U205" s="1664">
        <f>IFERROR(VLOOKUP(B205,ChiTietDuToan!C:H,5,0),"")</f>
        <v>0</v>
      </c>
      <c r="V205" s="2309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59" t="s">
        <v>1627</v>
      </c>
      <c r="C206" s="67" t="str">
        <f t="shared" ca="1" si="23"/>
        <v xml:space="preserve"> </v>
      </c>
      <c r="D206" s="1236" t="str">
        <f>VLOOKUP($B206,DG!A:D,DG!$B$2,)</f>
        <v>04.3801</v>
      </c>
      <c r="E206" s="1248" t="str">
        <f>VLOOKUP($B206,DG!A:D,DG!$C$2,)</f>
        <v>Đà cản BTCT 1,5m</v>
      </c>
      <c r="F206" s="1236" t="str">
        <f>VLOOKUP($B206,DG!A:D,DG!$D$2,)</f>
        <v>cái</v>
      </c>
      <c r="G206" s="1915">
        <v>2</v>
      </c>
      <c r="H206" s="1245">
        <f ca="1">H$205*$G206</f>
        <v>0</v>
      </c>
      <c r="I206" s="1245">
        <f t="shared" ref="I206:N207" ca="1" si="35">I$205*$G206</f>
        <v>0</v>
      </c>
      <c r="J206" s="1245">
        <f t="shared" ca="1" si="35"/>
        <v>0</v>
      </c>
      <c r="K206" s="1245">
        <f t="shared" si="35"/>
        <v>0</v>
      </c>
      <c r="L206" s="1245">
        <f t="shared" si="35"/>
        <v>0</v>
      </c>
      <c r="M206" s="1245">
        <f t="shared" ca="1" si="35"/>
        <v>0</v>
      </c>
      <c r="N206" s="1245">
        <f t="shared" ca="1" si="35"/>
        <v>0</v>
      </c>
      <c r="O206" s="1245"/>
      <c r="P206" s="1245"/>
      <c r="Q206" s="1245"/>
      <c r="R206" s="1245"/>
      <c r="S206" s="1245"/>
      <c r="T206" s="1671"/>
      <c r="U206" s="1664" t="str">
        <f>IFERROR(VLOOKUP(B206,ChiTietDuToan!C:H,5,0),"")</f>
        <v>cái</v>
      </c>
      <c r="V206" s="2309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59" t="s">
        <v>570</v>
      </c>
      <c r="C207" s="67" t="str">
        <f t="shared" ref="C207:C270" ca="1" si="36">IF(OR(P207&lt;&gt;0,H207&lt;&gt;0),"x"," ")</f>
        <v xml:space="preserve"> </v>
      </c>
      <c r="D207" s="1236"/>
      <c r="E207" s="1248" t="str">
        <f>VLOOKUP($B207,DG!A:D,DG!$C$2,)</f>
        <v>Boulon 22x650+ 2 long đền vuông D24-50x50x3/Zn</v>
      </c>
      <c r="F207" s="1236" t="str">
        <f>VLOOKUP($B207,DG!A:D,DG!$D$2,)</f>
        <v>bộ</v>
      </c>
      <c r="G207" s="1915">
        <v>2</v>
      </c>
      <c r="H207" s="1245">
        <f ca="1">H$205*$G207</f>
        <v>0</v>
      </c>
      <c r="I207" s="1245">
        <f t="shared" ca="1" si="35"/>
        <v>0</v>
      </c>
      <c r="J207" s="1245">
        <f ca="1">J$205*$G207</f>
        <v>0</v>
      </c>
      <c r="K207" s="1245">
        <f t="shared" si="35"/>
        <v>0</v>
      </c>
      <c r="L207" s="1245">
        <f t="shared" si="35"/>
        <v>0</v>
      </c>
      <c r="M207" s="1245">
        <f t="shared" ca="1" si="35"/>
        <v>0</v>
      </c>
      <c r="N207" s="1245">
        <f t="shared" ca="1" si="35"/>
        <v>0</v>
      </c>
      <c r="O207" s="1245"/>
      <c r="P207" s="1245"/>
      <c r="Q207" s="1245"/>
      <c r="R207" s="1245"/>
      <c r="S207" s="1245"/>
      <c r="T207" s="1671"/>
      <c r="U207" s="1664" t="str">
        <f>IFERROR(VLOOKUP(B207,ChiTietDuToan!C:H,5,0),"")</f>
        <v>bộ</v>
      </c>
      <c r="V207" s="2309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59" t="str">
        <f>IF(F5=1,"MDD1",IF(F5=2,"MDD2",IF(F5=3,"MDD3",IF(F5=4,"MDD4"))))</f>
        <v>MDD3</v>
      </c>
      <c r="C208" s="67" t="str">
        <f t="shared" si="36"/>
        <v xml:space="preserve"> </v>
      </c>
      <c r="D208" s="1236" t="str">
        <f>VLOOKUP($B208,DG!A:D,DG!$B$2,)</f>
        <v>03.1013</v>
      </c>
      <c r="E208" s="1241" t="str">
        <f>VLOOKUP($B208,DG!A:D,DG!$C$2,)</f>
        <v>Đào hố móng đất cấp 3 sâu &gt;1m DT&lt;5m2</v>
      </c>
      <c r="F208" s="1236" t="str">
        <f>VLOOKUP($B208,DG!A:D,DG!$D$2,)</f>
        <v>m3</v>
      </c>
      <c r="G208" s="1914">
        <v>7.4</v>
      </c>
      <c r="H208" s="1250"/>
      <c r="I208" s="1250"/>
      <c r="J208" s="1250"/>
      <c r="K208" s="1250"/>
      <c r="L208" s="1250"/>
      <c r="M208" s="1250"/>
      <c r="N208" s="1250"/>
      <c r="O208" s="1250"/>
      <c r="P208" s="1250"/>
      <c r="Q208" s="1250"/>
      <c r="R208" s="1250"/>
      <c r="S208" s="1250"/>
      <c r="T208" s="1671"/>
      <c r="U208" s="1664" t="str">
        <f>IFERROR(VLOOKUP(B208,ChiTietDuToan!C:H,5,0),"")</f>
        <v>m3</v>
      </c>
      <c r="V208" s="2309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59" t="str">
        <f>IF(F5=1,"MDAP1",IF(F5=2,"MDAP2",IF(F5=3,"MDAP3",IF(F5=4,"MDAP4"))))</f>
        <v>MDAP3</v>
      </c>
      <c r="C209" s="67" t="str">
        <f t="shared" si="36"/>
        <v xml:space="preserve"> </v>
      </c>
      <c r="D209" s="1236" t="str">
        <f>VLOOKUP($B209,DG!A:D,DG!$B$2,)</f>
        <v>03.4113</v>
      </c>
      <c r="E209" s="1241" t="str">
        <f>VLOOKUP($B209,DG!A:D,DG!$C$2,)</f>
        <v>Đắp đất hố móng, độ chặt k=0,95</v>
      </c>
      <c r="F209" s="1236" t="str">
        <f>VLOOKUP($B209,DG!A:D,DG!$D$2,)</f>
        <v>m3</v>
      </c>
      <c r="G209" s="1914">
        <v>8.67</v>
      </c>
      <c r="H209" s="1250"/>
      <c r="I209" s="1250"/>
      <c r="J209" s="1250"/>
      <c r="K209" s="1250"/>
      <c r="L209" s="1250"/>
      <c r="M209" s="1250"/>
      <c r="N209" s="1250"/>
      <c r="O209" s="1250"/>
      <c r="P209" s="1250"/>
      <c r="Q209" s="1250"/>
      <c r="R209" s="1250"/>
      <c r="S209" s="1250"/>
      <c r="T209" s="1671"/>
      <c r="U209" s="1664" t="str">
        <f>IFERROR(VLOOKUP(B209,ChiTietDuToan!C:H,5,0),"")</f>
        <v>m3</v>
      </c>
      <c r="V209" s="2309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59" t="s">
        <v>1628</v>
      </c>
      <c r="C210" s="67" t="str">
        <f t="shared" si="36"/>
        <v xml:space="preserve"> </v>
      </c>
      <c r="D210" s="1236" t="str">
        <f>VLOOKUP($B210,DG!A:D,DG!$B$2,)</f>
        <v>02.1123</v>
      </c>
      <c r="E210" s="1241" t="str">
        <f>VLOOKUP($B210,DG!A:D,DG!$C$2,)</f>
        <v>Bốc dỡ đà cản, đế néo</v>
      </c>
      <c r="F210" s="1236" t="str">
        <f>VLOOKUP($B210,DG!A:D,DG!$D$2,)</f>
        <v>tấn</v>
      </c>
      <c r="G210" s="1914"/>
      <c r="H210" s="1245"/>
      <c r="I210" s="1245"/>
      <c r="J210" s="1245"/>
      <c r="K210" s="1245"/>
      <c r="L210" s="1245"/>
      <c r="M210" s="1245"/>
      <c r="N210" s="1245"/>
      <c r="O210" s="1245"/>
      <c r="P210" s="1245"/>
      <c r="Q210" s="1245"/>
      <c r="R210" s="1245"/>
      <c r="S210" s="1245"/>
      <c r="T210" s="1671"/>
      <c r="U210" s="1664" t="str">
        <f>IFERROR(VLOOKUP(B210,ChiTietDuToan!C:H,5,0),"")</f>
        <v/>
      </c>
      <c r="V210" s="2309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74" t="s">
        <v>2125</v>
      </c>
      <c r="C211" s="67" t="str">
        <f t="shared" si="36"/>
        <v xml:space="preserve"> </v>
      </c>
      <c r="D211" s="1236" t="str">
        <f>VLOOKUP($B211,DG!A:C,2,)</f>
        <v>02.1451</v>
      </c>
      <c r="E211" s="1241" t="str">
        <f>VLOOKUP($B211,DG!A:C,3,)</f>
        <v>V/c đà cản vào vị trí (cự ly &lt;=100m)</v>
      </c>
      <c r="F211" s="1236" t="str">
        <f>VLOOKUP($B211,DG!A:D,4,0)</f>
        <v>tấn</v>
      </c>
      <c r="G211" s="1914"/>
      <c r="H211" s="1250"/>
      <c r="I211" s="1250"/>
      <c r="J211" s="1250"/>
      <c r="K211" s="1250"/>
      <c r="L211" s="1250"/>
      <c r="M211" s="1250"/>
      <c r="N211" s="1250"/>
      <c r="O211" s="1250"/>
      <c r="P211" s="1250"/>
      <c r="Q211" s="1250"/>
      <c r="R211" s="1250"/>
      <c r="S211" s="1250"/>
      <c r="T211" s="1671"/>
      <c r="U211" s="1664" t="str">
        <f>IFERROR(VLOOKUP(B211,ChiTietDuToan!C:H,5,0),"")</f>
        <v/>
      </c>
      <c r="V211" s="2309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74" t="s">
        <v>640</v>
      </c>
      <c r="C212" s="67" t="str">
        <f t="shared" si="36"/>
        <v xml:space="preserve"> </v>
      </c>
      <c r="D212" s="1236" t="str">
        <f>VLOOKUP($B212,DG!A:C,2,)</f>
        <v>02.1482</v>
      </c>
      <c r="E212" s="1241" t="str">
        <f>VLOOKUP($B212,DG!A:C,3,)</f>
        <v>V/c dụng cụ thi công vào vị trí (cự ly &lt;=100m)</v>
      </c>
      <c r="F212" s="1236" t="str">
        <f>VLOOKUP($B212,DG!A:D,4,0)</f>
        <v>tấn</v>
      </c>
      <c r="G212" s="1914"/>
      <c r="H212" s="1250"/>
      <c r="I212" s="1250"/>
      <c r="J212" s="1250"/>
      <c r="K212" s="1250"/>
      <c r="L212" s="1250"/>
      <c r="M212" s="1250"/>
      <c r="N212" s="1250"/>
      <c r="O212" s="1250"/>
      <c r="P212" s="1250"/>
      <c r="Q212" s="1250"/>
      <c r="R212" s="1250"/>
      <c r="S212" s="1250"/>
      <c r="T212" s="1671"/>
      <c r="U212" s="1664" t="str">
        <f>IFERROR(VLOOKUP(B212,ChiTietDuToan!C:H,5,0),"")</f>
        <v/>
      </c>
      <c r="V212" s="2309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56"/>
      <c r="C213" s="65" t="str">
        <f t="shared" ca="1" si="36"/>
        <v xml:space="preserve"> </v>
      </c>
      <c r="D213" s="1237"/>
      <c r="E213" s="1666" t="s">
        <v>2412</v>
      </c>
      <c r="F213" s="1238" t="s">
        <v>2391</v>
      </c>
      <c r="G213" s="1912"/>
      <c r="H213" s="1523">
        <f ca="1">SUM(I213:O213)+T213</f>
        <v>0</v>
      </c>
      <c r="I213" s="1239">
        <f ca="1">SUMIF(mong3pm,chitiet!$A213,slmong3pm)+SUMIF(mong3p1m,chitiet!$A213,slmong3p1m)</f>
        <v>0</v>
      </c>
      <c r="J213" s="1239">
        <f ca="1">SUMIF(mongct,chitiet!$A213,slmongct)</f>
        <v>0</v>
      </c>
      <c r="K213" s="1239">
        <f ca="1">SUMIF(mong1pm,chitiet!$A213,slmong1pm)</f>
        <v>0</v>
      </c>
      <c r="L213" s="1239">
        <f>IFERROR(HLOOKUP(A213,pp1p!$6:$90,85,0),0)</f>
        <v>0</v>
      </c>
      <c r="M213" s="1239">
        <f ca="1">SUMIF(mongHTHH,chitiet!$A213,slmongHTHH)</f>
        <v>0</v>
      </c>
      <c r="N213" s="1239">
        <f ca="1">SUMIF(mongHTDL,chitiet!$A213,slmongHTDL)</f>
        <v>0</v>
      </c>
      <c r="O213" s="1239"/>
      <c r="P213" s="1239"/>
      <c r="Q213" s="1239"/>
      <c r="R213" s="1239"/>
      <c r="S213" s="1239"/>
      <c r="T213" s="1671"/>
      <c r="U213" s="1664">
        <f>IFERROR(VLOOKUP(B213,ChiTietDuToan!C:H,5,0),"")</f>
        <v>0</v>
      </c>
      <c r="V213" s="2309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59" t="s">
        <v>225</v>
      </c>
      <c r="C214" s="67" t="str">
        <f t="shared" ca="1" si="36"/>
        <v xml:space="preserve"> </v>
      </c>
      <c r="D214" s="1236" t="str">
        <f>VLOOKUP($B214,DG!A:D,DG!$B$2,)</f>
        <v>04.5142</v>
      </c>
      <c r="E214" s="1248" t="str">
        <f>VLOOKUP($B214,DG!A:D,DG!$C$2,)</f>
        <v>Cừ tràm 5m</v>
      </c>
      <c r="F214" s="1236" t="str">
        <f>VLOOKUP($B214,DG!A:D,DG!$D$2,)</f>
        <v>cây</v>
      </c>
      <c r="G214" s="1915">
        <v>42</v>
      </c>
      <c r="H214" s="1245">
        <f ca="1">H$213*$G214</f>
        <v>0</v>
      </c>
      <c r="I214" s="1245">
        <f t="shared" ref="I214:N216" ca="1" si="37">I$213*$G214</f>
        <v>0</v>
      </c>
      <c r="J214" s="1245">
        <f t="shared" ca="1" si="37"/>
        <v>0</v>
      </c>
      <c r="K214" s="1245">
        <f t="shared" ca="1" si="37"/>
        <v>0</v>
      </c>
      <c r="L214" s="1245">
        <f t="shared" si="37"/>
        <v>0</v>
      </c>
      <c r="M214" s="1245">
        <f t="shared" ca="1" si="37"/>
        <v>0</v>
      </c>
      <c r="N214" s="1245">
        <f t="shared" ca="1" si="37"/>
        <v>0</v>
      </c>
      <c r="O214" s="1245"/>
      <c r="P214" s="1245"/>
      <c r="Q214" s="1245"/>
      <c r="R214" s="1245"/>
      <c r="S214" s="1245"/>
      <c r="T214" s="1671"/>
      <c r="U214" s="1664" t="str">
        <f>IFERROR(VLOOKUP(B214,ChiTietDuToan!C:H,5,0),"")</f>
        <v/>
      </c>
      <c r="V214" s="2309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59" t="s">
        <v>1627</v>
      </c>
      <c r="C215" s="67" t="str">
        <f t="shared" ca="1" si="36"/>
        <v xml:space="preserve"> </v>
      </c>
      <c r="D215" s="1236" t="str">
        <f>VLOOKUP($B215,DG!A:D,DG!$B$2,)</f>
        <v>04.3801</v>
      </c>
      <c r="E215" s="1248" t="str">
        <f>VLOOKUP($B215,DG!A:D,DG!$C$2,)</f>
        <v>Đà cản BTCT 1,5m</v>
      </c>
      <c r="F215" s="1236" t="str">
        <f>VLOOKUP($B215,DG!A:D,DG!$D$2,)</f>
        <v>cái</v>
      </c>
      <c r="G215" s="1915">
        <v>2</v>
      </c>
      <c r="H215" s="1245">
        <f ca="1">H$213*$G215</f>
        <v>0</v>
      </c>
      <c r="I215" s="1245">
        <f t="shared" ca="1" si="37"/>
        <v>0</v>
      </c>
      <c r="J215" s="1245">
        <f t="shared" ca="1" si="37"/>
        <v>0</v>
      </c>
      <c r="K215" s="1245">
        <f t="shared" ca="1" si="37"/>
        <v>0</v>
      </c>
      <c r="L215" s="1245">
        <f t="shared" si="37"/>
        <v>0</v>
      </c>
      <c r="M215" s="1245">
        <f t="shared" ca="1" si="37"/>
        <v>0</v>
      </c>
      <c r="N215" s="1245">
        <f t="shared" ca="1" si="37"/>
        <v>0</v>
      </c>
      <c r="O215" s="1245"/>
      <c r="P215" s="1245"/>
      <c r="Q215" s="1245"/>
      <c r="R215" s="1245"/>
      <c r="S215" s="1245"/>
      <c r="T215" s="1671"/>
      <c r="U215" s="1664" t="str">
        <f>IFERROR(VLOOKUP(B215,ChiTietDuToan!C:H,5,0),"")</f>
        <v>cái</v>
      </c>
      <c r="V215" s="2309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75" t="s">
        <v>419</v>
      </c>
      <c r="C216" s="67" t="str">
        <f t="shared" ca="1" si="36"/>
        <v xml:space="preserve"> </v>
      </c>
      <c r="D216" s="1236"/>
      <c r="E216" s="1248" t="str">
        <f>VLOOKUP($B216,DG!A:D,DG!$C$2,)</f>
        <v>Boulon 22x800+ 2 long đền vuông D24-50x50x3/Zn</v>
      </c>
      <c r="F216" s="1236" t="str">
        <f>VLOOKUP($B216,DG!A:D,DG!$D$2,)</f>
        <v>bộ</v>
      </c>
      <c r="G216" s="1915">
        <v>1</v>
      </c>
      <c r="H216" s="1245">
        <f ca="1">H$213*$G216</f>
        <v>0</v>
      </c>
      <c r="I216" s="1245">
        <f t="shared" ca="1" si="37"/>
        <v>0</v>
      </c>
      <c r="J216" s="1245">
        <f t="shared" ca="1" si="37"/>
        <v>0</v>
      </c>
      <c r="K216" s="1245">
        <f t="shared" ca="1" si="37"/>
        <v>0</v>
      </c>
      <c r="L216" s="1245">
        <f t="shared" si="37"/>
        <v>0</v>
      </c>
      <c r="M216" s="1245">
        <f t="shared" ca="1" si="37"/>
        <v>0</v>
      </c>
      <c r="N216" s="1245">
        <f t="shared" ca="1" si="37"/>
        <v>0</v>
      </c>
      <c r="O216" s="1245"/>
      <c r="P216" s="1245"/>
      <c r="Q216" s="1245"/>
      <c r="R216" s="1245"/>
      <c r="S216" s="1245"/>
      <c r="T216" s="1671"/>
      <c r="U216" s="1664" t="str">
        <f>IFERROR(VLOOKUP(B216,ChiTietDuToan!C:H,5,0),"")</f>
        <v/>
      </c>
      <c r="V216" s="2309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59" t="str">
        <f>IF(F5=1,"MDD1",IF(F5=2,"MDD2",IF(F5=3,"MDD3",IF(F5=4,"MDD4"))))</f>
        <v>MDD3</v>
      </c>
      <c r="C217" s="67" t="str">
        <f t="shared" si="36"/>
        <v xml:space="preserve"> </v>
      </c>
      <c r="D217" s="1236" t="str">
        <f>VLOOKUP($B217,DG!A:D,DG!$B$2,)</f>
        <v>03.1013</v>
      </c>
      <c r="E217" s="1241" t="str">
        <f>VLOOKUP($B217,DG!A:D,DG!$C$2,)</f>
        <v>Đào hố móng đất cấp 3 sâu &gt;1m DT&lt;5m2</v>
      </c>
      <c r="F217" s="1236" t="str">
        <f>VLOOKUP($B217,DG!A:D,DG!$D$2,)</f>
        <v>m3</v>
      </c>
      <c r="G217" s="1917">
        <v>2.2530000000000001</v>
      </c>
      <c r="H217" s="1250"/>
      <c r="I217" s="1250"/>
      <c r="J217" s="1250"/>
      <c r="K217" s="1250"/>
      <c r="L217" s="1250"/>
      <c r="M217" s="1250"/>
      <c r="N217" s="1250"/>
      <c r="O217" s="1250"/>
      <c r="P217" s="1250"/>
      <c r="Q217" s="1250"/>
      <c r="R217" s="1250"/>
      <c r="S217" s="1250"/>
      <c r="T217" s="1671"/>
      <c r="U217" s="1664" t="str">
        <f>IFERROR(VLOOKUP(B217,ChiTietDuToan!C:H,5,0),"")</f>
        <v>m3</v>
      </c>
      <c r="V217" s="2309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59" t="str">
        <f>IF(F5=1,"MDAP1",IF(F5=2,"MDAP2",IF(F5=3,"MDAP3",IF(F5=4,"MDAP4"))))</f>
        <v>MDAP3</v>
      </c>
      <c r="C218" s="67" t="str">
        <f t="shared" si="36"/>
        <v xml:space="preserve"> </v>
      </c>
      <c r="D218" s="1236" t="str">
        <f>VLOOKUP($B218,DG!A:D,DG!$B$2,)</f>
        <v>03.4113</v>
      </c>
      <c r="E218" s="1241" t="str">
        <f>VLOOKUP($B218,DG!A:D,DG!$C$2,)</f>
        <v>Đắp đất hố móng, độ chặt k=0,95</v>
      </c>
      <c r="F218" s="1236" t="str">
        <f>VLOOKUP($B218,DG!A:D,DG!$D$2,)</f>
        <v>m3</v>
      </c>
      <c r="G218" s="1917">
        <v>2.48</v>
      </c>
      <c r="H218" s="1250"/>
      <c r="I218" s="1250"/>
      <c r="J218" s="1250"/>
      <c r="K218" s="1250"/>
      <c r="L218" s="1250"/>
      <c r="M218" s="1250"/>
      <c r="N218" s="1250"/>
      <c r="O218" s="1250"/>
      <c r="P218" s="1250"/>
      <c r="Q218" s="1250"/>
      <c r="R218" s="1250"/>
      <c r="S218" s="1250"/>
      <c r="T218" s="1671"/>
      <c r="U218" s="1664" t="str">
        <f>IFERROR(VLOOKUP(B218,ChiTietDuToan!C:H,5,0),"")</f>
        <v>m3</v>
      </c>
      <c r="V218" s="2309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59" t="s">
        <v>1628</v>
      </c>
      <c r="C219" s="67" t="str">
        <f t="shared" si="36"/>
        <v xml:space="preserve"> </v>
      </c>
      <c r="D219" s="1236" t="str">
        <f>VLOOKUP($B219,DG!A:D,DG!$B$2,)</f>
        <v>02.1123</v>
      </c>
      <c r="E219" s="1241" t="str">
        <f>VLOOKUP($B219,DG!A:D,DG!$C$2,)</f>
        <v>Bốc dỡ đà cản, đế néo</v>
      </c>
      <c r="F219" s="1236" t="str">
        <f>VLOOKUP($B219,DG!A:D,DG!$D$2,)</f>
        <v>tấn</v>
      </c>
      <c r="G219" s="1914">
        <f>0.255*2</f>
        <v>0.51</v>
      </c>
      <c r="H219" s="1245"/>
      <c r="I219" s="1245"/>
      <c r="J219" s="1245"/>
      <c r="K219" s="1245"/>
      <c r="L219" s="1245"/>
      <c r="M219" s="1245"/>
      <c r="N219" s="1245"/>
      <c r="O219" s="1245"/>
      <c r="P219" s="1245"/>
      <c r="Q219" s="1245"/>
      <c r="R219" s="1245"/>
      <c r="S219" s="1245"/>
      <c r="T219" s="1671"/>
      <c r="U219" s="1664" t="str">
        <f>IFERROR(VLOOKUP(B219,ChiTietDuToan!C:H,5,0),"")</f>
        <v/>
      </c>
      <c r="V219" s="2309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59" t="s">
        <v>1629</v>
      </c>
      <c r="C220" s="67" t="str">
        <f t="shared" si="36"/>
        <v xml:space="preserve"> </v>
      </c>
      <c r="D220" s="1236" t="str">
        <f>VLOOKUP($B220,DG!A:D,DG!$B$2,)</f>
        <v>02.1119</v>
      </c>
      <c r="E220" s="1241" t="str">
        <f>VLOOKUP($B220,DG!A:D,DG!$C$2,)</f>
        <v>Bốc dỡ cừ tràm 5m</v>
      </c>
      <c r="F220" s="1236" t="str">
        <f>VLOOKUP($B220,DG!A:D,DG!$D$2,)</f>
        <v>cây</v>
      </c>
      <c r="G220" s="1915">
        <f>G214</f>
        <v>42</v>
      </c>
      <c r="H220" s="1245"/>
      <c r="I220" s="1245"/>
      <c r="J220" s="1245"/>
      <c r="K220" s="1245"/>
      <c r="L220" s="1245"/>
      <c r="M220" s="1245"/>
      <c r="N220" s="1245"/>
      <c r="O220" s="1245"/>
      <c r="P220" s="1245"/>
      <c r="Q220" s="1245"/>
      <c r="R220" s="1245"/>
      <c r="S220" s="1245"/>
      <c r="T220" s="1671"/>
      <c r="U220" s="1664" t="str">
        <f>IFERROR(VLOOKUP(B220,ChiTietDuToan!C:H,5,0),"")</f>
        <v/>
      </c>
      <c r="V220" s="2309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74" t="s">
        <v>2125</v>
      </c>
      <c r="C221" s="67" t="str">
        <f t="shared" si="36"/>
        <v xml:space="preserve"> </v>
      </c>
      <c r="D221" s="1236" t="str">
        <f>VLOOKUP($B221,DG!A:C,2,)</f>
        <v>02.1451</v>
      </c>
      <c r="E221" s="1241" t="str">
        <f>VLOOKUP($B221,DG!A:C,3,)</f>
        <v>V/c đà cản vào vị trí (cự ly &lt;=100m)</v>
      </c>
      <c r="F221" s="1236" t="str">
        <f>VLOOKUP($B221,DG!A:D,4,0)</f>
        <v>tấn</v>
      </c>
      <c r="G221" s="1914">
        <f>G219</f>
        <v>0.51</v>
      </c>
      <c r="H221" s="1250"/>
      <c r="I221" s="1250"/>
      <c r="J221" s="1250"/>
      <c r="K221" s="1250"/>
      <c r="L221" s="1250"/>
      <c r="M221" s="1250"/>
      <c r="N221" s="1250"/>
      <c r="O221" s="1250"/>
      <c r="P221" s="1250"/>
      <c r="Q221" s="1250"/>
      <c r="R221" s="1250"/>
      <c r="S221" s="1250"/>
      <c r="T221" s="1671"/>
      <c r="U221" s="1664" t="str">
        <f>IFERROR(VLOOKUP(B221,ChiTietDuToan!C:H,5,0),"")</f>
        <v/>
      </c>
      <c r="V221" s="2309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76" t="s">
        <v>639</v>
      </c>
      <c r="C222" s="67" t="str">
        <f t="shared" si="36"/>
        <v xml:space="preserve"> </v>
      </c>
      <c r="D222" s="1236" t="str">
        <f>VLOOKUP($B222,DG!A:C,2,)</f>
        <v>02.1411</v>
      </c>
      <c r="E222" s="1241" t="str">
        <f>VLOOKUP($B222,DG!A:C,3,)</f>
        <v>V/c cừ tràm 5m ( cự ly &lt;=100m)</v>
      </c>
      <c r="F222" s="1236" t="str">
        <f>VLOOKUP($B222,DG!A:D,4,0)</f>
        <v>cây</v>
      </c>
      <c r="G222" s="1915">
        <f>G214</f>
        <v>42</v>
      </c>
      <c r="H222" s="1250"/>
      <c r="I222" s="1250"/>
      <c r="J222" s="1250"/>
      <c r="K222" s="1250"/>
      <c r="L222" s="1250"/>
      <c r="M222" s="1250"/>
      <c r="N222" s="1250"/>
      <c r="O222" s="1250"/>
      <c r="P222" s="1250"/>
      <c r="Q222" s="1250"/>
      <c r="R222" s="1250"/>
      <c r="S222" s="1250"/>
      <c r="T222" s="1671"/>
      <c r="U222" s="1664" t="str">
        <f>IFERROR(VLOOKUP(B222,ChiTietDuToan!C:H,5,0),"")</f>
        <v/>
      </c>
      <c r="V222" s="2309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74" t="s">
        <v>640</v>
      </c>
      <c r="C223" s="67" t="str">
        <f t="shared" si="36"/>
        <v xml:space="preserve"> </v>
      </c>
      <c r="D223" s="1236" t="str">
        <f>VLOOKUP($B223,DG!A:C,2,)</f>
        <v>02.1482</v>
      </c>
      <c r="E223" s="1241" t="str">
        <f>VLOOKUP($B223,DG!A:C,3,)</f>
        <v>V/c dụng cụ thi công vào vị trí (cự ly &lt;=100m)</v>
      </c>
      <c r="F223" s="1236" t="str">
        <f>VLOOKUP($B223,DG!A:D,4,0)</f>
        <v>tấn</v>
      </c>
      <c r="G223" s="1914">
        <v>0.2</v>
      </c>
      <c r="H223" s="1250"/>
      <c r="I223" s="1250"/>
      <c r="J223" s="1250"/>
      <c r="K223" s="1250"/>
      <c r="L223" s="1250"/>
      <c r="M223" s="1250"/>
      <c r="N223" s="1250"/>
      <c r="O223" s="1250"/>
      <c r="P223" s="1250"/>
      <c r="Q223" s="1250"/>
      <c r="R223" s="1250"/>
      <c r="S223" s="1250"/>
      <c r="T223" s="1671"/>
      <c r="U223" s="1664" t="str">
        <f>IFERROR(VLOOKUP(B223,ChiTietDuToan!C:H,5,0),"")</f>
        <v/>
      </c>
      <c r="V223" s="2309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56"/>
      <c r="C224" s="65" t="str">
        <f t="shared" ca="1" si="36"/>
        <v xml:space="preserve"> </v>
      </c>
      <c r="D224" s="1237"/>
      <c r="E224" s="1666" t="s">
        <v>2413</v>
      </c>
      <c r="F224" s="1238" t="s">
        <v>2391</v>
      </c>
      <c r="G224" s="1912"/>
      <c r="H224" s="1523">
        <f ca="1">SUM(I224:O224)+T224</f>
        <v>0</v>
      </c>
      <c r="I224" s="1239">
        <f ca="1">SUMIF(mong3pm,chitiet!$A224,slmong3pm)+SUMIF(mong3p1m,chitiet!$A224,slmong3p1m)</f>
        <v>0</v>
      </c>
      <c r="J224" s="1239">
        <f ca="1">SUMIF(mongct,chitiet!$A224,slmongct)</f>
        <v>0</v>
      </c>
      <c r="K224" s="1239">
        <f>SUMIF(mong3p1m,chitiet!$A224,slmong3p1m)</f>
        <v>0</v>
      </c>
      <c r="L224" s="1239">
        <f>IFERROR(HLOOKUP(A224,pp1p!$6:$90,85,0),0)</f>
        <v>0</v>
      </c>
      <c r="M224" s="1239">
        <f ca="1">SUMIF(mongHTHH,chitiet!$A224,slmongHTHH)</f>
        <v>0</v>
      </c>
      <c r="N224" s="1239">
        <f ca="1">SUMIF(mongHTDL,chitiet!$A224,slmongHTDL)</f>
        <v>0</v>
      </c>
      <c r="O224" s="1239"/>
      <c r="P224" s="1239"/>
      <c r="Q224" s="1239"/>
      <c r="R224" s="1239"/>
      <c r="S224" s="1239"/>
      <c r="T224" s="1671"/>
      <c r="U224" s="1664">
        <f>IFERROR(VLOOKUP(B224,ChiTietDuToan!C:H,5,0),"")</f>
        <v>0</v>
      </c>
      <c r="V224" s="2309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75" t="s">
        <v>641</v>
      </c>
      <c r="C225" s="67" t="str">
        <f t="shared" ca="1" si="36"/>
        <v xml:space="preserve"> </v>
      </c>
      <c r="D225" s="1236" t="str">
        <f>VLOOKUP($B225,DG!A:D,DG!$B$2,)</f>
        <v>04.4001</v>
      </c>
      <c r="E225" s="1246" t="str">
        <f>VLOOKUP($B225,DG!A:D,DG!$C$2,)</f>
        <v>Đà cản BTCT 1,2m</v>
      </c>
      <c r="F225" s="1240" t="str">
        <f>VLOOKUP($B225,DG!A:D,DG!$D$2,)</f>
        <v>cái</v>
      </c>
      <c r="G225" s="1918">
        <v>2</v>
      </c>
      <c r="H225" s="1244">
        <f ca="1">H$224*$G225</f>
        <v>0</v>
      </c>
      <c r="I225" s="1244">
        <f t="shared" ref="I225:N226" ca="1" si="38">I$224*$G225</f>
        <v>0</v>
      </c>
      <c r="J225" s="1244">
        <f t="shared" ca="1" si="38"/>
        <v>0</v>
      </c>
      <c r="K225" s="1244">
        <f t="shared" si="38"/>
        <v>0</v>
      </c>
      <c r="L225" s="1244">
        <f t="shared" si="38"/>
        <v>0</v>
      </c>
      <c r="M225" s="1244">
        <f t="shared" ca="1" si="38"/>
        <v>0</v>
      </c>
      <c r="N225" s="1244">
        <f t="shared" ca="1" si="38"/>
        <v>0</v>
      </c>
      <c r="O225" s="1244"/>
      <c r="P225" s="1244"/>
      <c r="Q225" s="1244"/>
      <c r="R225" s="1244"/>
      <c r="S225" s="1244"/>
      <c r="T225" s="1671"/>
      <c r="U225" s="1664" t="str">
        <f>IFERROR(VLOOKUP(B225,ChiTietDuToan!C:H,5,0),"")</f>
        <v>cái</v>
      </c>
      <c r="V225" s="2309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75" t="s">
        <v>419</v>
      </c>
      <c r="C226" s="67" t="str">
        <f t="shared" ca="1" si="36"/>
        <v xml:space="preserve"> </v>
      </c>
      <c r="D226" s="1240"/>
      <c r="E226" s="1246" t="str">
        <f>VLOOKUP($B226,DG!A:D,DG!$C$2,)</f>
        <v>Boulon 22x800+ 2 long đền vuông D24-50x50x3/Zn</v>
      </c>
      <c r="F226" s="1240" t="str">
        <f>VLOOKUP($B226,DG!A:D,DG!$D$2,)</f>
        <v>bộ</v>
      </c>
      <c r="G226" s="1918">
        <v>1</v>
      </c>
      <c r="H226" s="1244">
        <f ca="1">H$224*$G226</f>
        <v>0</v>
      </c>
      <c r="I226" s="1244">
        <f t="shared" ca="1" si="38"/>
        <v>0</v>
      </c>
      <c r="J226" s="1244">
        <f t="shared" ca="1" si="38"/>
        <v>0</v>
      </c>
      <c r="K226" s="1244">
        <f t="shared" si="38"/>
        <v>0</v>
      </c>
      <c r="L226" s="1244">
        <f t="shared" si="38"/>
        <v>0</v>
      </c>
      <c r="M226" s="1244">
        <f t="shared" ca="1" si="38"/>
        <v>0</v>
      </c>
      <c r="N226" s="1244">
        <f t="shared" ca="1" si="38"/>
        <v>0</v>
      </c>
      <c r="O226" s="1244"/>
      <c r="P226" s="1244"/>
      <c r="Q226" s="1244"/>
      <c r="R226" s="1244"/>
      <c r="S226" s="1244"/>
      <c r="T226" s="1671"/>
      <c r="U226" s="1664" t="str">
        <f>IFERROR(VLOOKUP(B226,ChiTietDuToan!C:H,5,0),"")</f>
        <v/>
      </c>
      <c r="V226" s="2309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59" t="s">
        <v>1865</v>
      </c>
      <c r="C227" s="67" t="str">
        <f t="shared" ca="1" si="36"/>
        <v xml:space="preserve"> </v>
      </c>
      <c r="D227" s="1236">
        <f>VLOOKUP($B227,DG!A:D,DG!$B$2,)</f>
        <v>0</v>
      </c>
      <c r="E227" s="1241" t="str">
        <f>VLOOKUP($B227,DG!A:D,DG!$C$2,)</f>
        <v>Đá 2x4</v>
      </c>
      <c r="F227" s="1236" t="str">
        <f>VLOOKUP($B227,DG!A:D,DG!$D$2,)</f>
        <v>m3</v>
      </c>
      <c r="G227" s="1913">
        <v>0.2</v>
      </c>
      <c r="H227" s="1245">
        <f t="shared" ref="H227:N227" ca="1" si="39">H$18*$G227</f>
        <v>0</v>
      </c>
      <c r="I227" s="1245">
        <f t="shared" ca="1" si="39"/>
        <v>0</v>
      </c>
      <c r="J227" s="1245">
        <f t="shared" ca="1" si="39"/>
        <v>0</v>
      </c>
      <c r="K227" s="1245">
        <f t="shared" ca="1" si="39"/>
        <v>0</v>
      </c>
      <c r="L227" s="1245">
        <f t="shared" si="39"/>
        <v>0</v>
      </c>
      <c r="M227" s="1245">
        <f t="shared" ca="1" si="39"/>
        <v>0</v>
      </c>
      <c r="N227" s="1245">
        <f t="shared" ca="1" si="39"/>
        <v>0</v>
      </c>
      <c r="O227" s="1245"/>
      <c r="P227" s="1245"/>
      <c r="Q227" s="1245"/>
      <c r="R227" s="1245"/>
      <c r="S227" s="1245"/>
      <c r="T227" s="1671"/>
      <c r="U227" s="1664" t="str">
        <f>IFERROR(VLOOKUP(B227,ChiTietDuToan!C:H,5,0),"")</f>
        <v>m3</v>
      </c>
      <c r="V227" s="2309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75" t="str">
        <f>IF(F5=1,"MDD1",IF(F5=2,"MDD2",IF(F5=3,"MDD3",IF(F5=4,"MDD4"))))</f>
        <v>MDD3</v>
      </c>
      <c r="C228" s="67" t="str">
        <f t="shared" si="36"/>
        <v xml:space="preserve"> </v>
      </c>
      <c r="D228" s="1240" t="str">
        <f>VLOOKUP($B228,DG!A:D,DG!$B$2,)</f>
        <v>03.1013</v>
      </c>
      <c r="E228" s="1241" t="str">
        <f>VLOOKUP($B228,DG!A:D,DG!$C$2,)</f>
        <v>Đào hố móng đất cấp 3 sâu &gt;1m DT&lt;5m2</v>
      </c>
      <c r="F228" s="1240" t="str">
        <f>VLOOKUP($B228,DG!A:D,DG!$D$2,)</f>
        <v>m3</v>
      </c>
      <c r="G228" s="1917">
        <v>1.76</v>
      </c>
      <c r="H228" s="1247"/>
      <c r="I228" s="1247"/>
      <c r="J228" s="1247"/>
      <c r="K228" s="1247"/>
      <c r="L228" s="1247"/>
      <c r="M228" s="1247"/>
      <c r="N228" s="1247"/>
      <c r="O228" s="1247"/>
      <c r="P228" s="1247"/>
      <c r="Q228" s="1247"/>
      <c r="R228" s="1247"/>
      <c r="S228" s="1247"/>
      <c r="T228" s="1671"/>
      <c r="U228" s="1664" t="str">
        <f>IFERROR(VLOOKUP(B228,ChiTietDuToan!C:H,5,0),"")</f>
        <v>m3</v>
      </c>
      <c r="V228" s="2309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75" t="str">
        <f>IF(F5=1,"MDAP1",IF(F5=2,"MDAP2",IF(F5=3,"MDAP3",IF(F5=4,"MDAP4"))))</f>
        <v>MDAP3</v>
      </c>
      <c r="C229" s="67" t="str">
        <f t="shared" si="36"/>
        <v xml:space="preserve"> </v>
      </c>
      <c r="D229" s="1240" t="str">
        <f>VLOOKUP($B229,DG!A:D,DG!$B$2,)</f>
        <v>03.4113</v>
      </c>
      <c r="E229" s="1241" t="str">
        <f>VLOOKUP($B229,DG!A:D,DG!$C$2,)</f>
        <v>Đắp đất hố móng, độ chặt k=0,95</v>
      </c>
      <c r="F229" s="1240" t="str">
        <f>VLOOKUP($B229,DG!A:D,DG!$D$2,)</f>
        <v>m3</v>
      </c>
      <c r="G229" s="1917">
        <v>1.94</v>
      </c>
      <c r="H229" s="1247"/>
      <c r="I229" s="1247"/>
      <c r="J229" s="1247"/>
      <c r="K229" s="1247"/>
      <c r="L229" s="1247"/>
      <c r="M229" s="1247"/>
      <c r="N229" s="1247"/>
      <c r="O229" s="1247"/>
      <c r="P229" s="1247"/>
      <c r="Q229" s="1247"/>
      <c r="R229" s="1247"/>
      <c r="S229" s="1247"/>
      <c r="T229" s="1671"/>
      <c r="U229" s="1664" t="str">
        <f>IFERROR(VLOOKUP(B229,ChiTietDuToan!C:H,5,0),"")</f>
        <v>m3</v>
      </c>
      <c r="V229" s="2309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75" t="s">
        <v>642</v>
      </c>
      <c r="C230" s="67" t="str">
        <f t="shared" si="36"/>
        <v xml:space="preserve"> </v>
      </c>
      <c r="D230" s="1240" t="str">
        <f>VLOOKUP($B230,DG!A:D,DG!$B$2,)</f>
        <v>02.1123</v>
      </c>
      <c r="E230" s="1241" t="str">
        <f>VLOOKUP($B230,DG!A:D,DG!$C$2,)</f>
        <v>Bốc dỡ đà cản, đế néo</v>
      </c>
      <c r="F230" s="1240" t="str">
        <f>VLOOKUP($B230,DG!A:D,DG!$D$2,)</f>
        <v>tấn</v>
      </c>
      <c r="G230" s="1917">
        <f>0.1*2</f>
        <v>0.2</v>
      </c>
      <c r="H230" s="1244"/>
      <c r="I230" s="1244"/>
      <c r="J230" s="1244"/>
      <c r="K230" s="1244"/>
      <c r="L230" s="1244"/>
      <c r="M230" s="1244"/>
      <c r="N230" s="1244"/>
      <c r="O230" s="1244"/>
      <c r="P230" s="1244"/>
      <c r="Q230" s="1244"/>
      <c r="R230" s="1244"/>
      <c r="S230" s="1244"/>
      <c r="T230" s="1671"/>
      <c r="U230" s="1664" t="str">
        <f>IFERROR(VLOOKUP(B230,ChiTietDuToan!C:H,5,0),"")</f>
        <v/>
      </c>
      <c r="V230" s="2309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57" t="s">
        <v>2125</v>
      </c>
      <c r="C231" s="67" t="str">
        <f t="shared" si="36"/>
        <v xml:space="preserve"> </v>
      </c>
      <c r="D231" s="1240" t="str">
        <f>VLOOKUP($B231,DG!A:C,2,)</f>
        <v>02.1451</v>
      </c>
      <c r="E231" s="1241" t="str">
        <f>VLOOKUP($B231,DG!A:C,3,)</f>
        <v>V/c đà cản vào vị trí (cự ly &lt;=100m)</v>
      </c>
      <c r="F231" s="1240" t="str">
        <f>VLOOKUP($B231,DG!A:D,4,0)</f>
        <v>tấn</v>
      </c>
      <c r="G231" s="1917">
        <f>G230</f>
        <v>0.2</v>
      </c>
      <c r="H231" s="1247"/>
      <c r="I231" s="1247"/>
      <c r="J231" s="1247"/>
      <c r="K231" s="1247"/>
      <c r="L231" s="1247"/>
      <c r="M231" s="1247"/>
      <c r="N231" s="1247"/>
      <c r="O231" s="1247"/>
      <c r="P231" s="1247"/>
      <c r="Q231" s="1247"/>
      <c r="R231" s="1247"/>
      <c r="S231" s="1247"/>
      <c r="T231" s="1671"/>
      <c r="U231" s="1664" t="str">
        <f>IFERROR(VLOOKUP(B231,ChiTietDuToan!C:H,5,0),"")</f>
        <v/>
      </c>
      <c r="V231" s="2309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74" t="s">
        <v>679</v>
      </c>
      <c r="C232" s="67" t="str">
        <f t="shared" si="36"/>
        <v xml:space="preserve"> </v>
      </c>
      <c r="D232" s="1236" t="str">
        <f>VLOOKUP($B232,DG!A:C,2,)</f>
        <v>02.1241</v>
      </c>
      <c r="E232" s="1241" t="str">
        <f>VLOOKUP($B232,DG!A:C,3,)</f>
        <v>V/c đá dăm ( cự ly &lt;=100m)</v>
      </c>
      <c r="F232" s="1236" t="str">
        <f>VLOOKUP($B232,DG!A:D,4,0)</f>
        <v>m3</v>
      </c>
      <c r="G232" s="1913">
        <f>G227</f>
        <v>0.2</v>
      </c>
      <c r="H232" s="1250"/>
      <c r="I232" s="1250"/>
      <c r="J232" s="1250"/>
      <c r="K232" s="1250"/>
      <c r="L232" s="1250"/>
      <c r="M232" s="1250"/>
      <c r="N232" s="1250"/>
      <c r="O232" s="1250"/>
      <c r="P232" s="1250"/>
      <c r="Q232" s="1250"/>
      <c r="R232" s="1250"/>
      <c r="S232" s="1250"/>
      <c r="T232" s="1671"/>
      <c r="U232" s="1664" t="str">
        <f>IFERROR(VLOOKUP(B232,ChiTietDuToan!C:H,5,0),"")</f>
        <v/>
      </c>
      <c r="V232" s="2309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57" t="s">
        <v>640</v>
      </c>
      <c r="C233" s="67" t="str">
        <f t="shared" si="36"/>
        <v xml:space="preserve"> </v>
      </c>
      <c r="D233" s="1240" t="str">
        <f>VLOOKUP($B233,DG!A:C,2,)</f>
        <v>02.1482</v>
      </c>
      <c r="E233" s="1241" t="str">
        <f>VLOOKUP($B233,DG!A:C,3,)</f>
        <v>V/c dụng cụ thi công vào vị trí (cự ly &lt;=100m)</v>
      </c>
      <c r="F233" s="1240" t="str">
        <f>VLOOKUP($B233,DG!A:D,4,0)</f>
        <v>tấn</v>
      </c>
      <c r="G233" s="1917">
        <v>0.2</v>
      </c>
      <c r="H233" s="1247"/>
      <c r="I233" s="1247"/>
      <c r="J233" s="1247"/>
      <c r="K233" s="1247"/>
      <c r="L233" s="1247"/>
      <c r="M233" s="1247"/>
      <c r="N233" s="1247"/>
      <c r="O233" s="1247"/>
      <c r="P233" s="1247"/>
      <c r="Q233" s="1247"/>
      <c r="R233" s="1247"/>
      <c r="S233" s="1247"/>
      <c r="T233" s="1671"/>
      <c r="U233" s="1664" t="str">
        <f>IFERROR(VLOOKUP(B233,ChiTietDuToan!C:H,5,0),"")</f>
        <v/>
      </c>
      <c r="V233" s="2309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56"/>
      <c r="C234" s="65" t="str">
        <f t="shared" ca="1" si="36"/>
        <v xml:space="preserve"> </v>
      </c>
      <c r="D234" s="1237"/>
      <c r="E234" s="1666" t="s">
        <v>2414</v>
      </c>
      <c r="F234" s="1238" t="s">
        <v>2391</v>
      </c>
      <c r="G234" s="1912"/>
      <c r="H234" s="1523">
        <f ca="1">SUM(I234:O234)+T234</f>
        <v>0</v>
      </c>
      <c r="I234" s="1239">
        <f ca="1">SUMIF(mong3pm,chitiet!$A234,slmong3pm)+SUMIF(mong3p1m,chitiet!$A234,slmong3p1m)</f>
        <v>0</v>
      </c>
      <c r="J234" s="1239"/>
      <c r="K234" s="1239"/>
      <c r="L234" s="1239">
        <f>IFERROR(HLOOKUP(A234,pp1p!$6:$90,85,0),0)</f>
        <v>0</v>
      </c>
      <c r="M234" s="1239">
        <f ca="1">SUMIF(mongHTHH,chitiet!$A234,slmongHTHH)</f>
        <v>0</v>
      </c>
      <c r="N234" s="1239">
        <f ca="1">SUMIF(mongHTDL,chitiet!$A234,slmongHTDL)</f>
        <v>0</v>
      </c>
      <c r="O234" s="1239"/>
      <c r="P234" s="1239"/>
      <c r="Q234" s="1239"/>
      <c r="R234" s="1239"/>
      <c r="S234" s="1239"/>
      <c r="T234" s="1671"/>
      <c r="U234" s="1664">
        <f>IFERROR(VLOOKUP(B234,ChiTietDuToan!C:H,5,0),"")</f>
        <v>0</v>
      </c>
      <c r="V234" s="2309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75" t="s">
        <v>1627</v>
      </c>
      <c r="C235" s="67" t="str">
        <f t="shared" ca="1" si="36"/>
        <v xml:space="preserve"> </v>
      </c>
      <c r="D235" s="1236" t="str">
        <f>VLOOKUP($B235,DG!A:D,DG!$B$2,)</f>
        <v>04.3801</v>
      </c>
      <c r="E235" s="1246" t="str">
        <f>VLOOKUP($B235,DG!A:D,DG!$C$2,)</f>
        <v>Đà cản BTCT 1,5m</v>
      </c>
      <c r="F235" s="1240" t="str">
        <f>VLOOKUP($B235,DG!A:D,DG!$D$2,)</f>
        <v>cái</v>
      </c>
      <c r="G235" s="1918">
        <v>2</v>
      </c>
      <c r="H235" s="1244">
        <f ca="1">H$234*$G235</f>
        <v>0</v>
      </c>
      <c r="I235" s="1244">
        <f ca="1">I$234*$G235</f>
        <v>0</v>
      </c>
      <c r="J235" s="1244">
        <f t="shared" ref="J235:N236" si="40">J$234*$G235</f>
        <v>0</v>
      </c>
      <c r="K235" s="1244">
        <f t="shared" si="40"/>
        <v>0</v>
      </c>
      <c r="L235" s="1244">
        <f t="shared" si="40"/>
        <v>0</v>
      </c>
      <c r="M235" s="1244">
        <f t="shared" ca="1" si="40"/>
        <v>0</v>
      </c>
      <c r="N235" s="1244">
        <f t="shared" ca="1" si="40"/>
        <v>0</v>
      </c>
      <c r="O235" s="1244"/>
      <c r="P235" s="1244"/>
      <c r="Q235" s="1244"/>
      <c r="R235" s="1244"/>
      <c r="S235" s="1244"/>
      <c r="T235" s="1671"/>
      <c r="U235" s="1664" t="str">
        <f>IFERROR(VLOOKUP(B235,ChiTietDuToan!C:H,5,0),"")</f>
        <v>cái</v>
      </c>
      <c r="V235" s="2309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75" t="s">
        <v>419</v>
      </c>
      <c r="C236" s="67" t="str">
        <f t="shared" ca="1" si="36"/>
        <v xml:space="preserve"> </v>
      </c>
      <c r="D236" s="1240"/>
      <c r="E236" s="1246" t="str">
        <f>VLOOKUP($B236,DG!A:D,DG!$C$2,)</f>
        <v>Boulon 22x800+ 2 long đền vuông D24-50x50x3/Zn</v>
      </c>
      <c r="F236" s="1240" t="str">
        <f>VLOOKUP($B236,DG!A:D,DG!$D$2,)</f>
        <v>bộ</v>
      </c>
      <c r="G236" s="1918">
        <v>1</v>
      </c>
      <c r="H236" s="1244">
        <f ca="1">H$234*$G236</f>
        <v>0</v>
      </c>
      <c r="I236" s="1244">
        <f ca="1">I$234*$G236</f>
        <v>0</v>
      </c>
      <c r="J236" s="1244">
        <f t="shared" si="40"/>
        <v>0</v>
      </c>
      <c r="K236" s="1244">
        <f t="shared" si="40"/>
        <v>0</v>
      </c>
      <c r="L236" s="1244">
        <f t="shared" si="40"/>
        <v>0</v>
      </c>
      <c r="M236" s="1244">
        <f t="shared" ca="1" si="40"/>
        <v>0</v>
      </c>
      <c r="N236" s="1244">
        <f t="shared" ca="1" si="40"/>
        <v>0</v>
      </c>
      <c r="O236" s="1244"/>
      <c r="P236" s="1244"/>
      <c r="Q236" s="1244"/>
      <c r="R236" s="1244"/>
      <c r="S236" s="1244"/>
      <c r="T236" s="1671"/>
      <c r="U236" s="1664" t="str">
        <f>IFERROR(VLOOKUP(B236,ChiTietDuToan!C:H,5,0),"")</f>
        <v/>
      </c>
      <c r="V236" s="2309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59" t="s">
        <v>1865</v>
      </c>
      <c r="C237" s="67" t="str">
        <f t="shared" ca="1" si="36"/>
        <v xml:space="preserve"> </v>
      </c>
      <c r="D237" s="1236">
        <f>VLOOKUP($B237,DG!A:D,DG!$B$2,)</f>
        <v>0</v>
      </c>
      <c r="E237" s="1241" t="str">
        <f>VLOOKUP($B237,DG!A:D,DG!$C$2,)</f>
        <v>Đá 2x4</v>
      </c>
      <c r="F237" s="1236" t="str">
        <f>VLOOKUP($B237,DG!A:D,DG!$D$2,)</f>
        <v>m3</v>
      </c>
      <c r="G237" s="1913">
        <v>0.2</v>
      </c>
      <c r="H237" s="1245">
        <f t="shared" ref="H237:N237" ca="1" si="41">H$18*$G237</f>
        <v>0</v>
      </c>
      <c r="I237" s="1245">
        <f t="shared" ca="1" si="41"/>
        <v>0</v>
      </c>
      <c r="J237" s="1245">
        <f t="shared" ca="1" si="41"/>
        <v>0</v>
      </c>
      <c r="K237" s="1245">
        <f t="shared" ca="1" si="41"/>
        <v>0</v>
      </c>
      <c r="L237" s="1245">
        <f t="shared" si="41"/>
        <v>0</v>
      </c>
      <c r="M237" s="1245">
        <f t="shared" ca="1" si="41"/>
        <v>0</v>
      </c>
      <c r="N237" s="1245">
        <f t="shared" ca="1" si="41"/>
        <v>0</v>
      </c>
      <c r="O237" s="1245"/>
      <c r="P237" s="1245"/>
      <c r="Q237" s="1245"/>
      <c r="R237" s="1245"/>
      <c r="S237" s="1245"/>
      <c r="T237" s="1671"/>
      <c r="U237" s="1664" t="str">
        <f>IFERROR(VLOOKUP(B237,ChiTietDuToan!C:H,5,0),"")</f>
        <v>m3</v>
      </c>
      <c r="V237" s="2309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75" t="str">
        <f>IF(F5=1,"MDD1",IF(F5=2,"MDD2",IF(F5=3,"MDD3",IF(F5=4,"MDD4"))))</f>
        <v>MDD3</v>
      </c>
      <c r="C238" s="67" t="str">
        <f t="shared" si="36"/>
        <v xml:space="preserve"> </v>
      </c>
      <c r="D238" s="1240" t="str">
        <f>VLOOKUP($B238,DG!A:D,DG!$B$2,)</f>
        <v>03.1013</v>
      </c>
      <c r="E238" s="1241" t="str">
        <f>VLOOKUP($B238,DG!A:D,DG!$C$2,)</f>
        <v>Đào hố móng đất cấp 3 sâu &gt;1m DT&lt;5m2</v>
      </c>
      <c r="F238" s="1240" t="str">
        <f>VLOOKUP($B238,DG!A:D,DG!$D$2,)</f>
        <v>m3</v>
      </c>
      <c r="G238" s="1917">
        <v>2.2530000000000001</v>
      </c>
      <c r="H238" s="1247"/>
      <c r="I238" s="1247"/>
      <c r="J238" s="1247"/>
      <c r="K238" s="1247"/>
      <c r="L238" s="1247"/>
      <c r="M238" s="1247"/>
      <c r="N238" s="1247"/>
      <c r="O238" s="1247"/>
      <c r="P238" s="1247"/>
      <c r="Q238" s="1247"/>
      <c r="R238" s="1247"/>
      <c r="S238" s="1247"/>
      <c r="T238" s="1671"/>
      <c r="U238" s="1664" t="str">
        <f>IFERROR(VLOOKUP(B238,ChiTietDuToan!C:H,5,0),"")</f>
        <v>m3</v>
      </c>
      <c r="V238" s="2309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75" t="str">
        <f>IF(F5=1,"MDAP1",IF(F5=2,"MDAP2",IF(F5=3,"MDAP3",IF(F5=4,"MDAP4"))))</f>
        <v>MDAP3</v>
      </c>
      <c r="C239" s="67" t="str">
        <f t="shared" si="36"/>
        <v xml:space="preserve"> </v>
      </c>
      <c r="D239" s="1240" t="str">
        <f>VLOOKUP($B239,DG!A:D,DG!$B$2,)</f>
        <v>03.4113</v>
      </c>
      <c r="E239" s="1241" t="str">
        <f>VLOOKUP($B239,DG!A:D,DG!$C$2,)</f>
        <v>Đắp đất hố móng, độ chặt k=0,95</v>
      </c>
      <c r="F239" s="1240" t="str">
        <f>VLOOKUP($B239,DG!A:D,DG!$D$2,)</f>
        <v>m3</v>
      </c>
      <c r="G239" s="1917">
        <v>2.48</v>
      </c>
      <c r="H239" s="1247"/>
      <c r="I239" s="1247"/>
      <c r="J239" s="1247"/>
      <c r="K239" s="1247"/>
      <c r="L239" s="1247"/>
      <c r="M239" s="1247"/>
      <c r="N239" s="1247"/>
      <c r="O239" s="1247"/>
      <c r="P239" s="1247"/>
      <c r="Q239" s="1247"/>
      <c r="R239" s="1247"/>
      <c r="S239" s="1247"/>
      <c r="T239" s="1671"/>
      <c r="U239" s="1664" t="str">
        <f>IFERROR(VLOOKUP(B239,ChiTietDuToan!C:H,5,0),"")</f>
        <v>m3</v>
      </c>
      <c r="V239" s="2309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75" t="s">
        <v>642</v>
      </c>
      <c r="C240" s="67" t="str">
        <f t="shared" si="36"/>
        <v xml:space="preserve"> </v>
      </c>
      <c r="D240" s="1240" t="str">
        <f>VLOOKUP($B240,DG!A:D,DG!$B$2,)</f>
        <v>02.1123</v>
      </c>
      <c r="E240" s="1241" t="str">
        <f>VLOOKUP($B240,DG!A:D,DG!$C$2,)</f>
        <v>Bốc dỡ đà cản, đế néo</v>
      </c>
      <c r="F240" s="1240" t="str">
        <f>VLOOKUP($B240,DG!A:D,DG!$D$2,)</f>
        <v>tấn</v>
      </c>
      <c r="G240" s="1917">
        <f>0.1*2</f>
        <v>0.2</v>
      </c>
      <c r="H240" s="1244"/>
      <c r="I240" s="1244"/>
      <c r="J240" s="1244"/>
      <c r="K240" s="1244"/>
      <c r="L240" s="1244"/>
      <c r="M240" s="1244"/>
      <c r="N240" s="1244"/>
      <c r="O240" s="1244"/>
      <c r="P240" s="1244"/>
      <c r="Q240" s="1244"/>
      <c r="R240" s="1244"/>
      <c r="S240" s="1244"/>
      <c r="T240" s="1671"/>
      <c r="U240" s="1664" t="str">
        <f>IFERROR(VLOOKUP(B240,ChiTietDuToan!C:H,5,0),"")</f>
        <v/>
      </c>
      <c r="V240" s="2309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57" t="s">
        <v>2125</v>
      </c>
      <c r="C241" s="67" t="str">
        <f t="shared" si="36"/>
        <v xml:space="preserve"> </v>
      </c>
      <c r="D241" s="1240" t="str">
        <f>VLOOKUP($B241,DG!A:C,2,)</f>
        <v>02.1451</v>
      </c>
      <c r="E241" s="1241" t="str">
        <f>VLOOKUP($B241,DG!A:C,3,)</f>
        <v>V/c đà cản vào vị trí (cự ly &lt;=100m)</v>
      </c>
      <c r="F241" s="1240" t="str">
        <f>VLOOKUP($B241,DG!A:D,4,0)</f>
        <v>tấn</v>
      </c>
      <c r="G241" s="1917">
        <f>G240</f>
        <v>0.2</v>
      </c>
      <c r="H241" s="1247"/>
      <c r="I241" s="1247"/>
      <c r="J241" s="1247"/>
      <c r="K241" s="1247"/>
      <c r="L241" s="1247"/>
      <c r="M241" s="1247"/>
      <c r="N241" s="1247"/>
      <c r="O241" s="1247"/>
      <c r="P241" s="1247"/>
      <c r="Q241" s="1247"/>
      <c r="R241" s="1247"/>
      <c r="S241" s="1247"/>
      <c r="T241" s="1671"/>
      <c r="U241" s="1664" t="str">
        <f>IFERROR(VLOOKUP(B241,ChiTietDuToan!C:H,5,0),"")</f>
        <v/>
      </c>
      <c r="V241" s="2309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74" t="s">
        <v>679</v>
      </c>
      <c r="C242" s="67" t="str">
        <f t="shared" si="36"/>
        <v xml:space="preserve"> </v>
      </c>
      <c r="D242" s="1236" t="str">
        <f>VLOOKUP($B242,DG!A:C,2,)</f>
        <v>02.1241</v>
      </c>
      <c r="E242" s="1241" t="str">
        <f>VLOOKUP($B242,DG!A:C,3,)</f>
        <v>V/c đá dăm ( cự ly &lt;=100m)</v>
      </c>
      <c r="F242" s="1236" t="str">
        <f>VLOOKUP($B242,DG!A:D,4,0)</f>
        <v>m3</v>
      </c>
      <c r="G242" s="1913">
        <f>G237</f>
        <v>0.2</v>
      </c>
      <c r="H242" s="1250"/>
      <c r="I242" s="1250"/>
      <c r="J242" s="1250"/>
      <c r="K242" s="1250"/>
      <c r="L242" s="1250"/>
      <c r="M242" s="1250"/>
      <c r="N242" s="1250"/>
      <c r="O242" s="1250"/>
      <c r="P242" s="1250"/>
      <c r="Q242" s="1250"/>
      <c r="R242" s="1250"/>
      <c r="S242" s="1250"/>
      <c r="T242" s="1671"/>
      <c r="U242" s="1664" t="str">
        <f>IFERROR(VLOOKUP(B242,ChiTietDuToan!C:H,5,0),"")</f>
        <v/>
      </c>
      <c r="V242" s="2309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57" t="s">
        <v>640</v>
      </c>
      <c r="C243" s="67" t="str">
        <f t="shared" si="36"/>
        <v xml:space="preserve"> </v>
      </c>
      <c r="D243" s="1240" t="str">
        <f>VLOOKUP($B243,DG!A:C,2,)</f>
        <v>02.1482</v>
      </c>
      <c r="E243" s="1241" t="str">
        <f>VLOOKUP($B243,DG!A:C,3,)</f>
        <v>V/c dụng cụ thi công vào vị trí (cự ly &lt;=100m)</v>
      </c>
      <c r="F243" s="1240" t="str">
        <f>VLOOKUP($B243,DG!A:D,4,0)</f>
        <v>tấn</v>
      </c>
      <c r="G243" s="1917">
        <v>0.2</v>
      </c>
      <c r="H243" s="1247"/>
      <c r="I243" s="1247"/>
      <c r="J243" s="1247"/>
      <c r="K243" s="1247"/>
      <c r="L243" s="1247"/>
      <c r="M243" s="1247"/>
      <c r="N243" s="1247"/>
      <c r="O243" s="1247"/>
      <c r="P243" s="1247"/>
      <c r="Q243" s="1247"/>
      <c r="R243" s="1247"/>
      <c r="S243" s="1247"/>
      <c r="T243" s="1671"/>
      <c r="U243" s="1664" t="str">
        <f>IFERROR(VLOOKUP(B243,ChiTietDuToan!C:H,5,0),"")</f>
        <v/>
      </c>
      <c r="V243" s="2309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53" t="s">
        <v>220</v>
      </c>
      <c r="B244" s="1954" t="str">
        <f>A244</f>
        <v>M12</v>
      </c>
      <c r="C244" s="1193" t="str">
        <f t="shared" si="36"/>
        <v xml:space="preserve"> </v>
      </c>
      <c r="D244" s="1237"/>
      <c r="E244" s="1666" t="s">
        <v>2415</v>
      </c>
      <c r="F244" s="1238" t="s">
        <v>2391</v>
      </c>
      <c r="G244" s="1912"/>
      <c r="H244" s="1523">
        <f>W244</f>
        <v>0</v>
      </c>
      <c r="I244" s="1239">
        <f ca="1">SUMIF(mong3pm,chitiet!$A244,slmong3pm)</f>
        <v>0</v>
      </c>
      <c r="J244" s="1239">
        <f ca="1">SUMIF(mongct,chitiet!$A244,slmongct)</f>
        <v>0</v>
      </c>
      <c r="K244" s="1239">
        <f>pp3p1m!AN111</f>
        <v>0</v>
      </c>
      <c r="L244" s="1239">
        <f>IFERROR(HLOOKUP(A244,pp1p!$6:$90,85,0),0)</f>
        <v>0</v>
      </c>
      <c r="M244" s="1239">
        <f ca="1">SUMIF(mongHTHH,chitiet!$A244,slmongHTHH)</f>
        <v>0</v>
      </c>
      <c r="N244" s="1239">
        <f ca="1">SUMIF(mongHTDL,chitiet!$A244,slmongHTDL)</f>
        <v>0</v>
      </c>
      <c r="O244" s="1239"/>
      <c r="P244" s="1523">
        <f>H244+Q244-R244</f>
        <v>0</v>
      </c>
      <c r="Q244" s="1239"/>
      <c r="R244" s="1239"/>
      <c r="S244" s="1239"/>
      <c r="T244" s="1664"/>
      <c r="U244" s="1664" t="str">
        <f>IFERROR(VLOOKUP(B244,ChiTietDuToan!C:H,5,0),"")</f>
        <v>Móng</v>
      </c>
      <c r="V244" s="2309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55"/>
      <c r="B245" s="1952" t="str">
        <f>IF(F5=1,"MDD1",IF(F5=2,"MDD2",IF(F5=3,"MDD3",IF(F5=4,"MDD4"))))</f>
        <v>MDD3</v>
      </c>
      <c r="C245" s="1194" t="str">
        <f t="shared" si="36"/>
        <v xml:space="preserve"> </v>
      </c>
      <c r="D245" s="1240"/>
      <c r="E245" s="1241" t="str">
        <f>VLOOKUP($B245,DG!A:D,DG!$C$2,)</f>
        <v>Đào hố móng đất cấp 3 sâu &gt;1m DT&lt;5m2</v>
      </c>
      <c r="F245" s="1240" t="str">
        <f>VLOOKUP($B245,DG!A:D,DG!$D$2,)</f>
        <v>m3</v>
      </c>
      <c r="G245" s="1916">
        <v>0.22600000000000001</v>
      </c>
      <c r="H245" s="1242">
        <f>H$244*$G245</f>
        <v>0</v>
      </c>
      <c r="I245" s="1244">
        <f t="shared" ref="I245:N245" ca="1" si="42">I$244*$G245</f>
        <v>0</v>
      </c>
      <c r="J245" s="1244">
        <f t="shared" ca="1" si="42"/>
        <v>0</v>
      </c>
      <c r="K245" s="1244">
        <f t="shared" si="42"/>
        <v>0</v>
      </c>
      <c r="L245" s="1244">
        <f t="shared" si="42"/>
        <v>0</v>
      </c>
      <c r="M245" s="1244">
        <f t="shared" ca="1" si="42"/>
        <v>0</v>
      </c>
      <c r="N245" s="1244">
        <f t="shared" ca="1" si="42"/>
        <v>0</v>
      </c>
      <c r="O245" s="1244"/>
      <c r="P245" s="1242">
        <f>$P$244*G245</f>
        <v>0</v>
      </c>
      <c r="Q245" s="1243">
        <f>$Q$244*G245</f>
        <v>0</v>
      </c>
      <c r="R245" s="1242">
        <f>$R$244*G245</f>
        <v>0</v>
      </c>
      <c r="S245" s="1244"/>
      <c r="T245" s="1664"/>
      <c r="U245" s="1664" t="str">
        <f>IFERROR(VLOOKUP(B245,ChiTietDuToan!C:H,5,0),"")</f>
        <v>m3</v>
      </c>
      <c r="V245" s="2309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52" t="str">
        <f>IF(F5=1,"MDAP1",IF(F5=2,"MDAP2",IF(F5=3,"MDAP3",IF(F5=4,"MDAP4"))))</f>
        <v>MDAP3</v>
      </c>
      <c r="C246" s="1194" t="str">
        <f t="shared" si="36"/>
        <v xml:space="preserve"> </v>
      </c>
      <c r="D246" s="1236" t="str">
        <f>VLOOKUP($B246,DG!A:D,DG!$B$2,)</f>
        <v>03.4113</v>
      </c>
      <c r="E246" s="1241" t="str">
        <f>VLOOKUP($B246,DG!A:D,DG!$C$2,)</f>
        <v>Đắp đất hố móng, độ chặt k=0,95</v>
      </c>
      <c r="F246" s="1236" t="str">
        <f>VLOOKUP($B246,DG!A:D,DG!$D$2,)</f>
        <v>m3</v>
      </c>
      <c r="G246" s="1916">
        <v>0.22600000000000001</v>
      </c>
      <c r="H246" s="1242">
        <f>H$244*$G246</f>
        <v>0</v>
      </c>
      <c r="I246" s="1245">
        <f t="shared" ref="I246:N246" ca="1" si="44">I$18*$G246</f>
        <v>0</v>
      </c>
      <c r="J246" s="1245">
        <f t="shared" ca="1" si="44"/>
        <v>0</v>
      </c>
      <c r="K246" s="1245">
        <f t="shared" ca="1" si="44"/>
        <v>0</v>
      </c>
      <c r="L246" s="1245">
        <f t="shared" si="44"/>
        <v>0</v>
      </c>
      <c r="M246" s="1245">
        <f t="shared" ca="1" si="44"/>
        <v>0</v>
      </c>
      <c r="N246" s="1245">
        <f t="shared" ca="1" si="44"/>
        <v>0</v>
      </c>
      <c r="O246" s="1245"/>
      <c r="P246" s="1242">
        <f>$P$244*G246</f>
        <v>0</v>
      </c>
      <c r="Q246" s="1243">
        <f>$Q$244*G246</f>
        <v>0</v>
      </c>
      <c r="R246" s="1242">
        <f>$R$244*G246</f>
        <v>0</v>
      </c>
      <c r="S246" s="1245"/>
      <c r="T246" s="1664"/>
      <c r="U246" s="1664" t="str">
        <f>IFERROR(VLOOKUP(B246,ChiTietDuToan!C:H,5,0),"")</f>
        <v>m3</v>
      </c>
      <c r="V246" s="2309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57" t="s">
        <v>640</v>
      </c>
      <c r="C247" s="67" t="str">
        <f t="shared" si="36"/>
        <v xml:space="preserve"> </v>
      </c>
      <c r="D247" s="1240" t="str">
        <f>VLOOKUP($B247,DG!A:C,2,)</f>
        <v>02.1482</v>
      </c>
      <c r="E247" s="1241" t="str">
        <f>VLOOKUP($B247,DG!A:C,3,)</f>
        <v>V/c dụng cụ thi công vào vị trí (cự ly &lt;=100m)</v>
      </c>
      <c r="F247" s="1240" t="str">
        <f>VLOOKUP($B247,DG!A:D,4,0)</f>
        <v>tấn</v>
      </c>
      <c r="G247" s="1917"/>
      <c r="H247" s="1247"/>
      <c r="I247" s="1247"/>
      <c r="J247" s="1247"/>
      <c r="K247" s="1247"/>
      <c r="L247" s="1247"/>
      <c r="M247" s="1247"/>
      <c r="N247" s="1247"/>
      <c r="O247" s="1247"/>
      <c r="P247" s="1247"/>
      <c r="Q247" s="1247"/>
      <c r="R247" s="1247"/>
      <c r="S247" s="1247"/>
      <c r="T247" s="1671"/>
      <c r="U247" s="1664" t="str">
        <f>IFERROR(VLOOKUP(B247,ChiTietDuToan!C:H,5,0),"")</f>
        <v/>
      </c>
      <c r="V247" s="2309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54" t="str">
        <f>A248</f>
        <v>M12a</v>
      </c>
      <c r="C248" s="65" t="str">
        <f t="shared" si="36"/>
        <v xml:space="preserve"> </v>
      </c>
      <c r="D248" s="1237"/>
      <c r="E248" s="1666" t="s">
        <v>2416</v>
      </c>
      <c r="F248" s="1238" t="s">
        <v>2391</v>
      </c>
      <c r="G248" s="1912"/>
      <c r="H248" s="1523">
        <f>W248</f>
        <v>0</v>
      </c>
      <c r="I248" s="1239">
        <f ca="1">SUMIF(mong3pm,chitiet!$A248,slmong3pm)</f>
        <v>0</v>
      </c>
      <c r="J248" s="1239">
        <f ca="1">SUMIF(mongct,chitiet!$A248,slmongct)</f>
        <v>0</v>
      </c>
      <c r="K248" s="1239">
        <f>pp3p1m!AO111</f>
        <v>0</v>
      </c>
      <c r="L248" s="1239">
        <f>IFERROR(HLOOKUP(A248,pp1p!$6:$90,85,0),0)</f>
        <v>0</v>
      </c>
      <c r="M248" s="1239">
        <f ca="1">SUMIF(mongHTHH,chitiet!$A248,slmongHTHH)</f>
        <v>0</v>
      </c>
      <c r="N248" s="1239">
        <f ca="1">SUMIF(mongHTDL,chitiet!$A248,slmongHTDL)</f>
        <v>0</v>
      </c>
      <c r="O248" s="1239"/>
      <c r="P248" s="1523">
        <f>H248+Q248-R248</f>
        <v>0</v>
      </c>
      <c r="Q248" s="1239"/>
      <c r="R248" s="1239"/>
      <c r="S248" s="1239"/>
      <c r="T248" s="1671"/>
      <c r="U248" s="1664" t="str">
        <f>IFERROR(VLOOKUP(B248,ChiTietDuToan!C:H,5,0),"")</f>
        <v>Móng</v>
      </c>
      <c r="V248" s="2309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75" t="s">
        <v>641</v>
      </c>
      <c r="C249" s="67" t="str">
        <f t="shared" si="36"/>
        <v xml:space="preserve"> </v>
      </c>
      <c r="D249" s="1236" t="str">
        <f>VLOOKUP($B249,DG!A:D,DG!$B$2,)</f>
        <v>04.4001</v>
      </c>
      <c r="E249" s="1246" t="str">
        <f>VLOOKUP($B249,DG!A:D,DG!$C$2,)</f>
        <v>Đà cản BTCT 1,2m</v>
      </c>
      <c r="F249" s="1240" t="str">
        <f>VLOOKUP($B249,DG!A:D,DG!$D$2,)</f>
        <v>cái</v>
      </c>
      <c r="G249" s="1918">
        <v>1</v>
      </c>
      <c r="H249" s="1244">
        <f>H$248*$G249</f>
        <v>0</v>
      </c>
      <c r="I249" s="1244">
        <f t="shared" ref="I249:O250" ca="1" si="46">I$244*$G249</f>
        <v>0</v>
      </c>
      <c r="J249" s="1244">
        <f t="shared" ca="1" si="46"/>
        <v>0</v>
      </c>
      <c r="K249" s="1244">
        <f>K$248*$G249</f>
        <v>0</v>
      </c>
      <c r="L249" s="1244">
        <f>L$248*$G249</f>
        <v>0</v>
      </c>
      <c r="M249" s="1244">
        <f t="shared" ca="1" si="46"/>
        <v>0</v>
      </c>
      <c r="N249" s="1244">
        <f t="shared" ca="1" si="46"/>
        <v>0</v>
      </c>
      <c r="O249" s="1244">
        <f t="shared" si="46"/>
        <v>0</v>
      </c>
      <c r="P249" s="1245">
        <f>$P$248*G249</f>
        <v>0</v>
      </c>
      <c r="Q249" s="1244"/>
      <c r="R249" s="1244"/>
      <c r="S249" s="1244"/>
      <c r="T249" s="1671"/>
      <c r="U249" s="1664" t="str">
        <f>IFERROR(VLOOKUP(B249,ChiTietDuToan!C:H,5,0),"")</f>
        <v>cái</v>
      </c>
      <c r="V249" s="2309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75" t="s">
        <v>1863</v>
      </c>
      <c r="C250" s="67" t="str">
        <f t="shared" si="36"/>
        <v xml:space="preserve"> </v>
      </c>
      <c r="D250" s="1240"/>
      <c r="E250" s="1246" t="str">
        <f>VLOOKUP($B250,DG!A:D,DG!$C$2,)</f>
        <v>Boulon 22x600+ 2 long đền vuông D24-50x50x3/Zn</v>
      </c>
      <c r="F250" s="1240" t="str">
        <f>VLOOKUP($B250,DG!A:D,DG!$D$2,)</f>
        <v>bộ</v>
      </c>
      <c r="G250" s="1918">
        <v>1</v>
      </c>
      <c r="H250" s="1244">
        <f>H$248*$G250</f>
        <v>0</v>
      </c>
      <c r="I250" s="1244">
        <f t="shared" ca="1" si="46"/>
        <v>0</v>
      </c>
      <c r="J250" s="1244">
        <f t="shared" ca="1" si="46"/>
        <v>0</v>
      </c>
      <c r="K250" s="1244">
        <f>K$248*$G250</f>
        <v>0</v>
      </c>
      <c r="L250" s="1244">
        <f>L$248*$G250</f>
        <v>0</v>
      </c>
      <c r="M250" s="1244">
        <f t="shared" ca="1" si="46"/>
        <v>0</v>
      </c>
      <c r="N250" s="1244">
        <f t="shared" ca="1" si="46"/>
        <v>0</v>
      </c>
      <c r="O250" s="1244">
        <f t="shared" si="46"/>
        <v>0</v>
      </c>
      <c r="P250" s="1245">
        <f>$P$248*G250</f>
        <v>0</v>
      </c>
      <c r="Q250" s="1244"/>
      <c r="R250" s="1244"/>
      <c r="S250" s="1244"/>
      <c r="T250" s="1671"/>
      <c r="U250" s="1664" t="str">
        <f>IFERROR(VLOOKUP(B250,ChiTietDuToan!C:H,5,0),"")</f>
        <v/>
      </c>
      <c r="V250" s="2309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75" t="str">
        <f>IF(F5=1,"MDD1",IF(F5=2,"MDD2",IF(F5=3,"MDD3",IF(F5=4,"MDD4"))))</f>
        <v>MDD3</v>
      </c>
      <c r="C251" s="67" t="str">
        <f t="shared" si="36"/>
        <v xml:space="preserve"> </v>
      </c>
      <c r="D251" s="1240" t="str">
        <f>VLOOKUP($B251,DG!A:D,DG!$B$2,)</f>
        <v>03.1013</v>
      </c>
      <c r="E251" s="1241" t="str">
        <f>VLOOKUP($B251,DG!A:D,DG!$C$2,)</f>
        <v>Đào hố móng đất cấp 3 sâu &gt;1m DT&lt;5m2</v>
      </c>
      <c r="F251" s="1240" t="str">
        <f>VLOOKUP($B251,DG!A:D,DG!$D$2,)</f>
        <v>m3</v>
      </c>
      <c r="G251" s="1917">
        <v>0.87</v>
      </c>
      <c r="H251" s="1242">
        <f>H$248*$G251</f>
        <v>0</v>
      </c>
      <c r="I251" s="1247"/>
      <c r="J251" s="1247"/>
      <c r="K251" s="1247"/>
      <c r="L251" s="1247"/>
      <c r="M251" s="1247"/>
      <c r="N251" s="1247"/>
      <c r="O251" s="1247"/>
      <c r="P251" s="1245">
        <f>$P$248*G251</f>
        <v>0</v>
      </c>
      <c r="Q251" s="1247"/>
      <c r="R251" s="1247"/>
      <c r="S251" s="1247"/>
      <c r="T251" s="1671"/>
      <c r="U251" s="1664" t="str">
        <f>IFERROR(VLOOKUP(B251,ChiTietDuToan!C:H,5,0),"")</f>
        <v>m3</v>
      </c>
      <c r="V251" s="2309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75" t="str">
        <f>IF(F5=1,"MDAP1",IF(F5=2,"MDAP2",IF(F5=3,"MDAP3",IF(F5=4,"MDAP4"))))</f>
        <v>MDAP3</v>
      </c>
      <c r="C252" s="67" t="str">
        <f t="shared" si="36"/>
        <v xml:space="preserve"> </v>
      </c>
      <c r="D252" s="1240" t="str">
        <f>VLOOKUP($B252,DG!A:D,DG!$B$2,)</f>
        <v>03.4113</v>
      </c>
      <c r="E252" s="1241" t="str">
        <f>VLOOKUP($B252,DG!A:D,DG!$C$2,)</f>
        <v>Đắp đất hố móng, độ chặt k=0,95</v>
      </c>
      <c r="F252" s="1240" t="str">
        <f>VLOOKUP($B252,DG!A:D,DG!$D$2,)</f>
        <v>m3</v>
      </c>
      <c r="G252" s="1917">
        <v>0.79</v>
      </c>
      <c r="H252" s="1242">
        <f>H$248*$G252</f>
        <v>0</v>
      </c>
      <c r="I252" s="1247"/>
      <c r="J252" s="1247"/>
      <c r="K252" s="1247"/>
      <c r="L252" s="1247"/>
      <c r="M252" s="1247"/>
      <c r="N252" s="1247"/>
      <c r="O252" s="1247"/>
      <c r="P252" s="1245">
        <f>$P$248*G252</f>
        <v>0</v>
      </c>
      <c r="Q252" s="1247"/>
      <c r="R252" s="1247"/>
      <c r="S252" s="1247"/>
      <c r="T252" s="1671"/>
      <c r="U252" s="1664" t="str">
        <f>IFERROR(VLOOKUP(B252,ChiTietDuToan!C:H,5,0),"")</f>
        <v>m3</v>
      </c>
      <c r="V252" s="2309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75" t="s">
        <v>642</v>
      </c>
      <c r="C253" s="67" t="str">
        <f t="shared" si="36"/>
        <v xml:space="preserve"> </v>
      </c>
      <c r="D253" s="1240" t="str">
        <f>VLOOKUP($B253,DG!A:D,DG!$B$2,)</f>
        <v>02.1123</v>
      </c>
      <c r="E253" s="1241" t="str">
        <f>VLOOKUP($B253,DG!A:D,DG!$C$2,)</f>
        <v>Bốc dỡ đà cản, đế néo</v>
      </c>
      <c r="F253" s="1240" t="str">
        <f>VLOOKUP($B253,DG!A:D,DG!$D$2,)</f>
        <v>tấn</v>
      </c>
      <c r="G253" s="1917">
        <f>0.1*0</f>
        <v>0</v>
      </c>
      <c r="H253" s="1244"/>
      <c r="I253" s="1244"/>
      <c r="J253" s="1244"/>
      <c r="K253" s="1244"/>
      <c r="L253" s="1244"/>
      <c r="M253" s="1244"/>
      <c r="N253" s="1244"/>
      <c r="O253" s="1244"/>
      <c r="P253" s="1244"/>
      <c r="Q253" s="1244"/>
      <c r="R253" s="1244"/>
      <c r="S253" s="1244"/>
      <c r="T253" s="1671"/>
      <c r="U253" s="1664" t="str">
        <f>IFERROR(VLOOKUP(B253,ChiTietDuToan!C:H,5,0),"")</f>
        <v/>
      </c>
      <c r="V253" s="2309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57" t="s">
        <v>2125</v>
      </c>
      <c r="C254" s="67" t="str">
        <f t="shared" si="36"/>
        <v xml:space="preserve"> </v>
      </c>
      <c r="D254" s="1240" t="str">
        <f>VLOOKUP($B254,DG!A:C,2,)</f>
        <v>02.1451</v>
      </c>
      <c r="E254" s="1241" t="str">
        <f>VLOOKUP($B254,DG!A:C,3,)</f>
        <v>V/c đà cản vào vị trí (cự ly &lt;=100m)</v>
      </c>
      <c r="F254" s="1240" t="str">
        <f>VLOOKUP($B254,DG!A:D,4,0)</f>
        <v>tấn</v>
      </c>
      <c r="G254" s="1917">
        <f>G253</f>
        <v>0</v>
      </c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R254" s="1247"/>
      <c r="S254" s="1247"/>
      <c r="T254" s="1671"/>
      <c r="U254" s="1664" t="str">
        <f>IFERROR(VLOOKUP(B254,ChiTietDuToan!C:H,5,0),"")</f>
        <v/>
      </c>
      <c r="V254" s="2309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57" t="s">
        <v>640</v>
      </c>
      <c r="C255" s="67" t="str">
        <f t="shared" si="36"/>
        <v xml:space="preserve"> </v>
      </c>
      <c r="D255" s="1240" t="str">
        <f>VLOOKUP($B255,DG!A:C,2,)</f>
        <v>02.1482</v>
      </c>
      <c r="E255" s="1241" t="str">
        <f>VLOOKUP($B255,DG!A:C,3,)</f>
        <v>V/c dụng cụ thi công vào vị trí (cự ly &lt;=100m)</v>
      </c>
      <c r="F255" s="1240" t="str">
        <f>VLOOKUP($B255,DG!A:D,4,0)</f>
        <v>tấn</v>
      </c>
      <c r="G255" s="1917">
        <f>0.2*0</f>
        <v>0</v>
      </c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R255" s="1247"/>
      <c r="S255" s="1247"/>
      <c r="T255" s="1671"/>
      <c r="U255" s="1664" t="str">
        <f>IFERROR(VLOOKUP(B255,ChiTietDuToan!C:H,5,0),"")</f>
        <v/>
      </c>
      <c r="V255" s="2309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56"/>
      <c r="C256" s="65" t="str">
        <f t="shared" ca="1" si="36"/>
        <v xml:space="preserve"> </v>
      </c>
      <c r="D256" s="1237"/>
      <c r="E256" s="1666" t="s">
        <v>2417</v>
      </c>
      <c r="F256" s="1238" t="s">
        <v>2391</v>
      </c>
      <c r="G256" s="1912"/>
      <c r="H256" s="1523">
        <f ca="1">SUM(I256:O256)+T256</f>
        <v>0</v>
      </c>
      <c r="I256" s="1239">
        <f ca="1">SUMIF(mong3pm,chitiet!$A256,slmong3pm)+SUMIF(mong3p1m,chitiet!$A256,slmong3p1m)</f>
        <v>0</v>
      </c>
      <c r="J256" s="1239">
        <f ca="1">SUMIF(mongct,chitiet!$A256,slmongct)</f>
        <v>0</v>
      </c>
      <c r="K256" s="1239">
        <f>+SUMIF(mong3p1m,chitiet!$A256,slmong3p1m)</f>
        <v>0</v>
      </c>
      <c r="L256" s="1239">
        <f>IFERROR(HLOOKUP(A256,pp1p!$6:$90,85,0),0)</f>
        <v>0</v>
      </c>
      <c r="M256" s="1239">
        <f ca="1">SUMIF(mongHTHH,chitiet!$A256,slmongHTHH)</f>
        <v>0</v>
      </c>
      <c r="N256" s="1239">
        <f ca="1">SUMIF(mongHTDL,chitiet!$A256,slmongHTDL)</f>
        <v>0</v>
      </c>
      <c r="O256" s="1239"/>
      <c r="P256" s="1239"/>
      <c r="Q256" s="1239"/>
      <c r="R256" s="1239"/>
      <c r="S256" s="1239"/>
      <c r="T256" s="1671"/>
      <c r="U256" s="1664">
        <f>IFERROR(VLOOKUP(B256,ChiTietDuToan!C:H,5,0),"")</f>
        <v>0</v>
      </c>
      <c r="V256" s="2309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75" t="s">
        <v>1627</v>
      </c>
      <c r="C257" s="67" t="str">
        <f t="shared" ca="1" si="36"/>
        <v xml:space="preserve"> </v>
      </c>
      <c r="D257" s="1236" t="str">
        <f>VLOOKUP($B257,DG!A:D,DG!$B$2,)</f>
        <v>04.3801</v>
      </c>
      <c r="E257" s="1246" t="str">
        <f>VLOOKUP($B257,DG!A:D,DG!$C$2,)</f>
        <v>Đà cản BTCT 1,5m</v>
      </c>
      <c r="F257" s="1240" t="str">
        <f>VLOOKUP($B257,DG!A:D,DG!$D$2,)</f>
        <v>cái</v>
      </c>
      <c r="G257" s="1918">
        <v>1</v>
      </c>
      <c r="H257" s="1244">
        <f ca="1">H$256*$G257</f>
        <v>0</v>
      </c>
      <c r="I257" s="1244">
        <f t="shared" ref="I257:N258" ca="1" si="47">I$256*$G257</f>
        <v>0</v>
      </c>
      <c r="J257" s="1244">
        <f t="shared" ca="1" si="47"/>
        <v>0</v>
      </c>
      <c r="K257" s="1244">
        <f t="shared" si="47"/>
        <v>0</v>
      </c>
      <c r="L257" s="1244">
        <f t="shared" si="47"/>
        <v>0</v>
      </c>
      <c r="M257" s="1244">
        <f t="shared" ca="1" si="47"/>
        <v>0</v>
      </c>
      <c r="N257" s="1244">
        <f t="shared" ca="1" si="47"/>
        <v>0</v>
      </c>
      <c r="O257" s="1244"/>
      <c r="P257" s="1244"/>
      <c r="Q257" s="1244"/>
      <c r="R257" s="1244"/>
      <c r="S257" s="1244"/>
      <c r="T257" s="1671"/>
      <c r="U257" s="1664" t="str">
        <f>IFERROR(VLOOKUP(B257,ChiTietDuToan!C:H,5,0),"")</f>
        <v>cái</v>
      </c>
      <c r="V257" s="2309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75" t="s">
        <v>570</v>
      </c>
      <c r="C258" s="67" t="str">
        <f t="shared" ca="1" si="36"/>
        <v xml:space="preserve"> </v>
      </c>
      <c r="D258" s="1240"/>
      <c r="E258" s="1246" t="str">
        <f>VLOOKUP($B258,DG!A:D,DG!$C$2,)</f>
        <v>Boulon 22x650+ 2 long đền vuông D24-50x50x3/Zn</v>
      </c>
      <c r="F258" s="1240" t="str">
        <f>VLOOKUP($B258,DG!A:D,DG!$D$2,)</f>
        <v>bộ</v>
      </c>
      <c r="G258" s="1918">
        <v>1</v>
      </c>
      <c r="H258" s="1244">
        <f ca="1">H$256*$G258</f>
        <v>0</v>
      </c>
      <c r="I258" s="1244">
        <f t="shared" ca="1" si="47"/>
        <v>0</v>
      </c>
      <c r="J258" s="1244">
        <f t="shared" ca="1" si="47"/>
        <v>0</v>
      </c>
      <c r="K258" s="1244">
        <f t="shared" si="47"/>
        <v>0</v>
      </c>
      <c r="L258" s="1244">
        <f t="shared" si="47"/>
        <v>0</v>
      </c>
      <c r="M258" s="1244">
        <f t="shared" ca="1" si="47"/>
        <v>0</v>
      </c>
      <c r="N258" s="1244">
        <f t="shared" ca="1" si="47"/>
        <v>0</v>
      </c>
      <c r="O258" s="1244"/>
      <c r="P258" s="1244"/>
      <c r="Q258" s="1244"/>
      <c r="R258" s="1244"/>
      <c r="S258" s="1244"/>
      <c r="T258" s="1671"/>
      <c r="U258" s="1664" t="str">
        <f>IFERROR(VLOOKUP(B258,ChiTietDuToan!C:H,5,0),"")</f>
        <v>bộ</v>
      </c>
      <c r="V258" s="2309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59" t="s">
        <v>1865</v>
      </c>
      <c r="C259" s="67" t="str">
        <f t="shared" ca="1" si="36"/>
        <v xml:space="preserve"> </v>
      </c>
      <c r="D259" s="1236">
        <f>VLOOKUP($B259,DG!A:D,DG!$B$2,)</f>
        <v>0</v>
      </c>
      <c r="E259" s="1241" t="str">
        <f>VLOOKUP($B259,DG!A:D,DG!$C$2,)</f>
        <v>Đá 2x4</v>
      </c>
      <c r="F259" s="1236" t="str">
        <f>VLOOKUP($B259,DG!A:D,DG!$D$2,)</f>
        <v>m3</v>
      </c>
      <c r="G259" s="1913">
        <v>0.23200000000000001</v>
      </c>
      <c r="H259" s="1245">
        <f t="shared" ref="H259:N259" ca="1" si="48">H$18*$G259</f>
        <v>0</v>
      </c>
      <c r="I259" s="1245">
        <f t="shared" ca="1" si="48"/>
        <v>0</v>
      </c>
      <c r="J259" s="1245">
        <f t="shared" ca="1" si="48"/>
        <v>0</v>
      </c>
      <c r="K259" s="1245">
        <f t="shared" ca="1" si="48"/>
        <v>0</v>
      </c>
      <c r="L259" s="1245">
        <f t="shared" si="48"/>
        <v>0</v>
      </c>
      <c r="M259" s="1245">
        <f t="shared" ca="1" si="48"/>
        <v>0</v>
      </c>
      <c r="N259" s="1245">
        <f t="shared" ca="1" si="48"/>
        <v>0</v>
      </c>
      <c r="O259" s="1245"/>
      <c r="P259" s="1245"/>
      <c r="Q259" s="1245"/>
      <c r="R259" s="1245"/>
      <c r="S259" s="1245"/>
      <c r="T259" s="1671"/>
      <c r="U259" s="1664" t="str">
        <f>IFERROR(VLOOKUP(B259,ChiTietDuToan!C:H,5,0),"")</f>
        <v>m3</v>
      </c>
      <c r="V259" s="2309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75" t="str">
        <f>IF(F5=1,"MDD1",IF(F5=2,"MDD2",IF(F5=3,"MDD3",IF(F5=4,"MDD4"))))</f>
        <v>MDD3</v>
      </c>
      <c r="C260" s="67" t="str">
        <f t="shared" si="36"/>
        <v xml:space="preserve"> </v>
      </c>
      <c r="D260" s="1240" t="str">
        <f>VLOOKUP($B260,DG!A:D,DG!$B$2,)</f>
        <v>03.1013</v>
      </c>
      <c r="E260" s="1241" t="str">
        <f>VLOOKUP($B260,DG!A:D,DG!$C$2,)</f>
        <v>Đào hố móng đất cấp 3 sâu &gt;1m DT&lt;5m2</v>
      </c>
      <c r="F260" s="1240" t="str">
        <f>VLOOKUP($B260,DG!A:D,DG!$D$2,)</f>
        <v>m3</v>
      </c>
      <c r="G260" s="1917">
        <v>3.1030000000000002</v>
      </c>
      <c r="H260" s="1247"/>
      <c r="I260" s="1247"/>
      <c r="J260" s="1247"/>
      <c r="K260" s="1247"/>
      <c r="L260" s="1247"/>
      <c r="M260" s="1247"/>
      <c r="N260" s="1247"/>
      <c r="O260" s="1247"/>
      <c r="P260" s="1247"/>
      <c r="Q260" s="1247"/>
      <c r="R260" s="1247"/>
      <c r="S260" s="1247"/>
      <c r="T260" s="1671"/>
      <c r="U260" s="1664" t="str">
        <f>IFERROR(VLOOKUP(B260,ChiTietDuToan!C:H,5,0),"")</f>
        <v>m3</v>
      </c>
      <c r="V260" s="2309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75" t="str">
        <f>IF(F5=1,"MDAP1",IF(F5=2,"MDAP2",IF(F5=3,"MDAP3",IF(F5=4,"MDAP4"))))</f>
        <v>MDAP3</v>
      </c>
      <c r="C261" s="67" t="str">
        <f t="shared" si="36"/>
        <v xml:space="preserve"> </v>
      </c>
      <c r="D261" s="1240" t="str">
        <f>VLOOKUP($B261,DG!A:D,DG!$B$2,)</f>
        <v>03.4113</v>
      </c>
      <c r="E261" s="1241" t="str">
        <f>VLOOKUP($B261,DG!A:D,DG!$C$2,)</f>
        <v>Đắp đất hố móng, độ chặt k=0,95</v>
      </c>
      <c r="F261" s="1240" t="str">
        <f>VLOOKUP($B261,DG!A:D,DG!$D$2,)</f>
        <v>m3</v>
      </c>
      <c r="G261" s="1917">
        <v>3.472</v>
      </c>
      <c r="H261" s="1247"/>
      <c r="I261" s="1247"/>
      <c r="J261" s="1247"/>
      <c r="K261" s="1247"/>
      <c r="L261" s="1247"/>
      <c r="M261" s="1247"/>
      <c r="N261" s="1247"/>
      <c r="O261" s="1247"/>
      <c r="P261" s="1247"/>
      <c r="Q261" s="1247"/>
      <c r="R261" s="1247"/>
      <c r="S261" s="1247"/>
      <c r="T261" s="1671"/>
      <c r="U261" s="1664" t="str">
        <f>IFERROR(VLOOKUP(B261,ChiTietDuToan!C:H,5,0),"")</f>
        <v>m3</v>
      </c>
      <c r="V261" s="2309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75" t="s">
        <v>642</v>
      </c>
      <c r="C262" s="67" t="str">
        <f t="shared" si="36"/>
        <v xml:space="preserve"> </v>
      </c>
      <c r="D262" s="1240" t="str">
        <f>VLOOKUP($B262,DG!A:D,DG!$B$2,)</f>
        <v>02.1123</v>
      </c>
      <c r="E262" s="1241" t="str">
        <f>VLOOKUP($B262,DG!A:D,DG!$C$2,)</f>
        <v>Bốc dỡ đà cản, đế néo</v>
      </c>
      <c r="F262" s="1240" t="str">
        <f>VLOOKUP($B262,DG!A:D,DG!$D$2,)</f>
        <v>tấn</v>
      </c>
      <c r="G262" s="1917">
        <v>0.255</v>
      </c>
      <c r="H262" s="1244"/>
      <c r="I262" s="1244"/>
      <c r="J262" s="1244"/>
      <c r="K262" s="1244"/>
      <c r="L262" s="1244"/>
      <c r="M262" s="1244"/>
      <c r="N262" s="1244"/>
      <c r="O262" s="1244"/>
      <c r="P262" s="1244"/>
      <c r="Q262" s="1244"/>
      <c r="R262" s="1244"/>
      <c r="S262" s="1244"/>
      <c r="T262" s="1671"/>
      <c r="U262" s="1664" t="str">
        <f>IFERROR(VLOOKUP(B262,ChiTietDuToan!C:H,5,0),"")</f>
        <v/>
      </c>
      <c r="V262" s="2309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57" t="s">
        <v>2125</v>
      </c>
      <c r="C263" s="67" t="str">
        <f t="shared" si="36"/>
        <v xml:space="preserve"> </v>
      </c>
      <c r="D263" s="1240" t="str">
        <f>VLOOKUP($B263,DG!A:C,2,)</f>
        <v>02.1451</v>
      </c>
      <c r="E263" s="1241" t="str">
        <f>VLOOKUP($B263,DG!A:C,3,)</f>
        <v>V/c đà cản vào vị trí (cự ly &lt;=100m)</v>
      </c>
      <c r="F263" s="1240" t="str">
        <f>VLOOKUP($B263,DG!A:D,4,0)</f>
        <v>tấn</v>
      </c>
      <c r="G263" s="1917">
        <f>+G262</f>
        <v>0.255</v>
      </c>
      <c r="H263" s="1247"/>
      <c r="I263" s="1247"/>
      <c r="J263" s="1247"/>
      <c r="K263" s="1247"/>
      <c r="L263" s="1247"/>
      <c r="M263" s="1247"/>
      <c r="N263" s="1247"/>
      <c r="O263" s="1247"/>
      <c r="P263" s="1247"/>
      <c r="Q263" s="1247"/>
      <c r="R263" s="1247"/>
      <c r="S263" s="1247"/>
      <c r="T263" s="1671"/>
      <c r="U263" s="1664" t="str">
        <f>IFERROR(VLOOKUP(B263,ChiTietDuToan!C:H,5,0),"")</f>
        <v/>
      </c>
      <c r="V263" s="2309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74" t="s">
        <v>679</v>
      </c>
      <c r="C264" s="67" t="str">
        <f t="shared" si="36"/>
        <v xml:space="preserve"> </v>
      </c>
      <c r="D264" s="1236" t="str">
        <f>VLOOKUP($B264,DG!A:C,2,)</f>
        <v>02.1241</v>
      </c>
      <c r="E264" s="1241" t="str">
        <f>VLOOKUP($B264,DG!A:C,3,)</f>
        <v>V/c đá dăm ( cự ly &lt;=100m)</v>
      </c>
      <c r="F264" s="1236" t="str">
        <f>VLOOKUP($B264,DG!A:D,4,0)</f>
        <v>m3</v>
      </c>
      <c r="G264" s="1913">
        <f>G259</f>
        <v>0.23200000000000001</v>
      </c>
      <c r="H264" s="1250"/>
      <c r="I264" s="1250"/>
      <c r="J264" s="1250"/>
      <c r="K264" s="1250"/>
      <c r="L264" s="1250"/>
      <c r="M264" s="1250"/>
      <c r="N264" s="1250"/>
      <c r="O264" s="1250"/>
      <c r="P264" s="1250"/>
      <c r="Q264" s="1250"/>
      <c r="R264" s="1250"/>
      <c r="S264" s="1250"/>
      <c r="T264" s="1671"/>
      <c r="U264" s="1664" t="str">
        <f>IFERROR(VLOOKUP(B264,ChiTietDuToan!C:H,5,0),"")</f>
        <v/>
      </c>
      <c r="V264" s="2309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57" t="s">
        <v>640</v>
      </c>
      <c r="C265" s="67" t="str">
        <f t="shared" si="36"/>
        <v xml:space="preserve"> </v>
      </c>
      <c r="D265" s="1240" t="str">
        <f>VLOOKUP($B265,DG!A:C,2,)</f>
        <v>02.1482</v>
      </c>
      <c r="E265" s="1241" t="str">
        <f>VLOOKUP($B265,DG!A:C,3,)</f>
        <v>V/c dụng cụ thi công vào vị trí (cự ly &lt;=100m)</v>
      </c>
      <c r="F265" s="1240" t="str">
        <f>VLOOKUP($B265,DG!A:D,4,0)</f>
        <v>tấn</v>
      </c>
      <c r="G265" s="1917">
        <v>0.2</v>
      </c>
      <c r="H265" s="1247"/>
      <c r="I265" s="1247"/>
      <c r="J265" s="1247"/>
      <c r="K265" s="1247"/>
      <c r="L265" s="1247"/>
      <c r="M265" s="1247"/>
      <c r="N265" s="1247"/>
      <c r="O265" s="1247"/>
      <c r="P265" s="1247"/>
      <c r="Q265" s="1247"/>
      <c r="R265" s="1247"/>
      <c r="S265" s="1247"/>
      <c r="T265" s="1671"/>
      <c r="U265" s="1664" t="str">
        <f>IFERROR(VLOOKUP(B265,ChiTietDuToan!C:H,5,0),"")</f>
        <v/>
      </c>
      <c r="V265" s="2309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56"/>
      <c r="C266" s="65" t="str">
        <f t="shared" ca="1" si="36"/>
        <v xml:space="preserve"> </v>
      </c>
      <c r="D266" s="1237"/>
      <c r="E266" s="1666" t="s">
        <v>2418</v>
      </c>
      <c r="F266" s="1238" t="s">
        <v>2391</v>
      </c>
      <c r="G266" s="1912"/>
      <c r="H266" s="1523">
        <f ca="1">SUM(I266:O266)+T266</f>
        <v>0</v>
      </c>
      <c r="I266" s="1239"/>
      <c r="J266" s="1239">
        <f ca="1">SUMIF(mongct,chitiet!$A266,slmongct)</f>
        <v>0</v>
      </c>
      <c r="K266" s="1239">
        <f>pp3p1m!AQ111</f>
        <v>0</v>
      </c>
      <c r="L266" s="1239">
        <f>IFERROR(HLOOKUP(A266,pp1p!$6:$90,85,0),0)</f>
        <v>0</v>
      </c>
      <c r="M266" s="1239">
        <f ca="1">SUMIF(mongHTHH,chitiet!$A266,slmongHTHH)</f>
        <v>0</v>
      </c>
      <c r="N266" s="1239">
        <f ca="1">SUMIF(mongHTDL,chitiet!$A266,slmongHTDL)</f>
        <v>0</v>
      </c>
      <c r="O266" s="1239"/>
      <c r="P266" s="1239"/>
      <c r="Q266" s="1239"/>
      <c r="R266" s="1239"/>
      <c r="S266" s="1239"/>
      <c r="T266" s="1671"/>
      <c r="U266" s="1664">
        <f>IFERROR(VLOOKUP(B266,ChiTietDuToan!C:H,5,0),"")</f>
        <v>0</v>
      </c>
      <c r="V266" s="2309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75" t="s">
        <v>641</v>
      </c>
      <c r="C267" s="67" t="str">
        <f t="shared" ca="1" si="36"/>
        <v xml:space="preserve"> </v>
      </c>
      <c r="D267" s="1236" t="str">
        <f>VLOOKUP($B267,DG!A:D,DG!$B$2,)</f>
        <v>04.4001</v>
      </c>
      <c r="E267" s="1246" t="str">
        <f>VLOOKUP($B267,DG!A:D,DG!$C$2,)</f>
        <v>Đà cản BTCT 1,2m</v>
      </c>
      <c r="F267" s="1240" t="str">
        <f>VLOOKUP($B267,DG!A:D,DG!$D$2,)</f>
        <v>cái</v>
      </c>
      <c r="G267" s="1918">
        <v>2</v>
      </c>
      <c r="H267" s="1244">
        <f ca="1">H$266*$G267</f>
        <v>0</v>
      </c>
      <c r="I267" s="1244">
        <f t="shared" ref="I267:N268" si="50">I$266*$G267</f>
        <v>0</v>
      </c>
      <c r="J267" s="1244">
        <f t="shared" ca="1" si="50"/>
        <v>0</v>
      </c>
      <c r="K267" s="1244">
        <f t="shared" si="50"/>
        <v>0</v>
      </c>
      <c r="L267" s="1244">
        <f t="shared" si="50"/>
        <v>0</v>
      </c>
      <c r="M267" s="1244">
        <f t="shared" ca="1" si="50"/>
        <v>0</v>
      </c>
      <c r="N267" s="1244">
        <f t="shared" ca="1" si="50"/>
        <v>0</v>
      </c>
      <c r="O267" s="1244"/>
      <c r="P267" s="1244"/>
      <c r="Q267" s="1244"/>
      <c r="R267" s="1244"/>
      <c r="S267" s="1244"/>
      <c r="T267" s="1671"/>
      <c r="U267" s="1664" t="str">
        <f>IFERROR(VLOOKUP(B267,ChiTietDuToan!C:H,5,0),"")</f>
        <v>cái</v>
      </c>
      <c r="V267" s="2309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75" t="s">
        <v>419</v>
      </c>
      <c r="C268" s="67" t="str">
        <f t="shared" ca="1" si="36"/>
        <v xml:space="preserve"> </v>
      </c>
      <c r="D268" s="1240"/>
      <c r="E268" s="1246" t="str">
        <f>VLOOKUP($B268,DG!A:D,DG!$C$2,)</f>
        <v>Boulon 22x800+ 2 long đền vuông D24-50x50x3/Zn</v>
      </c>
      <c r="F268" s="1240" t="str">
        <f>VLOOKUP($B268,DG!A:D,DG!$D$2,)</f>
        <v>bộ</v>
      </c>
      <c r="G268" s="1918">
        <v>3</v>
      </c>
      <c r="H268" s="1244">
        <f ca="1">H$266*$G268</f>
        <v>0</v>
      </c>
      <c r="I268" s="1244">
        <f t="shared" si="50"/>
        <v>0</v>
      </c>
      <c r="J268" s="1244">
        <f t="shared" ca="1" si="50"/>
        <v>0</v>
      </c>
      <c r="K268" s="1244">
        <f t="shared" si="50"/>
        <v>0</v>
      </c>
      <c r="L268" s="1244">
        <f t="shared" si="50"/>
        <v>0</v>
      </c>
      <c r="M268" s="1244">
        <f t="shared" ca="1" si="50"/>
        <v>0</v>
      </c>
      <c r="N268" s="1244">
        <f t="shared" ca="1" si="50"/>
        <v>0</v>
      </c>
      <c r="O268" s="1244"/>
      <c r="P268" s="1244"/>
      <c r="Q268" s="1244"/>
      <c r="R268" s="1244"/>
      <c r="S268" s="1244"/>
      <c r="T268" s="1671"/>
      <c r="U268" s="1664" t="str">
        <f>IFERROR(VLOOKUP(B268,ChiTietDuToan!C:H,5,0),"")</f>
        <v/>
      </c>
      <c r="V268" s="2309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75" t="str">
        <f>IF(F5=1,"MDD1",IF(F5=2,"MDD2",IF(F5=3,"MDD3",IF(F5=4,"MDD4"))))</f>
        <v>MDD3</v>
      </c>
      <c r="C269" s="67" t="str">
        <f t="shared" si="36"/>
        <v xml:space="preserve"> </v>
      </c>
      <c r="D269" s="1240" t="str">
        <f>VLOOKUP($B269,DG!A:D,DG!$B$2,)</f>
        <v>03.1013</v>
      </c>
      <c r="E269" s="1241" t="str">
        <f>VLOOKUP($B269,DG!A:D,DG!$C$2,)</f>
        <v>Đào hố móng đất cấp 3 sâu &gt;1m DT&lt;5m2</v>
      </c>
      <c r="F269" s="1240" t="str">
        <f>VLOOKUP($B269,DG!A:D,DG!$D$2,)</f>
        <v>m3</v>
      </c>
      <c r="G269" s="1917">
        <v>3.03</v>
      </c>
      <c r="H269" s="1247"/>
      <c r="I269" s="1247"/>
      <c r="J269" s="1247"/>
      <c r="K269" s="1247"/>
      <c r="L269" s="1247"/>
      <c r="M269" s="1247"/>
      <c r="N269" s="1247"/>
      <c r="O269" s="1247"/>
      <c r="P269" s="1247"/>
      <c r="Q269" s="1247"/>
      <c r="R269" s="1247"/>
      <c r="S269" s="1247"/>
      <c r="T269" s="1671"/>
      <c r="U269" s="1664" t="str">
        <f>IFERROR(VLOOKUP(B269,ChiTietDuToan!C:H,5,0),"")</f>
        <v>m3</v>
      </c>
      <c r="V269" s="2309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75" t="str">
        <f>IF(F5=1,"MDAP1",IF(F5=2,"MDAP2",IF(F5=3,"MDAP3",IF(F5=4,"MDAP4"))))</f>
        <v>MDAP3</v>
      </c>
      <c r="C270" s="67" t="str">
        <f t="shared" si="36"/>
        <v xml:space="preserve"> </v>
      </c>
      <c r="D270" s="1240" t="str">
        <f>VLOOKUP($B270,DG!A:D,DG!$B$2,)</f>
        <v>03.4113</v>
      </c>
      <c r="E270" s="1241" t="str">
        <f>VLOOKUP($B270,DG!A:D,DG!$C$2,)</f>
        <v>Đắp đất hố móng, độ chặt k=0,95</v>
      </c>
      <c r="F270" s="1240" t="str">
        <f>VLOOKUP($B270,DG!A:D,DG!$D$2,)</f>
        <v>m3</v>
      </c>
      <c r="G270" s="1917">
        <v>3.02</v>
      </c>
      <c r="H270" s="1247"/>
      <c r="I270" s="1247"/>
      <c r="J270" s="1247"/>
      <c r="K270" s="1247"/>
      <c r="L270" s="1247"/>
      <c r="M270" s="1247"/>
      <c r="N270" s="1247"/>
      <c r="O270" s="1247"/>
      <c r="P270" s="1247"/>
      <c r="Q270" s="1247"/>
      <c r="R270" s="1247"/>
      <c r="S270" s="1247"/>
      <c r="T270" s="1671"/>
      <c r="U270" s="1664" t="str">
        <f>IFERROR(VLOOKUP(B270,ChiTietDuToan!C:H,5,0),"")</f>
        <v>m3</v>
      </c>
      <c r="V270" s="2309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75" t="s">
        <v>642</v>
      </c>
      <c r="C271" s="67" t="str">
        <f t="shared" ref="C271:C334" si="51">IF(OR(P271&lt;&gt;0,H271&lt;&gt;0),"x"," ")</f>
        <v xml:space="preserve"> </v>
      </c>
      <c r="D271" s="1240" t="str">
        <f>VLOOKUP($B271,DG!A:D,DG!$B$2,)</f>
        <v>02.1123</v>
      </c>
      <c r="E271" s="1241" t="str">
        <f>VLOOKUP($B271,DG!A:D,DG!$C$2,)</f>
        <v>Bốc dỡ đà cản, đế néo</v>
      </c>
      <c r="F271" s="1240" t="str">
        <f>VLOOKUP($B271,DG!A:D,DG!$D$2,)</f>
        <v>tấn</v>
      </c>
      <c r="G271" s="1917"/>
      <c r="H271" s="1244"/>
      <c r="I271" s="1244"/>
      <c r="J271" s="1244"/>
      <c r="K271" s="1244"/>
      <c r="L271" s="1244"/>
      <c r="M271" s="1244"/>
      <c r="N271" s="1244"/>
      <c r="O271" s="1244"/>
      <c r="P271" s="1244"/>
      <c r="Q271" s="1244"/>
      <c r="R271" s="1244"/>
      <c r="S271" s="1244"/>
      <c r="T271" s="1671"/>
      <c r="U271" s="1664" t="str">
        <f>IFERROR(VLOOKUP(B271,ChiTietDuToan!C:H,5,0),"")</f>
        <v/>
      </c>
      <c r="V271" s="2309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57" t="s">
        <v>2125</v>
      </c>
      <c r="C272" s="67" t="str">
        <f t="shared" si="51"/>
        <v xml:space="preserve"> </v>
      </c>
      <c r="D272" s="1240" t="str">
        <f>VLOOKUP($B272,DG!A:C,2,)</f>
        <v>02.1451</v>
      </c>
      <c r="E272" s="1241" t="str">
        <f>VLOOKUP($B272,DG!A:C,3,)</f>
        <v>V/c đà cản vào vị trí (cự ly &lt;=100m)</v>
      </c>
      <c r="F272" s="1240" t="str">
        <f>VLOOKUP($B272,DG!A:D,4,0)</f>
        <v>tấn</v>
      </c>
      <c r="G272" s="1917"/>
      <c r="H272" s="1247"/>
      <c r="I272" s="1247"/>
      <c r="J272" s="1247"/>
      <c r="K272" s="1247"/>
      <c r="L272" s="1247"/>
      <c r="M272" s="1247"/>
      <c r="N272" s="1247"/>
      <c r="O272" s="1247"/>
      <c r="P272" s="1247"/>
      <c r="Q272" s="1247"/>
      <c r="R272" s="1247"/>
      <c r="S272" s="1247"/>
      <c r="T272" s="1671"/>
      <c r="U272" s="1664" t="str">
        <f>IFERROR(VLOOKUP(B272,ChiTietDuToan!C:H,5,0),"")</f>
        <v/>
      </c>
      <c r="V272" s="2309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57" t="s">
        <v>640</v>
      </c>
      <c r="C273" s="67" t="str">
        <f t="shared" si="51"/>
        <v xml:space="preserve"> </v>
      </c>
      <c r="D273" s="1240" t="str">
        <f>VLOOKUP($B273,DG!A:C,2,)</f>
        <v>02.1482</v>
      </c>
      <c r="E273" s="1241" t="str">
        <f>VLOOKUP($B273,DG!A:C,3,)</f>
        <v>V/c dụng cụ thi công vào vị trí (cự ly &lt;=100m)</v>
      </c>
      <c r="F273" s="1240" t="str">
        <f>VLOOKUP($B273,DG!A:D,4,0)</f>
        <v>tấn</v>
      </c>
      <c r="G273" s="1917"/>
      <c r="H273" s="1247"/>
      <c r="I273" s="1247"/>
      <c r="J273" s="1247"/>
      <c r="K273" s="1247"/>
      <c r="L273" s="1247"/>
      <c r="M273" s="1247"/>
      <c r="N273" s="1247"/>
      <c r="O273" s="1247"/>
      <c r="P273" s="1247"/>
      <c r="Q273" s="1247"/>
      <c r="R273" s="1247"/>
      <c r="S273" s="1247"/>
      <c r="T273" s="1671"/>
      <c r="U273" s="1664" t="str">
        <f>IFERROR(VLOOKUP(B273,ChiTietDuToan!C:H,5,0),"")</f>
        <v/>
      </c>
      <c r="V273" s="2309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56"/>
      <c r="C274" s="65" t="str">
        <f t="shared" ca="1" si="51"/>
        <v xml:space="preserve"> </v>
      </c>
      <c r="D274" s="1237"/>
      <c r="E274" s="1666" t="s">
        <v>2419</v>
      </c>
      <c r="F274" s="1238" t="s">
        <v>2391</v>
      </c>
      <c r="G274" s="1912"/>
      <c r="H274" s="1523">
        <f ca="1">SUM(I274:O274)+T274</f>
        <v>0</v>
      </c>
      <c r="I274" s="1239">
        <f ca="1">SUMIF(mong3pm,chitiet!$A274,slmong3pm)+SUMIF(mong3p1m,chitiet!$A274,slmong3p1m)</f>
        <v>0</v>
      </c>
      <c r="J274" s="1239">
        <f ca="1">SUMIF(mongct,chitiet!$A274,slmongct)</f>
        <v>0</v>
      </c>
      <c r="K274" s="1239">
        <f>+SUMIF(mong3p1m,chitiet!$A274,slmong3p1m)</f>
        <v>0</v>
      </c>
      <c r="L274" s="1239">
        <f>IFERROR(HLOOKUP(A274,pp1p!$6:$90,85,0),0)</f>
        <v>0</v>
      </c>
      <c r="M274" s="1239">
        <f ca="1">SUMIF(mongHTHH,chitiet!$A274,slmongHTHH)</f>
        <v>0</v>
      </c>
      <c r="N274" s="1239">
        <f ca="1">SUMIF(mongHTDL,chitiet!$A274,slmongHTDL)</f>
        <v>0</v>
      </c>
      <c r="O274" s="1239"/>
      <c r="P274" s="1239"/>
      <c r="Q274" s="1239"/>
      <c r="R274" s="1239"/>
      <c r="S274" s="1239"/>
      <c r="T274" s="1671"/>
      <c r="U274" s="1664">
        <f>IFERROR(VLOOKUP(B274,ChiTietDuToan!C:H,5,0),"")</f>
        <v>0</v>
      </c>
      <c r="V274" s="2309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75" t="s">
        <v>1627</v>
      </c>
      <c r="C275" s="67" t="str">
        <f t="shared" ca="1" si="51"/>
        <v xml:space="preserve"> </v>
      </c>
      <c r="D275" s="1236" t="str">
        <f>VLOOKUP($B275,DG!A:D,DG!$B$2,)</f>
        <v>04.3801</v>
      </c>
      <c r="E275" s="1246" t="str">
        <f>VLOOKUP($B275,DG!A:D,DG!$C$2,)</f>
        <v>Đà cản BTCT 1,5m</v>
      </c>
      <c r="F275" s="1240" t="str">
        <f>VLOOKUP($B275,DG!A:D,DG!$D$2,)</f>
        <v>cái</v>
      </c>
      <c r="G275" s="1918">
        <v>1</v>
      </c>
      <c r="H275" s="1244">
        <f ca="1">H$274*$G275</f>
        <v>0</v>
      </c>
      <c r="I275" s="1244">
        <f t="shared" ref="I275:N277" ca="1" si="52">I$274*$G275</f>
        <v>0</v>
      </c>
      <c r="J275" s="1244">
        <f t="shared" ca="1" si="52"/>
        <v>0</v>
      </c>
      <c r="K275" s="1244">
        <f t="shared" si="52"/>
        <v>0</v>
      </c>
      <c r="L275" s="1244">
        <f t="shared" si="52"/>
        <v>0</v>
      </c>
      <c r="M275" s="1244">
        <f t="shared" ca="1" si="52"/>
        <v>0</v>
      </c>
      <c r="N275" s="1244">
        <f t="shared" ca="1" si="52"/>
        <v>0</v>
      </c>
      <c r="O275" s="1244"/>
      <c r="P275" s="1244"/>
      <c r="Q275" s="1244"/>
      <c r="R275" s="1244"/>
      <c r="S275" s="1244"/>
      <c r="T275" s="1671"/>
      <c r="U275" s="1664" t="str">
        <f>IFERROR(VLOOKUP(B275,ChiTietDuToan!C:H,5,0),"")</f>
        <v>cái</v>
      </c>
      <c r="V275" s="2309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75" t="s">
        <v>641</v>
      </c>
      <c r="C276" s="67" t="str">
        <f t="shared" ca="1" si="51"/>
        <v xml:space="preserve"> </v>
      </c>
      <c r="D276" s="1236" t="str">
        <f>VLOOKUP($B276,DG!A:D,DG!$B$2,)</f>
        <v>04.4001</v>
      </c>
      <c r="E276" s="1246" t="str">
        <f>VLOOKUP($B276,DG!A:D,DG!$C$2,)</f>
        <v>Đà cản BTCT 1,2m</v>
      </c>
      <c r="F276" s="1240" t="str">
        <f>VLOOKUP($B276,DG!A:D,DG!$D$2,)</f>
        <v>cái</v>
      </c>
      <c r="G276" s="1918">
        <v>1</v>
      </c>
      <c r="H276" s="1244">
        <f ca="1">H$274*$G276</f>
        <v>0</v>
      </c>
      <c r="I276" s="1244">
        <f t="shared" ca="1" si="52"/>
        <v>0</v>
      </c>
      <c r="J276" s="1244">
        <f t="shared" ca="1" si="52"/>
        <v>0</v>
      </c>
      <c r="K276" s="1244">
        <f t="shared" si="52"/>
        <v>0</v>
      </c>
      <c r="L276" s="1244">
        <f t="shared" si="52"/>
        <v>0</v>
      </c>
      <c r="M276" s="1244">
        <f t="shared" ca="1" si="52"/>
        <v>0</v>
      </c>
      <c r="N276" s="1244">
        <f t="shared" ca="1" si="52"/>
        <v>0</v>
      </c>
      <c r="O276" s="1244"/>
      <c r="P276" s="1244"/>
      <c r="Q276" s="1244"/>
      <c r="R276" s="1244"/>
      <c r="S276" s="1244"/>
      <c r="T276" s="1671"/>
      <c r="U276" s="1664" t="str">
        <f>IFERROR(VLOOKUP(B276,ChiTietDuToan!C:H,5,0),"")</f>
        <v>cái</v>
      </c>
      <c r="V276" s="2309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75" t="s">
        <v>570</v>
      </c>
      <c r="C277" s="67" t="str">
        <f t="shared" ca="1" si="51"/>
        <v xml:space="preserve"> </v>
      </c>
      <c r="D277" s="1240"/>
      <c r="E277" s="1246" t="str">
        <f>VLOOKUP($B277,DG!A:D,DG!$C$2,)</f>
        <v>Boulon 22x650+ 2 long đền vuông D24-50x50x3/Zn</v>
      </c>
      <c r="F277" s="1240" t="str">
        <f>VLOOKUP($B277,DG!A:D,DG!$D$2,)</f>
        <v>bộ</v>
      </c>
      <c r="G277" s="1918">
        <v>2</v>
      </c>
      <c r="H277" s="1244">
        <f ca="1">H$274*$G277</f>
        <v>0</v>
      </c>
      <c r="I277" s="1244">
        <f t="shared" ca="1" si="52"/>
        <v>0</v>
      </c>
      <c r="J277" s="1244">
        <f t="shared" ca="1" si="52"/>
        <v>0</v>
      </c>
      <c r="K277" s="1244">
        <f t="shared" si="52"/>
        <v>0</v>
      </c>
      <c r="L277" s="1244">
        <f t="shared" si="52"/>
        <v>0</v>
      </c>
      <c r="M277" s="1244">
        <f t="shared" ca="1" si="52"/>
        <v>0</v>
      </c>
      <c r="N277" s="1244">
        <f t="shared" ca="1" si="52"/>
        <v>0</v>
      </c>
      <c r="O277" s="1244"/>
      <c r="P277" s="1244"/>
      <c r="Q277" s="1244"/>
      <c r="R277" s="1244"/>
      <c r="S277" s="1244"/>
      <c r="T277" s="1671"/>
      <c r="U277" s="1664" t="str">
        <f>IFERROR(VLOOKUP(B277,ChiTietDuToan!C:H,5,0),"")</f>
        <v>bộ</v>
      </c>
      <c r="V277" s="2309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75" t="str">
        <f>IF(F5=1,"MDD1",IF(F5=2,"MDD2",IF(F5=3,"MDD3",IF(F5=4,"MDD4"))))</f>
        <v>MDD3</v>
      </c>
      <c r="C278" s="67" t="str">
        <f t="shared" si="51"/>
        <v xml:space="preserve"> </v>
      </c>
      <c r="D278" s="1240" t="str">
        <f>VLOOKUP($B278,DG!A:D,DG!$B$2,)</f>
        <v>03.1013</v>
      </c>
      <c r="E278" s="1241" t="str">
        <f>VLOOKUP($B278,DG!A:D,DG!$C$2,)</f>
        <v>Đào hố móng đất cấp 3 sâu &gt;1m DT&lt;5m2</v>
      </c>
      <c r="F278" s="1240" t="str">
        <f>VLOOKUP($B278,DG!A:D,DG!$D$2,)</f>
        <v>m3</v>
      </c>
      <c r="G278" s="1917">
        <v>7.3</v>
      </c>
      <c r="H278" s="1247"/>
      <c r="I278" s="1247"/>
      <c r="J278" s="1247"/>
      <c r="K278" s="1247"/>
      <c r="L278" s="1247"/>
      <c r="M278" s="1247"/>
      <c r="N278" s="1247"/>
      <c r="O278" s="1247"/>
      <c r="P278" s="1247"/>
      <c r="Q278" s="1247"/>
      <c r="R278" s="1247"/>
      <c r="S278" s="1247"/>
      <c r="T278" s="1671"/>
      <c r="U278" s="1664" t="str">
        <f>IFERROR(VLOOKUP(B278,ChiTietDuToan!C:H,5,0),"")</f>
        <v>m3</v>
      </c>
      <c r="V278" s="2309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75" t="str">
        <f>IF(F5=1,"MDAP1",IF(F5=2,"MDAP2",IF(F5=3,"MDAP3",IF(F5=4,"MDAP4"))))</f>
        <v>MDAP3</v>
      </c>
      <c r="C279" s="67" t="str">
        <f t="shared" si="51"/>
        <v xml:space="preserve"> </v>
      </c>
      <c r="D279" s="1240" t="str">
        <f>VLOOKUP($B279,DG!A:D,DG!$B$2,)</f>
        <v>03.4113</v>
      </c>
      <c r="E279" s="1241" t="str">
        <f>VLOOKUP($B279,DG!A:D,DG!$C$2,)</f>
        <v>Đắp đất hố móng, độ chặt k=0,95</v>
      </c>
      <c r="F279" s="1240" t="str">
        <f>VLOOKUP($B279,DG!A:D,DG!$D$2,)</f>
        <v>m3</v>
      </c>
      <c r="G279" s="1917">
        <v>8.51</v>
      </c>
      <c r="H279" s="1247"/>
      <c r="I279" s="1247"/>
      <c r="J279" s="1247"/>
      <c r="K279" s="1247"/>
      <c r="L279" s="1247"/>
      <c r="M279" s="1247"/>
      <c r="N279" s="1247"/>
      <c r="O279" s="1247"/>
      <c r="P279" s="1247"/>
      <c r="Q279" s="1247"/>
      <c r="R279" s="1247"/>
      <c r="S279" s="1247"/>
      <c r="T279" s="1671"/>
      <c r="U279" s="1664" t="str">
        <f>IFERROR(VLOOKUP(B279,ChiTietDuToan!C:H,5,0),"")</f>
        <v>m3</v>
      </c>
      <c r="V279" s="2309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75" t="s">
        <v>642</v>
      </c>
      <c r="C280" s="67" t="str">
        <f t="shared" si="51"/>
        <v xml:space="preserve"> </v>
      </c>
      <c r="D280" s="1240" t="str">
        <f>VLOOKUP($B280,DG!A:D,DG!$B$2,)</f>
        <v>02.1123</v>
      </c>
      <c r="E280" s="1241" t="str">
        <f>VLOOKUP($B280,DG!A:D,DG!$C$2,)</f>
        <v>Bốc dỡ đà cản, đế néo</v>
      </c>
      <c r="F280" s="1240" t="str">
        <f>VLOOKUP($B280,DG!A:D,DG!$D$2,)</f>
        <v>tấn</v>
      </c>
      <c r="G280" s="1917">
        <f>0.255+0.1</f>
        <v>0.35499999999999998</v>
      </c>
      <c r="H280" s="1244"/>
      <c r="I280" s="1244"/>
      <c r="J280" s="1244"/>
      <c r="K280" s="1244"/>
      <c r="L280" s="1244"/>
      <c r="M280" s="1244"/>
      <c r="N280" s="1244"/>
      <c r="O280" s="1244"/>
      <c r="P280" s="1244"/>
      <c r="Q280" s="1244"/>
      <c r="R280" s="1244"/>
      <c r="S280" s="1244"/>
      <c r="T280" s="1671"/>
      <c r="U280" s="1664" t="str">
        <f>IFERROR(VLOOKUP(B280,ChiTietDuToan!C:H,5,0),"")</f>
        <v/>
      </c>
      <c r="V280" s="2309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57" t="s">
        <v>2125</v>
      </c>
      <c r="C281" s="67" t="str">
        <f t="shared" si="51"/>
        <v xml:space="preserve"> </v>
      </c>
      <c r="D281" s="1240" t="str">
        <f>VLOOKUP($B281,DG!A:C,2,)</f>
        <v>02.1451</v>
      </c>
      <c r="E281" s="1241" t="str">
        <f>VLOOKUP($B281,DG!A:C,3,)</f>
        <v>V/c đà cản vào vị trí (cự ly &lt;=100m)</v>
      </c>
      <c r="F281" s="1240" t="str">
        <f>VLOOKUP($B281,DG!A:D,4,0)</f>
        <v>tấn</v>
      </c>
      <c r="G281" s="1917">
        <f>G280</f>
        <v>0.35499999999999998</v>
      </c>
      <c r="H281" s="1247"/>
      <c r="I281" s="1247"/>
      <c r="J281" s="1247"/>
      <c r="K281" s="1247"/>
      <c r="L281" s="1247"/>
      <c r="M281" s="1247"/>
      <c r="N281" s="1247"/>
      <c r="O281" s="1247"/>
      <c r="P281" s="1247"/>
      <c r="Q281" s="1247"/>
      <c r="R281" s="1247"/>
      <c r="S281" s="1247"/>
      <c r="T281" s="1671"/>
      <c r="U281" s="1664" t="str">
        <f>IFERROR(VLOOKUP(B281,ChiTietDuToan!C:H,5,0),"")</f>
        <v/>
      </c>
      <c r="V281" s="2309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57" t="s">
        <v>640</v>
      </c>
      <c r="C282" s="67" t="str">
        <f t="shared" si="51"/>
        <v xml:space="preserve"> </v>
      </c>
      <c r="D282" s="1240" t="str">
        <f>VLOOKUP($B282,DG!A:C,2,)</f>
        <v>02.1482</v>
      </c>
      <c r="E282" s="1241" t="str">
        <f>VLOOKUP($B282,DG!A:C,3,)</f>
        <v>V/c dụng cụ thi công vào vị trí (cự ly &lt;=100m)</v>
      </c>
      <c r="F282" s="1240" t="str">
        <f>VLOOKUP($B282,DG!A:D,4,0)</f>
        <v>tấn</v>
      </c>
      <c r="G282" s="1917">
        <v>0.2</v>
      </c>
      <c r="H282" s="1247"/>
      <c r="I282" s="1247"/>
      <c r="J282" s="1247"/>
      <c r="K282" s="1247"/>
      <c r="L282" s="1247"/>
      <c r="M282" s="1247"/>
      <c r="N282" s="1247"/>
      <c r="O282" s="1247"/>
      <c r="P282" s="1247"/>
      <c r="Q282" s="1247"/>
      <c r="R282" s="1247"/>
      <c r="S282" s="1247"/>
      <c r="T282" s="1671"/>
      <c r="U282" s="1664" t="str">
        <f>IFERROR(VLOOKUP(B282,ChiTietDuToan!C:H,5,0),"")</f>
        <v/>
      </c>
      <c r="V282" s="2309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56"/>
      <c r="C283" s="65" t="str">
        <f t="shared" ca="1" si="51"/>
        <v xml:space="preserve"> </v>
      </c>
      <c r="D283" s="1237"/>
      <c r="E283" s="1666" t="s">
        <v>2420</v>
      </c>
      <c r="F283" s="1238" t="s">
        <v>2391</v>
      </c>
      <c r="G283" s="1912"/>
      <c r="H283" s="1523">
        <f ca="1">SUM(I283:O283)+T283</f>
        <v>0</v>
      </c>
      <c r="I283" s="1239">
        <f ca="1">SUMIF(mong3pm,chitiet!$A283,slmong3pm)+SUMIF(mong3p1m,chitiet!$A283,slmong3p1m)</f>
        <v>0</v>
      </c>
      <c r="J283" s="1239">
        <f ca="1">SUMIF(mongct,chitiet!$A283,slmongct)</f>
        <v>0</v>
      </c>
      <c r="K283" s="1239">
        <f>+SUMIF(mong3p1m,chitiet!$A283,slmong3p1m)</f>
        <v>0</v>
      </c>
      <c r="L283" s="1239">
        <f>IFERROR(HLOOKUP(A283,pp1p!$6:$90,85,0),0)</f>
        <v>0</v>
      </c>
      <c r="M283" s="1239">
        <f ca="1">SUMIF(mongHTHH,chitiet!$A283,slmongHTHH)</f>
        <v>0</v>
      </c>
      <c r="N283" s="1239">
        <f ca="1">SUMIF(mongHTDL,chitiet!$A283,slmongHTDL)</f>
        <v>0</v>
      </c>
      <c r="O283" s="1239"/>
      <c r="P283" s="1239"/>
      <c r="Q283" s="1239"/>
      <c r="R283" s="1239"/>
      <c r="S283" s="1239"/>
      <c r="T283" s="1671"/>
      <c r="U283" s="1664">
        <f>IFERROR(VLOOKUP(B283,ChiTietDuToan!C:H,5,0),"")</f>
        <v>0</v>
      </c>
      <c r="V283" s="2309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75" t="s">
        <v>1627</v>
      </c>
      <c r="C284" s="67" t="str">
        <f t="shared" ca="1" si="51"/>
        <v xml:space="preserve"> </v>
      </c>
      <c r="D284" s="1236" t="str">
        <f>VLOOKUP($B284,DG!A:D,DG!$B$2,)</f>
        <v>04.3801</v>
      </c>
      <c r="E284" s="1246" t="str">
        <f>VLOOKUP($B284,DG!A:D,DG!$C$2,)</f>
        <v>Đà cản BTCT 1,5m</v>
      </c>
      <c r="F284" s="1240" t="str">
        <f>VLOOKUP($B284,DG!A:D,DG!$D$2,)</f>
        <v>cái</v>
      </c>
      <c r="G284" s="1918">
        <v>2</v>
      </c>
      <c r="H284" s="1244">
        <f ca="1">H$283*$G284</f>
        <v>0</v>
      </c>
      <c r="I284" s="1244">
        <f t="shared" ref="I284:N285" ca="1" si="53">I$283*$G284</f>
        <v>0</v>
      </c>
      <c r="J284" s="1244">
        <f t="shared" ca="1" si="53"/>
        <v>0</v>
      </c>
      <c r="K284" s="1244">
        <f t="shared" si="53"/>
        <v>0</v>
      </c>
      <c r="L284" s="1244">
        <f t="shared" si="53"/>
        <v>0</v>
      </c>
      <c r="M284" s="1244">
        <f t="shared" ca="1" si="53"/>
        <v>0</v>
      </c>
      <c r="N284" s="1244">
        <f t="shared" ca="1" si="53"/>
        <v>0</v>
      </c>
      <c r="O284" s="1244"/>
      <c r="P284" s="1244"/>
      <c r="Q284" s="1244"/>
      <c r="R284" s="1244"/>
      <c r="S284" s="1244"/>
      <c r="T284" s="1671"/>
      <c r="U284" s="1664" t="str">
        <f>IFERROR(VLOOKUP(B284,ChiTietDuToan!C:H,5,0),"")</f>
        <v>cái</v>
      </c>
      <c r="V284" s="2309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75" t="s">
        <v>570</v>
      </c>
      <c r="C285" s="67" t="str">
        <f t="shared" ca="1" si="51"/>
        <v xml:space="preserve"> </v>
      </c>
      <c r="D285" s="1240"/>
      <c r="E285" s="1246" t="str">
        <f>VLOOKUP($B285,DG!A:D,DG!$C$2,)</f>
        <v>Boulon 22x650+ 2 long đền vuông D24-50x50x3/Zn</v>
      </c>
      <c r="F285" s="1240" t="str">
        <f>VLOOKUP($B285,DG!A:D,DG!$D$2,)</f>
        <v>bộ</v>
      </c>
      <c r="G285" s="1918">
        <v>2</v>
      </c>
      <c r="H285" s="1244">
        <f ca="1">H$283*$G285</f>
        <v>0</v>
      </c>
      <c r="I285" s="1244">
        <f t="shared" ca="1" si="53"/>
        <v>0</v>
      </c>
      <c r="J285" s="1244">
        <f t="shared" ca="1" si="53"/>
        <v>0</v>
      </c>
      <c r="K285" s="1244">
        <f t="shared" si="53"/>
        <v>0</v>
      </c>
      <c r="L285" s="1244">
        <f t="shared" si="53"/>
        <v>0</v>
      </c>
      <c r="M285" s="1244">
        <f t="shared" ca="1" si="53"/>
        <v>0</v>
      </c>
      <c r="N285" s="1244">
        <f t="shared" ca="1" si="53"/>
        <v>0</v>
      </c>
      <c r="O285" s="1244"/>
      <c r="P285" s="1244"/>
      <c r="Q285" s="1244"/>
      <c r="R285" s="1244"/>
      <c r="S285" s="1244"/>
      <c r="T285" s="1671"/>
      <c r="U285" s="1664" t="str">
        <f>IFERROR(VLOOKUP(B285,ChiTietDuToan!C:H,5,0),"")</f>
        <v>bộ</v>
      </c>
      <c r="V285" s="2309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75" t="str">
        <f>IF(F5=1,"MDD1",IF(F5=2,"MDD2",IF(F5=3,"MDD3",IF(F5=4,"MDD4"))))</f>
        <v>MDD3</v>
      </c>
      <c r="C286" s="67" t="str">
        <f t="shared" si="51"/>
        <v xml:space="preserve"> </v>
      </c>
      <c r="D286" s="1240" t="str">
        <f>VLOOKUP($B286,DG!A:D,DG!$B$2,)</f>
        <v>03.1013</v>
      </c>
      <c r="E286" s="1241" t="str">
        <f>VLOOKUP($B286,DG!A:D,DG!$C$2,)</f>
        <v>Đào hố móng đất cấp 3 sâu &gt;1m DT&lt;5m2</v>
      </c>
      <c r="F286" s="1240" t="str">
        <f>VLOOKUP($B286,DG!A:D,DG!$D$2,)</f>
        <v>m3</v>
      </c>
      <c r="G286" s="1917">
        <v>9.48</v>
      </c>
      <c r="H286" s="1247"/>
      <c r="I286" s="1247"/>
      <c r="J286" s="1247"/>
      <c r="K286" s="1247"/>
      <c r="L286" s="1247"/>
      <c r="M286" s="1247"/>
      <c r="N286" s="1247"/>
      <c r="O286" s="1247"/>
      <c r="P286" s="1247"/>
      <c r="Q286" s="1247"/>
      <c r="R286" s="1247"/>
      <c r="S286" s="1247"/>
      <c r="T286" s="1671"/>
      <c r="U286" s="1664" t="str">
        <f>IFERROR(VLOOKUP(B286,ChiTietDuToan!C:H,5,0),"")</f>
        <v>m3</v>
      </c>
      <c r="V286" s="2309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75" t="str">
        <f>IF(F5=1,"MDAP1",IF(F5=2,"MDAP2",IF(F5=3,"MDAP3",IF(F5=4,"MDAP4"))))</f>
        <v>MDAP3</v>
      </c>
      <c r="C287" s="67" t="str">
        <f t="shared" si="51"/>
        <v xml:space="preserve"> </v>
      </c>
      <c r="D287" s="1240" t="str">
        <f>VLOOKUP($B287,DG!A:D,DG!$B$2,)</f>
        <v>03.4113</v>
      </c>
      <c r="E287" s="1241" t="str">
        <f>VLOOKUP($B287,DG!A:D,DG!$C$2,)</f>
        <v>Đắp đất hố móng, độ chặt k=0,95</v>
      </c>
      <c r="F287" s="1240" t="str">
        <f>VLOOKUP($B287,DG!A:D,DG!$D$2,)</f>
        <v>m3</v>
      </c>
      <c r="G287" s="1917">
        <v>10.94</v>
      </c>
      <c r="H287" s="1247"/>
      <c r="I287" s="1247"/>
      <c r="J287" s="1247"/>
      <c r="K287" s="1247"/>
      <c r="L287" s="1247"/>
      <c r="M287" s="1247"/>
      <c r="N287" s="1247"/>
      <c r="O287" s="1247"/>
      <c r="P287" s="1247"/>
      <c r="Q287" s="1247"/>
      <c r="R287" s="1247"/>
      <c r="S287" s="1247"/>
      <c r="T287" s="1671"/>
      <c r="U287" s="1664" t="str">
        <f>IFERROR(VLOOKUP(B287,ChiTietDuToan!C:H,5,0),"")</f>
        <v>m3</v>
      </c>
      <c r="V287" s="2309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75" t="s">
        <v>642</v>
      </c>
      <c r="C288" s="67" t="str">
        <f t="shared" si="51"/>
        <v xml:space="preserve"> </v>
      </c>
      <c r="D288" s="1240" t="str">
        <f>VLOOKUP($B288,DG!A:D,DG!$B$2,)</f>
        <v>02.1123</v>
      </c>
      <c r="E288" s="1241" t="str">
        <f>VLOOKUP($B288,DG!A:D,DG!$C$2,)</f>
        <v>Bốc dỡ đà cản, đế néo</v>
      </c>
      <c r="F288" s="1240" t="str">
        <f>VLOOKUP($B288,DG!A:D,DG!$D$2,)</f>
        <v>tấn</v>
      </c>
      <c r="G288" s="1917">
        <f>0.255*2</f>
        <v>0.51</v>
      </c>
      <c r="H288" s="1244"/>
      <c r="I288" s="1244"/>
      <c r="J288" s="1244"/>
      <c r="K288" s="1244"/>
      <c r="L288" s="1244"/>
      <c r="M288" s="1244"/>
      <c r="N288" s="1244"/>
      <c r="O288" s="1244"/>
      <c r="P288" s="1244"/>
      <c r="Q288" s="1244"/>
      <c r="R288" s="1244"/>
      <c r="S288" s="1244"/>
      <c r="T288" s="1671"/>
      <c r="U288" s="1664" t="str">
        <f>IFERROR(VLOOKUP(B288,ChiTietDuToan!C:H,5,0),"")</f>
        <v/>
      </c>
      <c r="V288" s="2309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57" t="s">
        <v>2125</v>
      </c>
      <c r="C289" s="67" t="str">
        <f t="shared" si="51"/>
        <v xml:space="preserve"> </v>
      </c>
      <c r="D289" s="1240" t="str">
        <f>VLOOKUP($B289,DG!A:C,2,)</f>
        <v>02.1451</v>
      </c>
      <c r="E289" s="1241" t="str">
        <f>VLOOKUP($B289,DG!A:C,3,)</f>
        <v>V/c đà cản vào vị trí (cự ly &lt;=100m)</v>
      </c>
      <c r="F289" s="1240" t="str">
        <f>VLOOKUP($B289,DG!A:D,4,0)</f>
        <v>tấn</v>
      </c>
      <c r="G289" s="1917">
        <f>G288</f>
        <v>0.51</v>
      </c>
      <c r="H289" s="1247"/>
      <c r="I289" s="1247"/>
      <c r="J289" s="1247"/>
      <c r="K289" s="1247"/>
      <c r="L289" s="1247"/>
      <c r="M289" s="1247"/>
      <c r="N289" s="1247"/>
      <c r="O289" s="1247"/>
      <c r="P289" s="1247"/>
      <c r="Q289" s="1247"/>
      <c r="R289" s="1247"/>
      <c r="S289" s="1247"/>
      <c r="T289" s="1671"/>
      <c r="U289" s="1664" t="str">
        <f>IFERROR(VLOOKUP(B289,ChiTietDuToan!C:H,5,0),"")</f>
        <v/>
      </c>
      <c r="V289" s="2309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57" t="s">
        <v>640</v>
      </c>
      <c r="C290" s="67" t="str">
        <f t="shared" si="51"/>
        <v xml:space="preserve"> </v>
      </c>
      <c r="D290" s="1240" t="str">
        <f>VLOOKUP($B290,DG!A:C,2,)</f>
        <v>02.1482</v>
      </c>
      <c r="E290" s="1241" t="str">
        <f>VLOOKUP($B290,DG!A:C,3,)</f>
        <v>V/c dụng cụ thi công vào vị trí (cự ly &lt;=100m)</v>
      </c>
      <c r="F290" s="1240" t="str">
        <f>VLOOKUP($B290,DG!A:D,4,0)</f>
        <v>tấn</v>
      </c>
      <c r="G290" s="1917">
        <v>0.2</v>
      </c>
      <c r="H290" s="1247"/>
      <c r="I290" s="1247"/>
      <c r="J290" s="1247"/>
      <c r="K290" s="1247"/>
      <c r="L290" s="1247"/>
      <c r="M290" s="1247"/>
      <c r="N290" s="1247"/>
      <c r="O290" s="1247"/>
      <c r="P290" s="1247"/>
      <c r="Q290" s="1247"/>
      <c r="R290" s="1247"/>
      <c r="S290" s="1247"/>
      <c r="T290" s="1671"/>
      <c r="U290" s="1664" t="str">
        <f>IFERROR(VLOOKUP(B290,ChiTietDuToan!C:H,5,0),"")</f>
        <v/>
      </c>
      <c r="V290" s="2309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56"/>
      <c r="C291" s="65" t="str">
        <f t="shared" ca="1" si="51"/>
        <v xml:space="preserve"> </v>
      </c>
      <c r="D291" s="1237"/>
      <c r="E291" s="1666" t="s">
        <v>2421</v>
      </c>
      <c r="F291" s="1238" t="s">
        <v>2391</v>
      </c>
      <c r="G291" s="1912"/>
      <c r="H291" s="1523">
        <f ca="1">SUM(I291:O291)+T291</f>
        <v>0</v>
      </c>
      <c r="I291" s="1239">
        <f ca="1">SUMIF(mong3pm,chitiet!$A291,slmong3pm)+SUMIF(mong3p1m,chitiet!$A291,slmong3p1m)</f>
        <v>0</v>
      </c>
      <c r="J291" s="1239">
        <f ca="1">SUMIF(mongct,chitiet!$A291,slmongct)</f>
        <v>0</v>
      </c>
      <c r="K291" s="1239">
        <f ca="1">SUMIF(mong1pm,chitiet!$A291,slmong1pm)</f>
        <v>0</v>
      </c>
      <c r="L291" s="1239">
        <f>IFERROR(HLOOKUP(A291,pp1p!$6:$90,85,0),0)</f>
        <v>0</v>
      </c>
      <c r="M291" s="1239">
        <f ca="1">SUMIF(mongHTHH,chitiet!$A291,slmongHTHH)</f>
        <v>0</v>
      </c>
      <c r="N291" s="1239">
        <f ca="1">SUMIF(mongHTDL,chitiet!$A291,slmongHTDL)</f>
        <v>0</v>
      </c>
      <c r="O291" s="1239"/>
      <c r="P291" s="1239"/>
      <c r="Q291" s="1239"/>
      <c r="R291" s="1239"/>
      <c r="S291" s="1239"/>
      <c r="T291" s="1671"/>
      <c r="U291" s="1664">
        <f>IFERROR(VLOOKUP(B291,ChiTietDuToan!C:H,5,0),"")</f>
        <v>0</v>
      </c>
      <c r="V291" s="2309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75" t="s">
        <v>225</v>
      </c>
      <c r="C292" s="67" t="str">
        <f t="shared" ca="1" si="51"/>
        <v xml:space="preserve"> </v>
      </c>
      <c r="D292" s="1236" t="str">
        <f>VLOOKUP($B292,DG!A:D,DG!$B$2,)</f>
        <v>04.5142</v>
      </c>
      <c r="E292" s="1246" t="str">
        <f>VLOOKUP($B292,DG!A:D,DG!$C$2,)</f>
        <v>Cừ tràm 5m</v>
      </c>
      <c r="F292" s="1240" t="str">
        <f>VLOOKUP($B292,DG!A:D,DG!$D$2,)</f>
        <v>cây</v>
      </c>
      <c r="G292" s="1918">
        <v>42</v>
      </c>
      <c r="H292" s="1244">
        <f ca="1">H$291*$G292</f>
        <v>0</v>
      </c>
      <c r="I292" s="1244">
        <f t="shared" ref="I292:N294" ca="1" si="54">I$291*$G292</f>
        <v>0</v>
      </c>
      <c r="J292" s="1244">
        <f t="shared" ca="1" si="54"/>
        <v>0</v>
      </c>
      <c r="K292" s="1244">
        <f t="shared" ca="1" si="54"/>
        <v>0</v>
      </c>
      <c r="L292" s="1244">
        <f t="shared" si="54"/>
        <v>0</v>
      </c>
      <c r="M292" s="1244">
        <f t="shared" ca="1" si="54"/>
        <v>0</v>
      </c>
      <c r="N292" s="1244">
        <f t="shared" ca="1" si="54"/>
        <v>0</v>
      </c>
      <c r="O292" s="1244"/>
      <c r="P292" s="1244"/>
      <c r="Q292" s="1244"/>
      <c r="R292" s="1244"/>
      <c r="S292" s="1244"/>
      <c r="T292" s="1671"/>
      <c r="U292" s="1664" t="str">
        <f>IFERROR(VLOOKUP(B292,ChiTietDuToan!C:H,5,0),"")</f>
        <v/>
      </c>
      <c r="V292" s="2309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75" t="s">
        <v>1627</v>
      </c>
      <c r="C293" s="67" t="str">
        <f t="shared" ca="1" si="51"/>
        <v xml:space="preserve"> </v>
      </c>
      <c r="D293" s="1236" t="str">
        <f>VLOOKUP($B293,DG!A:D,DG!$B$2,)</f>
        <v>04.3801</v>
      </c>
      <c r="E293" s="1246" t="str">
        <f>VLOOKUP($B293,DG!A:D,DG!$C$2,)</f>
        <v>Đà cản BTCT 1,5m</v>
      </c>
      <c r="F293" s="1240" t="str">
        <f>VLOOKUP($B293,DG!A:D,DG!$D$2,)</f>
        <v>cái</v>
      </c>
      <c r="G293" s="1918">
        <v>2</v>
      </c>
      <c r="H293" s="1244">
        <f ca="1">H$291*$G293</f>
        <v>0</v>
      </c>
      <c r="I293" s="1244">
        <f t="shared" ca="1" si="54"/>
        <v>0</v>
      </c>
      <c r="J293" s="1244">
        <f t="shared" ca="1" si="54"/>
        <v>0</v>
      </c>
      <c r="K293" s="1244">
        <f t="shared" ca="1" si="54"/>
        <v>0</v>
      </c>
      <c r="L293" s="1244">
        <f t="shared" si="54"/>
        <v>0</v>
      </c>
      <c r="M293" s="1244">
        <f t="shared" ca="1" si="54"/>
        <v>0</v>
      </c>
      <c r="N293" s="1244">
        <f t="shared" ca="1" si="54"/>
        <v>0</v>
      </c>
      <c r="O293" s="1244"/>
      <c r="P293" s="1244"/>
      <c r="Q293" s="1244"/>
      <c r="R293" s="1244"/>
      <c r="S293" s="1244"/>
      <c r="T293" s="1671"/>
      <c r="U293" s="1664" t="str">
        <f>IFERROR(VLOOKUP(B293,ChiTietDuToan!C:H,5,0),"")</f>
        <v>cái</v>
      </c>
      <c r="V293" s="2309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75" t="s">
        <v>730</v>
      </c>
      <c r="C294" s="67" t="str">
        <f t="shared" ca="1" si="51"/>
        <v xml:space="preserve"> </v>
      </c>
      <c r="D294" s="1240"/>
      <c r="E294" s="1246" t="str">
        <f>VLOOKUP($B294,DG!A:D,DG!$C$2,)</f>
        <v>Boulon 22x850+ 2 long đền vuông D24-50x50x3/Zn</v>
      </c>
      <c r="F294" s="1240" t="str">
        <f>VLOOKUP($B294,DG!A:D,DG!$D$2,)</f>
        <v>bộ</v>
      </c>
      <c r="G294" s="1918">
        <v>1</v>
      </c>
      <c r="H294" s="1244">
        <f ca="1">H$291*$G294</f>
        <v>0</v>
      </c>
      <c r="I294" s="1244">
        <f t="shared" ca="1" si="54"/>
        <v>0</v>
      </c>
      <c r="J294" s="1244">
        <f t="shared" ca="1" si="54"/>
        <v>0</v>
      </c>
      <c r="K294" s="1244">
        <f t="shared" ca="1" si="54"/>
        <v>0</v>
      </c>
      <c r="L294" s="1244">
        <f t="shared" si="54"/>
        <v>0</v>
      </c>
      <c r="M294" s="1244">
        <f t="shared" ca="1" si="54"/>
        <v>0</v>
      </c>
      <c r="N294" s="1244">
        <f t="shared" ca="1" si="54"/>
        <v>0</v>
      </c>
      <c r="O294" s="1244"/>
      <c r="P294" s="1244"/>
      <c r="Q294" s="1244"/>
      <c r="R294" s="1244"/>
      <c r="S294" s="1244"/>
      <c r="T294" s="1671"/>
      <c r="U294" s="1664" t="str">
        <f>IFERROR(VLOOKUP(B294,ChiTietDuToan!C:H,5,0),"")</f>
        <v/>
      </c>
      <c r="V294" s="2309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75" t="str">
        <f>IF(F5=1,"MDD1",IF(F5=2,"MDD2",IF(F5=3,"MDD3",IF(F5=4,"MDD4"))))</f>
        <v>MDD3</v>
      </c>
      <c r="C295" s="67" t="str">
        <f t="shared" si="51"/>
        <v xml:space="preserve"> </v>
      </c>
      <c r="D295" s="1240" t="str">
        <f>VLOOKUP($B295,DG!A:D,DG!$B$2,)</f>
        <v>03.1013</v>
      </c>
      <c r="E295" s="1241" t="str">
        <f>VLOOKUP($B295,DG!A:D,DG!$C$2,)</f>
        <v>Đào hố móng đất cấp 3 sâu &gt;1m DT&lt;5m2</v>
      </c>
      <c r="F295" s="1240" t="str">
        <f>VLOOKUP($B295,DG!A:D,DG!$D$2,)</f>
        <v>m3</v>
      </c>
      <c r="G295" s="1917">
        <v>3.88</v>
      </c>
      <c r="H295" s="1247"/>
      <c r="I295" s="1247"/>
      <c r="J295" s="1247"/>
      <c r="K295" s="1247"/>
      <c r="L295" s="1247"/>
      <c r="M295" s="1247"/>
      <c r="N295" s="1247"/>
      <c r="O295" s="1247"/>
      <c r="P295" s="1247"/>
      <c r="Q295" s="1247"/>
      <c r="R295" s="1247"/>
      <c r="S295" s="1247"/>
      <c r="T295" s="1671"/>
      <c r="U295" s="1664" t="str">
        <f>IFERROR(VLOOKUP(B295,ChiTietDuToan!C:H,5,0),"")</f>
        <v>m3</v>
      </c>
      <c r="V295" s="2309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75" t="str">
        <f>IF(F5=1,"MDAP1",IF(F5=2,"MDAP2",IF(F5=3,"MDAP3",IF(F5=4,"MDAP4"))))</f>
        <v>MDAP3</v>
      </c>
      <c r="C296" s="67" t="str">
        <f t="shared" si="51"/>
        <v xml:space="preserve"> </v>
      </c>
      <c r="D296" s="1240" t="str">
        <f>VLOOKUP($B296,DG!A:D,DG!$B$2,)</f>
        <v>03.4113</v>
      </c>
      <c r="E296" s="1241" t="str">
        <f>VLOOKUP($B296,DG!A:D,DG!$C$2,)</f>
        <v>Đắp đất hố móng, độ chặt k=0,95</v>
      </c>
      <c r="F296" s="1240" t="str">
        <f>VLOOKUP($B296,DG!A:D,DG!$D$2,)</f>
        <v>m3</v>
      </c>
      <c r="G296" s="1917">
        <v>4.34</v>
      </c>
      <c r="H296" s="1247"/>
      <c r="I296" s="1247"/>
      <c r="J296" s="1247"/>
      <c r="K296" s="1247"/>
      <c r="L296" s="1247"/>
      <c r="M296" s="1247"/>
      <c r="N296" s="1247"/>
      <c r="O296" s="1247"/>
      <c r="P296" s="1247"/>
      <c r="Q296" s="1247"/>
      <c r="R296" s="1247"/>
      <c r="S296" s="1247"/>
      <c r="T296" s="1671"/>
      <c r="U296" s="1664" t="str">
        <f>IFERROR(VLOOKUP(B296,ChiTietDuToan!C:H,5,0),"")</f>
        <v>m3</v>
      </c>
      <c r="V296" s="2309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75" t="s">
        <v>642</v>
      </c>
      <c r="C297" s="67" t="str">
        <f t="shared" si="51"/>
        <v xml:space="preserve"> </v>
      </c>
      <c r="D297" s="1240" t="str">
        <f>VLOOKUP($B297,DG!A:D,DG!$B$2,)</f>
        <v>02.1123</v>
      </c>
      <c r="E297" s="1241" t="str">
        <f>VLOOKUP($B297,DG!A:D,DG!$C$2,)</f>
        <v>Bốc dỡ đà cản, đế néo</v>
      </c>
      <c r="F297" s="1240" t="str">
        <f>VLOOKUP($B297,DG!A:D,DG!$D$2,)</f>
        <v>tấn</v>
      </c>
      <c r="G297" s="1917">
        <f>0.255*2</f>
        <v>0.51</v>
      </c>
      <c r="H297" s="1247"/>
      <c r="I297" s="1247"/>
      <c r="J297" s="1247"/>
      <c r="K297" s="1247"/>
      <c r="L297" s="1247"/>
      <c r="M297" s="1247"/>
      <c r="N297" s="1247"/>
      <c r="O297" s="1247"/>
      <c r="P297" s="1247"/>
      <c r="Q297" s="1247"/>
      <c r="R297" s="1247"/>
      <c r="S297" s="1247"/>
      <c r="T297" s="1671"/>
      <c r="U297" s="1664" t="str">
        <f>IFERROR(VLOOKUP(B297,ChiTietDuToan!C:H,5,0),"")</f>
        <v/>
      </c>
      <c r="V297" s="2309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75" t="s">
        <v>1629</v>
      </c>
      <c r="C298" s="67" t="str">
        <f t="shared" si="51"/>
        <v xml:space="preserve"> </v>
      </c>
      <c r="D298" s="1240" t="str">
        <f>VLOOKUP($B298,DG!A:D,DG!$B$2,)</f>
        <v>02.1119</v>
      </c>
      <c r="E298" s="1241" t="str">
        <f>VLOOKUP($B298,DG!A:D,DG!$C$2,)</f>
        <v>Bốc dỡ cừ tràm 5m</v>
      </c>
      <c r="F298" s="1240" t="str">
        <f>VLOOKUP($B298,DG!A:D,DG!$D$2,)</f>
        <v>cây</v>
      </c>
      <c r="G298" s="1918">
        <f>G292</f>
        <v>42</v>
      </c>
      <c r="H298" s="1247"/>
      <c r="I298" s="1247"/>
      <c r="J298" s="1247"/>
      <c r="K298" s="1247"/>
      <c r="L298" s="1247"/>
      <c r="M298" s="1247"/>
      <c r="N298" s="1247"/>
      <c r="O298" s="1247"/>
      <c r="P298" s="1247"/>
      <c r="Q298" s="1247"/>
      <c r="R298" s="1247"/>
      <c r="S298" s="1247"/>
      <c r="T298" s="1671"/>
      <c r="U298" s="1664" t="str">
        <f>IFERROR(VLOOKUP(B298,ChiTietDuToan!C:H,5,0),"")</f>
        <v/>
      </c>
      <c r="V298" s="2309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77" t="s">
        <v>639</v>
      </c>
      <c r="C299" s="67" t="str">
        <f t="shared" si="51"/>
        <v xml:space="preserve"> </v>
      </c>
      <c r="D299" s="1240" t="str">
        <f>VLOOKUP($B299,DG!A:C,2,)</f>
        <v>02.1411</v>
      </c>
      <c r="E299" s="1241" t="str">
        <f>VLOOKUP($B299,DG!A:C,3,)</f>
        <v>V/c cừ tràm 5m ( cự ly &lt;=100m)</v>
      </c>
      <c r="F299" s="1240" t="str">
        <f>VLOOKUP($B299,DG!A:D,4,0)</f>
        <v>cây</v>
      </c>
      <c r="G299" s="1918">
        <f>G292</f>
        <v>42</v>
      </c>
      <c r="H299" s="1247"/>
      <c r="I299" s="1247"/>
      <c r="J299" s="1247"/>
      <c r="K299" s="1247"/>
      <c r="L299" s="1247"/>
      <c r="M299" s="1247"/>
      <c r="N299" s="1247"/>
      <c r="O299" s="1247"/>
      <c r="P299" s="1247"/>
      <c r="Q299" s="1247"/>
      <c r="R299" s="1247"/>
      <c r="S299" s="1247"/>
      <c r="T299" s="1671"/>
      <c r="U299" s="1664" t="str">
        <f>IFERROR(VLOOKUP(B299,ChiTietDuToan!C:H,5,0),"")</f>
        <v/>
      </c>
      <c r="V299" s="2309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57" t="s">
        <v>2125</v>
      </c>
      <c r="C300" s="67" t="str">
        <f t="shared" si="51"/>
        <v xml:space="preserve"> </v>
      </c>
      <c r="D300" s="1240" t="str">
        <f>VLOOKUP($B300,DG!A:C,2,)</f>
        <v>02.1451</v>
      </c>
      <c r="E300" s="1241" t="str">
        <f>VLOOKUP($B300,DG!A:C,3,)</f>
        <v>V/c đà cản vào vị trí (cự ly &lt;=100m)</v>
      </c>
      <c r="F300" s="1240" t="str">
        <f>VLOOKUP($B300,DG!A:D,4,0)</f>
        <v>tấn</v>
      </c>
      <c r="G300" s="1917">
        <f>G297</f>
        <v>0.51</v>
      </c>
      <c r="H300" s="1247"/>
      <c r="I300" s="1247"/>
      <c r="J300" s="1247"/>
      <c r="K300" s="1247"/>
      <c r="L300" s="1247"/>
      <c r="M300" s="1247"/>
      <c r="N300" s="1247"/>
      <c r="O300" s="1247"/>
      <c r="P300" s="1247"/>
      <c r="Q300" s="1247"/>
      <c r="R300" s="1247"/>
      <c r="S300" s="1247"/>
      <c r="T300" s="1671"/>
      <c r="U300" s="1664" t="str">
        <f>IFERROR(VLOOKUP(B300,ChiTietDuToan!C:H,5,0),"")</f>
        <v/>
      </c>
      <c r="V300" s="2309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57" t="s">
        <v>640</v>
      </c>
      <c r="C301" s="67" t="str">
        <f t="shared" si="51"/>
        <v xml:space="preserve"> </v>
      </c>
      <c r="D301" s="1240" t="str">
        <f>VLOOKUP($B301,DG!A:C,2,)</f>
        <v>02.1482</v>
      </c>
      <c r="E301" s="1241" t="str">
        <f>VLOOKUP($B301,DG!A:C,3,)</f>
        <v>V/c dụng cụ thi công vào vị trí (cự ly &lt;=100m)</v>
      </c>
      <c r="F301" s="1240" t="str">
        <f>VLOOKUP($B301,DG!A:D,4,0)</f>
        <v>tấn</v>
      </c>
      <c r="G301" s="1917">
        <v>0.2</v>
      </c>
      <c r="H301" s="1247"/>
      <c r="I301" s="1247"/>
      <c r="J301" s="1247"/>
      <c r="K301" s="1247"/>
      <c r="L301" s="1247"/>
      <c r="M301" s="1247"/>
      <c r="N301" s="1247"/>
      <c r="O301" s="1247"/>
      <c r="P301" s="1247"/>
      <c r="Q301" s="1247"/>
      <c r="R301" s="1247"/>
      <c r="S301" s="1247"/>
      <c r="T301" s="1671"/>
      <c r="U301" s="1664" t="str">
        <f>IFERROR(VLOOKUP(B301,ChiTietDuToan!C:H,5,0),"")</f>
        <v/>
      </c>
      <c r="V301" s="2309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56"/>
      <c r="C302" s="65" t="str">
        <f t="shared" ca="1" si="51"/>
        <v xml:space="preserve"> </v>
      </c>
      <c r="D302" s="1237"/>
      <c r="E302" s="1666" t="s">
        <v>2422</v>
      </c>
      <c r="F302" s="1238" t="s">
        <v>2391</v>
      </c>
      <c r="G302" s="1912"/>
      <c r="H302" s="1523">
        <f ca="1">SUM(I302:O302)+T302</f>
        <v>0</v>
      </c>
      <c r="I302" s="1239">
        <f ca="1">SUMIF(mong3pm,chitiet!$A302,slmong3pm)</f>
        <v>0</v>
      </c>
      <c r="J302" s="1239">
        <f ca="1">SUMIF(mongct,chitiet!$A302,slmongct)</f>
        <v>0</v>
      </c>
      <c r="K302" s="1239"/>
      <c r="L302" s="1239">
        <f>IFERROR(HLOOKUP(A302,pp1p!$6:$90,85,0),0)</f>
        <v>0</v>
      </c>
      <c r="M302" s="1239">
        <f ca="1">SUMIF(mongHTHH,chitiet!$A302,slmongHTHH)</f>
        <v>0</v>
      </c>
      <c r="N302" s="1239">
        <f ca="1">SUMIF(mongHTDL,chitiet!$A302,slmongHTDL)</f>
        <v>0</v>
      </c>
      <c r="O302" s="1239"/>
      <c r="P302" s="1239"/>
      <c r="Q302" s="1239"/>
      <c r="R302" s="1239"/>
      <c r="S302" s="1239"/>
      <c r="T302" s="1671"/>
      <c r="U302" s="1664">
        <f>IFERROR(VLOOKUP(B302,ChiTietDuToan!C:H,5,0),"")</f>
        <v>0</v>
      </c>
      <c r="V302" s="2309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75" t="s">
        <v>641</v>
      </c>
      <c r="C303" s="67" t="str">
        <f t="shared" ca="1" si="51"/>
        <v xml:space="preserve"> </v>
      </c>
      <c r="D303" s="1236" t="str">
        <f>VLOOKUP($B303,DG!A:D,DG!$B$2,)</f>
        <v>04.4001</v>
      </c>
      <c r="E303" s="1246" t="str">
        <f>VLOOKUP($B303,DG!A:D,DG!$C$2,)</f>
        <v>Đà cản BTCT 1,2m</v>
      </c>
      <c r="F303" s="1240" t="str">
        <f>VLOOKUP($B303,DG!A:D,DG!$D$2,)</f>
        <v>cái</v>
      </c>
      <c r="G303" s="1918">
        <v>2</v>
      </c>
      <c r="H303" s="1244">
        <f ca="1">H$302*$G303</f>
        <v>0</v>
      </c>
      <c r="I303" s="1244">
        <f ca="1">I$302*$G303</f>
        <v>0</v>
      </c>
      <c r="J303" s="1244">
        <f t="shared" ref="J303:N304" ca="1" si="55">J$302*$G303</f>
        <v>0</v>
      </c>
      <c r="K303" s="1244">
        <f t="shared" si="55"/>
        <v>0</v>
      </c>
      <c r="L303" s="1244">
        <f t="shared" si="55"/>
        <v>0</v>
      </c>
      <c r="M303" s="1244">
        <f t="shared" ca="1" si="55"/>
        <v>0</v>
      </c>
      <c r="N303" s="1244">
        <f t="shared" ca="1" si="55"/>
        <v>0</v>
      </c>
      <c r="O303" s="1244"/>
      <c r="P303" s="1244"/>
      <c r="Q303" s="1244"/>
      <c r="R303" s="1244"/>
      <c r="S303" s="1244"/>
      <c r="T303" s="1671"/>
      <c r="U303" s="1664" t="str">
        <f>IFERROR(VLOOKUP(B303,ChiTietDuToan!C:H,5,0),"")</f>
        <v>cái</v>
      </c>
      <c r="V303" s="2309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75" t="s">
        <v>730</v>
      </c>
      <c r="C304" s="67" t="str">
        <f t="shared" ca="1" si="51"/>
        <v xml:space="preserve"> </v>
      </c>
      <c r="D304" s="1240"/>
      <c r="E304" s="1246" t="str">
        <f>VLOOKUP($B304,DG!A:D,DG!$C$2,)</f>
        <v>Boulon 22x850+ 2 long đền vuông D24-50x50x3/Zn</v>
      </c>
      <c r="F304" s="1240" t="str">
        <f>VLOOKUP($B304,DG!A:D,DG!$D$2,)</f>
        <v>bộ</v>
      </c>
      <c r="G304" s="1918">
        <v>1</v>
      </c>
      <c r="H304" s="1244">
        <f ca="1">$H$302*G304</f>
        <v>0</v>
      </c>
      <c r="I304" s="1244">
        <f ca="1">I$302*$G304</f>
        <v>0</v>
      </c>
      <c r="J304" s="1244">
        <f t="shared" ca="1" si="55"/>
        <v>0</v>
      </c>
      <c r="K304" s="1244">
        <f t="shared" si="55"/>
        <v>0</v>
      </c>
      <c r="L304" s="1244">
        <f t="shared" si="55"/>
        <v>0</v>
      </c>
      <c r="M304" s="1244">
        <f t="shared" ca="1" si="55"/>
        <v>0</v>
      </c>
      <c r="N304" s="1244">
        <f t="shared" ca="1" si="55"/>
        <v>0</v>
      </c>
      <c r="O304" s="1244"/>
      <c r="P304" s="1244"/>
      <c r="Q304" s="1244"/>
      <c r="R304" s="1244"/>
      <c r="S304" s="1244"/>
      <c r="T304" s="1671"/>
      <c r="U304" s="1664" t="str">
        <f>IFERROR(VLOOKUP(B304,ChiTietDuToan!C:H,5,0),"")</f>
        <v/>
      </c>
      <c r="V304" s="2309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75" t="str">
        <f>IF(F5=1,"MDD1",IF(F5=2,"MDD2",IF(F5=3,"MDD3",IF(F5=4,"MDD4"))))</f>
        <v>MDD3</v>
      </c>
      <c r="C305" s="67" t="str">
        <f t="shared" si="51"/>
        <v xml:space="preserve"> </v>
      </c>
      <c r="D305" s="1240" t="str">
        <f>VLOOKUP($B305,DG!A:D,DG!$B$2,)</f>
        <v>03.1013</v>
      </c>
      <c r="E305" s="1241" t="str">
        <f>VLOOKUP($B305,DG!A:D,DG!$C$2,)</f>
        <v>Đào hố móng đất cấp 3 sâu &gt;1m DT&lt;5m2</v>
      </c>
      <c r="F305" s="1240" t="str">
        <f>VLOOKUP($B305,DG!A:D,DG!$D$2,)</f>
        <v>m3</v>
      </c>
      <c r="G305" s="1917">
        <v>1.0900000000000001</v>
      </c>
      <c r="H305" s="1247"/>
      <c r="I305" s="1247"/>
      <c r="J305" s="1247"/>
      <c r="K305" s="1247"/>
      <c r="L305" s="1247"/>
      <c r="M305" s="1247"/>
      <c r="N305" s="1247"/>
      <c r="O305" s="1247"/>
      <c r="P305" s="1247"/>
      <c r="Q305" s="1247"/>
      <c r="R305" s="1247"/>
      <c r="S305" s="1247"/>
      <c r="T305" s="1671"/>
      <c r="U305" s="1664" t="str">
        <f>IFERROR(VLOOKUP(B305,ChiTietDuToan!C:H,5,0),"")</f>
        <v>m3</v>
      </c>
      <c r="V305" s="2309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75" t="str">
        <f>IF(F5=1,"MDAP1",IF(F5=2,"MDAP2",IF(F5=3,"MDAP3",IF(F5=4,"MDAP4"))))</f>
        <v>MDAP3</v>
      </c>
      <c r="C306" s="67" t="str">
        <f t="shared" si="51"/>
        <v xml:space="preserve"> </v>
      </c>
      <c r="D306" s="1240" t="str">
        <f>VLOOKUP($B306,DG!A:D,DG!$B$2,)</f>
        <v>03.4113</v>
      </c>
      <c r="E306" s="1241" t="str">
        <f>VLOOKUP($B306,DG!A:D,DG!$C$2,)</f>
        <v>Đắp đất hố móng, độ chặt k=0,95</v>
      </c>
      <c r="F306" s="1240" t="str">
        <f>VLOOKUP($B306,DG!A:D,DG!$D$2,)</f>
        <v>m3</v>
      </c>
      <c r="G306" s="1917">
        <v>1.02</v>
      </c>
      <c r="H306" s="1247"/>
      <c r="I306" s="1247"/>
      <c r="J306" s="1247"/>
      <c r="K306" s="1247"/>
      <c r="L306" s="1247"/>
      <c r="M306" s="1247"/>
      <c r="N306" s="1247"/>
      <c r="O306" s="1247"/>
      <c r="P306" s="1247"/>
      <c r="Q306" s="1247"/>
      <c r="R306" s="1247"/>
      <c r="S306" s="1247"/>
      <c r="T306" s="1671"/>
      <c r="U306" s="1664" t="str">
        <f>IFERROR(VLOOKUP(B306,ChiTietDuToan!C:H,5,0),"")</f>
        <v>m3</v>
      </c>
      <c r="V306" s="2309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56"/>
      <c r="C307" s="65" t="str">
        <f t="shared" ca="1" si="51"/>
        <v xml:space="preserve"> </v>
      </c>
      <c r="D307" s="1237"/>
      <c r="E307" s="1666" t="s">
        <v>2423</v>
      </c>
      <c r="F307" s="1238" t="s">
        <v>2391</v>
      </c>
      <c r="G307" s="1912"/>
      <c r="H307" s="1523">
        <f ca="1">SUM(I307:O307)+T307</f>
        <v>0</v>
      </c>
      <c r="I307" s="1239">
        <f ca="1">SUMIF(mong3pm,chitiet!$A307,slmong3pm)</f>
        <v>0</v>
      </c>
      <c r="J307" s="1239">
        <f ca="1">SUMIF(mongct,chitiet!$A307,slmongct)</f>
        <v>0</v>
      </c>
      <c r="K307" s="1239"/>
      <c r="L307" s="1239">
        <f>IFERROR(HLOOKUP(A307,pp1p!$6:$90,85,0),0)</f>
        <v>0</v>
      </c>
      <c r="M307" s="1239">
        <f ca="1">SUMIF(mongHTHH,chitiet!$A307,slmongHTHH)</f>
        <v>0</v>
      </c>
      <c r="N307" s="1239">
        <f ca="1">SUMIF(mongHTDL,chitiet!$A307,slmongHTDL)</f>
        <v>0</v>
      </c>
      <c r="O307" s="1239"/>
      <c r="P307" s="1239"/>
      <c r="Q307" s="1239"/>
      <c r="R307" s="1239"/>
      <c r="S307" s="1239"/>
      <c r="T307" s="1671"/>
      <c r="U307" s="1664">
        <f>IFERROR(VLOOKUP(B307,ChiTietDuToan!C:H,5,0),"")</f>
        <v>0</v>
      </c>
      <c r="V307" s="2309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75" t="s">
        <v>1627</v>
      </c>
      <c r="C308" s="67" t="str">
        <f t="shared" ca="1" si="51"/>
        <v xml:space="preserve"> </v>
      </c>
      <c r="D308" s="1236" t="str">
        <f>VLOOKUP($B308,DG!A:D,DG!$B$2,)</f>
        <v>04.3801</v>
      </c>
      <c r="E308" s="1246" t="str">
        <f>VLOOKUP($B308,DG!A:D,DG!$C$2,)</f>
        <v>Đà cản BTCT 1,5m</v>
      </c>
      <c r="F308" s="1240" t="str">
        <f>VLOOKUP($B308,DG!A:D,DG!$D$2,)</f>
        <v>cái</v>
      </c>
      <c r="G308" s="1918">
        <v>2</v>
      </c>
      <c r="H308" s="1244">
        <f ca="1">H$307*$G308</f>
        <v>0</v>
      </c>
      <c r="I308" s="1244">
        <f ca="1">I$307*$G308</f>
        <v>0</v>
      </c>
      <c r="J308" s="1244">
        <f t="shared" ref="J308:N309" ca="1" si="56">J$302*$G308</f>
        <v>0</v>
      </c>
      <c r="K308" s="1244">
        <f t="shared" si="56"/>
        <v>0</v>
      </c>
      <c r="L308" s="1244">
        <f t="shared" si="56"/>
        <v>0</v>
      </c>
      <c r="M308" s="1244">
        <f t="shared" ca="1" si="56"/>
        <v>0</v>
      </c>
      <c r="N308" s="1244">
        <f t="shared" ca="1" si="56"/>
        <v>0</v>
      </c>
      <c r="O308" s="1244"/>
      <c r="P308" s="1244"/>
      <c r="Q308" s="1244"/>
      <c r="R308" s="1244"/>
      <c r="S308" s="1244"/>
      <c r="T308" s="1671"/>
      <c r="U308" s="1664" t="str">
        <f>IFERROR(VLOOKUP(B308,ChiTietDuToan!C:H,5,0),"")</f>
        <v>cái</v>
      </c>
      <c r="V308" s="2309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75" t="s">
        <v>730</v>
      </c>
      <c r="C309" s="67" t="str">
        <f t="shared" ca="1" si="51"/>
        <v xml:space="preserve"> </v>
      </c>
      <c r="D309" s="1240"/>
      <c r="E309" s="1246" t="str">
        <f>VLOOKUP($B309,DG!A:D,DG!$C$2,)</f>
        <v>Boulon 22x850+ 2 long đền vuông D24-50x50x3/Zn</v>
      </c>
      <c r="F309" s="1240" t="str">
        <f>VLOOKUP($B309,DG!A:D,DG!$D$2,)</f>
        <v>bộ</v>
      </c>
      <c r="G309" s="1918">
        <v>1</v>
      </c>
      <c r="H309" s="1244">
        <f ca="1">H$307*$G309</f>
        <v>0</v>
      </c>
      <c r="I309" s="1244">
        <f ca="1">I$307*$G309</f>
        <v>0</v>
      </c>
      <c r="J309" s="1244">
        <f t="shared" ca="1" si="56"/>
        <v>0</v>
      </c>
      <c r="K309" s="1244">
        <f t="shared" si="56"/>
        <v>0</v>
      </c>
      <c r="L309" s="1244">
        <f t="shared" si="56"/>
        <v>0</v>
      </c>
      <c r="M309" s="1244">
        <f t="shared" ca="1" si="56"/>
        <v>0</v>
      </c>
      <c r="N309" s="1244">
        <f t="shared" ca="1" si="56"/>
        <v>0</v>
      </c>
      <c r="O309" s="1244"/>
      <c r="P309" s="1244"/>
      <c r="Q309" s="1244"/>
      <c r="R309" s="1244"/>
      <c r="S309" s="1244"/>
      <c r="T309" s="1671"/>
      <c r="U309" s="1664" t="str">
        <f>IFERROR(VLOOKUP(B309,ChiTietDuToan!C:H,5,0),"")</f>
        <v/>
      </c>
      <c r="V309" s="2309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59" t="s">
        <v>1865</v>
      </c>
      <c r="C310" s="67" t="str">
        <f t="shared" ca="1" si="51"/>
        <v xml:space="preserve"> </v>
      </c>
      <c r="D310" s="1236">
        <f>VLOOKUP($B310,DG!A:D,DG!$B$2,)</f>
        <v>0</v>
      </c>
      <c r="E310" s="1241" t="str">
        <f>VLOOKUP($B310,DG!A:D,DG!$C$2,)</f>
        <v>Đá 2x4</v>
      </c>
      <c r="F310" s="1236" t="str">
        <f>VLOOKUP($B310,DG!A:D,DG!$D$2,)</f>
        <v>m3</v>
      </c>
      <c r="G310" s="1913">
        <v>0.23200000000000001</v>
      </c>
      <c r="H310" s="1245">
        <f t="shared" ref="H310:N310" ca="1" si="57">H$18*$G310</f>
        <v>0</v>
      </c>
      <c r="I310" s="1245">
        <f t="shared" ca="1" si="57"/>
        <v>0</v>
      </c>
      <c r="J310" s="1245">
        <f t="shared" ca="1" si="57"/>
        <v>0</v>
      </c>
      <c r="K310" s="1245">
        <f t="shared" ca="1" si="57"/>
        <v>0</v>
      </c>
      <c r="L310" s="1245">
        <f t="shared" si="57"/>
        <v>0</v>
      </c>
      <c r="M310" s="1245">
        <f t="shared" ca="1" si="57"/>
        <v>0</v>
      </c>
      <c r="N310" s="1245">
        <f t="shared" ca="1" si="57"/>
        <v>0</v>
      </c>
      <c r="O310" s="1245"/>
      <c r="P310" s="1245"/>
      <c r="Q310" s="1245"/>
      <c r="R310" s="1245"/>
      <c r="S310" s="1245"/>
      <c r="T310" s="1671"/>
      <c r="U310" s="1664" t="str">
        <f>IFERROR(VLOOKUP(B310,ChiTietDuToan!C:H,5,0),"")</f>
        <v>m3</v>
      </c>
      <c r="V310" s="2309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75" t="str">
        <f>IF(F5=1,"MDD1",IF(F5=2,"MDD2",IF(F5=3,"MDD3",IF(F5=4,"MDD4"))))</f>
        <v>MDD3</v>
      </c>
      <c r="C311" s="67" t="str">
        <f t="shared" si="51"/>
        <v xml:space="preserve"> </v>
      </c>
      <c r="D311" s="1240" t="str">
        <f>VLOOKUP($B311,DG!A:D,DG!$B$2,)</f>
        <v>03.1013</v>
      </c>
      <c r="E311" s="1241" t="str">
        <f>VLOOKUP($B311,DG!A:D,DG!$C$2,)</f>
        <v>Đào hố móng đất cấp 3 sâu &gt;1m DT&lt;5m2</v>
      </c>
      <c r="F311" s="1240" t="str">
        <f>VLOOKUP($B311,DG!A:D,DG!$D$2,)</f>
        <v>m3</v>
      </c>
      <c r="G311" s="1917">
        <v>3.88</v>
      </c>
      <c r="H311" s="1247"/>
      <c r="I311" s="1247"/>
      <c r="J311" s="1247"/>
      <c r="K311" s="1247"/>
      <c r="L311" s="1247"/>
      <c r="M311" s="1247"/>
      <c r="N311" s="1247"/>
      <c r="O311" s="1247"/>
      <c r="P311" s="1247"/>
      <c r="Q311" s="1247"/>
      <c r="R311" s="1247"/>
      <c r="S311" s="1247"/>
      <c r="T311" s="1671"/>
      <c r="U311" s="1664" t="str">
        <f>IFERROR(VLOOKUP(B311,ChiTietDuToan!C:H,5,0),"")</f>
        <v>m3</v>
      </c>
      <c r="V311" s="2309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75" t="str">
        <f>IF(F5=1,"MDAP1",IF(F5=2,"MDAP2",IF(F5=3,"MDAP3",IF(F5=4,"MDAP4"))))</f>
        <v>MDAP3</v>
      </c>
      <c r="C312" s="67" t="str">
        <f t="shared" si="51"/>
        <v xml:space="preserve"> </v>
      </c>
      <c r="D312" s="1240" t="str">
        <f>VLOOKUP($B312,DG!A:D,DG!$B$2,)</f>
        <v>03.4113</v>
      </c>
      <c r="E312" s="1241" t="str">
        <f>VLOOKUP($B312,DG!A:D,DG!$C$2,)</f>
        <v>Đắp đất hố móng, độ chặt k=0,95</v>
      </c>
      <c r="F312" s="1240" t="str">
        <f>VLOOKUP($B312,DG!A:D,DG!$D$2,)</f>
        <v>m3</v>
      </c>
      <c r="G312" s="1917">
        <v>4.34</v>
      </c>
      <c r="H312" s="1247"/>
      <c r="I312" s="1247"/>
      <c r="J312" s="1247"/>
      <c r="K312" s="1247"/>
      <c r="L312" s="1247"/>
      <c r="M312" s="1247"/>
      <c r="N312" s="1247"/>
      <c r="O312" s="1247"/>
      <c r="P312" s="1247"/>
      <c r="Q312" s="1247"/>
      <c r="R312" s="1247"/>
      <c r="S312" s="1247"/>
      <c r="T312" s="1671"/>
      <c r="U312" s="1664" t="str">
        <f>IFERROR(VLOOKUP(B312,ChiTietDuToan!C:H,5,0),"")</f>
        <v>m3</v>
      </c>
      <c r="V312" s="2309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75" t="s">
        <v>642</v>
      </c>
      <c r="C313" s="67" t="str">
        <f t="shared" si="51"/>
        <v xml:space="preserve"> </v>
      </c>
      <c r="D313" s="1240" t="str">
        <f>VLOOKUP($B313,DG!A:D,DG!$B$2,)</f>
        <v>02.1123</v>
      </c>
      <c r="E313" s="1241" t="str">
        <f>VLOOKUP($B313,DG!A:D,DG!$C$2,)</f>
        <v>Bốc dỡ đà cản, đế néo</v>
      </c>
      <c r="F313" s="1240" t="str">
        <f>VLOOKUP($B313,DG!A:D,DG!$D$2,)</f>
        <v>tấn</v>
      </c>
      <c r="G313" s="1917">
        <f>0.255*G308</f>
        <v>0.51</v>
      </c>
      <c r="H313" s="1244"/>
      <c r="I313" s="1244"/>
      <c r="J313" s="1244"/>
      <c r="K313" s="1244"/>
      <c r="L313" s="1244"/>
      <c r="M313" s="1244"/>
      <c r="N313" s="1244"/>
      <c r="O313" s="1244"/>
      <c r="P313" s="1244"/>
      <c r="Q313" s="1244"/>
      <c r="R313" s="1244"/>
      <c r="S313" s="1244"/>
      <c r="T313" s="1671"/>
      <c r="U313" s="1664" t="str">
        <f>IFERROR(VLOOKUP(B313,ChiTietDuToan!C:H,5,0),"")</f>
        <v/>
      </c>
      <c r="V313" s="2309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57" t="s">
        <v>2125</v>
      </c>
      <c r="C314" s="67" t="str">
        <f t="shared" si="51"/>
        <v xml:space="preserve"> </v>
      </c>
      <c r="D314" s="1240" t="str">
        <f>VLOOKUP($B314,DG!A:C,2,)</f>
        <v>02.1451</v>
      </c>
      <c r="E314" s="1241" t="str">
        <f>VLOOKUP($B314,DG!A:C,3,)</f>
        <v>V/c đà cản vào vị trí (cự ly &lt;=100m)</v>
      </c>
      <c r="F314" s="1240" t="str">
        <f>VLOOKUP($B314,DG!A:D,4,0)</f>
        <v>tấn</v>
      </c>
      <c r="G314" s="1917">
        <f>G313</f>
        <v>0.51</v>
      </c>
      <c r="H314" s="1247"/>
      <c r="I314" s="1247"/>
      <c r="J314" s="1247"/>
      <c r="K314" s="1247"/>
      <c r="L314" s="1247"/>
      <c r="M314" s="1247"/>
      <c r="N314" s="1247"/>
      <c r="O314" s="1247"/>
      <c r="P314" s="1247"/>
      <c r="Q314" s="1247"/>
      <c r="R314" s="1247"/>
      <c r="S314" s="1247"/>
      <c r="T314" s="1671"/>
      <c r="U314" s="1664" t="str">
        <f>IFERROR(VLOOKUP(B314,ChiTietDuToan!C:H,5,0),"")</f>
        <v/>
      </c>
      <c r="V314" s="2309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74" t="s">
        <v>679</v>
      </c>
      <c r="C315" s="67" t="str">
        <f t="shared" si="51"/>
        <v xml:space="preserve"> </v>
      </c>
      <c r="D315" s="1236" t="str">
        <f>VLOOKUP($B315,DG!A:C,2,)</f>
        <v>02.1241</v>
      </c>
      <c r="E315" s="1241" t="str">
        <f>VLOOKUP($B315,DG!A:C,3,)</f>
        <v>V/c đá dăm ( cự ly &lt;=100m)</v>
      </c>
      <c r="F315" s="1236" t="str">
        <f>VLOOKUP($B315,DG!A:D,4,0)</f>
        <v>m3</v>
      </c>
      <c r="G315" s="1913">
        <f>G310</f>
        <v>0.23200000000000001</v>
      </c>
      <c r="H315" s="1250"/>
      <c r="I315" s="1250"/>
      <c r="J315" s="1250"/>
      <c r="K315" s="1250"/>
      <c r="L315" s="1250"/>
      <c r="M315" s="1250"/>
      <c r="N315" s="1250"/>
      <c r="O315" s="1250"/>
      <c r="P315" s="1250"/>
      <c r="Q315" s="1250"/>
      <c r="R315" s="1250"/>
      <c r="S315" s="1250"/>
      <c r="T315" s="1671"/>
      <c r="U315" s="1664" t="str">
        <f>IFERROR(VLOOKUP(B315,ChiTietDuToan!C:H,5,0),"")</f>
        <v/>
      </c>
      <c r="V315" s="2309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57" t="s">
        <v>640</v>
      </c>
      <c r="C316" s="67" t="str">
        <f t="shared" si="51"/>
        <v xml:space="preserve"> </v>
      </c>
      <c r="D316" s="1240" t="str">
        <f>VLOOKUP($B316,DG!A:C,2,)</f>
        <v>02.1482</v>
      </c>
      <c r="E316" s="1241" t="str">
        <f>VLOOKUP($B316,DG!A:C,3,)</f>
        <v>V/c dụng cụ thi công vào vị trí (cự ly &lt;=100m)</v>
      </c>
      <c r="F316" s="1240" t="str">
        <f>VLOOKUP($B316,DG!A:D,4,0)</f>
        <v>tấn</v>
      </c>
      <c r="G316" s="1917">
        <v>0.2</v>
      </c>
      <c r="H316" s="1247"/>
      <c r="I316" s="1247"/>
      <c r="J316" s="1247"/>
      <c r="K316" s="1247"/>
      <c r="L316" s="1247"/>
      <c r="M316" s="1247"/>
      <c r="N316" s="1247"/>
      <c r="O316" s="1247"/>
      <c r="P316" s="1247"/>
      <c r="Q316" s="1247"/>
      <c r="R316" s="1247"/>
      <c r="S316" s="1247"/>
      <c r="T316" s="1671"/>
      <c r="U316" s="1664" t="str">
        <f>IFERROR(VLOOKUP(B316,ChiTietDuToan!C:H,5,0),"")</f>
        <v/>
      </c>
      <c r="V316" s="2309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56"/>
      <c r="C317" s="65" t="str">
        <f t="shared" ca="1" si="51"/>
        <v xml:space="preserve"> </v>
      </c>
      <c r="D317" s="1237"/>
      <c r="E317" s="1666" t="s">
        <v>2424</v>
      </c>
      <c r="F317" s="1238" t="s">
        <v>2391</v>
      </c>
      <c r="G317" s="1912"/>
      <c r="H317" s="1523">
        <f ca="1">SUM(I317:O317)+T317</f>
        <v>0</v>
      </c>
      <c r="I317" s="1239">
        <f ca="1">SUMIF(mong3pm,chitiet!$A317,slmong3pm)</f>
        <v>0</v>
      </c>
      <c r="J317" s="1239">
        <f ca="1">SUMIF(mongct,chitiet!$A317,slmongct)</f>
        <v>0</v>
      </c>
      <c r="K317" s="1239">
        <f ca="1">SUMIF(mong1pm,chitiet!$A317,slmong1pm)</f>
        <v>0</v>
      </c>
      <c r="L317" s="1239">
        <f>IFERROR(HLOOKUP(A317,pp1p!$6:$90,85,0),0)</f>
        <v>0</v>
      </c>
      <c r="M317" s="1239">
        <f ca="1">SUMIF(mongHTHH,chitiet!$A317,slmongHTHH)</f>
        <v>0</v>
      </c>
      <c r="N317" s="1239">
        <f ca="1">SUMIF(mongHTDL,chitiet!$A317,slmongHTDL)</f>
        <v>0</v>
      </c>
      <c r="O317" s="1239"/>
      <c r="P317" s="1239"/>
      <c r="Q317" s="1239"/>
      <c r="R317" s="1239"/>
      <c r="S317" s="1239"/>
      <c r="T317" s="1671"/>
      <c r="U317" s="1664">
        <f>IFERROR(VLOOKUP(B317,ChiTietDuToan!C:H,5,0),"")</f>
        <v>0</v>
      </c>
      <c r="V317" s="2309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75" t="s">
        <v>1627</v>
      </c>
      <c r="C318" s="67" t="str">
        <f t="shared" ca="1" si="51"/>
        <v xml:space="preserve"> </v>
      </c>
      <c r="D318" s="1236" t="str">
        <f>VLOOKUP($B318,DG!A:D,DG!$B$2,)</f>
        <v>04.3801</v>
      </c>
      <c r="E318" s="1246" t="str">
        <f>VLOOKUP($B318,DG!A:D,DG!$C$2,)</f>
        <v>Đà cản BTCT 1,5m</v>
      </c>
      <c r="F318" s="1240" t="str">
        <f>VLOOKUP($B318,DG!A:D,DG!$D$2,)</f>
        <v>cái</v>
      </c>
      <c r="G318" s="1918">
        <v>1</v>
      </c>
      <c r="H318" s="1244">
        <f ca="1">H$317*$G318</f>
        <v>0</v>
      </c>
      <c r="I318" s="1244">
        <f t="shared" ref="I318:N320" ca="1" si="58">I$317*$G318</f>
        <v>0</v>
      </c>
      <c r="J318" s="1244">
        <f t="shared" ca="1" si="58"/>
        <v>0</v>
      </c>
      <c r="K318" s="1244">
        <f t="shared" ca="1" si="58"/>
        <v>0</v>
      </c>
      <c r="L318" s="1244">
        <f t="shared" si="58"/>
        <v>0</v>
      </c>
      <c r="M318" s="1244">
        <f t="shared" ca="1" si="58"/>
        <v>0</v>
      </c>
      <c r="N318" s="1244">
        <f t="shared" ca="1" si="58"/>
        <v>0</v>
      </c>
      <c r="O318" s="1244"/>
      <c r="P318" s="1244"/>
      <c r="Q318" s="1244"/>
      <c r="R318" s="1244"/>
      <c r="S318" s="1244"/>
      <c r="T318" s="1671"/>
      <c r="U318" s="1664" t="str">
        <f>IFERROR(VLOOKUP(B318,ChiTietDuToan!C:H,5,0),"")</f>
        <v>cái</v>
      </c>
      <c r="V318" s="2309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75" t="s">
        <v>641</v>
      </c>
      <c r="C319" s="67" t="str">
        <f t="shared" ca="1" si="51"/>
        <v xml:space="preserve"> </v>
      </c>
      <c r="D319" s="1236" t="str">
        <f>VLOOKUP($B319,DG!A:D,DG!$B$2,)</f>
        <v>04.4001</v>
      </c>
      <c r="E319" s="1246" t="str">
        <f>VLOOKUP($B319,DG!A:D,DG!$C$2,)&amp;" hieän höõu"</f>
        <v>Đà cản BTCT 1,2m hieän höõu</v>
      </c>
      <c r="F319" s="1240" t="str">
        <f>VLOOKUP($B319,DG!A:D,DG!$D$2,)</f>
        <v>cái</v>
      </c>
      <c r="G319" s="1918">
        <v>2</v>
      </c>
      <c r="H319" s="1244">
        <f ca="1">H$317*$G319</f>
        <v>0</v>
      </c>
      <c r="I319" s="1244">
        <f t="shared" ca="1" si="58"/>
        <v>0</v>
      </c>
      <c r="J319" s="1244">
        <f t="shared" ca="1" si="58"/>
        <v>0</v>
      </c>
      <c r="K319" s="1244">
        <f t="shared" ca="1" si="58"/>
        <v>0</v>
      </c>
      <c r="L319" s="1244">
        <f t="shared" si="58"/>
        <v>0</v>
      </c>
      <c r="M319" s="1244">
        <f t="shared" ca="1" si="58"/>
        <v>0</v>
      </c>
      <c r="N319" s="1244">
        <f t="shared" ca="1" si="58"/>
        <v>0</v>
      </c>
      <c r="O319" s="1244"/>
      <c r="P319" s="1244"/>
      <c r="Q319" s="1244"/>
      <c r="R319" s="1244"/>
      <c r="S319" s="1244"/>
      <c r="T319" s="1671"/>
      <c r="U319" s="1664" t="str">
        <f>IFERROR(VLOOKUP(B319,ChiTietDuToan!C:H,5,0),"")</f>
        <v>cái</v>
      </c>
      <c r="V319" s="2309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75" t="s">
        <v>1881</v>
      </c>
      <c r="C320" s="67" t="str">
        <f t="shared" ca="1" si="51"/>
        <v xml:space="preserve"> </v>
      </c>
      <c r="D320" s="1240"/>
      <c r="E320" s="1246" t="str">
        <f>VLOOKUP($B320,DG!A:D,DG!$C$2,)</f>
        <v>Boulon 22x700+ 2 long đền vuông D24-50x50x3/Zn</v>
      </c>
      <c r="F320" s="1240" t="str">
        <f>VLOOKUP($B320,DG!A:D,DG!$D$2,)</f>
        <v>bộ</v>
      </c>
      <c r="G320" s="1918">
        <v>1</v>
      </c>
      <c r="H320" s="1244">
        <f ca="1">H$317*$G320</f>
        <v>0</v>
      </c>
      <c r="I320" s="1244">
        <f t="shared" ca="1" si="58"/>
        <v>0</v>
      </c>
      <c r="J320" s="1244">
        <f ca="1">J$317*$G320</f>
        <v>0</v>
      </c>
      <c r="K320" s="1244">
        <f t="shared" ca="1" si="58"/>
        <v>0</v>
      </c>
      <c r="L320" s="1244">
        <f t="shared" si="58"/>
        <v>0</v>
      </c>
      <c r="M320" s="1244">
        <f t="shared" ca="1" si="58"/>
        <v>0</v>
      </c>
      <c r="N320" s="1244">
        <f t="shared" ca="1" si="58"/>
        <v>0</v>
      </c>
      <c r="O320" s="1244"/>
      <c r="P320" s="1244"/>
      <c r="Q320" s="1244"/>
      <c r="R320" s="1244"/>
      <c r="S320" s="1244"/>
      <c r="T320" s="1671"/>
      <c r="U320" s="1664" t="str">
        <f>IFERROR(VLOOKUP(B320,ChiTietDuToan!C:H,5,0),"")</f>
        <v/>
      </c>
      <c r="V320" s="2309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75" t="str">
        <f>IF(F5=1,"MDD1",IF(F5=2,"MDD2",IF(F5=3,"MDD3",IF(F5=4,"MDD4"))))</f>
        <v>MDD3</v>
      </c>
      <c r="C321" s="67" t="str">
        <f t="shared" si="51"/>
        <v xml:space="preserve"> </v>
      </c>
      <c r="D321" s="1240" t="str">
        <f>VLOOKUP($B321,DG!A:D,DG!$B$2,)</f>
        <v>03.1013</v>
      </c>
      <c r="E321" s="1241" t="str">
        <f>VLOOKUP($B321,DG!A:D,DG!$C$2,)</f>
        <v>Đào hố móng đất cấp 3 sâu &gt;1m DT&lt;5m2</v>
      </c>
      <c r="F321" s="1240" t="str">
        <f>VLOOKUP($B321,DG!A:D,DG!$D$2,)</f>
        <v>m3</v>
      </c>
      <c r="G321" s="1917">
        <v>2.17</v>
      </c>
      <c r="H321" s="1247"/>
      <c r="I321" s="1247"/>
      <c r="J321" s="1247"/>
      <c r="K321" s="1247"/>
      <c r="L321" s="1247"/>
      <c r="M321" s="1247"/>
      <c r="N321" s="1247"/>
      <c r="O321" s="1247"/>
      <c r="P321" s="1247"/>
      <c r="Q321" s="1247"/>
      <c r="R321" s="1247"/>
      <c r="S321" s="1247"/>
      <c r="T321" s="1671"/>
      <c r="U321" s="1664" t="str">
        <f>IFERROR(VLOOKUP(B321,ChiTietDuToan!C:H,5,0),"")</f>
        <v>m3</v>
      </c>
      <c r="V321" s="2309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75" t="str">
        <f>IF(F5=1,"MDAP1",IF(F5=2,"MDAP2",IF(F5=3,"MDAP3",IF(F5=4,"MDAP4"))))</f>
        <v>MDAP3</v>
      </c>
      <c r="C322" s="67" t="str">
        <f t="shared" si="51"/>
        <v xml:space="preserve"> </v>
      </c>
      <c r="D322" s="1240" t="str">
        <f>VLOOKUP($B322,DG!A:D,DG!$B$2,)</f>
        <v>03.4113</v>
      </c>
      <c r="E322" s="1241" t="str">
        <f>VLOOKUP($B322,DG!A:D,DG!$C$2,)</f>
        <v>Đắp đất hố móng, độ chặt k=0,95</v>
      </c>
      <c r="F322" s="1240" t="str">
        <f>VLOOKUP($B322,DG!A:D,DG!$D$2,)</f>
        <v>m3</v>
      </c>
      <c r="G322" s="1917">
        <v>2.3199999999999998</v>
      </c>
      <c r="H322" s="1247"/>
      <c r="I322" s="1247"/>
      <c r="J322" s="1247"/>
      <c r="K322" s="1247"/>
      <c r="L322" s="1247"/>
      <c r="M322" s="1247"/>
      <c r="N322" s="1247"/>
      <c r="O322" s="1247"/>
      <c r="P322" s="1247"/>
      <c r="Q322" s="1247"/>
      <c r="R322" s="1247"/>
      <c r="S322" s="1247"/>
      <c r="T322" s="1671"/>
      <c r="U322" s="1664" t="str">
        <f>IFERROR(VLOOKUP(B322,ChiTietDuToan!C:H,5,0),"")</f>
        <v>m3</v>
      </c>
      <c r="V322" s="2309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75" t="s">
        <v>642</v>
      </c>
      <c r="C323" s="67" t="str">
        <f t="shared" si="51"/>
        <v xml:space="preserve"> </v>
      </c>
      <c r="D323" s="1240" t="str">
        <f>VLOOKUP($B323,DG!A:D,DG!$B$2,)</f>
        <v>02.1123</v>
      </c>
      <c r="E323" s="1241" t="str">
        <f>VLOOKUP($B323,DG!A:D,DG!$C$2,)</f>
        <v>Bốc dỡ đà cản, đế néo</v>
      </c>
      <c r="F323" s="1240" t="str">
        <f>VLOOKUP($B323,DG!A:D,DG!$D$2,)</f>
        <v>tấn</v>
      </c>
      <c r="G323" s="1917">
        <f>0.255*G318</f>
        <v>0.255</v>
      </c>
      <c r="H323" s="1244"/>
      <c r="I323" s="1244"/>
      <c r="J323" s="1244"/>
      <c r="K323" s="1244"/>
      <c r="L323" s="1244"/>
      <c r="M323" s="1244"/>
      <c r="N323" s="1244"/>
      <c r="O323" s="1244"/>
      <c r="P323" s="1244"/>
      <c r="Q323" s="1244"/>
      <c r="R323" s="1244"/>
      <c r="S323" s="1244"/>
      <c r="T323" s="1671"/>
      <c r="U323" s="1664" t="str">
        <f>IFERROR(VLOOKUP(B323,ChiTietDuToan!C:H,5,0),"")</f>
        <v/>
      </c>
      <c r="V323" s="2309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57" t="s">
        <v>2125</v>
      </c>
      <c r="C324" s="67" t="str">
        <f t="shared" si="51"/>
        <v xml:space="preserve"> </v>
      </c>
      <c r="D324" s="1240" t="str">
        <f>VLOOKUP($B324,DG!A:C,2,)</f>
        <v>02.1451</v>
      </c>
      <c r="E324" s="1241" t="str">
        <f>VLOOKUP($B324,DG!A:C,3,)</f>
        <v>V/c đà cản vào vị trí (cự ly &lt;=100m)</v>
      </c>
      <c r="F324" s="1240" t="str">
        <f>VLOOKUP($B324,DG!A:D,4,0)</f>
        <v>tấn</v>
      </c>
      <c r="G324" s="1917">
        <f>G323</f>
        <v>0.255</v>
      </c>
      <c r="H324" s="1247"/>
      <c r="I324" s="1247"/>
      <c r="J324" s="1247"/>
      <c r="K324" s="1247"/>
      <c r="L324" s="1247"/>
      <c r="M324" s="1247"/>
      <c r="N324" s="1247"/>
      <c r="O324" s="1247"/>
      <c r="P324" s="1247"/>
      <c r="Q324" s="1247"/>
      <c r="R324" s="1247"/>
      <c r="S324" s="1247"/>
      <c r="T324" s="1671"/>
      <c r="U324" s="1664" t="str">
        <f>IFERROR(VLOOKUP(B324,ChiTietDuToan!C:H,5,0),"")</f>
        <v/>
      </c>
      <c r="V324" s="2309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57" t="s">
        <v>640</v>
      </c>
      <c r="C325" s="67" t="str">
        <f t="shared" si="51"/>
        <v xml:space="preserve"> </v>
      </c>
      <c r="D325" s="1240" t="str">
        <f>VLOOKUP($B325,DG!A:C,2,)</f>
        <v>02.1482</v>
      </c>
      <c r="E325" s="1241" t="str">
        <f>VLOOKUP($B325,DG!A:C,3,)</f>
        <v>V/c dụng cụ thi công vào vị trí (cự ly &lt;=100m)</v>
      </c>
      <c r="F325" s="1240" t="str">
        <f>VLOOKUP($B325,DG!A:D,4,0)</f>
        <v>tấn</v>
      </c>
      <c r="G325" s="1917">
        <v>0.2</v>
      </c>
      <c r="H325" s="1247"/>
      <c r="I325" s="1247"/>
      <c r="J325" s="1247"/>
      <c r="K325" s="1247"/>
      <c r="L325" s="1247"/>
      <c r="M325" s="1247"/>
      <c r="N325" s="1247"/>
      <c r="O325" s="1247"/>
      <c r="P325" s="1247"/>
      <c r="Q325" s="1247"/>
      <c r="R325" s="1247"/>
      <c r="S325" s="1247"/>
      <c r="T325" s="1671"/>
      <c r="U325" s="1664" t="str">
        <f>IFERROR(VLOOKUP(B325,ChiTietDuToan!C:H,5,0),"")</f>
        <v/>
      </c>
      <c r="V325" s="2309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56"/>
      <c r="C326" s="65" t="str">
        <f t="shared" ca="1" si="51"/>
        <v xml:space="preserve"> </v>
      </c>
      <c r="D326" s="1237"/>
      <c r="E326" s="1666" t="s">
        <v>2425</v>
      </c>
      <c r="F326" s="1238" t="s">
        <v>2391</v>
      </c>
      <c r="G326" s="1912"/>
      <c r="H326" s="1523">
        <f ca="1">SUM(I326:O326)+T326</f>
        <v>0</v>
      </c>
      <c r="I326" s="1239">
        <f ca="1">SUMIF(mong3pm,chitiet!$A326,slmong3pm)</f>
        <v>0</v>
      </c>
      <c r="J326" s="1239">
        <f ca="1">SUMIF(mongct,chitiet!$A326,slmongct)</f>
        <v>0</v>
      </c>
      <c r="K326" s="1239">
        <f ca="1">SUMIF(mong1pm,chitiet!$A326,slmong1pm)</f>
        <v>0</v>
      </c>
      <c r="L326" s="1239">
        <f>IFERROR(HLOOKUP(A326,pp1p!$6:$90,85,0),0)</f>
        <v>0</v>
      </c>
      <c r="M326" s="1239">
        <f ca="1">SUMIF(mongHTHH,chitiet!$A326,slmongHTHH)</f>
        <v>0</v>
      </c>
      <c r="N326" s="1239">
        <f ca="1">SUMIF(mongHTDL,chitiet!$A326,slmongHTDL)</f>
        <v>0</v>
      </c>
      <c r="O326" s="1239"/>
      <c r="P326" s="1239"/>
      <c r="Q326" s="1239"/>
      <c r="R326" s="1239"/>
      <c r="S326" s="1239"/>
      <c r="T326" s="1671"/>
      <c r="U326" s="1664">
        <f>IFERROR(VLOOKUP(B326,ChiTietDuToan!C:H,5,0),"")</f>
        <v>0</v>
      </c>
      <c r="V326" s="2309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75" t="s">
        <v>1627</v>
      </c>
      <c r="C327" s="67" t="str">
        <f t="shared" ca="1" si="51"/>
        <v xml:space="preserve"> </v>
      </c>
      <c r="D327" s="1236" t="str">
        <f>VLOOKUP($B327,DG!A:D,DG!$B$2,)</f>
        <v>04.3801</v>
      </c>
      <c r="E327" s="1246" t="str">
        <f>VLOOKUP($B327,DG!A:D,DG!$C$2,)</f>
        <v>Đà cản BTCT 1,5m</v>
      </c>
      <c r="F327" s="1240" t="str">
        <f>VLOOKUP($B327,DG!A:D,DG!$D$2,)</f>
        <v>cái</v>
      </c>
      <c r="G327" s="1918">
        <v>1</v>
      </c>
      <c r="H327" s="1244">
        <f ca="1">H$326*$G327</f>
        <v>0</v>
      </c>
      <c r="I327" s="1244">
        <f t="shared" ref="I327:N329" ca="1" si="60">I$326*$G327</f>
        <v>0</v>
      </c>
      <c r="J327" s="1244">
        <f t="shared" ca="1" si="60"/>
        <v>0</v>
      </c>
      <c r="K327" s="1244">
        <f t="shared" ca="1" si="60"/>
        <v>0</v>
      </c>
      <c r="L327" s="1244">
        <f t="shared" si="60"/>
        <v>0</v>
      </c>
      <c r="M327" s="1244">
        <f t="shared" ca="1" si="60"/>
        <v>0</v>
      </c>
      <c r="N327" s="1244">
        <f t="shared" ca="1" si="60"/>
        <v>0</v>
      </c>
      <c r="O327" s="1244"/>
      <c r="P327" s="1244"/>
      <c r="Q327" s="1244"/>
      <c r="R327" s="1244"/>
      <c r="S327" s="1244"/>
      <c r="T327" s="1671"/>
      <c r="U327" s="1664" t="str">
        <f>IFERROR(VLOOKUP(B327,ChiTietDuToan!C:H,5,0),"")</f>
        <v>cái</v>
      </c>
      <c r="V327" s="2309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75" t="s">
        <v>641</v>
      </c>
      <c r="C328" s="67" t="str">
        <f t="shared" ca="1" si="51"/>
        <v xml:space="preserve"> </v>
      </c>
      <c r="D328" s="1236" t="str">
        <f>VLOOKUP($B328,DG!A:D,DG!$B$2,)</f>
        <v>04.4001</v>
      </c>
      <c r="E328" s="1246" t="str">
        <f>VLOOKUP($B328,DG!A:D,DG!$C$2,)&amp;" hieän höõu"</f>
        <v>Đà cản BTCT 1,2m hieän höõu</v>
      </c>
      <c r="F328" s="1240" t="str">
        <f>VLOOKUP($B328,DG!A:D,DG!$D$2,)</f>
        <v>cái</v>
      </c>
      <c r="G328" s="1918">
        <v>2</v>
      </c>
      <c r="H328" s="1244">
        <f ca="1">H$326*$G328</f>
        <v>0</v>
      </c>
      <c r="I328" s="1244">
        <f t="shared" ca="1" si="60"/>
        <v>0</v>
      </c>
      <c r="J328" s="1244">
        <f t="shared" ca="1" si="60"/>
        <v>0</v>
      </c>
      <c r="K328" s="1244">
        <f t="shared" ca="1" si="60"/>
        <v>0</v>
      </c>
      <c r="L328" s="1244">
        <f t="shared" si="60"/>
        <v>0</v>
      </c>
      <c r="M328" s="1244">
        <f t="shared" ca="1" si="60"/>
        <v>0</v>
      </c>
      <c r="N328" s="1244">
        <f t="shared" ca="1" si="60"/>
        <v>0</v>
      </c>
      <c r="O328" s="1244"/>
      <c r="P328" s="1244"/>
      <c r="Q328" s="1244"/>
      <c r="R328" s="1244"/>
      <c r="S328" s="1244"/>
      <c r="T328" s="1671"/>
      <c r="U328" s="1664" t="str">
        <f>IFERROR(VLOOKUP(B328,ChiTietDuToan!C:H,5,0),"")</f>
        <v>cái</v>
      </c>
      <c r="V328" s="2309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75" t="s">
        <v>1881</v>
      </c>
      <c r="C329" s="67" t="str">
        <f t="shared" ca="1" si="51"/>
        <v xml:space="preserve"> </v>
      </c>
      <c r="D329" s="1240"/>
      <c r="E329" s="1246" t="str">
        <f>VLOOKUP($B329,DG!A:D,DG!$C$2,)</f>
        <v>Boulon 22x700+ 2 long đền vuông D24-50x50x3/Zn</v>
      </c>
      <c r="F329" s="1240" t="str">
        <f>VLOOKUP($B329,DG!A:D,DG!$D$2,)</f>
        <v>bộ</v>
      </c>
      <c r="G329" s="1918">
        <v>2</v>
      </c>
      <c r="H329" s="1244">
        <f ca="1">H$326*$G329</f>
        <v>0</v>
      </c>
      <c r="I329" s="1244">
        <f t="shared" ca="1" si="60"/>
        <v>0</v>
      </c>
      <c r="J329" s="1244">
        <f t="shared" ca="1" si="60"/>
        <v>0</v>
      </c>
      <c r="K329" s="1244">
        <f t="shared" ca="1" si="60"/>
        <v>0</v>
      </c>
      <c r="L329" s="1244">
        <f t="shared" si="60"/>
        <v>0</v>
      </c>
      <c r="M329" s="1244">
        <f t="shared" ca="1" si="60"/>
        <v>0</v>
      </c>
      <c r="N329" s="1244">
        <f t="shared" ca="1" si="60"/>
        <v>0</v>
      </c>
      <c r="O329" s="1244"/>
      <c r="P329" s="1244"/>
      <c r="Q329" s="1244"/>
      <c r="R329" s="1244"/>
      <c r="S329" s="1244"/>
      <c r="T329" s="1671"/>
      <c r="U329" s="1664" t="str">
        <f>IFERROR(VLOOKUP(B329,ChiTietDuToan!C:H,5,0),"")</f>
        <v/>
      </c>
      <c r="V329" s="2309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75" t="str">
        <f>IF(F5=1,"MDD1",IF(F5=2,"MDD2",IF(F5=3,"MDD3",IF(F5=4,"MDD4"))))</f>
        <v>MDD3</v>
      </c>
      <c r="C330" s="67" t="str">
        <f t="shared" si="51"/>
        <v xml:space="preserve"> </v>
      </c>
      <c r="D330" s="1240" t="str">
        <f>VLOOKUP($B330,DG!A:D,DG!$B$2,)</f>
        <v>03.1013</v>
      </c>
      <c r="E330" s="1241" t="str">
        <f>VLOOKUP($B330,DG!A:D,DG!$C$2,)</f>
        <v>Đào hố móng đất cấp 3 sâu &gt;1m DT&lt;5m2</v>
      </c>
      <c r="F330" s="1240" t="str">
        <f>VLOOKUP($B330,DG!A:D,DG!$D$2,)</f>
        <v>m3</v>
      </c>
      <c r="G330" s="1917">
        <v>4.63</v>
      </c>
      <c r="H330" s="1247"/>
      <c r="I330" s="1247"/>
      <c r="J330" s="1247"/>
      <c r="K330" s="1247"/>
      <c r="L330" s="1247"/>
      <c r="M330" s="1247"/>
      <c r="N330" s="1247"/>
      <c r="O330" s="1247"/>
      <c r="P330" s="1247"/>
      <c r="Q330" s="1247"/>
      <c r="R330" s="1247"/>
      <c r="S330" s="1247"/>
      <c r="T330" s="1671"/>
      <c r="U330" s="1664" t="str">
        <f>IFERROR(VLOOKUP(B330,ChiTietDuToan!C:H,5,0),"")</f>
        <v>m3</v>
      </c>
      <c r="V330" s="2309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75" t="str">
        <f>IF(F5=1,"MDAP1",IF(F5=2,"MDAP2",IF(F5=3,"MDAP3",IF(F5=4,"MDAP4"))))</f>
        <v>MDAP3</v>
      </c>
      <c r="C331" s="67" t="str">
        <f t="shared" si="51"/>
        <v xml:space="preserve"> </v>
      </c>
      <c r="D331" s="1240" t="str">
        <f>VLOOKUP($B331,DG!A:D,DG!$B$2,)</f>
        <v>03.4113</v>
      </c>
      <c r="E331" s="1241" t="str">
        <f>VLOOKUP($B331,DG!A:D,DG!$C$2,)</f>
        <v>Đắp đất hố móng, độ chặt k=0,95</v>
      </c>
      <c r="F331" s="1240" t="str">
        <f>VLOOKUP($B331,DG!A:D,DG!$D$2,)</f>
        <v>m3</v>
      </c>
      <c r="G331" s="1917">
        <v>4.95</v>
      </c>
      <c r="H331" s="1247"/>
      <c r="I331" s="1247"/>
      <c r="J331" s="1247"/>
      <c r="K331" s="1247"/>
      <c r="L331" s="1247"/>
      <c r="M331" s="1247"/>
      <c r="N331" s="1247"/>
      <c r="O331" s="1247"/>
      <c r="P331" s="1247"/>
      <c r="Q331" s="1247"/>
      <c r="R331" s="1247"/>
      <c r="S331" s="1247"/>
      <c r="T331" s="1671"/>
      <c r="U331" s="1664" t="str">
        <f>IFERROR(VLOOKUP(B331,ChiTietDuToan!C:H,5,0),"")</f>
        <v>m3</v>
      </c>
      <c r="V331" s="2309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75" t="s">
        <v>642</v>
      </c>
      <c r="C332" s="67" t="str">
        <f t="shared" si="51"/>
        <v xml:space="preserve"> </v>
      </c>
      <c r="D332" s="1240" t="str">
        <f>VLOOKUP($B332,DG!A:D,DG!$B$2,)</f>
        <v>02.1123</v>
      </c>
      <c r="E332" s="1241" t="str">
        <f>VLOOKUP($B332,DG!A:D,DG!$C$2,)</f>
        <v>Bốc dỡ đà cản, đế néo</v>
      </c>
      <c r="F332" s="1240" t="str">
        <f>VLOOKUP($B332,DG!A:D,DG!$D$2,)</f>
        <v>tấn</v>
      </c>
      <c r="G332" s="1917">
        <f>0.1*G327</f>
        <v>0.1</v>
      </c>
      <c r="H332" s="1244"/>
      <c r="I332" s="1244"/>
      <c r="J332" s="1244"/>
      <c r="K332" s="1244"/>
      <c r="L332" s="1244"/>
      <c r="M332" s="1244"/>
      <c r="N332" s="1244"/>
      <c r="O332" s="1244"/>
      <c r="P332" s="1244"/>
      <c r="Q332" s="1244"/>
      <c r="R332" s="1244"/>
      <c r="S332" s="1244"/>
      <c r="T332" s="1671"/>
      <c r="U332" s="1664" t="str">
        <f>IFERROR(VLOOKUP(B332,ChiTietDuToan!C:H,5,0),"")</f>
        <v/>
      </c>
      <c r="V332" s="2309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57" t="s">
        <v>2125</v>
      </c>
      <c r="C333" s="67" t="str">
        <f t="shared" si="51"/>
        <v xml:space="preserve"> </v>
      </c>
      <c r="D333" s="1240" t="str">
        <f>VLOOKUP($B333,DG!A:C,2,)</f>
        <v>02.1451</v>
      </c>
      <c r="E333" s="1241" t="str">
        <f>VLOOKUP($B333,DG!A:C,3,)</f>
        <v>V/c đà cản vào vị trí (cự ly &lt;=100m)</v>
      </c>
      <c r="F333" s="1240" t="str">
        <f>VLOOKUP($B333,DG!A:D,4,0)</f>
        <v>tấn</v>
      </c>
      <c r="G333" s="1917">
        <f>G332</f>
        <v>0.1</v>
      </c>
      <c r="H333" s="1247"/>
      <c r="I333" s="1247"/>
      <c r="J333" s="1247"/>
      <c r="K333" s="1247"/>
      <c r="L333" s="1247"/>
      <c r="M333" s="1247"/>
      <c r="N333" s="1247"/>
      <c r="O333" s="1247"/>
      <c r="P333" s="1247"/>
      <c r="Q333" s="1247"/>
      <c r="R333" s="1247"/>
      <c r="S333" s="1247"/>
      <c r="T333" s="1671"/>
      <c r="U333" s="1664" t="str">
        <f>IFERROR(VLOOKUP(B333,ChiTietDuToan!C:H,5,0),"")</f>
        <v/>
      </c>
      <c r="V333" s="2309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57" t="s">
        <v>640</v>
      </c>
      <c r="C334" s="67" t="str">
        <f t="shared" si="51"/>
        <v xml:space="preserve"> </v>
      </c>
      <c r="D334" s="1240" t="str">
        <f>VLOOKUP($B334,DG!A:C,2,)</f>
        <v>02.1482</v>
      </c>
      <c r="E334" s="1241" t="str">
        <f>VLOOKUP($B334,DG!A:C,3,)</f>
        <v>V/c dụng cụ thi công vào vị trí (cự ly &lt;=100m)</v>
      </c>
      <c r="F334" s="1240" t="str">
        <f>VLOOKUP($B334,DG!A:D,4,0)</f>
        <v>tấn</v>
      </c>
      <c r="G334" s="1917">
        <v>0.2</v>
      </c>
      <c r="H334" s="1247"/>
      <c r="I334" s="1247"/>
      <c r="J334" s="1247"/>
      <c r="K334" s="1247"/>
      <c r="L334" s="1247"/>
      <c r="M334" s="1247"/>
      <c r="N334" s="1247"/>
      <c r="O334" s="1247"/>
      <c r="P334" s="1247"/>
      <c r="Q334" s="1247"/>
      <c r="R334" s="1247"/>
      <c r="S334" s="1247"/>
      <c r="T334" s="1671"/>
      <c r="U334" s="1664" t="str">
        <f>IFERROR(VLOOKUP(B334,ChiTietDuToan!C:H,5,0),"")</f>
        <v/>
      </c>
      <c r="V334" s="2309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56"/>
      <c r="C335" s="65" t="str">
        <f t="shared" ref="C335:C398" ca="1" si="61">IF(OR(P335&lt;&gt;0,H335&lt;&gt;0),"x"," ")</f>
        <v xml:space="preserve"> </v>
      </c>
      <c r="D335" s="1237"/>
      <c r="E335" s="1666" t="s">
        <v>2426</v>
      </c>
      <c r="F335" s="1238" t="s">
        <v>2391</v>
      </c>
      <c r="G335" s="1912"/>
      <c r="H335" s="1523">
        <f ca="1">SUM(I335:O335)+T335</f>
        <v>0</v>
      </c>
      <c r="I335" s="1239">
        <f ca="1">SUMIF(mong3pm,chitiet!$A335,slmong3pm)</f>
        <v>0</v>
      </c>
      <c r="J335" s="1239">
        <f ca="1">SUMIF(mongct,chitiet!$A335,slmongct)</f>
        <v>0</v>
      </c>
      <c r="K335" s="1239">
        <f>SUMIF(mong3p1m,chitiet!$A335,slmong3p1m)</f>
        <v>0</v>
      </c>
      <c r="L335" s="1239">
        <f>IFERROR(HLOOKUP(A335,pp1p!$6:$90,85,0),0)</f>
        <v>0</v>
      </c>
      <c r="M335" s="1239">
        <f ca="1">SUMIF(mongHTHH,chitiet!$A335,slmongHTHH)</f>
        <v>0</v>
      </c>
      <c r="N335" s="1239">
        <f ca="1">SUMIF(mongHTDL,chitiet!$A335,slmongHTDL)</f>
        <v>0</v>
      </c>
      <c r="O335" s="1239"/>
      <c r="P335" s="1239"/>
      <c r="Q335" s="1239"/>
      <c r="R335" s="1239"/>
      <c r="S335" s="1239"/>
      <c r="T335" s="1671"/>
      <c r="U335" s="1664">
        <f>IFERROR(VLOOKUP(B335,ChiTietDuToan!C:H,5,0),"")</f>
        <v>0</v>
      </c>
      <c r="V335" s="2309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75" t="s">
        <v>828</v>
      </c>
      <c r="C336" s="67" t="str">
        <f t="shared" si="61"/>
        <v xml:space="preserve"> </v>
      </c>
      <c r="D336" s="1240" t="str">
        <f>VLOOKUP($B336,DG!A:D,DG!$B$2,)</f>
        <v>03.1103</v>
      </c>
      <c r="E336" s="1241" t="str">
        <f>VLOOKUP($B336,DG!A:D,DG!$C$2,)</f>
        <v>Đào hố móng đất cấp 3 sâu &lt;=1m</v>
      </c>
      <c r="F336" s="1240" t="str">
        <f>VLOOKUP($B336,DG!A:D,DG!$D$2,)</f>
        <v>m3</v>
      </c>
      <c r="G336" s="1917">
        <v>0.33</v>
      </c>
      <c r="H336" s="1247"/>
      <c r="I336" s="1247"/>
      <c r="J336" s="1247"/>
      <c r="K336" s="1247"/>
      <c r="L336" s="1247"/>
      <c r="M336" s="1247"/>
      <c r="N336" s="1247"/>
      <c r="O336" s="1247"/>
      <c r="P336" s="1247"/>
      <c r="Q336" s="1247"/>
      <c r="R336" s="1247"/>
      <c r="S336" s="1247"/>
      <c r="T336" s="1671"/>
      <c r="U336" s="1664" t="str">
        <f>IFERROR(VLOOKUP(B336,ChiTietDuToan!C:H,5,0),"")</f>
        <v/>
      </c>
      <c r="V336" s="2309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75" t="s">
        <v>987</v>
      </c>
      <c r="C337" s="67" t="str">
        <f t="shared" si="61"/>
        <v xml:space="preserve"> </v>
      </c>
      <c r="D337" s="1240" t="str">
        <f>VLOOKUP($B337,DG!A:D,DG!$B$2,)</f>
        <v>03.8133</v>
      </c>
      <c r="E337" s="1241" t="str">
        <f>VLOOKUP($B337,DG!A:D,DG!$C$2,)</f>
        <v>Phá đá chân hố móng, đá cấp I</v>
      </c>
      <c r="F337" s="1240" t="str">
        <f>VLOOKUP($B337,DG!A:D,DG!$D$2,)</f>
        <v>m3</v>
      </c>
      <c r="G337" s="1917">
        <v>1.65</v>
      </c>
      <c r="H337" s="1247"/>
      <c r="I337" s="1247"/>
      <c r="J337" s="1247"/>
      <c r="K337" s="1247"/>
      <c r="L337" s="1247"/>
      <c r="M337" s="1247"/>
      <c r="N337" s="1247"/>
      <c r="O337" s="1247"/>
      <c r="P337" s="1247"/>
      <c r="Q337" s="1247"/>
      <c r="R337" s="1247"/>
      <c r="S337" s="1247"/>
      <c r="T337" s="1671"/>
      <c r="U337" s="1664" t="str">
        <f>IFERROR(VLOOKUP(B337,ChiTietDuToan!C:H,5,0),"")</f>
        <v/>
      </c>
      <c r="V337" s="2309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75" t="s">
        <v>1879</v>
      </c>
      <c r="C338" s="67" t="str">
        <f t="shared" si="61"/>
        <v xml:space="preserve"> </v>
      </c>
      <c r="D338" s="1240" t="str">
        <f>VLOOKUP($B338,DG!A:D,DG!$B$2,)</f>
        <v>03.2203</v>
      </c>
      <c r="E338" s="1241" t="str">
        <f>VLOOKUP($B338,DG!A:D,DG!$C$2,)</f>
        <v>Đắp đất hố móng, đất cấp 4</v>
      </c>
      <c r="F338" s="1240" t="str">
        <f>VLOOKUP($B338,DG!A:D,DG!$D$2,)</f>
        <v>m3</v>
      </c>
      <c r="G338" s="1917">
        <v>2.0499999999999998</v>
      </c>
      <c r="H338" s="1244"/>
      <c r="I338" s="1244"/>
      <c r="J338" s="1244"/>
      <c r="K338" s="1244"/>
      <c r="L338" s="1244"/>
      <c r="M338" s="1244"/>
      <c r="N338" s="1244"/>
      <c r="O338" s="1244"/>
      <c r="P338" s="1244"/>
      <c r="Q338" s="1244"/>
      <c r="R338" s="1244"/>
      <c r="S338" s="1244"/>
      <c r="T338" s="1671"/>
      <c r="U338" s="1664" t="str">
        <f>IFERROR(VLOOKUP(B338,ChiTietDuToan!C:H,5,0),"")</f>
        <v/>
      </c>
      <c r="V338" s="2309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53" t="s">
        <v>2368</v>
      </c>
      <c r="B339" s="1954"/>
      <c r="C339" s="65" t="str">
        <f t="shared" si="61"/>
        <v xml:space="preserve"> </v>
      </c>
      <c r="D339" s="1237"/>
      <c r="E339" s="1666" t="s">
        <v>2427</v>
      </c>
      <c r="F339" s="1238" t="s">
        <v>2391</v>
      </c>
      <c r="G339" s="1912"/>
      <c r="H339" s="1523">
        <f>SUM(I339:O339)+T339</f>
        <v>0</v>
      </c>
      <c r="I339" s="1239">
        <v>0</v>
      </c>
      <c r="J339" s="1239">
        <v>0</v>
      </c>
      <c r="K339" s="1239">
        <f>SUMIF(mong3p1m,chitiet!$A339,slmong3p1m)</f>
        <v>0</v>
      </c>
      <c r="L339" s="1239">
        <f>IFERROR(HLOOKUP(A339,pp1p!$6:$90,85,0),0)</f>
        <v>0</v>
      </c>
      <c r="M339" s="1239">
        <v>0</v>
      </c>
      <c r="N339" s="1239">
        <v>0</v>
      </c>
      <c r="O339" s="1239"/>
      <c r="P339" s="1523">
        <f>H339+Q339-R339</f>
        <v>0</v>
      </c>
      <c r="Q339" s="1239"/>
      <c r="R339" s="1239"/>
      <c r="S339" s="1239"/>
      <c r="T339" s="1663"/>
      <c r="U339" s="1664">
        <f>IFERROR(VLOOKUP(B339,ChiTietDuToan!C:H,5,0),"")</f>
        <v>0</v>
      </c>
      <c r="V339" s="2309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55"/>
      <c r="B340" s="1957" t="s">
        <v>759</v>
      </c>
      <c r="C340" s="67" t="str">
        <f t="shared" si="61"/>
        <v xml:space="preserve"> </v>
      </c>
      <c r="D340" s="1240">
        <f>VLOOKUP($B340,DG!A:D,DG!$B$2,)</f>
        <v>0</v>
      </c>
      <c r="E340" s="1246" t="str">
        <f>VLOOKUP($B340,DG!A:D,DG!$C$2,)</f>
        <v xml:space="preserve">Ximăng </v>
      </c>
      <c r="F340" s="1240" t="str">
        <f>VLOOKUP($B340,DG!A:D,DG!$D$2,)</f>
        <v>kg</v>
      </c>
      <c r="G340" s="1919">
        <v>352</v>
      </c>
      <c r="H340" s="1244">
        <f t="shared" ref="H340:H346" si="62">H$339*$G340</f>
        <v>0</v>
      </c>
      <c r="I340" s="1244">
        <f t="shared" ref="I340:K355" si="63">I$339*$G340</f>
        <v>0</v>
      </c>
      <c r="J340" s="1244">
        <f t="shared" si="63"/>
        <v>0</v>
      </c>
      <c r="K340" s="1244">
        <f>K$339*$G340</f>
        <v>0</v>
      </c>
      <c r="L340" s="1244">
        <f t="shared" ref="L340:O355" si="64">L$339*$G340</f>
        <v>0</v>
      </c>
      <c r="M340" s="1244">
        <f t="shared" si="64"/>
        <v>0</v>
      </c>
      <c r="N340" s="1244">
        <f t="shared" si="64"/>
        <v>0</v>
      </c>
      <c r="O340" s="1244">
        <f t="shared" si="64"/>
        <v>0</v>
      </c>
      <c r="P340" s="1244">
        <f>$P$339*G340</f>
        <v>0</v>
      </c>
      <c r="Q340" s="1244"/>
      <c r="R340" s="1244"/>
      <c r="S340" s="1244"/>
      <c r="T340" s="1663"/>
      <c r="U340" s="1664" t="str">
        <f>IFERROR(VLOOKUP(B340,ChiTietDuToan!C:H,5,0),"")</f>
        <v>kg</v>
      </c>
      <c r="V340" s="2309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55"/>
      <c r="B341" s="1958" t="s">
        <v>4665</v>
      </c>
      <c r="C341" s="67" t="str">
        <f t="shared" si="61"/>
        <v xml:space="preserve"> </v>
      </c>
      <c r="D341" s="1240">
        <f>VLOOKUP($B341,DG!A:D,DG!$B$2,)</f>
        <v>0</v>
      </c>
      <c r="E341" s="1246" t="str">
        <f>VLOOKUP($B341,DG!A:D,DG!$C$2,)</f>
        <v>Cát vàng</v>
      </c>
      <c r="F341" s="1240" t="str">
        <f>VLOOKUP($B341,DG!A:D,DG!$D$2,)</f>
        <v>m3</v>
      </c>
      <c r="G341" s="1916">
        <v>0.56499999999999995</v>
      </c>
      <c r="H341" s="1242">
        <f t="shared" si="62"/>
        <v>0</v>
      </c>
      <c r="I341" s="1244">
        <f t="shared" si="63"/>
        <v>0</v>
      </c>
      <c r="J341" s="1244">
        <f t="shared" si="63"/>
        <v>0</v>
      </c>
      <c r="K341" s="1244">
        <f t="shared" si="63"/>
        <v>0</v>
      </c>
      <c r="L341" s="1244">
        <f t="shared" si="64"/>
        <v>0</v>
      </c>
      <c r="M341" s="1244">
        <f t="shared" si="64"/>
        <v>0</v>
      </c>
      <c r="N341" s="1244">
        <f t="shared" si="64"/>
        <v>0</v>
      </c>
      <c r="O341" s="1244">
        <f t="shared" si="64"/>
        <v>0</v>
      </c>
      <c r="P341" s="1242">
        <f>$P$339*G341</f>
        <v>0</v>
      </c>
      <c r="Q341" s="1242"/>
      <c r="R341" s="1242"/>
      <c r="S341" s="1242"/>
      <c r="T341" s="1663"/>
      <c r="U341" s="1664" t="str">
        <f>IFERROR(VLOOKUP(B341,ChiTietDuToan!C:H,5,0),"")</f>
        <v>m3</v>
      </c>
      <c r="V341" s="2309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55" t="s">
        <v>1046</v>
      </c>
      <c r="B342" s="1957" t="s">
        <v>884</v>
      </c>
      <c r="C342" s="67" t="str">
        <f t="shared" si="61"/>
        <v xml:space="preserve"> </v>
      </c>
      <c r="D342" s="1240">
        <f>VLOOKUP($B342,DG!A:D,DG!$B$2,)</f>
        <v>0</v>
      </c>
      <c r="E342" s="1246" t="str">
        <f>VLOOKUP($B342,DG!A:D,DG!$C$2,)</f>
        <v>Đá 1x2</v>
      </c>
      <c r="F342" s="1240" t="str">
        <f>VLOOKUP($B342,DG!A:D,DG!$D$2,)</f>
        <v>m3</v>
      </c>
      <c r="G342" s="1916">
        <v>1.0489999999999999</v>
      </c>
      <c r="H342" s="1242">
        <f t="shared" si="62"/>
        <v>0</v>
      </c>
      <c r="I342" s="1244">
        <f t="shared" si="63"/>
        <v>0</v>
      </c>
      <c r="J342" s="1244">
        <f t="shared" si="63"/>
        <v>0</v>
      </c>
      <c r="K342" s="1244">
        <f t="shared" si="63"/>
        <v>0</v>
      </c>
      <c r="L342" s="1244">
        <f t="shared" si="64"/>
        <v>0</v>
      </c>
      <c r="M342" s="1244">
        <f t="shared" si="64"/>
        <v>0</v>
      </c>
      <c r="N342" s="1244">
        <f t="shared" si="64"/>
        <v>0</v>
      </c>
      <c r="O342" s="1244">
        <f t="shared" si="64"/>
        <v>0</v>
      </c>
      <c r="P342" s="1242">
        <f>$P$339*G342</f>
        <v>0</v>
      </c>
      <c r="Q342" s="1242"/>
      <c r="R342" s="1242"/>
      <c r="S342" s="1242"/>
      <c r="T342" s="1663"/>
      <c r="U342" s="1664" t="str">
        <f>IFERROR(VLOOKUP(B342,ChiTietDuToan!C:H,5,0),"")</f>
        <v/>
      </c>
      <c r="V342" s="2309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57" t="s">
        <v>1025</v>
      </c>
      <c r="C343" s="67" t="str">
        <f t="shared" si="61"/>
        <v xml:space="preserve"> </v>
      </c>
      <c r="D343" s="1240">
        <f>VLOOKUP($B343,DG!A:D,DG!$B$2,)</f>
        <v>0</v>
      </c>
      <c r="E343" s="1246" t="str">
        <f>VLOOKUP($B343,DG!A:D,DG!$C$2,)</f>
        <v>Sắt   Ø10</v>
      </c>
      <c r="F343" s="1240" t="str">
        <f>VLOOKUP($B343,DG!A:D,DG!$D$2,)</f>
        <v>kg</v>
      </c>
      <c r="G343" s="1916"/>
      <c r="H343" s="1242">
        <f t="shared" si="62"/>
        <v>0</v>
      </c>
      <c r="I343" s="1244">
        <f t="shared" si="63"/>
        <v>0</v>
      </c>
      <c r="J343" s="1244">
        <f t="shared" si="63"/>
        <v>0</v>
      </c>
      <c r="K343" s="1244">
        <f t="shared" si="63"/>
        <v>0</v>
      </c>
      <c r="L343" s="1244">
        <f t="shared" si="64"/>
        <v>0</v>
      </c>
      <c r="M343" s="1244">
        <f t="shared" si="64"/>
        <v>0</v>
      </c>
      <c r="N343" s="1244">
        <f t="shared" si="64"/>
        <v>0</v>
      </c>
      <c r="O343" s="1244">
        <f t="shared" si="64"/>
        <v>0</v>
      </c>
      <c r="P343" s="1242"/>
      <c r="Q343" s="1242"/>
      <c r="R343" s="1242"/>
      <c r="S343" s="1242"/>
      <c r="T343" s="1671"/>
      <c r="U343" s="1664" t="str">
        <f>IFERROR(VLOOKUP(B343,ChiTietDuToan!C:H,5,0),"")</f>
        <v/>
      </c>
      <c r="V343" s="2309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57" t="s">
        <v>1026</v>
      </c>
      <c r="C344" s="67" t="str">
        <f t="shared" si="61"/>
        <v xml:space="preserve"> </v>
      </c>
      <c r="D344" s="1240">
        <f>VLOOKUP($B344,DG!A:D,DG!$B$2,)</f>
        <v>0</v>
      </c>
      <c r="E344" s="1246" t="str">
        <f>VLOOKUP($B344,DG!A:D,DG!$C$2,)</f>
        <v>Kẽm</v>
      </c>
      <c r="F344" s="1240" t="str">
        <f>VLOOKUP($B344,DG!A:D,DG!$D$2,)</f>
        <v>kg</v>
      </c>
      <c r="G344" s="1916"/>
      <c r="H344" s="1242">
        <f t="shared" si="62"/>
        <v>0</v>
      </c>
      <c r="I344" s="1244">
        <f t="shared" si="63"/>
        <v>0</v>
      </c>
      <c r="J344" s="1244">
        <f t="shared" si="63"/>
        <v>0</v>
      </c>
      <c r="K344" s="1244">
        <f t="shared" si="63"/>
        <v>0</v>
      </c>
      <c r="L344" s="1244">
        <f t="shared" si="64"/>
        <v>0</v>
      </c>
      <c r="M344" s="1244">
        <f t="shared" si="64"/>
        <v>0</v>
      </c>
      <c r="N344" s="1244">
        <f t="shared" si="64"/>
        <v>0</v>
      </c>
      <c r="O344" s="1244">
        <f t="shared" si="64"/>
        <v>0</v>
      </c>
      <c r="P344" s="1242"/>
      <c r="Q344" s="1242"/>
      <c r="R344" s="1242"/>
      <c r="S344" s="1242"/>
      <c r="T344" s="1671"/>
      <c r="U344" s="1664" t="str">
        <f>IFERROR(VLOOKUP(B344,ChiTietDuToan!C:H,5,0),"")</f>
        <v/>
      </c>
      <c r="V344" s="2309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55"/>
      <c r="B345" s="1959" t="str">
        <f>IF(F5=1,"MDD1",IF(F5=2,"MDD2",IF(F5=3,"MDD3",IF(F5=4,"MDD4"))))</f>
        <v>MDD3</v>
      </c>
      <c r="C345" s="67" t="str">
        <f t="shared" si="61"/>
        <v xml:space="preserve"> </v>
      </c>
      <c r="D345" s="1240" t="str">
        <f>VLOOKUP($B345,DG!A:D,DG!$B$2,)</f>
        <v>03.1013</v>
      </c>
      <c r="E345" s="1241" t="str">
        <f>VLOOKUP($B345,DG!A:D,DG!$C$2,)</f>
        <v>Đào hố móng đất cấp 3 sâu &gt;1m DT&lt;5m2</v>
      </c>
      <c r="F345" s="1240" t="str">
        <f>VLOOKUP($B345,DG!A:D,DG!$D$2,)</f>
        <v>m3</v>
      </c>
      <c r="G345" s="1916">
        <v>1.28</v>
      </c>
      <c r="H345" s="1242">
        <f t="shared" si="62"/>
        <v>0</v>
      </c>
      <c r="I345" s="1244">
        <f t="shared" si="63"/>
        <v>0</v>
      </c>
      <c r="J345" s="1244">
        <f t="shared" si="63"/>
        <v>0</v>
      </c>
      <c r="K345" s="1244">
        <f t="shared" si="63"/>
        <v>0</v>
      </c>
      <c r="L345" s="1244">
        <f>L$339*$G345</f>
        <v>0</v>
      </c>
      <c r="M345" s="1244">
        <f t="shared" si="64"/>
        <v>0</v>
      </c>
      <c r="N345" s="1244">
        <f t="shared" si="64"/>
        <v>0</v>
      </c>
      <c r="O345" s="1244">
        <f t="shared" si="64"/>
        <v>0</v>
      </c>
      <c r="P345" s="1242"/>
      <c r="Q345" s="1247"/>
      <c r="R345" s="1247"/>
      <c r="S345" s="1247"/>
      <c r="T345" s="2170"/>
      <c r="U345" s="1664" t="str">
        <f>IFERROR(VLOOKUP(B345,ChiTietDuToan!C:H,5,0),"")</f>
        <v>m3</v>
      </c>
      <c r="V345" s="2309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57" t="s">
        <v>21</v>
      </c>
      <c r="C346" s="67" t="str">
        <f t="shared" si="61"/>
        <v xml:space="preserve"> </v>
      </c>
      <c r="D346" s="1240" t="str">
        <f>VLOOKUP($B346,DG!A:D,DG!$B$2,)</f>
        <v>03.4113</v>
      </c>
      <c r="E346" s="1241" t="str">
        <f>VLOOKUP($B346,DG!A:D,DG!$C$2,)</f>
        <v>Đắp đất hố móng, độ chặt k=0,95</v>
      </c>
      <c r="F346" s="1240" t="str">
        <f>VLOOKUP($B346,DG!A:D,DG!$D$2,)</f>
        <v>m3</v>
      </c>
      <c r="G346" s="1916">
        <v>0.06</v>
      </c>
      <c r="H346" s="1242">
        <f t="shared" si="62"/>
        <v>0</v>
      </c>
      <c r="I346" s="1244">
        <f t="shared" si="63"/>
        <v>0</v>
      </c>
      <c r="J346" s="1244">
        <f t="shared" si="63"/>
        <v>0</v>
      </c>
      <c r="K346" s="1244">
        <f t="shared" si="63"/>
        <v>0</v>
      </c>
      <c r="L346" s="1244">
        <f t="shared" si="64"/>
        <v>0</v>
      </c>
      <c r="M346" s="1244">
        <f t="shared" si="64"/>
        <v>0</v>
      </c>
      <c r="N346" s="1244">
        <f t="shared" si="64"/>
        <v>0</v>
      </c>
      <c r="O346" s="1244">
        <f t="shared" si="64"/>
        <v>0</v>
      </c>
      <c r="P346" s="1242">
        <f>$P$339*G346</f>
        <v>0</v>
      </c>
      <c r="Q346" s="1247"/>
      <c r="R346" s="1247"/>
      <c r="S346" s="1247"/>
      <c r="T346" s="1671"/>
      <c r="U346" s="1664" t="str">
        <f>IFERROR(VLOOKUP(B346,ChiTietDuToan!C:H,5,0),"")</f>
        <v>m3</v>
      </c>
      <c r="V346" s="2309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57" t="s">
        <v>1326</v>
      </c>
      <c r="C347" s="67" t="str">
        <f t="shared" si="61"/>
        <v xml:space="preserve"> </v>
      </c>
      <c r="D347" s="1240" t="str">
        <f>VLOOKUP($B347,DG!A:D,DG!$B$2,)</f>
        <v>02.1101</v>
      </c>
      <c r="E347" s="1241" t="str">
        <f>VLOOKUP($B347,DG!A:D,DG!$C$2,)</f>
        <v>Bốc dỡ xi măng</v>
      </c>
      <c r="F347" s="1240" t="str">
        <f>VLOOKUP($B347,DG!A:D,DG!$D$2,)</f>
        <v>tấn</v>
      </c>
      <c r="G347" s="1916"/>
      <c r="H347" s="1242">
        <f t="shared" ref="H347:H355" si="65">H$339*$G347</f>
        <v>0</v>
      </c>
      <c r="I347" s="1244">
        <f t="shared" si="63"/>
        <v>0</v>
      </c>
      <c r="J347" s="1244">
        <f t="shared" si="63"/>
        <v>0</v>
      </c>
      <c r="K347" s="1244">
        <f t="shared" si="63"/>
        <v>0</v>
      </c>
      <c r="L347" s="1244">
        <f t="shared" si="64"/>
        <v>0</v>
      </c>
      <c r="M347" s="1244">
        <f t="shared" si="64"/>
        <v>0</v>
      </c>
      <c r="N347" s="1244">
        <f t="shared" si="64"/>
        <v>0</v>
      </c>
      <c r="O347" s="1244">
        <f t="shared" si="64"/>
        <v>0</v>
      </c>
      <c r="P347" s="1247"/>
      <c r="Q347" s="1247"/>
      <c r="R347" s="1247"/>
      <c r="S347" s="1247"/>
      <c r="T347" s="1671"/>
      <c r="U347" s="1664" t="str">
        <f>IFERROR(VLOOKUP(B347,ChiTietDuToan!C:H,5,0),"")</f>
        <v/>
      </c>
      <c r="V347" s="2309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57" t="s">
        <v>134</v>
      </c>
      <c r="C348" s="67" t="str">
        <f t="shared" si="61"/>
        <v xml:space="preserve"> </v>
      </c>
      <c r="D348" s="1240" t="str">
        <f>VLOOKUP($B348,DG!A:D,DG!$B$2,)</f>
        <v>02.1103</v>
      </c>
      <c r="E348" s="1241" t="str">
        <f>VLOOKUP($B348,DG!A:D,DG!$C$2,)</f>
        <v>Bốc dỡ cát</v>
      </c>
      <c r="F348" s="1240" t="str">
        <f>VLOOKUP($B348,DG!A:D,DG!$D$2,)</f>
        <v>m3</v>
      </c>
      <c r="G348" s="1916"/>
      <c r="H348" s="1242">
        <f t="shared" si="65"/>
        <v>0</v>
      </c>
      <c r="I348" s="1244">
        <f t="shared" si="63"/>
        <v>0</v>
      </c>
      <c r="J348" s="1244">
        <f t="shared" si="63"/>
        <v>0</v>
      </c>
      <c r="K348" s="1244">
        <f t="shared" si="63"/>
        <v>0</v>
      </c>
      <c r="L348" s="1244">
        <f t="shared" si="64"/>
        <v>0</v>
      </c>
      <c r="M348" s="1244">
        <f t="shared" si="64"/>
        <v>0</v>
      </c>
      <c r="N348" s="1244">
        <f t="shared" si="64"/>
        <v>0</v>
      </c>
      <c r="O348" s="1244">
        <f t="shared" si="64"/>
        <v>0</v>
      </c>
      <c r="P348" s="1247"/>
      <c r="Q348" s="1247"/>
      <c r="R348" s="1247"/>
      <c r="S348" s="1247"/>
      <c r="T348" s="1671"/>
      <c r="U348" s="1664" t="str">
        <f>IFERROR(VLOOKUP(B348,ChiTietDuToan!C:H,5,0),"")</f>
        <v/>
      </c>
      <c r="V348" s="2309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57" t="s">
        <v>136</v>
      </c>
      <c r="C349" s="67" t="str">
        <f t="shared" si="61"/>
        <v xml:space="preserve"> </v>
      </c>
      <c r="D349" s="1240" t="str">
        <f>VLOOKUP($B349,DG!A:D,DG!$B$2,)</f>
        <v>02.1104</v>
      </c>
      <c r="E349" s="1241" t="str">
        <f>VLOOKUP($B349,DG!A:D,DG!$C$2,)</f>
        <v>Bốc dỡ đá dăm</v>
      </c>
      <c r="F349" s="1240" t="str">
        <f>VLOOKUP($B349,DG!A:D,DG!$D$2,)</f>
        <v>m3</v>
      </c>
      <c r="G349" s="1916"/>
      <c r="H349" s="1242">
        <f t="shared" si="65"/>
        <v>0</v>
      </c>
      <c r="I349" s="1244">
        <f t="shared" si="63"/>
        <v>0</v>
      </c>
      <c r="J349" s="1244">
        <f t="shared" si="63"/>
        <v>0</v>
      </c>
      <c r="K349" s="1244">
        <f t="shared" si="63"/>
        <v>0</v>
      </c>
      <c r="L349" s="1244">
        <f t="shared" si="64"/>
        <v>0</v>
      </c>
      <c r="M349" s="1244">
        <f t="shared" si="64"/>
        <v>0</v>
      </c>
      <c r="N349" s="1244">
        <f t="shared" si="64"/>
        <v>0</v>
      </c>
      <c r="O349" s="1244">
        <f t="shared" si="64"/>
        <v>0</v>
      </c>
      <c r="P349" s="1247"/>
      <c r="Q349" s="1247"/>
      <c r="R349" s="1247"/>
      <c r="S349" s="1247"/>
      <c r="T349" s="1671"/>
      <c r="U349" s="1664" t="str">
        <f>IFERROR(VLOOKUP(B349,ChiTietDuToan!C:H,5,0),"")</f>
        <v/>
      </c>
      <c r="V349" s="2309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57" t="s">
        <v>498</v>
      </c>
      <c r="C350" s="67" t="str">
        <f t="shared" si="61"/>
        <v xml:space="preserve"> </v>
      </c>
      <c r="D350" s="1240" t="str">
        <f>VLOOKUP($B350,DG!A:D,DG!$B$2,)</f>
        <v>02.1211</v>
      </c>
      <c r="E350" s="1241" t="str">
        <f>VLOOKUP($B350,DG!A:D,DG!$C$2,)</f>
        <v>V/c xi măng ( cự ly &lt;=100m)</v>
      </c>
      <c r="F350" s="1240" t="str">
        <f>VLOOKUP($B350,DG!A:D,DG!$D$2,)</f>
        <v>tấn</v>
      </c>
      <c r="G350" s="1916"/>
      <c r="H350" s="1242">
        <f t="shared" si="65"/>
        <v>0</v>
      </c>
      <c r="I350" s="1244">
        <f t="shared" si="63"/>
        <v>0</v>
      </c>
      <c r="J350" s="1244">
        <f t="shared" si="63"/>
        <v>0</v>
      </c>
      <c r="K350" s="1244">
        <f t="shared" si="63"/>
        <v>0</v>
      </c>
      <c r="L350" s="1244">
        <f t="shared" si="64"/>
        <v>0</v>
      </c>
      <c r="M350" s="1244">
        <f t="shared" si="64"/>
        <v>0</v>
      </c>
      <c r="N350" s="1244">
        <f t="shared" si="64"/>
        <v>0</v>
      </c>
      <c r="O350" s="1244">
        <f t="shared" si="64"/>
        <v>0</v>
      </c>
      <c r="P350" s="1247"/>
      <c r="Q350" s="1247"/>
      <c r="R350" s="1247"/>
      <c r="S350" s="1247"/>
      <c r="T350" s="1671"/>
      <c r="U350" s="1664" t="str">
        <f>IFERROR(VLOOKUP(B350,ChiTietDuToan!C:H,5,0),"")</f>
        <v/>
      </c>
      <c r="V350" s="2309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57" t="s">
        <v>1663</v>
      </c>
      <c r="C351" s="67" t="str">
        <f t="shared" si="61"/>
        <v xml:space="preserve"> </v>
      </c>
      <c r="D351" s="1240" t="str">
        <f>VLOOKUP($B351,DG!A:D,DG!$B$2,)</f>
        <v>02.1231</v>
      </c>
      <c r="E351" s="1241" t="str">
        <f>VLOOKUP($B351,DG!A:D,DG!$C$2,)</f>
        <v>V/c cát vàng cự ly &lt;=100m</v>
      </c>
      <c r="F351" s="1240" t="str">
        <f>VLOOKUP($B351,DG!A:D,DG!$D$2,)</f>
        <v>m3</v>
      </c>
      <c r="G351" s="1916"/>
      <c r="H351" s="1242">
        <f t="shared" si="65"/>
        <v>0</v>
      </c>
      <c r="I351" s="1244">
        <f t="shared" si="63"/>
        <v>0</v>
      </c>
      <c r="J351" s="1244">
        <f t="shared" si="63"/>
        <v>0</v>
      </c>
      <c r="K351" s="1244">
        <f t="shared" si="63"/>
        <v>0</v>
      </c>
      <c r="L351" s="1244">
        <f t="shared" si="64"/>
        <v>0</v>
      </c>
      <c r="M351" s="1244">
        <f t="shared" si="64"/>
        <v>0</v>
      </c>
      <c r="N351" s="1244">
        <f t="shared" si="64"/>
        <v>0</v>
      </c>
      <c r="O351" s="1244">
        <f t="shared" si="64"/>
        <v>0</v>
      </c>
      <c r="P351" s="1247"/>
      <c r="Q351" s="1247"/>
      <c r="R351" s="1247"/>
      <c r="S351" s="1247"/>
      <c r="T351" s="1671"/>
      <c r="U351" s="1664" t="str">
        <f>IFERROR(VLOOKUP(B351,ChiTietDuToan!C:H,5,0),"")</f>
        <v/>
      </c>
      <c r="V351" s="2309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57" t="s">
        <v>524</v>
      </c>
      <c r="C352" s="67" t="str">
        <f t="shared" si="61"/>
        <v xml:space="preserve"> </v>
      </c>
      <c r="D352" s="1240" t="str">
        <f>VLOOKUP($B352,DG!A:D,DG!$B$2,)</f>
        <v>02.1241</v>
      </c>
      <c r="E352" s="1241" t="str">
        <f>VLOOKUP($B352,DG!A:D,DG!$C$2,)</f>
        <v>V/c đá dăm ( cự ly &lt;=100m)</v>
      </c>
      <c r="F352" s="1240" t="str">
        <f>VLOOKUP($B352,DG!A:D,DG!$D$2,)</f>
        <v>m3</v>
      </c>
      <c r="G352" s="1916"/>
      <c r="H352" s="1242">
        <f t="shared" si="65"/>
        <v>0</v>
      </c>
      <c r="I352" s="1244">
        <f t="shared" si="63"/>
        <v>0</v>
      </c>
      <c r="J352" s="1244">
        <f t="shared" si="63"/>
        <v>0</v>
      </c>
      <c r="K352" s="1244">
        <f t="shared" si="63"/>
        <v>0</v>
      </c>
      <c r="L352" s="1244">
        <f t="shared" si="64"/>
        <v>0</v>
      </c>
      <c r="M352" s="1244">
        <f t="shared" si="64"/>
        <v>0</v>
      </c>
      <c r="N352" s="1244">
        <f t="shared" si="64"/>
        <v>0</v>
      </c>
      <c r="O352" s="1244">
        <f t="shared" si="64"/>
        <v>0</v>
      </c>
      <c r="P352" s="1247"/>
      <c r="Q352" s="1247"/>
      <c r="R352" s="1247"/>
      <c r="S352" s="1247"/>
      <c r="T352" s="1671"/>
      <c r="U352" s="1664" t="str">
        <f>IFERROR(VLOOKUP(B352,ChiTietDuToan!C:H,5,0),"")</f>
        <v/>
      </c>
      <c r="V352" s="2309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57" t="s">
        <v>2034</v>
      </c>
      <c r="C353" s="67" t="str">
        <f t="shared" si="61"/>
        <v xml:space="preserve"> </v>
      </c>
      <c r="D353" s="1240" t="str">
        <f>VLOOKUP($B353,DG!A:D,DG!$B$2,)</f>
        <v>02.1482</v>
      </c>
      <c r="E353" s="1241" t="str">
        <f>VLOOKUP($B353,DG!A:D,DG!$C$2,)</f>
        <v>V/c dụng cụ thi công ( cự ly &lt;=100m)</v>
      </c>
      <c r="F353" s="1240" t="str">
        <f>VLOOKUP($B353,DG!A:D,DG!$D$2,)</f>
        <v>tấn</v>
      </c>
      <c r="G353" s="1916"/>
      <c r="H353" s="1242">
        <f t="shared" si="65"/>
        <v>0</v>
      </c>
      <c r="I353" s="1244">
        <f t="shared" si="63"/>
        <v>0</v>
      </c>
      <c r="J353" s="1244">
        <f t="shared" si="63"/>
        <v>0</v>
      </c>
      <c r="K353" s="1244">
        <f t="shared" si="63"/>
        <v>0</v>
      </c>
      <c r="L353" s="1244">
        <f t="shared" si="64"/>
        <v>0</v>
      </c>
      <c r="M353" s="1244">
        <f t="shared" si="64"/>
        <v>0</v>
      </c>
      <c r="N353" s="1244">
        <f t="shared" si="64"/>
        <v>0</v>
      </c>
      <c r="O353" s="1244">
        <f t="shared" si="64"/>
        <v>0</v>
      </c>
      <c r="P353" s="1247"/>
      <c r="Q353" s="1247"/>
      <c r="R353" s="1247"/>
      <c r="S353" s="1247"/>
      <c r="T353" s="1671"/>
      <c r="U353" s="1664" t="str">
        <f>IFERROR(VLOOKUP(B353,ChiTietDuToan!C:H,5,0),"")</f>
        <v/>
      </c>
      <c r="V353" s="2309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57" t="s">
        <v>1027</v>
      </c>
      <c r="C354" s="67" t="str">
        <f t="shared" si="61"/>
        <v xml:space="preserve"> </v>
      </c>
      <c r="D354" s="1240" t="str">
        <f>VLOOKUP($B354,DG!A:D,DG!$B$2,)</f>
        <v>04.5101</v>
      </c>
      <c r="E354" s="1241" t="str">
        <f>VLOOKUP($B354,DG!A:D,DG!$C$2,)</f>
        <v>Gia công và lắp dựng cốt thép D&lt;=10</v>
      </c>
      <c r="F354" s="1240" t="str">
        <f>VLOOKUP($B354,DG!A:D,DG!$D$2,)</f>
        <v>kg</v>
      </c>
      <c r="G354" s="1916">
        <f>G343*0</f>
        <v>0</v>
      </c>
      <c r="H354" s="1242">
        <f t="shared" si="65"/>
        <v>0</v>
      </c>
      <c r="I354" s="1244">
        <f t="shared" si="63"/>
        <v>0</v>
      </c>
      <c r="J354" s="1244">
        <f t="shared" si="63"/>
        <v>0</v>
      </c>
      <c r="K354" s="1244">
        <f t="shared" si="63"/>
        <v>0</v>
      </c>
      <c r="L354" s="1244">
        <f t="shared" si="64"/>
        <v>0</v>
      </c>
      <c r="M354" s="1244">
        <f t="shared" si="64"/>
        <v>0</v>
      </c>
      <c r="N354" s="1244">
        <f t="shared" si="64"/>
        <v>0</v>
      </c>
      <c r="O354" s="1244">
        <f t="shared" si="64"/>
        <v>0</v>
      </c>
      <c r="P354" s="1247"/>
      <c r="Q354" s="1247"/>
      <c r="R354" s="1247"/>
      <c r="S354" s="1247"/>
      <c r="T354" s="1671"/>
      <c r="U354" s="1664" t="str">
        <f>IFERROR(VLOOKUP(B354,ChiTietDuToan!C:H,5,0),"")</f>
        <v/>
      </c>
      <c r="V354" s="2309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57" t="s">
        <v>1888</v>
      </c>
      <c r="C355" s="67" t="str">
        <f t="shared" si="61"/>
        <v xml:space="preserve"> </v>
      </c>
      <c r="D355" s="1240" t="str">
        <f>VLOOKUP($B355,DG!A:D,DG!$B$2,)</f>
        <v>04.1203b</v>
      </c>
      <c r="E355" s="1241" t="str">
        <f>VLOOKUP($B355,DG!A:D,DG!$C$2,)</f>
        <v>Đổ bê tông mác M150 đá 1x2</v>
      </c>
      <c r="F355" s="1240" t="str">
        <f>VLOOKUP($B355,DG!A:D,DG!$D$2,)</f>
        <v>m3</v>
      </c>
      <c r="G355" s="1916">
        <v>1.19</v>
      </c>
      <c r="H355" s="1242">
        <f t="shared" si="65"/>
        <v>0</v>
      </c>
      <c r="I355" s="1244">
        <f t="shared" si="63"/>
        <v>0</v>
      </c>
      <c r="J355" s="1244">
        <f t="shared" si="63"/>
        <v>0</v>
      </c>
      <c r="K355" s="1244">
        <f t="shared" si="63"/>
        <v>0</v>
      </c>
      <c r="L355" s="1244">
        <f t="shared" si="64"/>
        <v>0</v>
      </c>
      <c r="M355" s="1244">
        <f t="shared" si="64"/>
        <v>0</v>
      </c>
      <c r="N355" s="1244">
        <f t="shared" si="64"/>
        <v>0</v>
      </c>
      <c r="O355" s="1244">
        <f t="shared" si="64"/>
        <v>0</v>
      </c>
      <c r="P355" s="1242"/>
      <c r="Q355" s="1247"/>
      <c r="R355" s="1247"/>
      <c r="S355" s="1247"/>
      <c r="T355" s="1671"/>
      <c r="U355" s="1664" t="str">
        <f>IFERROR(VLOOKUP(B355,ChiTietDuToan!C:H,5,0),"")</f>
        <v/>
      </c>
      <c r="V355" s="2309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53" t="s">
        <v>2369</v>
      </c>
      <c r="B356" s="1954" t="str">
        <f>A356</f>
        <v>M12BT ĐÔI</v>
      </c>
      <c r="C356" s="1193" t="str">
        <f t="shared" si="61"/>
        <v xml:space="preserve"> </v>
      </c>
      <c r="D356" s="1237"/>
      <c r="E356" s="1666" t="s">
        <v>2428</v>
      </c>
      <c r="F356" s="1238" t="s">
        <v>2391</v>
      </c>
      <c r="G356" s="1912"/>
      <c r="H356" s="1523">
        <f>W356</f>
        <v>0</v>
      </c>
      <c r="I356" s="1239">
        <v>0</v>
      </c>
      <c r="J356" s="1239">
        <v>0</v>
      </c>
      <c r="K356" s="1239">
        <f>pp3p1m!BB111</f>
        <v>0</v>
      </c>
      <c r="L356" s="1239">
        <f>IFERROR(HLOOKUP(A356,pp1p!$6:$90,85,0),0)</f>
        <v>0</v>
      </c>
      <c r="M356" s="1239">
        <v>0</v>
      </c>
      <c r="N356" s="1239">
        <v>0</v>
      </c>
      <c r="O356" s="1239"/>
      <c r="P356" s="1523">
        <f>H356+Q356-R356</f>
        <v>0</v>
      </c>
      <c r="Q356" s="1239"/>
      <c r="R356" s="1239"/>
      <c r="S356" s="1239"/>
      <c r="T356" s="1664"/>
      <c r="U356" s="1664" t="str">
        <f>IFERROR(VLOOKUP(B356,ChiTietDuToan!C:H,5,0),"")</f>
        <v>Móng</v>
      </c>
      <c r="V356" s="2309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55"/>
      <c r="B357" s="1958" t="s">
        <v>759</v>
      </c>
      <c r="C357" s="1194" t="str">
        <f t="shared" si="61"/>
        <v xml:space="preserve"> </v>
      </c>
      <c r="D357" s="1240">
        <f>VLOOKUP($B357,DG!A:D,DG!$B$2,)</f>
        <v>0</v>
      </c>
      <c r="E357" s="1241" t="str">
        <f>VLOOKUP($B357,DG!A:D,DG!$C$2,)</f>
        <v xml:space="preserve">Ximăng </v>
      </c>
      <c r="F357" s="1240" t="str">
        <f>VLOOKUP($B357,DG!A:D,DG!$D$2,)</f>
        <v>kg</v>
      </c>
      <c r="G357" s="1919">
        <v>504</v>
      </c>
      <c r="H357" s="1244">
        <f>$H$356*$G357</f>
        <v>0</v>
      </c>
      <c r="I357" s="1244">
        <f>I$491*$G357</f>
        <v>0</v>
      </c>
      <c r="J357" s="1244">
        <f>J$491*$G357</f>
        <v>0</v>
      </c>
      <c r="K357" s="1244">
        <f>K$356*$G357</f>
        <v>0</v>
      </c>
      <c r="L357" s="1244">
        <f>L$491*$G357</f>
        <v>0</v>
      </c>
      <c r="M357" s="1244">
        <f>M$491*$G357</f>
        <v>0</v>
      </c>
      <c r="N357" s="1244">
        <f>N$491*$G357</f>
        <v>0</v>
      </c>
      <c r="O357" s="1244"/>
      <c r="P357" s="1244">
        <f>$P$356*G357</f>
        <v>0</v>
      </c>
      <c r="Q357" s="1244">
        <f>$Q$356*G357</f>
        <v>0</v>
      </c>
      <c r="R357" s="1244"/>
      <c r="S357" s="1244"/>
      <c r="T357" s="1664"/>
      <c r="U357" s="1664" t="str">
        <f>IFERROR(VLOOKUP(B357,ChiTietDuToan!C:H,5,0),"")</f>
        <v>kg</v>
      </c>
      <c r="V357" s="2309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55"/>
      <c r="B358" s="1958" t="s">
        <v>4654</v>
      </c>
      <c r="C358" s="1194" t="str">
        <f t="shared" si="61"/>
        <v xml:space="preserve"> </v>
      </c>
      <c r="D358" s="1240">
        <f>VLOOKUP($B358,DG!A:D,DG!$B$2,)</f>
        <v>0</v>
      </c>
      <c r="E358" s="1241" t="str">
        <f>VLOOKUP($B358,DG!A:D,DG!$C$2,)</f>
        <v>Cát vàng</v>
      </c>
      <c r="F358" s="1240" t="str">
        <f>VLOOKUP($B358,DG!A:D,DG!$D$2,)</f>
        <v>m3</v>
      </c>
      <c r="G358" s="1916">
        <v>0.80900000000000005</v>
      </c>
      <c r="H358" s="1244">
        <f t="shared" ref="H358:H372" si="67">$H$356*$G358</f>
        <v>0</v>
      </c>
      <c r="I358" s="1243"/>
      <c r="J358" s="1243"/>
      <c r="K358" s="1243">
        <f>K$356*$G358</f>
        <v>0</v>
      </c>
      <c r="L358" s="1247"/>
      <c r="M358" s="1247"/>
      <c r="N358" s="1247"/>
      <c r="O358" s="1247"/>
      <c r="P358" s="1244">
        <f t="shared" ref="P358:P372" si="68">$P$356*G358</f>
        <v>0</v>
      </c>
      <c r="Q358" s="1242">
        <f>$Q$356*G358</f>
        <v>0</v>
      </c>
      <c r="R358" s="1243"/>
      <c r="S358" s="1243"/>
      <c r="T358" s="1664"/>
      <c r="U358" s="1664" t="str">
        <f>IFERROR(VLOOKUP(B358,ChiTietDuToan!C:H,5,0),"")</f>
        <v>m3</v>
      </c>
      <c r="V358" s="2309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55"/>
      <c r="B359" s="1958" t="s">
        <v>884</v>
      </c>
      <c r="C359" s="1194" t="str">
        <f t="shared" si="61"/>
        <v xml:space="preserve"> </v>
      </c>
      <c r="D359" s="1240">
        <f>VLOOKUP($B359,DG!A:D,DG!$B$2,)</f>
        <v>0</v>
      </c>
      <c r="E359" s="1241" t="str">
        <f>VLOOKUP($B359,DG!A:D,DG!$C$2,)</f>
        <v>Đá 1x2</v>
      </c>
      <c r="F359" s="1240" t="str">
        <f>VLOOKUP($B359,DG!A:D,DG!$D$2,)</f>
        <v>m3</v>
      </c>
      <c r="G359" s="1916">
        <v>1.5009999999999999</v>
      </c>
      <c r="H359" s="1244">
        <f t="shared" si="67"/>
        <v>0</v>
      </c>
      <c r="I359" s="1243"/>
      <c r="J359" s="1243"/>
      <c r="K359" s="1243">
        <f>K$356*$G359</f>
        <v>0</v>
      </c>
      <c r="L359" s="1244"/>
      <c r="M359" s="1244"/>
      <c r="N359" s="1244"/>
      <c r="O359" s="1244"/>
      <c r="P359" s="1244">
        <f t="shared" si="68"/>
        <v>0</v>
      </c>
      <c r="Q359" s="1242">
        <f>$Q$356*G359</f>
        <v>0</v>
      </c>
      <c r="R359" s="1243"/>
      <c r="S359" s="1243"/>
      <c r="T359" s="1664"/>
      <c r="U359" s="1664" t="str">
        <f>IFERROR(VLOOKUP(B359,ChiTietDuToan!C:H,5,0),"")</f>
        <v/>
      </c>
      <c r="V359" s="2309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57" t="s">
        <v>1025</v>
      </c>
      <c r="C360" s="67" t="str">
        <f t="shared" si="61"/>
        <v xml:space="preserve"> </v>
      </c>
      <c r="D360" s="1240">
        <f>VLOOKUP($B360,DG!A:D,DG!$B$2,)</f>
        <v>0</v>
      </c>
      <c r="E360" s="1246" t="str">
        <f>VLOOKUP($B360,DG!A:D,DG!$C$2,)</f>
        <v>Sắt   Ø10</v>
      </c>
      <c r="F360" s="1240" t="str">
        <f>VLOOKUP($B360,DG!A:D,DG!$D$2,)</f>
        <v>kg</v>
      </c>
      <c r="G360" s="1920"/>
      <c r="H360" s="1244">
        <f t="shared" si="67"/>
        <v>0</v>
      </c>
      <c r="I360" s="1243"/>
      <c r="J360" s="1243"/>
      <c r="K360" s="1243">
        <f>K$356*$G360</f>
        <v>0</v>
      </c>
      <c r="L360" s="1244"/>
      <c r="M360" s="1244"/>
      <c r="N360" s="1244"/>
      <c r="O360" s="1244"/>
      <c r="P360" s="1244">
        <f t="shared" si="68"/>
        <v>0</v>
      </c>
      <c r="Q360" s="1243"/>
      <c r="R360" s="1243"/>
      <c r="S360" s="1243"/>
      <c r="T360" s="1671"/>
      <c r="U360" s="1664" t="str">
        <f>IFERROR(VLOOKUP(B360,ChiTietDuToan!C:H,5,0),"")</f>
        <v/>
      </c>
      <c r="V360" s="2309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57" t="s">
        <v>1026</v>
      </c>
      <c r="C361" s="67" t="str">
        <f t="shared" si="61"/>
        <v xml:space="preserve"> </v>
      </c>
      <c r="D361" s="1240">
        <f>VLOOKUP($B361,DG!A:D,DG!$B$2,)</f>
        <v>0</v>
      </c>
      <c r="E361" s="1246" t="str">
        <f>VLOOKUP($B361,DG!A:D,DG!$C$2,)</f>
        <v>Kẽm</v>
      </c>
      <c r="F361" s="1240" t="str">
        <f>VLOOKUP($B361,DG!A:D,DG!$D$2,)</f>
        <v>kg</v>
      </c>
      <c r="G361" s="1920"/>
      <c r="H361" s="1244">
        <f t="shared" si="67"/>
        <v>0</v>
      </c>
      <c r="I361" s="1243"/>
      <c r="J361" s="1243"/>
      <c r="K361" s="1243">
        <f>K$356*$G361</f>
        <v>0</v>
      </c>
      <c r="L361" s="1244"/>
      <c r="M361" s="1244"/>
      <c r="N361" s="1244"/>
      <c r="O361" s="1244"/>
      <c r="P361" s="1244">
        <f t="shared" si="68"/>
        <v>0</v>
      </c>
      <c r="Q361" s="1243"/>
      <c r="R361" s="1243"/>
      <c r="S361" s="1243"/>
      <c r="T361" s="1671"/>
      <c r="U361" s="1664" t="str">
        <f>IFERROR(VLOOKUP(B361,ChiTietDuToan!C:H,5,0),"")</f>
        <v/>
      </c>
      <c r="V361" s="2309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55"/>
      <c r="B362" s="1952" t="str">
        <f>IF(F5=1,"MDD1",IF(F5=2,"MDD2",IF(F5=3,"MDD3",IF(F5=4,"MDD4"))))</f>
        <v>MDD3</v>
      </c>
      <c r="C362" s="1194" t="str">
        <f t="shared" si="61"/>
        <v xml:space="preserve"> </v>
      </c>
      <c r="D362" s="1240" t="str">
        <f>VLOOKUP($B362,DG!A:D,DG!$B$2,)</f>
        <v>03.1013</v>
      </c>
      <c r="E362" s="1241" t="str">
        <f>VLOOKUP($B362,DG!A:D,DG!$C$2,)</f>
        <v>Đào hố móng đất cấp 3 sâu &gt;1m DT&lt;5m2</v>
      </c>
      <c r="F362" s="1240" t="str">
        <f>VLOOKUP($B362,DG!A:D,DG!$D$2,)</f>
        <v>m3</v>
      </c>
      <c r="G362" s="1920">
        <v>1.93</v>
      </c>
      <c r="H362" s="1244">
        <f t="shared" si="67"/>
        <v>0</v>
      </c>
      <c r="I362" s="1247"/>
      <c r="J362" s="1247"/>
      <c r="K362" s="1247"/>
      <c r="L362" s="1247"/>
      <c r="M362" s="1247"/>
      <c r="N362" s="1247"/>
      <c r="O362" s="1247"/>
      <c r="P362" s="1244">
        <f t="shared" si="68"/>
        <v>0</v>
      </c>
      <c r="Q362" s="1242">
        <f>$Q$356*G362</f>
        <v>0</v>
      </c>
      <c r="R362" s="1247"/>
      <c r="S362" s="1247"/>
      <c r="T362" s="1664"/>
      <c r="U362" s="1664" t="str">
        <f>IFERROR(VLOOKUP(B362,ChiTietDuToan!C:H,5,0),"")</f>
        <v>m3</v>
      </c>
      <c r="V362" s="2309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57" t="s">
        <v>21</v>
      </c>
      <c r="C363" s="67" t="str">
        <f t="shared" si="61"/>
        <v xml:space="preserve"> </v>
      </c>
      <c r="D363" s="1240" t="str">
        <f>VLOOKUP($B363,DG!A:D,DG!$B$2,)</f>
        <v>03.4113</v>
      </c>
      <c r="E363" s="1241" t="str">
        <f>VLOOKUP($B363,DG!A:D,DG!$C$2,)</f>
        <v>Đắp đất hố móng, độ chặt k=0,95</v>
      </c>
      <c r="F363" s="1240" t="str">
        <f>VLOOKUP($B363,DG!A:D,DG!$D$2,)</f>
        <v>m3</v>
      </c>
      <c r="G363" s="1916">
        <v>0</v>
      </c>
      <c r="H363" s="1244">
        <f t="shared" si="67"/>
        <v>0</v>
      </c>
      <c r="I363" s="1247"/>
      <c r="J363" s="1247"/>
      <c r="K363" s="1247"/>
      <c r="L363" s="1247"/>
      <c r="M363" s="1247"/>
      <c r="N363" s="1247"/>
      <c r="O363" s="1247"/>
      <c r="P363" s="1244">
        <f t="shared" si="68"/>
        <v>0</v>
      </c>
      <c r="Q363" s="1247"/>
      <c r="R363" s="1247"/>
      <c r="S363" s="1247"/>
      <c r="T363" s="1671"/>
      <c r="U363" s="1664" t="str">
        <f>IFERROR(VLOOKUP(B363,ChiTietDuToan!C:H,5,0),"")</f>
        <v>m3</v>
      </c>
      <c r="V363" s="2309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57" t="s">
        <v>1326</v>
      </c>
      <c r="C364" s="67" t="str">
        <f t="shared" si="61"/>
        <v xml:space="preserve"> </v>
      </c>
      <c r="D364" s="1240" t="str">
        <f>VLOOKUP($B364,DG!A:D,DG!$B$2,)</f>
        <v>02.1101</v>
      </c>
      <c r="E364" s="1241" t="str">
        <f>VLOOKUP($B364,DG!A:D,DG!$C$2,)</f>
        <v>Bốc dỡ xi măng</v>
      </c>
      <c r="F364" s="1240" t="str">
        <f>VLOOKUP($B364,DG!A:D,DG!$D$2,)</f>
        <v>tấn</v>
      </c>
      <c r="G364" s="1916"/>
      <c r="H364" s="1244">
        <f t="shared" si="67"/>
        <v>0</v>
      </c>
      <c r="I364" s="1247"/>
      <c r="J364" s="1247"/>
      <c r="K364" s="1247"/>
      <c r="L364" s="1247"/>
      <c r="M364" s="1247"/>
      <c r="N364" s="1247"/>
      <c r="O364" s="1247"/>
      <c r="P364" s="1244">
        <f t="shared" si="68"/>
        <v>0</v>
      </c>
      <c r="Q364" s="1247"/>
      <c r="R364" s="1247"/>
      <c r="S364" s="1247"/>
      <c r="T364" s="1671"/>
      <c r="U364" s="1664" t="str">
        <f>IFERROR(VLOOKUP(B364,ChiTietDuToan!C:H,5,0),"")</f>
        <v/>
      </c>
      <c r="V364" s="2309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57" t="s">
        <v>134</v>
      </c>
      <c r="C365" s="67" t="str">
        <f t="shared" si="61"/>
        <v xml:space="preserve"> </v>
      </c>
      <c r="D365" s="1240" t="str">
        <f>VLOOKUP($B365,DG!A:D,DG!$B$2,)</f>
        <v>02.1103</v>
      </c>
      <c r="E365" s="1241" t="str">
        <f>VLOOKUP($B365,DG!A:D,DG!$C$2,)</f>
        <v>Bốc dỡ cát</v>
      </c>
      <c r="F365" s="1240" t="str">
        <f>VLOOKUP($B365,DG!A:D,DG!$D$2,)</f>
        <v>m3</v>
      </c>
      <c r="G365" s="1916"/>
      <c r="H365" s="1244">
        <f t="shared" si="67"/>
        <v>0</v>
      </c>
      <c r="I365" s="1247"/>
      <c r="J365" s="1247"/>
      <c r="K365" s="1247"/>
      <c r="L365" s="1247"/>
      <c r="M365" s="1247"/>
      <c r="N365" s="1247"/>
      <c r="O365" s="1247"/>
      <c r="P365" s="1244">
        <f t="shared" si="68"/>
        <v>0</v>
      </c>
      <c r="Q365" s="1247"/>
      <c r="R365" s="1247"/>
      <c r="S365" s="1247"/>
      <c r="T365" s="1671"/>
      <c r="U365" s="1664" t="str">
        <f>IFERROR(VLOOKUP(B365,ChiTietDuToan!C:H,5,0),"")</f>
        <v/>
      </c>
      <c r="V365" s="2309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57" t="s">
        <v>136</v>
      </c>
      <c r="C366" s="67" t="str">
        <f t="shared" si="61"/>
        <v xml:space="preserve"> </v>
      </c>
      <c r="D366" s="1240" t="str">
        <f>VLOOKUP($B366,DG!A:D,DG!$B$2,)</f>
        <v>02.1104</v>
      </c>
      <c r="E366" s="1241" t="str">
        <f>VLOOKUP($B366,DG!A:D,DG!$C$2,)</f>
        <v>Bốc dỡ đá dăm</v>
      </c>
      <c r="F366" s="1240" t="str">
        <f>VLOOKUP($B366,DG!A:D,DG!$D$2,)</f>
        <v>m3</v>
      </c>
      <c r="G366" s="1916"/>
      <c r="H366" s="1244">
        <f t="shared" si="67"/>
        <v>0</v>
      </c>
      <c r="I366" s="1247"/>
      <c r="J366" s="1247"/>
      <c r="K366" s="1247"/>
      <c r="L366" s="1247"/>
      <c r="M366" s="1247"/>
      <c r="N366" s="1247"/>
      <c r="O366" s="1247"/>
      <c r="P366" s="1244">
        <f t="shared" si="68"/>
        <v>0</v>
      </c>
      <c r="Q366" s="1247"/>
      <c r="R366" s="1247"/>
      <c r="S366" s="1247"/>
      <c r="T366" s="1671"/>
      <c r="U366" s="1664" t="str">
        <f>IFERROR(VLOOKUP(B366,ChiTietDuToan!C:H,5,0),"")</f>
        <v/>
      </c>
      <c r="V366" s="2309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57" t="s">
        <v>498</v>
      </c>
      <c r="C367" s="67" t="str">
        <f t="shared" si="61"/>
        <v xml:space="preserve"> </v>
      </c>
      <c r="D367" s="1240" t="str">
        <f>VLOOKUP($B367,DG!A:D,DG!$B$2,)</f>
        <v>02.1211</v>
      </c>
      <c r="E367" s="1241" t="str">
        <f>VLOOKUP($B367,DG!A:D,DG!$C$2,)</f>
        <v>V/c xi măng ( cự ly &lt;=100m)</v>
      </c>
      <c r="F367" s="1240" t="str">
        <f>VLOOKUP($B367,DG!A:D,DG!$D$2,)</f>
        <v>tấn</v>
      </c>
      <c r="G367" s="1916"/>
      <c r="H367" s="1244">
        <f t="shared" si="67"/>
        <v>0</v>
      </c>
      <c r="I367" s="1247"/>
      <c r="J367" s="1247"/>
      <c r="K367" s="1247"/>
      <c r="L367" s="1247"/>
      <c r="M367" s="1247"/>
      <c r="N367" s="1247"/>
      <c r="O367" s="1247"/>
      <c r="P367" s="1244">
        <f t="shared" si="68"/>
        <v>0</v>
      </c>
      <c r="Q367" s="1247"/>
      <c r="R367" s="1247"/>
      <c r="S367" s="1247"/>
      <c r="T367" s="1671"/>
      <c r="U367" s="1664" t="str">
        <f>IFERROR(VLOOKUP(B367,ChiTietDuToan!C:H,5,0),"")</f>
        <v/>
      </c>
      <c r="V367" s="2309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57" t="s">
        <v>1663</v>
      </c>
      <c r="C368" s="67" t="str">
        <f t="shared" si="61"/>
        <v xml:space="preserve"> </v>
      </c>
      <c r="D368" s="1240" t="str">
        <f>VLOOKUP($B368,DG!A:D,DG!$B$2,)</f>
        <v>02.1231</v>
      </c>
      <c r="E368" s="1241" t="str">
        <f>VLOOKUP($B368,DG!A:D,DG!$C$2,)</f>
        <v>V/c cát vàng cự ly &lt;=100m</v>
      </c>
      <c r="F368" s="1240" t="str">
        <f>VLOOKUP($B368,DG!A:D,DG!$D$2,)</f>
        <v>m3</v>
      </c>
      <c r="G368" s="1916"/>
      <c r="H368" s="1244">
        <f t="shared" si="67"/>
        <v>0</v>
      </c>
      <c r="I368" s="1247"/>
      <c r="J368" s="1247"/>
      <c r="K368" s="1247"/>
      <c r="L368" s="1247"/>
      <c r="M368" s="1247"/>
      <c r="N368" s="1247"/>
      <c r="O368" s="1247"/>
      <c r="P368" s="1244">
        <f t="shared" si="68"/>
        <v>0</v>
      </c>
      <c r="Q368" s="1247"/>
      <c r="R368" s="1247"/>
      <c r="S368" s="1247"/>
      <c r="T368" s="1671"/>
      <c r="U368" s="1664" t="str">
        <f>IFERROR(VLOOKUP(B368,ChiTietDuToan!C:H,5,0),"")</f>
        <v/>
      </c>
      <c r="V368" s="2309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57" t="s">
        <v>524</v>
      </c>
      <c r="C369" s="67" t="str">
        <f t="shared" si="61"/>
        <v xml:space="preserve"> </v>
      </c>
      <c r="D369" s="1240" t="str">
        <f>VLOOKUP($B369,DG!A:D,DG!$B$2,)</f>
        <v>02.1241</v>
      </c>
      <c r="E369" s="1241" t="str">
        <f>VLOOKUP($B369,DG!A:D,DG!$C$2,)</f>
        <v>V/c đá dăm ( cự ly &lt;=100m)</v>
      </c>
      <c r="F369" s="1240" t="str">
        <f>VLOOKUP($B369,DG!A:D,DG!$D$2,)</f>
        <v>m3</v>
      </c>
      <c r="G369" s="1916"/>
      <c r="H369" s="1244">
        <f t="shared" si="67"/>
        <v>0</v>
      </c>
      <c r="I369" s="1247"/>
      <c r="J369" s="1247"/>
      <c r="K369" s="1247"/>
      <c r="L369" s="1247"/>
      <c r="M369" s="1247"/>
      <c r="N369" s="1247"/>
      <c r="O369" s="1247"/>
      <c r="P369" s="1244">
        <f t="shared" si="68"/>
        <v>0</v>
      </c>
      <c r="Q369" s="1247"/>
      <c r="R369" s="1247"/>
      <c r="S369" s="1247"/>
      <c r="T369" s="1671"/>
      <c r="U369" s="1664" t="str">
        <f>IFERROR(VLOOKUP(B369,ChiTietDuToan!C:H,5,0),"")</f>
        <v/>
      </c>
      <c r="V369" s="2309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57" t="s">
        <v>2034</v>
      </c>
      <c r="C370" s="67" t="str">
        <f t="shared" si="61"/>
        <v xml:space="preserve"> </v>
      </c>
      <c r="D370" s="1240" t="str">
        <f>VLOOKUP($B370,DG!A:D,DG!$B$2,)</f>
        <v>02.1482</v>
      </c>
      <c r="E370" s="1241" t="str">
        <f>VLOOKUP($B370,DG!A:D,DG!$C$2,)</f>
        <v>V/c dụng cụ thi công ( cự ly &lt;=100m)</v>
      </c>
      <c r="F370" s="1240" t="str">
        <f>VLOOKUP($B370,DG!A:D,DG!$D$2,)</f>
        <v>tấn</v>
      </c>
      <c r="G370" s="1916"/>
      <c r="H370" s="1244">
        <f t="shared" si="67"/>
        <v>0</v>
      </c>
      <c r="I370" s="1247"/>
      <c r="J370" s="1247"/>
      <c r="K370" s="1247"/>
      <c r="L370" s="1247"/>
      <c r="M370" s="1247"/>
      <c r="N370" s="1247"/>
      <c r="O370" s="1247"/>
      <c r="P370" s="1244">
        <f t="shared" si="68"/>
        <v>0</v>
      </c>
      <c r="Q370" s="1247"/>
      <c r="R370" s="1247"/>
      <c r="S370" s="1247"/>
      <c r="T370" s="1671"/>
      <c r="U370" s="1664" t="str">
        <f>IFERROR(VLOOKUP(B370,ChiTietDuToan!C:H,5,0),"")</f>
        <v/>
      </c>
      <c r="V370" s="2309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57" t="s">
        <v>1027</v>
      </c>
      <c r="C371" s="67" t="str">
        <f t="shared" si="61"/>
        <v xml:space="preserve"> </v>
      </c>
      <c r="D371" s="1240" t="str">
        <f>VLOOKUP($B371,DG!A:D,DG!$B$2,)</f>
        <v>04.5101</v>
      </c>
      <c r="E371" s="1241" t="str">
        <f>VLOOKUP($B371,DG!A:D,DG!$C$2,)</f>
        <v>Gia công và lắp dựng cốt thép D&lt;=10</v>
      </c>
      <c r="F371" s="1240" t="str">
        <f>VLOOKUP($B371,DG!A:D,DG!$D$2,)</f>
        <v>kg</v>
      </c>
      <c r="G371" s="1916">
        <f>G360</f>
        <v>0</v>
      </c>
      <c r="H371" s="1244">
        <f t="shared" si="67"/>
        <v>0</v>
      </c>
      <c r="I371" s="1247"/>
      <c r="J371" s="1247"/>
      <c r="K371" s="1247"/>
      <c r="L371" s="1247"/>
      <c r="M371" s="1247"/>
      <c r="N371" s="1247"/>
      <c r="O371" s="1247"/>
      <c r="P371" s="1244">
        <f t="shared" si="68"/>
        <v>0</v>
      </c>
      <c r="Q371" s="1247"/>
      <c r="R371" s="1247"/>
      <c r="S371" s="1247"/>
      <c r="T371" s="1671"/>
      <c r="U371" s="1664" t="str">
        <f>IFERROR(VLOOKUP(B371,ChiTietDuToan!C:H,5,0),"")</f>
        <v/>
      </c>
      <c r="V371" s="2309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55"/>
      <c r="B372" s="1957" t="s">
        <v>1888</v>
      </c>
      <c r="C372" s="67" t="str">
        <f t="shared" si="61"/>
        <v xml:space="preserve"> </v>
      </c>
      <c r="D372" s="1240" t="str">
        <f>VLOOKUP($B372,DG!A:D,DG!$B$2,)</f>
        <v>04.1203b</v>
      </c>
      <c r="E372" s="1241" t="str">
        <f>VLOOKUP($B372,DG!A:D,DG!$C$2,)</f>
        <v>Đổ bê tông mác M150 đá 1x2</v>
      </c>
      <c r="F372" s="1240" t="str">
        <f>VLOOKUP($B372,DG!A:D,DG!$D$2,)</f>
        <v>m3</v>
      </c>
      <c r="G372" s="1916">
        <v>1.704</v>
      </c>
      <c r="H372" s="1244">
        <f t="shared" si="67"/>
        <v>0</v>
      </c>
      <c r="I372" s="1247"/>
      <c r="J372" s="1247"/>
      <c r="K372" s="1247"/>
      <c r="L372" s="1247"/>
      <c r="M372" s="1247"/>
      <c r="N372" s="1247"/>
      <c r="O372" s="1247"/>
      <c r="P372" s="1244">
        <f t="shared" si="68"/>
        <v>0</v>
      </c>
      <c r="Q372" s="1247"/>
      <c r="R372" s="1247"/>
      <c r="S372" s="1247"/>
      <c r="T372" s="1663"/>
      <c r="U372" s="1664" t="str">
        <f>IFERROR(VLOOKUP(B372,ChiTietDuToan!C:H,5,0),"")</f>
        <v/>
      </c>
      <c r="V372" s="2309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56"/>
      <c r="C373" s="65" t="str">
        <f t="shared" si="61"/>
        <v xml:space="preserve"> </v>
      </c>
      <c r="D373" s="1237"/>
      <c r="E373" s="1666" t="s">
        <v>2429</v>
      </c>
      <c r="F373" s="1238" t="s">
        <v>2391</v>
      </c>
      <c r="G373" s="1912"/>
      <c r="H373" s="1523">
        <f>SUM(I373:O373)+T373</f>
        <v>0</v>
      </c>
      <c r="I373" s="1239">
        <v>0</v>
      </c>
      <c r="J373" s="1239">
        <v>0</v>
      </c>
      <c r="K373" s="1239">
        <f>SUMIF(mong3p1m,chitiet!$A373,slmong3p1m)</f>
        <v>0</v>
      </c>
      <c r="L373" s="1239">
        <f>IFERROR(HLOOKUP(A373,pp1p!$6:$90,85,0),0)</f>
        <v>0</v>
      </c>
      <c r="M373" s="1239">
        <v>0</v>
      </c>
      <c r="N373" s="1239">
        <v>0</v>
      </c>
      <c r="O373" s="1239"/>
      <c r="P373" s="1239"/>
      <c r="Q373" s="1239"/>
      <c r="R373" s="1239"/>
      <c r="S373" s="1239"/>
      <c r="T373" s="1671"/>
      <c r="U373" s="1664">
        <f>IFERROR(VLOOKUP(B373,ChiTietDuToan!C:H,5,0),"")</f>
        <v>0</v>
      </c>
      <c r="V373" s="2309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57" t="s">
        <v>759</v>
      </c>
      <c r="C374" s="67" t="str">
        <f t="shared" si="61"/>
        <v xml:space="preserve"> </v>
      </c>
      <c r="D374" s="1240">
        <f>VLOOKUP($B374,DG!A:D,DG!$B$2,)</f>
        <v>0</v>
      </c>
      <c r="E374" s="1241" t="str">
        <f>VLOOKUP($B374,DG!A:D,DG!$C$2,)</f>
        <v xml:space="preserve">Ximăng </v>
      </c>
      <c r="F374" s="1240" t="str">
        <f>VLOOKUP($B374,DG!A:D,DG!$D$2,)</f>
        <v>kg</v>
      </c>
      <c r="G374" s="1919">
        <v>838</v>
      </c>
      <c r="H374" s="1244">
        <f>H$356*$H$373</f>
        <v>0</v>
      </c>
      <c r="I374" s="1244">
        <f>I$491*$G374</f>
        <v>0</v>
      </c>
      <c r="J374" s="1244">
        <f>J$491*$G374</f>
        <v>0</v>
      </c>
      <c r="K374" s="1244">
        <f t="shared" ref="K374:K384" si="69">K$356*$G374</f>
        <v>0</v>
      </c>
      <c r="L374" s="1244">
        <f>L$491*$G374</f>
        <v>0</v>
      </c>
      <c r="M374" s="1244">
        <f>M$491*$G374</f>
        <v>0</v>
      </c>
      <c r="N374" s="1244">
        <f>N$491*$G374</f>
        <v>0</v>
      </c>
      <c r="O374" s="1244"/>
      <c r="P374" s="1244"/>
      <c r="Q374" s="1244"/>
      <c r="R374" s="1244"/>
      <c r="S374" s="1244"/>
      <c r="T374" s="1671"/>
      <c r="U374" s="1664" t="str">
        <f>IFERROR(VLOOKUP(B374,ChiTietDuToan!C:H,5,0),"")</f>
        <v>kg</v>
      </c>
      <c r="V374" s="2309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58" t="s">
        <v>4665</v>
      </c>
      <c r="C375" s="67" t="str">
        <f t="shared" si="61"/>
        <v xml:space="preserve"> </v>
      </c>
      <c r="D375" s="1240">
        <f>VLOOKUP($B375,DG!A:D,DG!$B$2,)</f>
        <v>0</v>
      </c>
      <c r="E375" s="1241" t="str">
        <f>VLOOKUP($B375,DG!A:D,DG!$C$2,)</f>
        <v>Cát vàng</v>
      </c>
      <c r="F375" s="1240" t="str">
        <f>VLOOKUP($B375,DG!A:D,DG!$D$2,)</f>
        <v>m3</v>
      </c>
      <c r="G375" s="1916">
        <v>0.80100000000000005</v>
      </c>
      <c r="H375" s="1244">
        <f t="shared" ref="H375:H392" si="70">H$356*$H$373</f>
        <v>0</v>
      </c>
      <c r="I375" s="1243"/>
      <c r="J375" s="1243"/>
      <c r="K375" s="1243">
        <f t="shared" si="69"/>
        <v>0</v>
      </c>
      <c r="L375" s="1247"/>
      <c r="M375" s="1247"/>
      <c r="N375" s="1247"/>
      <c r="O375" s="1247"/>
      <c r="P375" s="1243"/>
      <c r="Q375" s="1243"/>
      <c r="R375" s="1243"/>
      <c r="S375" s="1243"/>
      <c r="T375" s="1671"/>
      <c r="U375" s="1664" t="str">
        <f>IFERROR(VLOOKUP(B375,ChiTietDuToan!C:H,5,0),"")</f>
        <v>m3</v>
      </c>
      <c r="V375" s="2309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57" t="s">
        <v>884</v>
      </c>
      <c r="C376" s="67" t="str">
        <f t="shared" si="61"/>
        <v xml:space="preserve"> </v>
      </c>
      <c r="D376" s="1240">
        <f>VLOOKUP($B376,DG!A:D,DG!$B$2,)</f>
        <v>0</v>
      </c>
      <c r="E376" s="1241" t="str">
        <f>VLOOKUP($B376,DG!A:D,DG!$C$2,)</f>
        <v>Đá 1x2</v>
      </c>
      <c r="F376" s="1240" t="str">
        <f>VLOOKUP($B376,DG!A:D,DG!$D$2,)</f>
        <v>m3</v>
      </c>
      <c r="G376" s="1916">
        <v>1.6559999999999999</v>
      </c>
      <c r="H376" s="1244">
        <f t="shared" si="70"/>
        <v>0</v>
      </c>
      <c r="I376" s="1243"/>
      <c r="J376" s="1243"/>
      <c r="K376" s="1243">
        <f t="shared" si="69"/>
        <v>0</v>
      </c>
      <c r="L376" s="1244"/>
      <c r="M376" s="1244"/>
      <c r="N376" s="1244"/>
      <c r="O376" s="1244"/>
      <c r="P376" s="1243"/>
      <c r="Q376" s="1243"/>
      <c r="R376" s="1243"/>
      <c r="S376" s="1243"/>
      <c r="T376" s="1671"/>
      <c r="U376" s="1664" t="str">
        <f>IFERROR(VLOOKUP(B376,ChiTietDuToan!C:H,5,0),"")</f>
        <v/>
      </c>
      <c r="V376" s="2309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57" t="s">
        <v>1467</v>
      </c>
      <c r="C377" s="67" t="str">
        <f t="shared" si="61"/>
        <v xml:space="preserve"> </v>
      </c>
      <c r="D377" s="1240">
        <f>VLOOKUP($B377,DG!A:D,DG!$B$2,)</f>
        <v>0</v>
      </c>
      <c r="E377" s="1246" t="str">
        <f>VLOOKUP($B377,DG!A:D,DG!$C$2,)</f>
        <v>Sắt   Ø16</v>
      </c>
      <c r="F377" s="1240" t="str">
        <f>VLOOKUP($B377,DG!A:D,DG!$D$2,)</f>
        <v>kg</v>
      </c>
      <c r="G377" s="1920">
        <v>53.24</v>
      </c>
      <c r="H377" s="1244">
        <f t="shared" si="70"/>
        <v>0</v>
      </c>
      <c r="I377" s="1243"/>
      <c r="J377" s="1243"/>
      <c r="K377" s="1243">
        <f t="shared" si="69"/>
        <v>0</v>
      </c>
      <c r="L377" s="1244"/>
      <c r="M377" s="1244"/>
      <c r="N377" s="1244"/>
      <c r="O377" s="1244"/>
      <c r="P377" s="1243"/>
      <c r="Q377" s="1243"/>
      <c r="R377" s="1243"/>
      <c r="S377" s="1243"/>
      <c r="T377" s="1671"/>
      <c r="U377" s="1664" t="str">
        <f>IFERROR(VLOOKUP(B377,ChiTietDuToan!C:H,5,0),"")</f>
        <v/>
      </c>
      <c r="V377" s="2309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57" t="s">
        <v>1025</v>
      </c>
      <c r="C378" s="67" t="str">
        <f t="shared" si="61"/>
        <v xml:space="preserve"> </v>
      </c>
      <c r="D378" s="1240">
        <f>VLOOKUP($B378,DG!A:D,DG!$B$2,)</f>
        <v>0</v>
      </c>
      <c r="E378" s="1246" t="str">
        <f>VLOOKUP($B378,DG!A:D,DG!$C$2,)</f>
        <v>Sắt   Ø10</v>
      </c>
      <c r="F378" s="1240" t="str">
        <f>VLOOKUP($B378,DG!A:D,DG!$D$2,)</f>
        <v>kg</v>
      </c>
      <c r="G378" s="1920">
        <v>4.4400000000000004</v>
      </c>
      <c r="H378" s="1244">
        <f t="shared" si="70"/>
        <v>0</v>
      </c>
      <c r="I378" s="1243"/>
      <c r="J378" s="1243"/>
      <c r="K378" s="1243">
        <f t="shared" si="69"/>
        <v>0</v>
      </c>
      <c r="L378" s="1244"/>
      <c r="M378" s="1244"/>
      <c r="N378" s="1244"/>
      <c r="O378" s="1244"/>
      <c r="P378" s="1243"/>
      <c r="Q378" s="1243"/>
      <c r="R378" s="1243"/>
      <c r="S378" s="1243"/>
      <c r="T378" s="1671"/>
      <c r="U378" s="1664" t="str">
        <f>IFERROR(VLOOKUP(B378,ChiTietDuToan!C:H,5,0),"")</f>
        <v/>
      </c>
      <c r="V378" s="2309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57" t="s">
        <v>753</v>
      </c>
      <c r="C379" s="67" t="str">
        <f t="shared" si="61"/>
        <v xml:space="preserve"> </v>
      </c>
      <c r="D379" s="1240">
        <f>VLOOKUP($B379,DG!A:D,DG!$B$2,)</f>
        <v>0</v>
      </c>
      <c r="E379" s="1246" t="str">
        <f>VLOOKUP($B379,DG!A:D,DG!$C$2,)</f>
        <v>Sắt   Ø8</v>
      </c>
      <c r="F379" s="1240" t="str">
        <f>VLOOKUP($B379,DG!A:D,DG!$D$2,)</f>
        <v>kg</v>
      </c>
      <c r="G379" s="1920">
        <v>13.36</v>
      </c>
      <c r="H379" s="1244">
        <f t="shared" si="70"/>
        <v>0</v>
      </c>
      <c r="I379" s="1243"/>
      <c r="J379" s="1243"/>
      <c r="K379" s="1243">
        <f t="shared" si="69"/>
        <v>0</v>
      </c>
      <c r="L379" s="1244"/>
      <c r="M379" s="1244"/>
      <c r="N379" s="1244"/>
      <c r="O379" s="1244"/>
      <c r="P379" s="1243"/>
      <c r="Q379" s="1243"/>
      <c r="R379" s="1243"/>
      <c r="S379" s="1243"/>
      <c r="T379" s="1671"/>
      <c r="U379" s="1664" t="str">
        <f>IFERROR(VLOOKUP(B379,ChiTietDuToan!C:H,5,0),"")</f>
        <v/>
      </c>
      <c r="V379" s="2309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57" t="s">
        <v>1026</v>
      </c>
      <c r="C380" s="67" t="str">
        <f t="shared" si="61"/>
        <v xml:space="preserve"> </v>
      </c>
      <c r="D380" s="1240">
        <f>VLOOKUP($B380,DG!A:D,DG!$B$2,)</f>
        <v>0</v>
      </c>
      <c r="E380" s="1246" t="str">
        <f>VLOOKUP($B380,DG!A:D,DG!$C$2,)</f>
        <v>Kẽm</v>
      </c>
      <c r="F380" s="1240" t="str">
        <f>VLOOKUP($B380,DG!A:D,DG!$D$2,)</f>
        <v>kg</v>
      </c>
      <c r="G380" s="1920"/>
      <c r="H380" s="1244">
        <f t="shared" si="70"/>
        <v>0</v>
      </c>
      <c r="I380" s="1243"/>
      <c r="J380" s="1243"/>
      <c r="K380" s="1243">
        <f t="shared" si="69"/>
        <v>0</v>
      </c>
      <c r="L380" s="1244"/>
      <c r="M380" s="1244"/>
      <c r="N380" s="1244"/>
      <c r="O380" s="1244"/>
      <c r="P380" s="1243"/>
      <c r="Q380" s="1243"/>
      <c r="R380" s="1243"/>
      <c r="S380" s="1243"/>
      <c r="T380" s="1671"/>
      <c r="U380" s="1664" t="str">
        <f>IFERROR(VLOOKUP(B380,ChiTietDuToan!C:H,5,0),"")</f>
        <v/>
      </c>
      <c r="V380" s="2309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57" t="s">
        <v>1463</v>
      </c>
      <c r="C381" s="67" t="str">
        <f t="shared" si="61"/>
        <v xml:space="preserve"> </v>
      </c>
      <c r="D381" s="1240"/>
      <c r="E381" s="1246" t="str">
        <f>VLOOKUP($B381,DG!A:D,DG!$C$2,)</f>
        <v>Cong D1000x1000mm</v>
      </c>
      <c r="F381" s="1240" t="str">
        <f>VLOOKUP($B381,DG!A:D,DG!$D$2,)</f>
        <v>cái</v>
      </c>
      <c r="G381" s="1920">
        <v>2</v>
      </c>
      <c r="H381" s="1244">
        <f t="shared" si="70"/>
        <v>0</v>
      </c>
      <c r="I381" s="1243"/>
      <c r="J381" s="1243"/>
      <c r="K381" s="1243">
        <f t="shared" si="69"/>
        <v>0</v>
      </c>
      <c r="L381" s="1244"/>
      <c r="M381" s="1244"/>
      <c r="N381" s="1244"/>
      <c r="O381" s="1244"/>
      <c r="P381" s="1243"/>
      <c r="Q381" s="1243"/>
      <c r="R381" s="1243"/>
      <c r="S381" s="1243"/>
      <c r="T381" s="1671"/>
      <c r="U381" s="1664" t="str">
        <f>IFERROR(VLOOKUP(B381,ChiTietDuToan!C:H,5,0),"")</f>
        <v/>
      </c>
      <c r="V381" s="2309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57" t="s">
        <v>1464</v>
      </c>
      <c r="C382" s="67" t="str">
        <f t="shared" si="61"/>
        <v xml:space="preserve"> </v>
      </c>
      <c r="D382" s="1240"/>
      <c r="E382" s="1246" t="str">
        <f>VLOOKUP($B382,DG!A:D,DG!$C$2,)</f>
        <v>Cong D1000x400mm</v>
      </c>
      <c r="F382" s="1240" t="str">
        <f>VLOOKUP($B382,DG!A:D,DG!$D$2,)</f>
        <v>cái</v>
      </c>
      <c r="G382" s="1920">
        <v>1</v>
      </c>
      <c r="H382" s="1244">
        <f t="shared" si="70"/>
        <v>0</v>
      </c>
      <c r="I382" s="1243"/>
      <c r="J382" s="1243"/>
      <c r="K382" s="1243">
        <f t="shared" si="69"/>
        <v>0</v>
      </c>
      <c r="L382" s="1244"/>
      <c r="M382" s="1244"/>
      <c r="N382" s="1244"/>
      <c r="O382" s="1244"/>
      <c r="P382" s="1243"/>
      <c r="Q382" s="1243"/>
      <c r="R382" s="1243"/>
      <c r="S382" s="1243"/>
      <c r="T382" s="1671"/>
      <c r="U382" s="1664" t="str">
        <f>IFERROR(VLOOKUP(B382,ChiTietDuToan!C:H,5,0),"")</f>
        <v/>
      </c>
      <c r="V382" s="2309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59" t="str">
        <f>IF(F5=1,"MDD1",IF(F5=2,"MDD2",IF(F5=3,"MDD3",IF(F5=4,"MDD4"))))</f>
        <v>MDD3</v>
      </c>
      <c r="C383" s="67" t="str">
        <f t="shared" si="61"/>
        <v xml:space="preserve"> </v>
      </c>
      <c r="D383" s="1240" t="str">
        <f>VLOOKUP($B383,DG!A:D,DG!$B$2,)</f>
        <v>03.1013</v>
      </c>
      <c r="E383" s="1241" t="str">
        <f>VLOOKUP($B383,DG!A:D,DG!$C$2,)</f>
        <v>Đào hố móng đất cấp 3 sâu &gt;1m DT&lt;5m2</v>
      </c>
      <c r="F383" s="1240" t="str">
        <f>VLOOKUP($B383,DG!A:D,DG!$D$2,)</f>
        <v>m3</v>
      </c>
      <c r="G383" s="1920">
        <v>1.93</v>
      </c>
      <c r="H383" s="1244">
        <f t="shared" si="70"/>
        <v>0</v>
      </c>
      <c r="I383" s="1247"/>
      <c r="J383" s="1247"/>
      <c r="K383" s="1243">
        <f t="shared" si="69"/>
        <v>0</v>
      </c>
      <c r="L383" s="1247"/>
      <c r="M383" s="1247"/>
      <c r="N383" s="1247"/>
      <c r="O383" s="1247"/>
      <c r="P383" s="1243"/>
      <c r="Q383" s="1243"/>
      <c r="R383" s="1243"/>
      <c r="S383" s="1243"/>
      <c r="T383" s="1671"/>
      <c r="U383" s="1664" t="str">
        <f>IFERROR(VLOOKUP(B383,ChiTietDuToan!C:H,5,0),"")</f>
        <v>m3</v>
      </c>
      <c r="V383" s="2309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57" t="s">
        <v>1326</v>
      </c>
      <c r="C384" s="67" t="str">
        <f t="shared" si="61"/>
        <v xml:space="preserve"> </v>
      </c>
      <c r="D384" s="1240" t="str">
        <f>VLOOKUP($B384,DG!A:D,DG!$B$2,)</f>
        <v>02.1101</v>
      </c>
      <c r="E384" s="1246" t="s">
        <v>2430</v>
      </c>
      <c r="F384" s="1240" t="str">
        <f>VLOOKUP($B384,DG!A:D,DG!$D$2,)</f>
        <v>tấn</v>
      </c>
      <c r="G384" s="1916"/>
      <c r="H384" s="1244">
        <f>H$356*$H$373</f>
        <v>0</v>
      </c>
      <c r="I384" s="1247"/>
      <c r="J384" s="1247"/>
      <c r="K384" s="1243">
        <f t="shared" si="69"/>
        <v>0</v>
      </c>
      <c r="L384" s="1247"/>
      <c r="M384" s="1247"/>
      <c r="N384" s="1247"/>
      <c r="O384" s="1247"/>
      <c r="P384" s="1243"/>
      <c r="Q384" s="1243"/>
      <c r="R384" s="1243"/>
      <c r="S384" s="1243"/>
      <c r="T384" s="1671"/>
      <c r="U384" s="1664" t="str">
        <f>IFERROR(VLOOKUP(B384,ChiTietDuToan!C:H,5,0),"")</f>
        <v/>
      </c>
      <c r="V384" s="2309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57" t="s">
        <v>134</v>
      </c>
      <c r="C385" s="67" t="str">
        <f t="shared" si="61"/>
        <v xml:space="preserve"> </v>
      </c>
      <c r="D385" s="1240" t="str">
        <f>VLOOKUP($B385,DG!A:D,DG!$B$2,)</f>
        <v>02.1103</v>
      </c>
      <c r="E385" s="1241" t="str">
        <f>VLOOKUP($B385,DG!A:D,DG!$C$2,)</f>
        <v>Bốc dỡ cát</v>
      </c>
      <c r="F385" s="1240" t="str">
        <f>VLOOKUP($B385,DG!A:D,DG!$D$2,)</f>
        <v>m3</v>
      </c>
      <c r="G385" s="1916"/>
      <c r="H385" s="1244">
        <f t="shared" si="70"/>
        <v>0</v>
      </c>
      <c r="I385" s="1247"/>
      <c r="J385" s="1247"/>
      <c r="K385" s="1247"/>
      <c r="L385" s="1247"/>
      <c r="M385" s="1247"/>
      <c r="N385" s="1247"/>
      <c r="O385" s="1247"/>
      <c r="P385" s="1247"/>
      <c r="Q385" s="1247"/>
      <c r="R385" s="1247"/>
      <c r="S385" s="1247"/>
      <c r="T385" s="1671"/>
      <c r="U385" s="1664" t="str">
        <f>IFERROR(VLOOKUP(B385,ChiTietDuToan!C:H,5,0),"")</f>
        <v/>
      </c>
      <c r="V385" s="2309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57" t="s">
        <v>136</v>
      </c>
      <c r="C386" s="67" t="str">
        <f t="shared" si="61"/>
        <v xml:space="preserve"> </v>
      </c>
      <c r="D386" s="1240" t="str">
        <f>VLOOKUP($B386,DG!A:D,DG!$B$2,)</f>
        <v>02.1104</v>
      </c>
      <c r="E386" s="1241" t="str">
        <f>VLOOKUP($B386,DG!A:D,DG!$C$2,)</f>
        <v>Bốc dỡ đá dăm</v>
      </c>
      <c r="F386" s="1240" t="str">
        <f>VLOOKUP($B386,DG!A:D,DG!$D$2,)</f>
        <v>m3</v>
      </c>
      <c r="G386" s="1916"/>
      <c r="H386" s="1244">
        <f t="shared" si="70"/>
        <v>0</v>
      </c>
      <c r="I386" s="1247"/>
      <c r="J386" s="1247"/>
      <c r="K386" s="1247"/>
      <c r="L386" s="1247"/>
      <c r="M386" s="1247"/>
      <c r="N386" s="1247"/>
      <c r="O386" s="1247"/>
      <c r="P386" s="1247"/>
      <c r="Q386" s="1247"/>
      <c r="R386" s="1247"/>
      <c r="S386" s="1247"/>
      <c r="T386" s="1671"/>
      <c r="U386" s="1664" t="str">
        <f>IFERROR(VLOOKUP(B386,ChiTietDuToan!C:H,5,0),"")</f>
        <v/>
      </c>
      <c r="V386" s="2309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57" t="s">
        <v>498</v>
      </c>
      <c r="C387" s="67" t="str">
        <f t="shared" si="61"/>
        <v xml:space="preserve"> </v>
      </c>
      <c r="D387" s="1240" t="str">
        <f>VLOOKUP($B387,DG!A:D,DG!$B$2,)</f>
        <v>02.1211</v>
      </c>
      <c r="E387" s="1241" t="str">
        <f>VLOOKUP($B387,DG!A:D,DG!$C$2,)</f>
        <v>V/c xi măng ( cự ly &lt;=100m)</v>
      </c>
      <c r="F387" s="1240" t="str">
        <f>VLOOKUP($B387,DG!A:D,DG!$D$2,)</f>
        <v>tấn</v>
      </c>
      <c r="G387" s="1916"/>
      <c r="H387" s="1244">
        <f t="shared" si="70"/>
        <v>0</v>
      </c>
      <c r="I387" s="1247"/>
      <c r="J387" s="1247"/>
      <c r="K387" s="1247"/>
      <c r="L387" s="1247"/>
      <c r="M387" s="1247"/>
      <c r="N387" s="1247"/>
      <c r="O387" s="1247"/>
      <c r="P387" s="1247"/>
      <c r="Q387" s="1247"/>
      <c r="R387" s="1247"/>
      <c r="S387" s="1247"/>
      <c r="T387" s="1671"/>
      <c r="U387" s="1664" t="str">
        <f>IFERROR(VLOOKUP(B387,ChiTietDuToan!C:H,5,0),"")</f>
        <v/>
      </c>
      <c r="V387" s="2309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57" t="s">
        <v>1663</v>
      </c>
      <c r="C388" s="67" t="str">
        <f t="shared" si="61"/>
        <v xml:space="preserve"> </v>
      </c>
      <c r="D388" s="1240" t="str">
        <f>VLOOKUP($B388,DG!A:D,DG!$B$2,)</f>
        <v>02.1231</v>
      </c>
      <c r="E388" s="1241" t="str">
        <f>VLOOKUP($B388,DG!A:D,DG!$C$2,)</f>
        <v>V/c cát vàng cự ly &lt;=100m</v>
      </c>
      <c r="F388" s="1240" t="str">
        <f>VLOOKUP($B388,DG!A:D,DG!$D$2,)</f>
        <v>m3</v>
      </c>
      <c r="G388" s="1916"/>
      <c r="H388" s="1244">
        <f t="shared" si="70"/>
        <v>0</v>
      </c>
      <c r="I388" s="1247"/>
      <c r="J388" s="1247"/>
      <c r="K388" s="1247"/>
      <c r="L388" s="1247"/>
      <c r="M388" s="1247"/>
      <c r="N388" s="1247"/>
      <c r="O388" s="1247"/>
      <c r="P388" s="1247"/>
      <c r="Q388" s="1247"/>
      <c r="R388" s="1247"/>
      <c r="S388" s="1247"/>
      <c r="T388" s="1671"/>
      <c r="U388" s="1664" t="str">
        <f>IFERROR(VLOOKUP(B388,ChiTietDuToan!C:H,5,0),"")</f>
        <v/>
      </c>
      <c r="V388" s="2309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57" t="s">
        <v>524</v>
      </c>
      <c r="C389" s="67" t="str">
        <f t="shared" si="61"/>
        <v xml:space="preserve"> </v>
      </c>
      <c r="D389" s="1240" t="str">
        <f>VLOOKUP($B389,DG!A:D,DG!$B$2,)</f>
        <v>02.1241</v>
      </c>
      <c r="E389" s="1241" t="str">
        <f>VLOOKUP($B389,DG!A:D,DG!$C$2,)</f>
        <v>V/c đá dăm ( cự ly &lt;=100m)</v>
      </c>
      <c r="F389" s="1240" t="str">
        <f>VLOOKUP($B389,DG!A:D,DG!$D$2,)</f>
        <v>m3</v>
      </c>
      <c r="G389" s="1916"/>
      <c r="H389" s="1244">
        <f t="shared" si="70"/>
        <v>0</v>
      </c>
      <c r="I389" s="1247"/>
      <c r="J389" s="1247"/>
      <c r="K389" s="1247"/>
      <c r="L389" s="1247"/>
      <c r="M389" s="1247"/>
      <c r="N389" s="1247"/>
      <c r="O389" s="1247"/>
      <c r="P389" s="1247"/>
      <c r="Q389" s="1247"/>
      <c r="R389" s="1247"/>
      <c r="S389" s="1247"/>
      <c r="T389" s="1671"/>
      <c r="U389" s="1664" t="str">
        <f>IFERROR(VLOOKUP(B389,ChiTietDuToan!C:H,5,0),"")</f>
        <v/>
      </c>
      <c r="V389" s="2309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57" t="s">
        <v>2034</v>
      </c>
      <c r="C390" s="67" t="str">
        <f t="shared" si="61"/>
        <v xml:space="preserve"> </v>
      </c>
      <c r="D390" s="1240" t="str">
        <f>VLOOKUP($B390,DG!A:D,DG!$B$2,)</f>
        <v>02.1482</v>
      </c>
      <c r="E390" s="1241" t="str">
        <f>VLOOKUP($B390,DG!A:D,DG!$C$2,)</f>
        <v>V/c dụng cụ thi công ( cự ly &lt;=100m)</v>
      </c>
      <c r="F390" s="1240" t="str">
        <f>VLOOKUP($B390,DG!A:D,DG!$D$2,)</f>
        <v>tấn</v>
      </c>
      <c r="G390" s="1916"/>
      <c r="H390" s="1244">
        <f t="shared" si="70"/>
        <v>0</v>
      </c>
      <c r="I390" s="1247"/>
      <c r="J390" s="1247"/>
      <c r="K390" s="1247"/>
      <c r="L390" s="1247"/>
      <c r="M390" s="1247"/>
      <c r="N390" s="1247"/>
      <c r="O390" s="1247"/>
      <c r="P390" s="1247"/>
      <c r="Q390" s="1247"/>
      <c r="R390" s="1247"/>
      <c r="S390" s="1247"/>
      <c r="T390" s="1671"/>
      <c r="U390" s="1664" t="str">
        <f>IFERROR(VLOOKUP(B390,ChiTietDuToan!C:H,5,0),"")</f>
        <v/>
      </c>
      <c r="V390" s="2309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57" t="s">
        <v>1027</v>
      </c>
      <c r="C391" s="67" t="str">
        <f t="shared" si="61"/>
        <v xml:space="preserve"> </v>
      </c>
      <c r="D391" s="1240" t="str">
        <f>VLOOKUP($B391,DG!A:D,DG!$B$2,)</f>
        <v>04.5101</v>
      </c>
      <c r="E391" s="1241" t="str">
        <f>VLOOKUP($B391,DG!A:D,DG!$C$2,)</f>
        <v>Gia công và lắp dựng cốt thép D&lt;=10</v>
      </c>
      <c r="F391" s="1240" t="str">
        <f>VLOOKUP($B391,DG!A:D,DG!$D$2,)</f>
        <v>kg</v>
      </c>
      <c r="G391" s="1916">
        <f>G377</f>
        <v>53.24</v>
      </c>
      <c r="H391" s="1244">
        <f t="shared" si="70"/>
        <v>0</v>
      </c>
      <c r="I391" s="1247"/>
      <c r="J391" s="1247"/>
      <c r="K391" s="1247"/>
      <c r="L391" s="1247"/>
      <c r="M391" s="1247"/>
      <c r="N391" s="1247"/>
      <c r="O391" s="1247"/>
      <c r="P391" s="1247"/>
      <c r="Q391" s="1247"/>
      <c r="R391" s="1247"/>
      <c r="S391" s="1247"/>
      <c r="T391" s="1671"/>
      <c r="U391" s="1664" t="str">
        <f>IFERROR(VLOOKUP(B391,ChiTietDuToan!C:H,5,0),"")</f>
        <v/>
      </c>
      <c r="V391" s="2309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57" t="s">
        <v>1888</v>
      </c>
      <c r="C392" s="67" t="str">
        <f t="shared" si="61"/>
        <v xml:space="preserve"> </v>
      </c>
      <c r="D392" s="1240" t="str">
        <f>VLOOKUP($B392,DG!A:D,DG!$B$2,)</f>
        <v>04.1203b</v>
      </c>
      <c r="E392" s="1241" t="str">
        <f>VLOOKUP($B392,DG!A:D,DG!$C$2,)</f>
        <v>Đổ bê tông mác M150 đá 1x2</v>
      </c>
      <c r="F392" s="1240" t="str">
        <f>VLOOKUP($B392,DG!A:D,DG!$D$2,)</f>
        <v>m3</v>
      </c>
      <c r="G392" s="1916">
        <v>1.93</v>
      </c>
      <c r="H392" s="1244">
        <f t="shared" si="70"/>
        <v>0</v>
      </c>
      <c r="I392" s="1247"/>
      <c r="J392" s="1247"/>
      <c r="K392" s="1247"/>
      <c r="L392" s="1247"/>
      <c r="M392" s="1247"/>
      <c r="N392" s="1247"/>
      <c r="O392" s="1247"/>
      <c r="P392" s="1247"/>
      <c r="Q392" s="1247"/>
      <c r="R392" s="1247"/>
      <c r="S392" s="1247"/>
      <c r="T392" s="1671"/>
      <c r="U392" s="1664" t="str">
        <f>IFERROR(VLOOKUP(B392,ChiTietDuToan!C:H,5,0),"")</f>
        <v/>
      </c>
      <c r="V392" s="2309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56"/>
      <c r="C393" s="65" t="str">
        <f t="shared" si="61"/>
        <v xml:space="preserve"> </v>
      </c>
      <c r="D393" s="1237"/>
      <c r="E393" s="1666" t="s">
        <v>2431</v>
      </c>
      <c r="F393" s="1238" t="s">
        <v>2391</v>
      </c>
      <c r="G393" s="1912"/>
      <c r="H393" s="1523">
        <f>SUM(I393:O393)+T393</f>
        <v>0</v>
      </c>
      <c r="I393" s="1239">
        <v>0</v>
      </c>
      <c r="J393" s="1239">
        <v>0</v>
      </c>
      <c r="K393" s="1239">
        <f>SUMIF(mong3p1m,chitiet!$A393,slmong3p1m)</f>
        <v>0</v>
      </c>
      <c r="L393" s="1239">
        <f>IFERROR(HLOOKUP(A393,pp1p!$6:$90,85,0),0)</f>
        <v>0</v>
      </c>
      <c r="M393" s="1239">
        <v>0</v>
      </c>
      <c r="N393" s="1239">
        <v>0</v>
      </c>
      <c r="O393" s="1239"/>
      <c r="P393" s="1239"/>
      <c r="Q393" s="1239"/>
      <c r="R393" s="1239"/>
      <c r="S393" s="1239"/>
      <c r="T393" s="1671"/>
      <c r="U393" s="1664">
        <f>IFERROR(VLOOKUP(B393,ChiTietDuToan!C:H,5,0),"")</f>
        <v>0</v>
      </c>
      <c r="V393" s="2309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57" t="s">
        <v>759</v>
      </c>
      <c r="C394" s="67" t="str">
        <f t="shared" si="61"/>
        <v xml:space="preserve"> </v>
      </c>
      <c r="D394" s="1240">
        <f>VLOOKUP($B394,DG!A:D,DG!$B$2,)</f>
        <v>0</v>
      </c>
      <c r="E394" s="1241" t="str">
        <f>VLOOKUP($B394,DG!A:D,DG!$C$2,)</f>
        <v xml:space="preserve">Ximăng </v>
      </c>
      <c r="F394" s="1240" t="str">
        <f>VLOOKUP($B394,DG!A:D,DG!$D$2,)</f>
        <v>kg</v>
      </c>
      <c r="G394" s="1920">
        <v>510</v>
      </c>
      <c r="H394" s="1244">
        <f>H$393*$G394</f>
        <v>0</v>
      </c>
      <c r="I394" s="1244">
        <f>I$491*$G394</f>
        <v>0</v>
      </c>
      <c r="J394" s="1244">
        <f>J$491*$G394</f>
        <v>0</v>
      </c>
      <c r="K394" s="1244">
        <f>K$393*$G394</f>
        <v>0</v>
      </c>
      <c r="L394" s="1244">
        <f>L$491*$G394</f>
        <v>0</v>
      </c>
      <c r="M394" s="1244">
        <f>M$491*$G394</f>
        <v>0</v>
      </c>
      <c r="N394" s="1244">
        <f>N$491*$G394</f>
        <v>0</v>
      </c>
      <c r="O394" s="1244"/>
      <c r="P394" s="1244"/>
      <c r="Q394" s="1244"/>
      <c r="R394" s="1244"/>
      <c r="S394" s="1244"/>
      <c r="T394" s="1671"/>
      <c r="U394" s="1664" t="str">
        <f>IFERROR(VLOOKUP(B394,ChiTietDuToan!C:H,5,0),"")</f>
        <v>kg</v>
      </c>
      <c r="V394" s="2309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58" t="s">
        <v>4665</v>
      </c>
      <c r="C395" s="67" t="str">
        <f t="shared" si="61"/>
        <v xml:space="preserve"> </v>
      </c>
      <c r="D395" s="1240">
        <f>VLOOKUP($B395,DG!A:D,DG!$B$2,)</f>
        <v>0</v>
      </c>
      <c r="E395" s="1241" t="str">
        <f>VLOOKUP($B395,DG!A:D,DG!$C$2,)</f>
        <v>Cát vàng</v>
      </c>
      <c r="F395" s="1240" t="str">
        <f>VLOOKUP($B395,DG!A:D,DG!$D$2,)</f>
        <v>m3</v>
      </c>
      <c r="G395" s="1916">
        <v>0.89500000000000002</v>
      </c>
      <c r="H395" s="1243">
        <f>H$393*$G395</f>
        <v>0</v>
      </c>
      <c r="I395" s="1247"/>
      <c r="J395" s="1247"/>
      <c r="K395" s="1243">
        <f>K$393*$G395</f>
        <v>0</v>
      </c>
      <c r="L395" s="1247"/>
      <c r="M395" s="1247"/>
      <c r="N395" s="1247"/>
      <c r="O395" s="1247"/>
      <c r="P395" s="1243"/>
      <c r="Q395" s="1243"/>
      <c r="R395" s="1243"/>
      <c r="S395" s="1243"/>
      <c r="T395" s="1671"/>
      <c r="U395" s="1664" t="str">
        <f>IFERROR(VLOOKUP(B395,ChiTietDuToan!C:H,5,0),"")</f>
        <v>m3</v>
      </c>
      <c r="V395" s="2309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57" t="s">
        <v>884</v>
      </c>
      <c r="C396" s="67" t="str">
        <f t="shared" si="61"/>
        <v xml:space="preserve"> </v>
      </c>
      <c r="D396" s="1240">
        <f>VLOOKUP($B396,DG!A:D,DG!$B$2,)</f>
        <v>0</v>
      </c>
      <c r="E396" s="1241" t="str">
        <f>VLOOKUP($B396,DG!A:D,DG!$C$2,)</f>
        <v>Đá 1x2</v>
      </c>
      <c r="F396" s="1240" t="str">
        <f>VLOOKUP($B396,DG!A:D,DG!$D$2,)</f>
        <v>m3</v>
      </c>
      <c r="G396" s="1916">
        <v>1.617</v>
      </c>
      <c r="H396" s="1243">
        <f>H$393*$G396</f>
        <v>0</v>
      </c>
      <c r="I396" s="1244"/>
      <c r="J396" s="1244"/>
      <c r="K396" s="1243">
        <f>K$393*$G396</f>
        <v>0</v>
      </c>
      <c r="L396" s="1244"/>
      <c r="M396" s="1244"/>
      <c r="N396" s="1244"/>
      <c r="O396" s="1244"/>
      <c r="P396" s="1243"/>
      <c r="Q396" s="1243"/>
      <c r="R396" s="1243"/>
      <c r="S396" s="1243"/>
      <c r="T396" s="1671"/>
      <c r="U396" s="1664" t="str">
        <f>IFERROR(VLOOKUP(B396,ChiTietDuToan!C:H,5,0),"")</f>
        <v/>
      </c>
      <c r="V396" s="2309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57" t="s">
        <v>1425</v>
      </c>
      <c r="C397" s="67" t="str">
        <f t="shared" si="61"/>
        <v xml:space="preserve"> </v>
      </c>
      <c r="D397" s="1240" t="str">
        <f>VLOOKUP($B397,DG!A:D,DG!$B$2,)</f>
        <v>03.1114</v>
      </c>
      <c r="E397" s="1241" t="str">
        <f>VLOOKUP($B397,DG!A:D,DG!$C$2,)</f>
        <v>Đào hố móng đất cấp 4 sâu &gt;1m</v>
      </c>
      <c r="F397" s="1240" t="str">
        <f>VLOOKUP($B397,DG!A:D,DG!$D$2,)</f>
        <v>m3</v>
      </c>
      <c r="G397" s="1916">
        <v>2.09</v>
      </c>
      <c r="H397" s="1247"/>
      <c r="I397" s="1247"/>
      <c r="J397" s="1247"/>
      <c r="K397" s="1247"/>
      <c r="L397" s="1247"/>
      <c r="M397" s="1247"/>
      <c r="N397" s="1247"/>
      <c r="O397" s="1247"/>
      <c r="P397" s="1247"/>
      <c r="Q397" s="1247"/>
      <c r="R397" s="1247"/>
      <c r="S397" s="1247"/>
      <c r="T397" s="1671"/>
      <c r="U397" s="1664" t="str">
        <f>IFERROR(VLOOKUP(B397,ChiTietDuToan!C:H,5,0),"")</f>
        <v/>
      </c>
      <c r="V397" s="2309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57" t="s">
        <v>1879</v>
      </c>
      <c r="C398" s="67" t="str">
        <f t="shared" si="61"/>
        <v xml:space="preserve"> </v>
      </c>
      <c r="D398" s="1240" t="str">
        <f>VLOOKUP($B398,DG!A:D,DG!$B$2,)</f>
        <v>03.2203</v>
      </c>
      <c r="E398" s="1241" t="str">
        <f>VLOOKUP($B398,DG!A:D,DG!$C$2,)</f>
        <v>Đắp đất hố móng, đất cấp 4</v>
      </c>
      <c r="F398" s="1240" t="str">
        <f>VLOOKUP($B398,DG!A:D,DG!$D$2,)</f>
        <v>m3</v>
      </c>
      <c r="G398" s="1917">
        <v>0</v>
      </c>
      <c r="H398" s="1247"/>
      <c r="I398" s="1247"/>
      <c r="J398" s="1247"/>
      <c r="K398" s="1247"/>
      <c r="L398" s="1247"/>
      <c r="M398" s="1247"/>
      <c r="N398" s="1247"/>
      <c r="O398" s="1247"/>
      <c r="P398" s="1247"/>
      <c r="Q398" s="1247"/>
      <c r="R398" s="1247"/>
      <c r="S398" s="1247"/>
      <c r="T398" s="1671"/>
      <c r="U398" s="1664" t="str">
        <f>IFERROR(VLOOKUP(B398,ChiTietDuToan!C:H,5,0),"")</f>
        <v/>
      </c>
      <c r="V398" s="2309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57" t="s">
        <v>1326</v>
      </c>
      <c r="C399" s="67" t="str">
        <f t="shared" ref="C399:C462" si="72">IF(OR(P399&lt;&gt;0,H399&lt;&gt;0),"x"," ")</f>
        <v xml:space="preserve"> </v>
      </c>
      <c r="D399" s="1240" t="str">
        <f>VLOOKUP($B399,DG!A:D,DG!$B$2,)</f>
        <v>02.1101</v>
      </c>
      <c r="E399" s="1241" t="str">
        <f>VLOOKUP($B399,DG!A:D,DG!$C$2,)</f>
        <v>Bốc dỡ xi măng</v>
      </c>
      <c r="F399" s="1240" t="str">
        <f>VLOOKUP($B399,DG!A:D,DG!$D$2,)</f>
        <v>tấn</v>
      </c>
      <c r="G399" s="1917">
        <f>G394</f>
        <v>510</v>
      </c>
      <c r="H399" s="1247"/>
      <c r="I399" s="1247"/>
      <c r="J399" s="1247"/>
      <c r="K399" s="1247"/>
      <c r="L399" s="1247"/>
      <c r="M399" s="1247"/>
      <c r="N399" s="1247"/>
      <c r="O399" s="1247"/>
      <c r="P399" s="1247"/>
      <c r="Q399" s="1247"/>
      <c r="R399" s="1247"/>
      <c r="S399" s="1247"/>
      <c r="T399" s="1671"/>
      <c r="U399" s="1664" t="str">
        <f>IFERROR(VLOOKUP(B399,ChiTietDuToan!C:H,5,0),"")</f>
        <v/>
      </c>
      <c r="V399" s="2309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57" t="s">
        <v>134</v>
      </c>
      <c r="C400" s="67" t="str">
        <f t="shared" si="72"/>
        <v xml:space="preserve"> </v>
      </c>
      <c r="D400" s="1240" t="str">
        <f>VLOOKUP($B400,DG!A:D,DG!$B$2,)</f>
        <v>02.1103</v>
      </c>
      <c r="E400" s="1241" t="str">
        <f>VLOOKUP($B400,DG!A:D,DG!$C$2,)</f>
        <v>Bốc dỡ cát</v>
      </c>
      <c r="F400" s="1240" t="str">
        <f>VLOOKUP($B400,DG!A:D,DG!$D$2,)</f>
        <v>m3</v>
      </c>
      <c r="G400" s="1917">
        <f>G402</f>
        <v>8.9500000000000007E-4</v>
      </c>
      <c r="H400" s="1247"/>
      <c r="I400" s="1247"/>
      <c r="J400" s="1247"/>
      <c r="K400" s="1247"/>
      <c r="L400" s="1247"/>
      <c r="M400" s="1247"/>
      <c r="N400" s="1247"/>
      <c r="O400" s="1247"/>
      <c r="P400" s="1247"/>
      <c r="Q400" s="1247"/>
      <c r="R400" s="1247"/>
      <c r="S400" s="1247"/>
      <c r="T400" s="1671"/>
      <c r="U400" s="1664" t="str">
        <f>IFERROR(VLOOKUP(B400,ChiTietDuToan!C:H,5,0),"")</f>
        <v/>
      </c>
      <c r="V400" s="2309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57" t="s">
        <v>136</v>
      </c>
      <c r="C401" s="67" t="str">
        <f t="shared" si="72"/>
        <v xml:space="preserve"> </v>
      </c>
      <c r="D401" s="1240" t="str">
        <f>VLOOKUP($B401,DG!A:D,DG!$B$2,)</f>
        <v>02.1104</v>
      </c>
      <c r="E401" s="1241" t="str">
        <f>VLOOKUP($B401,DG!A:D,DG!$C$2,)</f>
        <v>Bốc dỡ đá dăm</v>
      </c>
      <c r="F401" s="1240" t="str">
        <f>VLOOKUP($B401,DG!A:D,DG!$D$2,)</f>
        <v>m3</v>
      </c>
      <c r="G401" s="1917">
        <f>G394</f>
        <v>510</v>
      </c>
      <c r="H401" s="1247"/>
      <c r="I401" s="1247"/>
      <c r="J401" s="1247"/>
      <c r="K401" s="1247"/>
      <c r="L401" s="1247"/>
      <c r="M401" s="1247"/>
      <c r="N401" s="1247"/>
      <c r="O401" s="1247"/>
      <c r="P401" s="1247"/>
      <c r="Q401" s="1247"/>
      <c r="R401" s="1247"/>
      <c r="S401" s="1247"/>
      <c r="T401" s="1671"/>
      <c r="U401" s="1664" t="str">
        <f>IFERROR(VLOOKUP(B401,ChiTietDuToan!C:H,5,0),"")</f>
        <v/>
      </c>
      <c r="V401" s="2309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57" t="s">
        <v>498</v>
      </c>
      <c r="C402" s="67" t="str">
        <f t="shared" si="72"/>
        <v xml:space="preserve"> </v>
      </c>
      <c r="D402" s="1240" t="str">
        <f>VLOOKUP($B402,DG!A:D,DG!$B$2,)</f>
        <v>02.1211</v>
      </c>
      <c r="E402" s="1241" t="str">
        <f>VLOOKUP($B402,DG!A:D,DG!$C$2,)</f>
        <v>V/c xi măng ( cự ly &lt;=100m)</v>
      </c>
      <c r="F402" s="1240" t="str">
        <f>VLOOKUP($B402,DG!A:D,DG!$D$2,)</f>
        <v>tấn</v>
      </c>
      <c r="G402" s="1917">
        <f>G395/1000</f>
        <v>8.9500000000000007E-4</v>
      </c>
      <c r="H402" s="1247"/>
      <c r="I402" s="1247"/>
      <c r="J402" s="1247"/>
      <c r="K402" s="1247"/>
      <c r="L402" s="1247"/>
      <c r="M402" s="1247"/>
      <c r="N402" s="1247"/>
      <c r="O402" s="1247"/>
      <c r="P402" s="1247"/>
      <c r="Q402" s="1247"/>
      <c r="R402" s="1247"/>
      <c r="S402" s="1247"/>
      <c r="T402" s="1671"/>
      <c r="U402" s="1664" t="str">
        <f>IFERROR(VLOOKUP(B402,ChiTietDuToan!C:H,5,0),"")</f>
        <v/>
      </c>
      <c r="V402" s="2309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57" t="s">
        <v>1663</v>
      </c>
      <c r="C403" s="67" t="str">
        <f t="shared" si="72"/>
        <v xml:space="preserve"> </v>
      </c>
      <c r="D403" s="1240" t="str">
        <f>VLOOKUP($B403,DG!A:D,DG!$B$2,)</f>
        <v>02.1231</v>
      </c>
      <c r="E403" s="1241" t="str">
        <f>VLOOKUP($B403,DG!A:D,DG!$C$2,)</f>
        <v>V/c cát vàng cự ly &lt;=100m</v>
      </c>
      <c r="F403" s="1240" t="str">
        <f>VLOOKUP($B403,DG!A:D,DG!$D$2,)</f>
        <v>m3</v>
      </c>
      <c r="G403" s="1916">
        <f>G394</f>
        <v>510</v>
      </c>
      <c r="H403" s="1247"/>
      <c r="I403" s="1247"/>
      <c r="J403" s="1247"/>
      <c r="K403" s="1247"/>
      <c r="L403" s="1247"/>
      <c r="M403" s="1247"/>
      <c r="N403" s="1247"/>
      <c r="O403" s="1247"/>
      <c r="P403" s="1247"/>
      <c r="Q403" s="1247"/>
      <c r="R403" s="1247"/>
      <c r="S403" s="1247"/>
      <c r="T403" s="1671"/>
      <c r="U403" s="1664" t="str">
        <f>IFERROR(VLOOKUP(B403,ChiTietDuToan!C:H,5,0),"")</f>
        <v/>
      </c>
      <c r="V403" s="2309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57" t="s">
        <v>524</v>
      </c>
      <c r="C404" s="67" t="str">
        <f t="shared" si="72"/>
        <v xml:space="preserve"> </v>
      </c>
      <c r="D404" s="1240" t="str">
        <f>VLOOKUP($B404,DG!A:D,DG!$B$2,)</f>
        <v>02.1241</v>
      </c>
      <c r="E404" s="1241" t="str">
        <f>VLOOKUP($B404,DG!A:D,DG!$C$2,)</f>
        <v>V/c đá dăm ( cự ly &lt;=100m)</v>
      </c>
      <c r="F404" s="1240" t="str">
        <f>VLOOKUP($B404,DG!A:D,DG!$D$2,)</f>
        <v>m3</v>
      </c>
      <c r="G404" s="1917">
        <f>G397/1000</f>
        <v>2.0899999999999998E-3</v>
      </c>
      <c r="H404" s="1247"/>
      <c r="I404" s="1247"/>
      <c r="J404" s="1247"/>
      <c r="K404" s="1247"/>
      <c r="L404" s="1247"/>
      <c r="M404" s="1247"/>
      <c r="N404" s="1247"/>
      <c r="O404" s="1247"/>
      <c r="P404" s="1247"/>
      <c r="Q404" s="1247"/>
      <c r="R404" s="1247"/>
      <c r="S404" s="1247"/>
      <c r="T404" s="1671"/>
      <c r="U404" s="1664" t="str">
        <f>IFERROR(VLOOKUP(B404,ChiTietDuToan!C:H,5,0),"")</f>
        <v/>
      </c>
      <c r="V404" s="2309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57" t="s">
        <v>2034</v>
      </c>
      <c r="C405" s="67" t="str">
        <f t="shared" si="72"/>
        <v xml:space="preserve"> </v>
      </c>
      <c r="D405" s="1240" t="str">
        <f>VLOOKUP($B405,DG!A:D,DG!$B$2,)</f>
        <v>02.1482</v>
      </c>
      <c r="E405" s="1241" t="str">
        <f>VLOOKUP($B405,DG!A:D,DG!$C$2,)</f>
        <v>V/c dụng cụ thi công ( cự ly &lt;=100m)</v>
      </c>
      <c r="F405" s="1240" t="str">
        <f>VLOOKUP($B405,DG!A:D,DG!$D$2,)</f>
        <v>tấn</v>
      </c>
      <c r="G405" s="1916">
        <v>0.02</v>
      </c>
      <c r="H405" s="1247"/>
      <c r="I405" s="1247"/>
      <c r="J405" s="1247"/>
      <c r="K405" s="1247"/>
      <c r="L405" s="1247"/>
      <c r="M405" s="1247"/>
      <c r="N405" s="1247"/>
      <c r="O405" s="1247"/>
      <c r="P405" s="1247"/>
      <c r="Q405" s="1247"/>
      <c r="R405" s="1247"/>
      <c r="S405" s="1247"/>
      <c r="T405" s="1671"/>
      <c r="U405" s="1664" t="str">
        <f>IFERROR(VLOOKUP(B405,ChiTietDuToan!C:H,5,0),"")</f>
        <v/>
      </c>
      <c r="V405" s="2309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56"/>
      <c r="C406" s="65" t="str">
        <f t="shared" ca="1" si="72"/>
        <v xml:space="preserve"> </v>
      </c>
      <c r="D406" s="1237"/>
      <c r="E406" s="1666" t="s">
        <v>2432</v>
      </c>
      <c r="F406" s="1238" t="s">
        <v>2391</v>
      </c>
      <c r="G406" s="1912"/>
      <c r="H406" s="1523">
        <f ca="1">SUM(I406:O406)+T406</f>
        <v>0</v>
      </c>
      <c r="I406" s="1239">
        <f ca="1">SUMIF(mong3pm,chitiet!$A406,slmong3pm)</f>
        <v>0</v>
      </c>
      <c r="J406" s="1239">
        <f ca="1">SUMIF(mongct,chitiet!$A406,slmongct)</f>
        <v>0</v>
      </c>
      <c r="K406" s="1239">
        <f>+SUMIF(mong3p1m,chitiet!$A406,slmong3p1m)</f>
        <v>0</v>
      </c>
      <c r="L406" s="1239">
        <f>IFERROR(HLOOKUP(A406,pp1p!$6:$90,85,0),0)</f>
        <v>0</v>
      </c>
      <c r="M406" s="1239">
        <f ca="1">SUMIF(mongHTHH,chitiet!$A406,slmongHTHH)</f>
        <v>0</v>
      </c>
      <c r="N406" s="1239">
        <f ca="1">SUMIF(mongHTDL,chitiet!$A406,slmongHTDL)</f>
        <v>0</v>
      </c>
      <c r="O406" s="1239"/>
      <c r="P406" s="1239"/>
      <c r="Q406" s="1239"/>
      <c r="R406" s="1239"/>
      <c r="S406" s="1239"/>
      <c r="T406" s="1671"/>
      <c r="U406" s="1664">
        <f>IFERROR(VLOOKUP(B406,ChiTietDuToan!C:H,5,0),"")</f>
        <v>0</v>
      </c>
      <c r="V406" s="2309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75" t="s">
        <v>644</v>
      </c>
      <c r="C407" s="67" t="str">
        <f t="shared" ca="1" si="72"/>
        <v xml:space="preserve"> </v>
      </c>
      <c r="D407" s="1240"/>
      <c r="E407" s="1241" t="str">
        <f>VLOOKUP($B407,DG!A:D,DG!$C$2,)</f>
        <v>Đào hố móng đất cấp 3 sâu &gt;1m DT&lt;5m2</v>
      </c>
      <c r="F407" s="1240" t="str">
        <f>VLOOKUP($B407,DG!A:D,DG!$D$2,)</f>
        <v>m3</v>
      </c>
      <c r="G407" s="1919">
        <v>0.4</v>
      </c>
      <c r="H407" s="1244">
        <f ca="1">$H$406*G407</f>
        <v>0</v>
      </c>
      <c r="I407" s="1244">
        <f t="shared" ref="I407:N407" ca="1" si="73">I$244*$G407</f>
        <v>0</v>
      </c>
      <c r="J407" s="1244">
        <f t="shared" ca="1" si="73"/>
        <v>0</v>
      </c>
      <c r="K407" s="1244">
        <f t="shared" si="73"/>
        <v>0</v>
      </c>
      <c r="L407" s="1244">
        <f t="shared" si="73"/>
        <v>0</v>
      </c>
      <c r="M407" s="1244">
        <f t="shared" ca="1" si="73"/>
        <v>0</v>
      </c>
      <c r="N407" s="1244">
        <f t="shared" ca="1" si="73"/>
        <v>0</v>
      </c>
      <c r="O407" s="1244"/>
      <c r="P407" s="1244"/>
      <c r="Q407" s="1244"/>
      <c r="R407" s="1244"/>
      <c r="S407" s="1244"/>
      <c r="T407" s="1671"/>
      <c r="U407" s="1664" t="str">
        <f>IFERROR(VLOOKUP(B407,ChiTietDuToan!C:H,5,0),"")</f>
        <v>m3</v>
      </c>
      <c r="V407" s="2309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59" t="s">
        <v>21</v>
      </c>
      <c r="C408" s="67" t="str">
        <f t="shared" ca="1" si="72"/>
        <v xml:space="preserve"> </v>
      </c>
      <c r="D408" s="1236" t="str">
        <f>VLOOKUP($B408,DG!A:D,DG!$B$2,)</f>
        <v>03.4113</v>
      </c>
      <c r="E408" s="1241" t="str">
        <f>VLOOKUP($B408,DG!A:D,DG!$C$2,)</f>
        <v>Đắp đất hố móng, độ chặt k=0,95</v>
      </c>
      <c r="F408" s="1236" t="str">
        <f>VLOOKUP($B408,DG!A:D,DG!$D$2,)</f>
        <v>m3</v>
      </c>
      <c r="G408" s="1921">
        <v>0.4</v>
      </c>
      <c r="H408" s="1244">
        <f ca="1">$H$406*G408</f>
        <v>0</v>
      </c>
      <c r="I408" s="1245">
        <f t="shared" ref="I408:N408" ca="1" si="74">I$18*$G408</f>
        <v>0</v>
      </c>
      <c r="J408" s="1245">
        <f t="shared" ca="1" si="74"/>
        <v>0</v>
      </c>
      <c r="K408" s="1245">
        <f t="shared" ca="1" si="74"/>
        <v>0</v>
      </c>
      <c r="L408" s="1245">
        <f t="shared" si="74"/>
        <v>0</v>
      </c>
      <c r="M408" s="1245">
        <f t="shared" ca="1" si="74"/>
        <v>0</v>
      </c>
      <c r="N408" s="1245">
        <f t="shared" ca="1" si="74"/>
        <v>0</v>
      </c>
      <c r="O408" s="1245"/>
      <c r="P408" s="1245"/>
      <c r="Q408" s="1245"/>
      <c r="R408" s="1245"/>
      <c r="S408" s="1245"/>
      <c r="T408" s="1671"/>
      <c r="U408" s="1664" t="str">
        <f>IFERROR(VLOOKUP(B408,ChiTietDuToan!C:H,5,0),"")</f>
        <v>m3</v>
      </c>
      <c r="V408" s="2309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57" t="s">
        <v>640</v>
      </c>
      <c r="C409" s="67" t="str">
        <f t="shared" ca="1" si="72"/>
        <v xml:space="preserve"> </v>
      </c>
      <c r="D409" s="1240" t="str">
        <f>VLOOKUP($B409,DG!A:C,2,)</f>
        <v>02.1482</v>
      </c>
      <c r="E409" s="1241" t="str">
        <f>VLOOKUP($B409,DG!A:C,3,)</f>
        <v>V/c dụng cụ thi công vào vị trí (cự ly &lt;=100m)</v>
      </c>
      <c r="F409" s="1240" t="str">
        <f>VLOOKUP($B409,DG!A:D,4,0)</f>
        <v>tấn</v>
      </c>
      <c r="G409" s="1917">
        <v>0.2</v>
      </c>
      <c r="H409" s="1244">
        <f ca="1">$H$406*G409</f>
        <v>0</v>
      </c>
      <c r="I409" s="1247"/>
      <c r="J409" s="1247"/>
      <c r="K409" s="1247"/>
      <c r="L409" s="1247"/>
      <c r="M409" s="1247"/>
      <c r="N409" s="1247"/>
      <c r="O409" s="1247"/>
      <c r="P409" s="1247"/>
      <c r="Q409" s="1247"/>
      <c r="R409" s="1247"/>
      <c r="S409" s="1247"/>
      <c r="T409" s="1671"/>
      <c r="U409" s="1664" t="str">
        <f>IFERROR(VLOOKUP(B409,ChiTietDuToan!C:H,5,0),"")</f>
        <v/>
      </c>
      <c r="V409" s="2309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54" t="str">
        <f>A410</f>
        <v>M14a</v>
      </c>
      <c r="C410" s="65" t="str">
        <f t="shared" si="72"/>
        <v xml:space="preserve"> </v>
      </c>
      <c r="D410" s="1237"/>
      <c r="E410" s="1666" t="s">
        <v>2433</v>
      </c>
      <c r="F410" s="1238" t="s">
        <v>2391</v>
      </c>
      <c r="G410" s="1912"/>
      <c r="H410" s="1523">
        <f>W410</f>
        <v>0</v>
      </c>
      <c r="I410" s="1239">
        <f ca="1">SUMIF(mong3pm,chitiet!$A410,slmong3pm)</f>
        <v>0</v>
      </c>
      <c r="J410" s="1239">
        <f ca="1">SUMIF(mongct,chitiet!$A410,slmongct)</f>
        <v>0</v>
      </c>
      <c r="K410" s="1239">
        <f>+SUMIF(mong3p1m,chitiet!$A410,slmong3p1m)</f>
        <v>0</v>
      </c>
      <c r="L410" s="1239">
        <f>IFERROR(HLOOKUP(A410,pp1p!$6:$90,85,0),0)</f>
        <v>0</v>
      </c>
      <c r="M410" s="1239">
        <f ca="1">SUMIF(mongHTHH,chitiet!$A410,slmongHTHH)</f>
        <v>0</v>
      </c>
      <c r="N410" s="1239">
        <f ca="1">SUMIF(mongHTDL,chitiet!$A410,slmongHTDL)</f>
        <v>0</v>
      </c>
      <c r="O410" s="1239"/>
      <c r="P410" s="1523">
        <f>H410+Q410-R410</f>
        <v>0</v>
      </c>
      <c r="Q410" s="1239"/>
      <c r="R410" s="1239"/>
      <c r="S410" s="1239"/>
      <c r="T410" s="1671"/>
      <c r="U410" s="1664" t="str">
        <f>IFERROR(VLOOKUP(B410,ChiTietDuToan!C:H,5,0),"")</f>
        <v>Móng</v>
      </c>
      <c r="V410" s="2309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75" t="s">
        <v>641</v>
      </c>
      <c r="C411" s="67" t="str">
        <f t="shared" si="72"/>
        <v xml:space="preserve"> </v>
      </c>
      <c r="D411" s="1236" t="str">
        <f>VLOOKUP($B411,DG!A:D,DG!$B$2,)</f>
        <v>04.4001</v>
      </c>
      <c r="E411" s="1246" t="str">
        <f>VLOOKUP($B411,DG!A:D,DG!$C$2,)</f>
        <v>Đà cản BTCT 1,2m</v>
      </c>
      <c r="F411" s="1240" t="str">
        <f>VLOOKUP($B411,DG!A:D,DG!$D$2,)</f>
        <v>cái</v>
      </c>
      <c r="G411" s="1918">
        <v>1</v>
      </c>
      <c r="H411" s="1244">
        <f>H$410*$G411</f>
        <v>0</v>
      </c>
      <c r="I411" s="1244">
        <f t="shared" ref="I411:N412" ca="1" si="76">I$410*$G411</f>
        <v>0</v>
      </c>
      <c r="J411" s="1244">
        <f t="shared" ca="1" si="76"/>
        <v>0</v>
      </c>
      <c r="K411" s="1244">
        <f t="shared" si="76"/>
        <v>0</v>
      </c>
      <c r="L411" s="1244">
        <f t="shared" si="76"/>
        <v>0</v>
      </c>
      <c r="M411" s="1244">
        <f t="shared" ca="1" si="76"/>
        <v>0</v>
      </c>
      <c r="N411" s="1244">
        <f t="shared" ca="1" si="76"/>
        <v>0</v>
      </c>
      <c r="O411" s="1244"/>
      <c r="P411" s="1244"/>
      <c r="Q411" s="1244"/>
      <c r="R411" s="1244"/>
      <c r="S411" s="1244"/>
      <c r="T411" s="1671"/>
      <c r="U411" s="1664" t="str">
        <f>IFERROR(VLOOKUP(B411,ChiTietDuToan!C:H,5,0),"")</f>
        <v>cái</v>
      </c>
      <c r="V411" s="2309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75" t="s">
        <v>570</v>
      </c>
      <c r="C412" s="67" t="str">
        <f t="shared" si="72"/>
        <v xml:space="preserve"> </v>
      </c>
      <c r="D412" s="1240"/>
      <c r="E412" s="1246" t="str">
        <f>VLOOKUP($B412,DG!A:D,DG!$C$2,)</f>
        <v>Boulon 22x650+ 2 long đền vuông D24-50x50x3/Zn</v>
      </c>
      <c r="F412" s="1240" t="str">
        <f>VLOOKUP($B412,DG!A:D,DG!$D$2,)</f>
        <v>bộ</v>
      </c>
      <c r="G412" s="1918">
        <v>1</v>
      </c>
      <c r="H412" s="1244">
        <f>H$410*$G412</f>
        <v>0</v>
      </c>
      <c r="I412" s="1244">
        <f ca="1">I$410*$G412</f>
        <v>0</v>
      </c>
      <c r="J412" s="1244">
        <f ca="1">J$410*$G412</f>
        <v>0</v>
      </c>
      <c r="K412" s="1244">
        <f>K$410*$G412</f>
        <v>0</v>
      </c>
      <c r="L412" s="1244">
        <f>L$410*$G412</f>
        <v>0</v>
      </c>
      <c r="M412" s="1244">
        <f t="shared" ca="1" si="76"/>
        <v>0</v>
      </c>
      <c r="N412" s="1244">
        <f t="shared" ca="1" si="76"/>
        <v>0</v>
      </c>
      <c r="O412" s="1244"/>
      <c r="P412" s="1244"/>
      <c r="Q412" s="1244"/>
      <c r="R412" s="1244"/>
      <c r="S412" s="1244"/>
      <c r="T412" s="1671"/>
      <c r="U412" s="1664" t="str">
        <f>IFERROR(VLOOKUP(B412,ChiTietDuToan!C:H,5,0),"")</f>
        <v>bộ</v>
      </c>
      <c r="V412" s="2309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75" t="str">
        <f>IF(F5=1,"MDD1",IF(F5=2,"MDD2",IF(F5=3,"MDD3",IF(F5=4,"MDD4"))))</f>
        <v>MDD3</v>
      </c>
      <c r="C413" s="67" t="str">
        <f t="shared" si="72"/>
        <v xml:space="preserve"> </v>
      </c>
      <c r="D413" s="1240" t="str">
        <f>VLOOKUP($B413,DG!A:D,DG!$B$2,)</f>
        <v>03.1013</v>
      </c>
      <c r="E413" s="1241" t="str">
        <f>VLOOKUP($B413,DG!A:D,DG!$C$2,)</f>
        <v>Đào hố móng đất cấp 3 sâu &gt;1m DT&lt;5m2</v>
      </c>
      <c r="F413" s="1240" t="str">
        <f>VLOOKUP($B413,DG!A:D,DG!$D$2,)</f>
        <v>m3</v>
      </c>
      <c r="G413" s="1917">
        <v>1.64</v>
      </c>
      <c r="H413" s="1247"/>
      <c r="I413" s="1247"/>
      <c r="J413" s="1247"/>
      <c r="K413" s="1247"/>
      <c r="L413" s="1247"/>
      <c r="M413" s="1247"/>
      <c r="N413" s="1247"/>
      <c r="O413" s="1247"/>
      <c r="P413" s="1247"/>
      <c r="Q413" s="1247"/>
      <c r="R413" s="1247"/>
      <c r="S413" s="1247"/>
      <c r="T413" s="1671"/>
      <c r="U413" s="1664" t="str">
        <f>IFERROR(VLOOKUP(B413,ChiTietDuToan!C:H,5,0),"")</f>
        <v>m3</v>
      </c>
      <c r="V413" s="2309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75" t="str">
        <f>IF(F5=1,"MDAP1",IF(F5=2,"MDAP2",IF(F5=3,"MDAP3",IF(F5=4,"MDAP4"))))</f>
        <v>MDAP3</v>
      </c>
      <c r="C414" s="67" t="str">
        <f t="shared" si="72"/>
        <v xml:space="preserve"> </v>
      </c>
      <c r="D414" s="1240" t="str">
        <f>VLOOKUP($B414,DG!A:D,DG!$B$2,)</f>
        <v>03.4113</v>
      </c>
      <c r="E414" s="1241" t="str">
        <f>VLOOKUP($B414,DG!A:D,DG!$C$2,)</f>
        <v>Đắp đất hố móng, độ chặt k=0,95</v>
      </c>
      <c r="F414" s="1240" t="str">
        <f>VLOOKUP($B414,DG!A:D,DG!$D$2,)</f>
        <v>m3</v>
      </c>
      <c r="G414" s="1917">
        <v>1.42</v>
      </c>
      <c r="H414" s="1247"/>
      <c r="I414" s="1247"/>
      <c r="J414" s="1247"/>
      <c r="K414" s="1247"/>
      <c r="L414" s="1247"/>
      <c r="M414" s="1247"/>
      <c r="N414" s="1247"/>
      <c r="O414" s="1247"/>
      <c r="P414" s="1247"/>
      <c r="Q414" s="1247"/>
      <c r="R414" s="1247"/>
      <c r="S414" s="1247"/>
      <c r="T414" s="1671"/>
      <c r="U414" s="1664" t="str">
        <f>IFERROR(VLOOKUP(B414,ChiTietDuToan!C:H,5,0),"")</f>
        <v>m3</v>
      </c>
      <c r="V414" s="2309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75" t="s">
        <v>642</v>
      </c>
      <c r="C415" s="67" t="str">
        <f t="shared" si="72"/>
        <v xml:space="preserve"> </v>
      </c>
      <c r="D415" s="1240" t="str">
        <f>VLOOKUP($B415,DG!A:D,DG!$B$2,)</f>
        <v>02.1123</v>
      </c>
      <c r="E415" s="1241" t="str">
        <f>VLOOKUP($B415,DG!A:D,DG!$C$2,)</f>
        <v>Bốc dỡ đà cản, đế néo</v>
      </c>
      <c r="F415" s="1240" t="str">
        <f>VLOOKUP($B415,DG!A:D,DG!$D$2,)</f>
        <v>tấn</v>
      </c>
      <c r="G415" s="1917"/>
      <c r="H415" s="1244"/>
      <c r="I415" s="1244"/>
      <c r="J415" s="1244"/>
      <c r="K415" s="1244"/>
      <c r="L415" s="1244"/>
      <c r="M415" s="1244"/>
      <c r="N415" s="1244"/>
      <c r="O415" s="1244"/>
      <c r="P415" s="1244"/>
      <c r="Q415" s="1244"/>
      <c r="R415" s="1244"/>
      <c r="S415" s="1244"/>
      <c r="T415" s="1671"/>
      <c r="U415" s="1664" t="str">
        <f>IFERROR(VLOOKUP(B415,ChiTietDuToan!C:H,5,0),"")</f>
        <v/>
      </c>
      <c r="V415" s="2309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57" t="s">
        <v>2125</v>
      </c>
      <c r="C416" s="67" t="str">
        <f t="shared" si="72"/>
        <v xml:space="preserve"> </v>
      </c>
      <c r="D416" s="1240" t="str">
        <f>VLOOKUP($B416,DG!A:C,2,)</f>
        <v>02.1451</v>
      </c>
      <c r="E416" s="1241" t="str">
        <f>VLOOKUP($B416,DG!A:C,3,)</f>
        <v>V/c đà cản vào vị trí (cự ly &lt;=100m)</v>
      </c>
      <c r="F416" s="1240" t="str">
        <f>VLOOKUP($B416,DG!A:D,4,0)</f>
        <v>tấn</v>
      </c>
      <c r="G416" s="1917"/>
      <c r="H416" s="1247"/>
      <c r="I416" s="1247"/>
      <c r="J416" s="1247"/>
      <c r="K416" s="1247"/>
      <c r="L416" s="1247"/>
      <c r="M416" s="1247"/>
      <c r="N416" s="1247"/>
      <c r="O416" s="1247"/>
      <c r="P416" s="1247"/>
      <c r="Q416" s="1247"/>
      <c r="R416" s="1247"/>
      <c r="S416" s="1247"/>
      <c r="T416" s="1671"/>
      <c r="U416" s="1664" t="str">
        <f>IFERROR(VLOOKUP(B416,ChiTietDuToan!C:H,5,0),"")</f>
        <v/>
      </c>
      <c r="V416" s="2309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57" t="s">
        <v>640</v>
      </c>
      <c r="C417" s="67" t="str">
        <f t="shared" si="72"/>
        <v xml:space="preserve"> </v>
      </c>
      <c r="D417" s="1240" t="str">
        <f>VLOOKUP($B417,DG!A:C,2,)</f>
        <v>02.1482</v>
      </c>
      <c r="E417" s="1241" t="str">
        <f>VLOOKUP($B417,DG!A:C,3,)</f>
        <v>V/c dụng cụ thi công vào vị trí (cự ly &lt;=100m)</v>
      </c>
      <c r="F417" s="1240" t="str">
        <f>VLOOKUP($B417,DG!A:D,4,0)</f>
        <v>tấn</v>
      </c>
      <c r="G417" s="1917"/>
      <c r="H417" s="1247"/>
      <c r="I417" s="1247"/>
      <c r="J417" s="1247"/>
      <c r="K417" s="1247"/>
      <c r="L417" s="1247"/>
      <c r="M417" s="1247"/>
      <c r="N417" s="1247"/>
      <c r="O417" s="1247"/>
      <c r="P417" s="1247"/>
      <c r="Q417" s="1247"/>
      <c r="R417" s="1247"/>
      <c r="S417" s="1247"/>
      <c r="T417" s="1671"/>
      <c r="U417" s="1664" t="str">
        <f>IFERROR(VLOOKUP(B417,ChiTietDuToan!C:H,5,0),"")</f>
        <v/>
      </c>
      <c r="V417" s="2309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56"/>
      <c r="C418" s="65" t="str">
        <f t="shared" ca="1" si="72"/>
        <v xml:space="preserve"> </v>
      </c>
      <c r="D418" s="1237"/>
      <c r="E418" s="1666" t="s">
        <v>2434</v>
      </c>
      <c r="F418" s="1238" t="s">
        <v>2391</v>
      </c>
      <c r="G418" s="1912"/>
      <c r="H418" s="1523">
        <f ca="1">SUM(I418:O418)+T418</f>
        <v>0</v>
      </c>
      <c r="I418" s="1239">
        <f ca="1">SUMIF(mong3pm,chitiet!$A418,slmong3pm)</f>
        <v>0</v>
      </c>
      <c r="J418" s="1239">
        <f ca="1">SUMIF(mongct,chitiet!$A418,slmongct)</f>
        <v>0</v>
      </c>
      <c r="K418" s="1239">
        <f>+SUMIF(mong3p1m,chitiet!$A418,slmong3p1m)</f>
        <v>0</v>
      </c>
      <c r="L418" s="1239">
        <f>IFERROR(HLOOKUP(A418,pp1p!$6:$90,85,0),0)</f>
        <v>0</v>
      </c>
      <c r="M418" s="1239">
        <f ca="1">SUMIF(mongHTHH,chitiet!$A418,slmongHTHH)</f>
        <v>0</v>
      </c>
      <c r="N418" s="1239">
        <f ca="1">SUMIF(mongHTDL,chitiet!$A418,slmongHTDL)</f>
        <v>0</v>
      </c>
      <c r="O418" s="1239"/>
      <c r="P418" s="1239"/>
      <c r="Q418" s="1239"/>
      <c r="R418" s="1239"/>
      <c r="S418" s="1239"/>
      <c r="T418" s="1671"/>
      <c r="U418" s="1664">
        <f>IFERROR(VLOOKUP(B418,ChiTietDuToan!C:H,5,0),"")</f>
        <v>0</v>
      </c>
      <c r="V418" s="2309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75" t="s">
        <v>1627</v>
      </c>
      <c r="C419" s="67" t="str">
        <f t="shared" ca="1" si="72"/>
        <v xml:space="preserve"> </v>
      </c>
      <c r="D419" s="1240" t="str">
        <f>VLOOKUP($B419,DG!A:D,DG!$B$2,)</f>
        <v>04.3801</v>
      </c>
      <c r="E419" s="1246" t="str">
        <f>VLOOKUP($B419,DG!A:D,DG!$C$2,)</f>
        <v>Đà cản BTCT 1,5m</v>
      </c>
      <c r="F419" s="1240" t="str">
        <f>VLOOKUP($B419,DG!A:D,DG!$D$2,)</f>
        <v>cái</v>
      </c>
      <c r="G419" s="1918">
        <v>1</v>
      </c>
      <c r="H419" s="1244">
        <f ca="1">H$418*$G419</f>
        <v>0</v>
      </c>
      <c r="I419" s="1244">
        <f t="shared" ref="I419:N420" ca="1" si="77">I$418*$G419</f>
        <v>0</v>
      </c>
      <c r="J419" s="1244">
        <f t="shared" ca="1" si="77"/>
        <v>0</v>
      </c>
      <c r="K419" s="1244">
        <f t="shared" si="77"/>
        <v>0</v>
      </c>
      <c r="L419" s="1244">
        <f t="shared" si="77"/>
        <v>0</v>
      </c>
      <c r="M419" s="1244">
        <f t="shared" ca="1" si="77"/>
        <v>0</v>
      </c>
      <c r="N419" s="1244">
        <f t="shared" ca="1" si="77"/>
        <v>0</v>
      </c>
      <c r="O419" s="1244"/>
      <c r="P419" s="1244"/>
      <c r="Q419" s="1244"/>
      <c r="R419" s="1244"/>
      <c r="S419" s="1244"/>
      <c r="T419" s="1671"/>
      <c r="U419" s="1664" t="str">
        <f>IFERROR(VLOOKUP(B419,ChiTietDuToan!C:H,5,0),"")</f>
        <v>cái</v>
      </c>
      <c r="V419" s="2309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75" t="s">
        <v>570</v>
      </c>
      <c r="C420" s="67" t="str">
        <f t="shared" ca="1" si="72"/>
        <v xml:space="preserve"> </v>
      </c>
      <c r="D420" s="1240"/>
      <c r="E420" s="1246" t="str">
        <f>VLOOKUP($B420,DG!A:D,DG!$C$2,)</f>
        <v>Boulon 22x650+ 2 long đền vuông D24-50x50x3/Zn</v>
      </c>
      <c r="F420" s="1240" t="str">
        <f>VLOOKUP($B420,DG!A:D,DG!$D$2,)</f>
        <v>bộ</v>
      </c>
      <c r="G420" s="1918">
        <v>1</v>
      </c>
      <c r="H420" s="1244">
        <f ca="1">H$418*$G420</f>
        <v>0</v>
      </c>
      <c r="I420" s="1244">
        <f t="shared" ca="1" si="77"/>
        <v>0</v>
      </c>
      <c r="J420" s="1244">
        <f t="shared" ca="1" si="77"/>
        <v>0</v>
      </c>
      <c r="K420" s="1244">
        <f t="shared" si="77"/>
        <v>0</v>
      </c>
      <c r="L420" s="1244">
        <f t="shared" si="77"/>
        <v>0</v>
      </c>
      <c r="M420" s="1244">
        <f t="shared" ca="1" si="77"/>
        <v>0</v>
      </c>
      <c r="N420" s="1244">
        <f t="shared" ca="1" si="77"/>
        <v>0</v>
      </c>
      <c r="O420" s="1244"/>
      <c r="P420" s="1244"/>
      <c r="Q420" s="1244"/>
      <c r="R420" s="1244"/>
      <c r="S420" s="1244"/>
      <c r="T420" s="1671"/>
      <c r="U420" s="1664" t="str">
        <f>IFERROR(VLOOKUP(B420,ChiTietDuToan!C:H,5,0),"")</f>
        <v>bộ</v>
      </c>
      <c r="V420" s="2309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59" t="s">
        <v>1865</v>
      </c>
      <c r="C421" s="67" t="str">
        <f t="shared" ca="1" si="72"/>
        <v xml:space="preserve"> </v>
      </c>
      <c r="D421" s="1236">
        <f>VLOOKUP($B421,DG!A:D,DG!$B$2,)</f>
        <v>0</v>
      </c>
      <c r="E421" s="1241" t="str">
        <f>VLOOKUP($B421,DG!A:D,DG!$C$2,)</f>
        <v>Đá 2x4</v>
      </c>
      <c r="F421" s="1236" t="str">
        <f>VLOOKUP($B421,DG!A:D,DG!$D$2,)</f>
        <v>m3</v>
      </c>
      <c r="G421" s="1913">
        <v>0.42099999999999999</v>
      </c>
      <c r="H421" s="1245">
        <f t="shared" ref="H421:N421" ca="1" si="78">H$18*$G421</f>
        <v>0</v>
      </c>
      <c r="I421" s="1245">
        <f t="shared" ca="1" si="78"/>
        <v>0</v>
      </c>
      <c r="J421" s="1245">
        <f t="shared" ca="1" si="78"/>
        <v>0</v>
      </c>
      <c r="K421" s="1245">
        <f t="shared" ca="1" si="78"/>
        <v>0</v>
      </c>
      <c r="L421" s="1245">
        <f t="shared" si="78"/>
        <v>0</v>
      </c>
      <c r="M421" s="1245">
        <f t="shared" ca="1" si="78"/>
        <v>0</v>
      </c>
      <c r="N421" s="1245">
        <f t="shared" ca="1" si="78"/>
        <v>0</v>
      </c>
      <c r="O421" s="1245"/>
      <c r="P421" s="1245"/>
      <c r="Q421" s="1245"/>
      <c r="R421" s="1245"/>
      <c r="S421" s="1245"/>
      <c r="T421" s="1671"/>
      <c r="U421" s="1664" t="str">
        <f>IFERROR(VLOOKUP(B421,ChiTietDuToan!C:H,5,0),"")</f>
        <v>m3</v>
      </c>
      <c r="V421" s="2309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75" t="str">
        <f>IF(F5=1,"MDD1",IF(F5=2,"MDD2",IF(F5=3,"MDD3",IF(F5=4,"MDD4"))))</f>
        <v>MDD3</v>
      </c>
      <c r="C422" s="67" t="str">
        <f t="shared" si="72"/>
        <v xml:space="preserve"> </v>
      </c>
      <c r="D422" s="1240" t="str">
        <f>VLOOKUP($B422,DG!A:D,DG!$B$2,)</f>
        <v>03.1013</v>
      </c>
      <c r="E422" s="1241" t="str">
        <f>VLOOKUP($B422,DG!A:D,DG!$C$2,)</f>
        <v>Đào hố móng đất cấp 3 sâu &gt;1m DT&lt;5m2</v>
      </c>
      <c r="F422" s="1240" t="str">
        <f>VLOOKUP($B422,DG!A:D,DG!$D$2,)</f>
        <v>m3</v>
      </c>
      <c r="G422" s="1917">
        <v>3.3</v>
      </c>
      <c r="H422" s="1247"/>
      <c r="I422" s="1247"/>
      <c r="J422" s="1247"/>
      <c r="K422" s="1247"/>
      <c r="L422" s="1247"/>
      <c r="M422" s="1247"/>
      <c r="N422" s="1247"/>
      <c r="O422" s="1247"/>
      <c r="P422" s="1247"/>
      <c r="Q422" s="1247"/>
      <c r="R422" s="1247"/>
      <c r="S422" s="1247"/>
      <c r="T422" s="1671"/>
      <c r="U422" s="1664" t="str">
        <f>IFERROR(VLOOKUP(B422,ChiTietDuToan!C:H,5,0),"")</f>
        <v>m3</v>
      </c>
      <c r="V422" s="2309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75" t="str">
        <f>IF(F5=1,"MDAP1",IF(F5=2,"MDAP2",IF(F5=3,"MDAP3",IF(F5=4,"MDAP4"))))</f>
        <v>MDAP3</v>
      </c>
      <c r="C423" s="67" t="str">
        <f t="shared" si="72"/>
        <v xml:space="preserve"> </v>
      </c>
      <c r="D423" s="1240" t="str">
        <f>VLOOKUP($B423,DG!A:D,DG!$B$2,)</f>
        <v>03.4113</v>
      </c>
      <c r="E423" s="1241" t="str">
        <f>VLOOKUP($B423,DG!A:D,DG!$C$2,)</f>
        <v>Đắp đất hố móng, độ chặt k=0,95</v>
      </c>
      <c r="F423" s="1240" t="str">
        <f>VLOOKUP($B423,DG!A:D,DG!$D$2,)</f>
        <v>m3</v>
      </c>
      <c r="G423" s="1917">
        <v>3.49</v>
      </c>
      <c r="H423" s="1247"/>
      <c r="I423" s="1247"/>
      <c r="J423" s="1247"/>
      <c r="K423" s="1247"/>
      <c r="L423" s="1247"/>
      <c r="M423" s="1247"/>
      <c r="N423" s="1247"/>
      <c r="O423" s="1247"/>
      <c r="P423" s="1247"/>
      <c r="Q423" s="1247"/>
      <c r="R423" s="1247"/>
      <c r="S423" s="1247"/>
      <c r="T423" s="1671"/>
      <c r="U423" s="1664" t="str">
        <f>IFERROR(VLOOKUP(B423,ChiTietDuToan!C:H,5,0),"")</f>
        <v>m3</v>
      </c>
      <c r="V423" s="2309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75" t="s">
        <v>642</v>
      </c>
      <c r="C424" s="67" t="str">
        <f t="shared" si="72"/>
        <v xml:space="preserve"> </v>
      </c>
      <c r="D424" s="1240" t="str">
        <f>VLOOKUP($B424,DG!A:D,DG!$B$2,)</f>
        <v>02.1123</v>
      </c>
      <c r="E424" s="1241" t="str">
        <f>VLOOKUP($B424,DG!A:D,DG!$C$2,)</f>
        <v>Bốc dỡ đà cản, đế néo</v>
      </c>
      <c r="F424" s="1240" t="str">
        <f>VLOOKUP($B424,DG!A:D,DG!$D$2,)</f>
        <v>tấn</v>
      </c>
      <c r="G424" s="1917">
        <v>0.255</v>
      </c>
      <c r="H424" s="1244"/>
      <c r="I424" s="1244"/>
      <c r="J424" s="1244"/>
      <c r="K424" s="1244"/>
      <c r="L424" s="1244"/>
      <c r="M424" s="1244"/>
      <c r="N424" s="1244"/>
      <c r="O424" s="1244"/>
      <c r="P424" s="1244"/>
      <c r="Q424" s="1244"/>
      <c r="R424" s="1244"/>
      <c r="S424" s="1244"/>
      <c r="T424" s="1671"/>
      <c r="U424" s="1664" t="str">
        <f>IFERROR(VLOOKUP(B424,ChiTietDuToan!C:H,5,0),"")</f>
        <v/>
      </c>
      <c r="V424" s="2309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57" t="s">
        <v>2125</v>
      </c>
      <c r="C425" s="67" t="str">
        <f t="shared" si="72"/>
        <v xml:space="preserve"> </v>
      </c>
      <c r="D425" s="1240" t="str">
        <f>VLOOKUP($B425,DG!A:C,2,)</f>
        <v>02.1451</v>
      </c>
      <c r="E425" s="1241" t="str">
        <f>VLOOKUP($B425,DG!A:C,3,)</f>
        <v>V/c đà cản vào vị trí (cự ly &lt;=100m)</v>
      </c>
      <c r="F425" s="1240" t="str">
        <f>VLOOKUP($B425,DG!A:D,4,0)</f>
        <v>tấn</v>
      </c>
      <c r="G425" s="1917">
        <f>+G424</f>
        <v>0.255</v>
      </c>
      <c r="H425" s="1247"/>
      <c r="I425" s="1247"/>
      <c r="J425" s="1247"/>
      <c r="K425" s="1247"/>
      <c r="L425" s="1247"/>
      <c r="M425" s="1247"/>
      <c r="N425" s="1247"/>
      <c r="O425" s="1247"/>
      <c r="P425" s="1247"/>
      <c r="Q425" s="1247"/>
      <c r="R425" s="1247"/>
      <c r="S425" s="1247"/>
      <c r="T425" s="1671"/>
      <c r="U425" s="1664" t="str">
        <f>IFERROR(VLOOKUP(B425,ChiTietDuToan!C:H,5,0),"")</f>
        <v/>
      </c>
      <c r="V425" s="2309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74" t="s">
        <v>679</v>
      </c>
      <c r="C426" s="67" t="str">
        <f t="shared" si="72"/>
        <v xml:space="preserve"> </v>
      </c>
      <c r="D426" s="1236" t="str">
        <f>VLOOKUP($B426,DG!A:C,2,)</f>
        <v>02.1241</v>
      </c>
      <c r="E426" s="1241" t="str">
        <f>VLOOKUP($B426,DG!A:C,3,)</f>
        <v>V/c đá dăm ( cự ly &lt;=100m)</v>
      </c>
      <c r="F426" s="1236" t="str">
        <f>VLOOKUP($B426,DG!A:D,4,0)</f>
        <v>m3</v>
      </c>
      <c r="G426" s="1913">
        <f>G421</f>
        <v>0.42099999999999999</v>
      </c>
      <c r="H426" s="1250"/>
      <c r="I426" s="1250"/>
      <c r="J426" s="1250"/>
      <c r="K426" s="1250"/>
      <c r="L426" s="1250"/>
      <c r="M426" s="1250"/>
      <c r="N426" s="1250"/>
      <c r="O426" s="1250"/>
      <c r="P426" s="1250"/>
      <c r="Q426" s="1250"/>
      <c r="R426" s="1250"/>
      <c r="S426" s="1250"/>
      <c r="T426" s="1671"/>
      <c r="U426" s="1664" t="str">
        <f>IFERROR(VLOOKUP(B426,ChiTietDuToan!C:H,5,0),"")</f>
        <v/>
      </c>
      <c r="V426" s="2309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57" t="s">
        <v>640</v>
      </c>
      <c r="C427" s="67" t="str">
        <f t="shared" si="72"/>
        <v xml:space="preserve"> </v>
      </c>
      <c r="D427" s="1240" t="str">
        <f>VLOOKUP($B427,DG!A:C,2,)</f>
        <v>02.1482</v>
      </c>
      <c r="E427" s="1241" t="str">
        <f>VLOOKUP($B427,DG!A:C,3,)</f>
        <v>V/c dụng cụ thi công vào vị trí (cự ly &lt;=100m)</v>
      </c>
      <c r="F427" s="1240" t="str">
        <f>VLOOKUP($B427,DG!A:D,4,0)</f>
        <v>tấn</v>
      </c>
      <c r="G427" s="1917">
        <v>0.2</v>
      </c>
      <c r="H427" s="1247"/>
      <c r="I427" s="1247"/>
      <c r="J427" s="1247"/>
      <c r="K427" s="1247"/>
      <c r="L427" s="1247"/>
      <c r="M427" s="1247"/>
      <c r="N427" s="1247"/>
      <c r="O427" s="1247"/>
      <c r="P427" s="1247"/>
      <c r="Q427" s="1247"/>
      <c r="R427" s="1247"/>
      <c r="S427" s="1247"/>
      <c r="T427" s="1671"/>
      <c r="U427" s="1664" t="str">
        <f>IFERROR(VLOOKUP(B427,ChiTietDuToan!C:H,5,0),"")</f>
        <v/>
      </c>
      <c r="V427" s="2309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56"/>
      <c r="C428" s="65" t="str">
        <f t="shared" si="72"/>
        <v xml:space="preserve"> </v>
      </c>
      <c r="D428" s="1237"/>
      <c r="E428" s="1666" t="s">
        <v>2435</v>
      </c>
      <c r="F428" s="1238" t="s">
        <v>2391</v>
      </c>
      <c r="G428" s="1912"/>
      <c r="H428" s="1523">
        <f>SUM(I428:O428)+T428</f>
        <v>0</v>
      </c>
      <c r="I428" s="1239">
        <v>0</v>
      </c>
      <c r="J428" s="1239">
        <v>0</v>
      </c>
      <c r="K428" s="1239">
        <f>SUMIF(mong3p1m,chitiet!$A428,slmong3p1m)</f>
        <v>0</v>
      </c>
      <c r="L428" s="1239">
        <f>IFERROR(HLOOKUP(A428,pp1p!$6:$90,85,0),0)</f>
        <v>0</v>
      </c>
      <c r="M428" s="1239">
        <v>0</v>
      </c>
      <c r="N428" s="1239">
        <v>0</v>
      </c>
      <c r="O428" s="1239"/>
      <c r="P428" s="1239"/>
      <c r="Q428" s="1239"/>
      <c r="R428" s="1239"/>
      <c r="S428" s="1239"/>
      <c r="T428" s="1671"/>
      <c r="U428" s="1664">
        <f>IFERROR(VLOOKUP(B428,ChiTietDuToan!C:H,5,0),"")</f>
        <v>0</v>
      </c>
      <c r="V428" s="2309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57" t="s">
        <v>759</v>
      </c>
      <c r="C429" s="67" t="str">
        <f t="shared" si="72"/>
        <v xml:space="preserve"> </v>
      </c>
      <c r="D429" s="1240">
        <f>VLOOKUP($B429,DG!A:D,DG!$B$2,)</f>
        <v>0</v>
      </c>
      <c r="E429" s="1241" t="str">
        <f>VLOOKUP($B429,DG!A:D,DG!$C$2,)</f>
        <v xml:space="preserve">Ximăng </v>
      </c>
      <c r="F429" s="1240" t="str">
        <f>VLOOKUP($B429,DG!A:D,DG!$D$2,)</f>
        <v>kg</v>
      </c>
      <c r="G429" s="1919">
        <v>336</v>
      </c>
      <c r="H429" s="1244">
        <f>$H$428*$G429</f>
        <v>0</v>
      </c>
      <c r="I429" s="1244">
        <f>I$428*$G429</f>
        <v>0</v>
      </c>
      <c r="J429" s="1244">
        <f t="shared" ref="J429:O433" si="79">J$428*$G429</f>
        <v>0</v>
      </c>
      <c r="K429" s="1244">
        <f t="shared" si="79"/>
        <v>0</v>
      </c>
      <c r="L429" s="1244">
        <f t="shared" si="79"/>
        <v>0</v>
      </c>
      <c r="M429" s="1244">
        <f t="shared" si="79"/>
        <v>0</v>
      </c>
      <c r="N429" s="1244">
        <f t="shared" si="79"/>
        <v>0</v>
      </c>
      <c r="O429" s="1244">
        <f t="shared" si="79"/>
        <v>0</v>
      </c>
      <c r="P429" s="1244"/>
      <c r="Q429" s="1244"/>
      <c r="R429" s="1244"/>
      <c r="S429" s="1244"/>
      <c r="T429" s="1671"/>
      <c r="U429" s="1664" t="str">
        <f>IFERROR(VLOOKUP(B429,ChiTietDuToan!C:H,5,0),"")</f>
        <v>kg</v>
      </c>
      <c r="V429" s="2309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58" t="s">
        <v>4665</v>
      </c>
      <c r="C430" s="67" t="str">
        <f t="shared" si="72"/>
        <v xml:space="preserve"> </v>
      </c>
      <c r="D430" s="1240">
        <f>VLOOKUP($B430,DG!A:D,DG!$B$2,)</f>
        <v>0</v>
      </c>
      <c r="E430" s="1241" t="str">
        <f>VLOOKUP($B430,DG!A:D,DG!$C$2,)</f>
        <v>Cát vàng</v>
      </c>
      <c r="F430" s="1240" t="str">
        <f>VLOOKUP($B430,DG!A:D,DG!$D$2,)</f>
        <v>m3</v>
      </c>
      <c r="G430" s="1916">
        <v>0.53900000000000003</v>
      </c>
      <c r="H430" s="1244">
        <f t="shared" ref="H430:H444" si="80">$H$428*$G430</f>
        <v>0</v>
      </c>
      <c r="I430" s="1244">
        <f>I$428*$G430</f>
        <v>0</v>
      </c>
      <c r="J430" s="1244">
        <f t="shared" si="79"/>
        <v>0</v>
      </c>
      <c r="K430" s="1244">
        <f t="shared" si="79"/>
        <v>0</v>
      </c>
      <c r="L430" s="1244">
        <f t="shared" si="79"/>
        <v>0</v>
      </c>
      <c r="M430" s="1244">
        <f t="shared" si="79"/>
        <v>0</v>
      </c>
      <c r="N430" s="1244">
        <f t="shared" si="79"/>
        <v>0</v>
      </c>
      <c r="O430" s="1244">
        <f t="shared" si="79"/>
        <v>0</v>
      </c>
      <c r="P430" s="1242"/>
      <c r="Q430" s="1242"/>
      <c r="R430" s="1242"/>
      <c r="S430" s="1242"/>
      <c r="T430" s="1671"/>
      <c r="U430" s="1664" t="str">
        <f>IFERROR(VLOOKUP(B430,ChiTietDuToan!C:H,5,0),"")</f>
        <v>m3</v>
      </c>
      <c r="V430" s="2309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57" t="s">
        <v>884</v>
      </c>
      <c r="C431" s="67" t="str">
        <f t="shared" si="72"/>
        <v xml:space="preserve"> </v>
      </c>
      <c r="D431" s="1240">
        <f>VLOOKUP($B431,DG!A:D,DG!$B$2,)</f>
        <v>0</v>
      </c>
      <c r="E431" s="1241" t="str">
        <f>VLOOKUP($B431,DG!A:D,DG!$C$2,)</f>
        <v>Đá 1x2</v>
      </c>
      <c r="F431" s="1240" t="str">
        <f>VLOOKUP($B431,DG!A:D,DG!$D$2,)</f>
        <v>m3</v>
      </c>
      <c r="G431" s="1916">
        <v>0.999</v>
      </c>
      <c r="H431" s="1244">
        <f t="shared" si="80"/>
        <v>0</v>
      </c>
      <c r="I431" s="1244">
        <f>I$428*$G431</f>
        <v>0</v>
      </c>
      <c r="J431" s="1244">
        <f t="shared" si="79"/>
        <v>0</v>
      </c>
      <c r="K431" s="1244">
        <f t="shared" si="79"/>
        <v>0</v>
      </c>
      <c r="L431" s="1244">
        <f t="shared" si="79"/>
        <v>0</v>
      </c>
      <c r="M431" s="1244">
        <f t="shared" si="79"/>
        <v>0</v>
      </c>
      <c r="N431" s="1244">
        <f t="shared" si="79"/>
        <v>0</v>
      </c>
      <c r="O431" s="1244">
        <f t="shared" si="79"/>
        <v>0</v>
      </c>
      <c r="P431" s="1242"/>
      <c r="Q431" s="1242"/>
      <c r="R431" s="1242"/>
      <c r="S431" s="1242"/>
      <c r="T431" s="1671"/>
      <c r="U431" s="1664" t="str">
        <f>IFERROR(VLOOKUP(B431,ChiTietDuToan!C:H,5,0),"")</f>
        <v/>
      </c>
      <c r="V431" s="2309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57" t="s">
        <v>1025</v>
      </c>
      <c r="C432" s="67" t="str">
        <f t="shared" si="72"/>
        <v xml:space="preserve"> </v>
      </c>
      <c r="D432" s="1240">
        <f>VLOOKUP($B432,DG!A:D,DG!$B$2,)</f>
        <v>0</v>
      </c>
      <c r="E432" s="1246" t="str">
        <f>VLOOKUP($B432,DG!A:D,DG!$C$2,)</f>
        <v>Sắt   Ø10</v>
      </c>
      <c r="F432" s="1240" t="str">
        <f>VLOOKUP($B432,DG!A:D,DG!$D$2,)</f>
        <v>kg</v>
      </c>
      <c r="G432" s="1916">
        <v>31.1</v>
      </c>
      <c r="H432" s="1244">
        <f t="shared" si="80"/>
        <v>0</v>
      </c>
      <c r="I432" s="1244">
        <f>I$428*$G432</f>
        <v>0</v>
      </c>
      <c r="J432" s="1244">
        <f t="shared" si="79"/>
        <v>0</v>
      </c>
      <c r="K432" s="1244">
        <f t="shared" si="79"/>
        <v>0</v>
      </c>
      <c r="L432" s="1244">
        <f t="shared" si="79"/>
        <v>0</v>
      </c>
      <c r="M432" s="1244">
        <f t="shared" si="79"/>
        <v>0</v>
      </c>
      <c r="N432" s="1244">
        <f t="shared" si="79"/>
        <v>0</v>
      </c>
      <c r="O432" s="1244">
        <f t="shared" si="79"/>
        <v>0</v>
      </c>
      <c r="P432" s="1242"/>
      <c r="Q432" s="1242"/>
      <c r="R432" s="1242"/>
      <c r="S432" s="1242"/>
      <c r="T432" s="1671"/>
      <c r="U432" s="1664" t="str">
        <f>IFERROR(VLOOKUP(B432,ChiTietDuToan!C:H,5,0),"")</f>
        <v/>
      </c>
      <c r="V432" s="2309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57" t="s">
        <v>1026</v>
      </c>
      <c r="C433" s="67" t="str">
        <f t="shared" si="72"/>
        <v xml:space="preserve"> </v>
      </c>
      <c r="D433" s="1240">
        <f>VLOOKUP($B433,DG!A:D,DG!$B$2,)</f>
        <v>0</v>
      </c>
      <c r="E433" s="1246" t="str">
        <f>VLOOKUP($B433,DG!A:D,DG!$C$2,)</f>
        <v>Kẽm</v>
      </c>
      <c r="F433" s="1240" t="str">
        <f>VLOOKUP($B433,DG!A:D,DG!$D$2,)</f>
        <v>kg</v>
      </c>
      <c r="G433" s="1916">
        <v>0.67</v>
      </c>
      <c r="H433" s="1244">
        <f t="shared" si="80"/>
        <v>0</v>
      </c>
      <c r="I433" s="1244">
        <f>I$428*$G433</f>
        <v>0</v>
      </c>
      <c r="J433" s="1244">
        <f t="shared" si="79"/>
        <v>0</v>
      </c>
      <c r="K433" s="1244">
        <f t="shared" si="79"/>
        <v>0</v>
      </c>
      <c r="L433" s="1244">
        <f t="shared" si="79"/>
        <v>0</v>
      </c>
      <c r="M433" s="1244">
        <f t="shared" si="79"/>
        <v>0</v>
      </c>
      <c r="N433" s="1244">
        <f t="shared" si="79"/>
        <v>0</v>
      </c>
      <c r="O433" s="1244">
        <f t="shared" si="79"/>
        <v>0</v>
      </c>
      <c r="P433" s="1242"/>
      <c r="Q433" s="1242"/>
      <c r="R433" s="1242"/>
      <c r="S433" s="1242"/>
      <c r="T433" s="1671"/>
      <c r="U433" s="1664" t="str">
        <f>IFERROR(VLOOKUP(B433,ChiTietDuToan!C:H,5,0),"")</f>
        <v/>
      </c>
      <c r="V433" s="2309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57" t="s">
        <v>644</v>
      </c>
      <c r="C434" s="67" t="str">
        <f t="shared" si="72"/>
        <v xml:space="preserve"> </v>
      </c>
      <c r="D434" s="1240" t="str">
        <f>VLOOKUP($B434,DG!A:D,DG!$B$2,)</f>
        <v>03.1013</v>
      </c>
      <c r="E434" s="1241" t="str">
        <f>VLOOKUP($B434,DG!A:D,DG!$C$2,)</f>
        <v>Đào hố móng đất cấp 3 sâu &gt;1m DT&lt;5m2</v>
      </c>
      <c r="F434" s="1240" t="str">
        <f>VLOOKUP($B434,DG!A:D,DG!$D$2,)</f>
        <v>m3</v>
      </c>
      <c r="G434" s="1916">
        <v>1.36</v>
      </c>
      <c r="H434" s="1244">
        <f t="shared" si="80"/>
        <v>0</v>
      </c>
      <c r="I434" s="1247"/>
      <c r="J434" s="1247"/>
      <c r="K434" s="1247"/>
      <c r="L434" s="1247"/>
      <c r="M434" s="1247"/>
      <c r="N434" s="1247"/>
      <c r="O434" s="1247"/>
      <c r="P434" s="1247"/>
      <c r="Q434" s="1247"/>
      <c r="R434" s="1247"/>
      <c r="S434" s="1247"/>
      <c r="T434" s="1671"/>
      <c r="U434" s="1664" t="str">
        <f>IFERROR(VLOOKUP(B434,ChiTietDuToan!C:H,5,0),"")</f>
        <v>m3</v>
      </c>
      <c r="V434" s="2309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57" t="s">
        <v>21</v>
      </c>
      <c r="C435" s="67" t="str">
        <f t="shared" si="72"/>
        <v xml:space="preserve"> </v>
      </c>
      <c r="D435" s="1240" t="str">
        <f>VLOOKUP($B435,DG!A:D,DG!$B$2,)</f>
        <v>03.4113</v>
      </c>
      <c r="E435" s="1241" t="str">
        <f>VLOOKUP($B435,DG!A:D,DG!$C$2,)</f>
        <v>Đắp đất hố móng, độ chặt k=0,95</v>
      </c>
      <c r="F435" s="1240" t="str">
        <f>VLOOKUP($B435,DG!A:D,DG!$D$2,)</f>
        <v>m3</v>
      </c>
      <c r="G435" s="1916">
        <v>0</v>
      </c>
      <c r="H435" s="1244">
        <f t="shared" si="80"/>
        <v>0</v>
      </c>
      <c r="I435" s="1247"/>
      <c r="J435" s="1247"/>
      <c r="K435" s="1247"/>
      <c r="L435" s="1247"/>
      <c r="M435" s="1247"/>
      <c r="N435" s="1247"/>
      <c r="O435" s="1247"/>
      <c r="P435" s="1247"/>
      <c r="Q435" s="1247"/>
      <c r="R435" s="1247"/>
      <c r="S435" s="1247"/>
      <c r="T435" s="1671"/>
      <c r="U435" s="1664" t="str">
        <f>IFERROR(VLOOKUP(B435,ChiTietDuToan!C:H,5,0),"")</f>
        <v>m3</v>
      </c>
      <c r="V435" s="2309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57" t="s">
        <v>1326</v>
      </c>
      <c r="C436" s="67" t="str">
        <f t="shared" si="72"/>
        <v xml:space="preserve"> </v>
      </c>
      <c r="D436" s="1240" t="str">
        <f>VLOOKUP($B436,DG!A:D,DG!$B$2,)</f>
        <v>02.1101</v>
      </c>
      <c r="E436" s="1241" t="str">
        <f>VLOOKUP($B436,DG!A:D,DG!$C$2,)</f>
        <v>Bốc dỡ xi măng</v>
      </c>
      <c r="F436" s="1240" t="str">
        <f>VLOOKUP($B436,DG!A:D,DG!$D$2,)</f>
        <v>tấn</v>
      </c>
      <c r="G436" s="1916"/>
      <c r="H436" s="1244">
        <f t="shared" si="80"/>
        <v>0</v>
      </c>
      <c r="I436" s="1247"/>
      <c r="J436" s="1247"/>
      <c r="K436" s="1247"/>
      <c r="L436" s="1247"/>
      <c r="M436" s="1247"/>
      <c r="N436" s="1247"/>
      <c r="O436" s="1247"/>
      <c r="P436" s="1247"/>
      <c r="Q436" s="1247"/>
      <c r="R436" s="1247"/>
      <c r="S436" s="1247"/>
      <c r="T436" s="1671"/>
      <c r="U436" s="1664" t="str">
        <f>IFERROR(VLOOKUP(B436,ChiTietDuToan!C:H,5,0),"")</f>
        <v/>
      </c>
      <c r="V436" s="2309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57" t="s">
        <v>134</v>
      </c>
      <c r="C437" s="67" t="str">
        <f t="shared" si="72"/>
        <v xml:space="preserve"> </v>
      </c>
      <c r="D437" s="1240" t="str">
        <f>VLOOKUP($B437,DG!A:D,DG!$B$2,)</f>
        <v>02.1103</v>
      </c>
      <c r="E437" s="1241" t="str">
        <f>VLOOKUP($B437,DG!A:D,DG!$C$2,)</f>
        <v>Bốc dỡ cát</v>
      </c>
      <c r="F437" s="1240" t="str">
        <f>VLOOKUP($B437,DG!A:D,DG!$D$2,)</f>
        <v>m3</v>
      </c>
      <c r="G437" s="1916"/>
      <c r="H437" s="1244">
        <f t="shared" si="80"/>
        <v>0</v>
      </c>
      <c r="I437" s="1247"/>
      <c r="J437" s="1247"/>
      <c r="K437" s="1247"/>
      <c r="L437" s="1247"/>
      <c r="M437" s="1247"/>
      <c r="N437" s="1247"/>
      <c r="O437" s="1247"/>
      <c r="P437" s="1247"/>
      <c r="Q437" s="1247"/>
      <c r="R437" s="1247"/>
      <c r="S437" s="1247"/>
      <c r="T437" s="1671"/>
      <c r="U437" s="1664" t="str">
        <f>IFERROR(VLOOKUP(B437,ChiTietDuToan!C:H,5,0),"")</f>
        <v/>
      </c>
      <c r="V437" s="2309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57" t="s">
        <v>136</v>
      </c>
      <c r="C438" s="67" t="str">
        <f t="shared" si="72"/>
        <v xml:space="preserve"> </v>
      </c>
      <c r="D438" s="1240" t="str">
        <f>VLOOKUP($B438,DG!A:D,DG!$B$2,)</f>
        <v>02.1104</v>
      </c>
      <c r="E438" s="1241" t="str">
        <f>VLOOKUP($B438,DG!A:D,DG!$C$2,)</f>
        <v>Bốc dỡ đá dăm</v>
      </c>
      <c r="F438" s="1240" t="str">
        <f>VLOOKUP($B438,DG!A:D,DG!$D$2,)</f>
        <v>m3</v>
      </c>
      <c r="G438" s="1916"/>
      <c r="H438" s="1244">
        <f t="shared" si="80"/>
        <v>0</v>
      </c>
      <c r="I438" s="1247"/>
      <c r="J438" s="1247"/>
      <c r="K438" s="1247"/>
      <c r="L438" s="1247"/>
      <c r="M438" s="1247"/>
      <c r="N438" s="1247"/>
      <c r="O438" s="1247"/>
      <c r="P438" s="1247"/>
      <c r="Q438" s="1247"/>
      <c r="R438" s="1247"/>
      <c r="S438" s="1247"/>
      <c r="T438" s="1671"/>
      <c r="U438" s="1664" t="str">
        <f>IFERROR(VLOOKUP(B438,ChiTietDuToan!C:H,5,0),"")</f>
        <v/>
      </c>
      <c r="V438" s="2309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57" t="s">
        <v>498</v>
      </c>
      <c r="C439" s="67" t="str">
        <f t="shared" si="72"/>
        <v xml:space="preserve"> </v>
      </c>
      <c r="D439" s="1240" t="str">
        <f>VLOOKUP($B439,DG!A:D,DG!$B$2,)</f>
        <v>02.1211</v>
      </c>
      <c r="E439" s="1241" t="str">
        <f>VLOOKUP($B439,DG!A:D,DG!$C$2,)</f>
        <v>V/c xi măng ( cự ly &lt;=100m)</v>
      </c>
      <c r="F439" s="1240" t="str">
        <f>VLOOKUP($B439,DG!A:D,DG!$D$2,)</f>
        <v>tấn</v>
      </c>
      <c r="G439" s="1916"/>
      <c r="H439" s="1244">
        <f t="shared" si="80"/>
        <v>0</v>
      </c>
      <c r="I439" s="1247"/>
      <c r="J439" s="1247"/>
      <c r="K439" s="1247"/>
      <c r="L439" s="1247"/>
      <c r="M439" s="1247"/>
      <c r="N439" s="1247"/>
      <c r="O439" s="1247"/>
      <c r="P439" s="1247"/>
      <c r="Q439" s="1247"/>
      <c r="R439" s="1247"/>
      <c r="S439" s="1247"/>
      <c r="T439" s="1671"/>
      <c r="U439" s="1664" t="str">
        <f>IFERROR(VLOOKUP(B439,ChiTietDuToan!C:H,5,0),"")</f>
        <v/>
      </c>
      <c r="V439" s="2309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57" t="s">
        <v>1663</v>
      </c>
      <c r="C440" s="67" t="str">
        <f t="shared" si="72"/>
        <v xml:space="preserve"> </v>
      </c>
      <c r="D440" s="1240" t="str">
        <f>VLOOKUP($B440,DG!A:D,DG!$B$2,)</f>
        <v>02.1231</v>
      </c>
      <c r="E440" s="1241" t="str">
        <f>VLOOKUP($B440,DG!A:D,DG!$C$2,)</f>
        <v>V/c cát vàng cự ly &lt;=100m</v>
      </c>
      <c r="F440" s="1240" t="str">
        <f>VLOOKUP($B440,DG!A:D,DG!$D$2,)</f>
        <v>m3</v>
      </c>
      <c r="G440" s="1916"/>
      <c r="H440" s="1244">
        <f t="shared" si="80"/>
        <v>0</v>
      </c>
      <c r="I440" s="1247"/>
      <c r="J440" s="1247"/>
      <c r="K440" s="1247"/>
      <c r="L440" s="1247"/>
      <c r="M440" s="1247"/>
      <c r="N440" s="1247"/>
      <c r="O440" s="1247"/>
      <c r="P440" s="1247"/>
      <c r="Q440" s="1247"/>
      <c r="R440" s="1247"/>
      <c r="S440" s="1247"/>
      <c r="T440" s="1671"/>
      <c r="U440" s="1664" t="str">
        <f>IFERROR(VLOOKUP(B440,ChiTietDuToan!C:H,5,0),"")</f>
        <v/>
      </c>
      <c r="V440" s="2309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57" t="s">
        <v>524</v>
      </c>
      <c r="C441" s="67" t="str">
        <f t="shared" si="72"/>
        <v xml:space="preserve"> </v>
      </c>
      <c r="D441" s="1240" t="str">
        <f>VLOOKUP($B441,DG!A:D,DG!$B$2,)</f>
        <v>02.1241</v>
      </c>
      <c r="E441" s="1241" t="str">
        <f>VLOOKUP($B441,DG!A:D,DG!$C$2,)</f>
        <v>V/c đá dăm ( cự ly &lt;=100m)</v>
      </c>
      <c r="F441" s="1240" t="str">
        <f>VLOOKUP($B441,DG!A:D,DG!$D$2,)</f>
        <v>m3</v>
      </c>
      <c r="G441" s="1916"/>
      <c r="H441" s="1244">
        <f t="shared" si="80"/>
        <v>0</v>
      </c>
      <c r="I441" s="1247"/>
      <c r="J441" s="1247"/>
      <c r="K441" s="1247"/>
      <c r="L441" s="1247"/>
      <c r="M441" s="1247"/>
      <c r="N441" s="1247"/>
      <c r="O441" s="1247"/>
      <c r="P441" s="1247"/>
      <c r="Q441" s="1247"/>
      <c r="R441" s="1247"/>
      <c r="S441" s="1247"/>
      <c r="T441" s="1671"/>
      <c r="U441" s="1664" t="str">
        <f>IFERROR(VLOOKUP(B441,ChiTietDuToan!C:H,5,0),"")</f>
        <v/>
      </c>
      <c r="V441" s="2309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57" t="s">
        <v>2034</v>
      </c>
      <c r="C442" s="67" t="str">
        <f t="shared" si="72"/>
        <v xml:space="preserve"> </v>
      </c>
      <c r="D442" s="1240" t="str">
        <f>VLOOKUP($B442,DG!A:D,DG!$B$2,)</f>
        <v>02.1482</v>
      </c>
      <c r="E442" s="1241" t="str">
        <f>VLOOKUP($B442,DG!A:D,DG!$C$2,)</f>
        <v>V/c dụng cụ thi công ( cự ly &lt;=100m)</v>
      </c>
      <c r="F442" s="1240" t="str">
        <f>VLOOKUP($B442,DG!A:D,DG!$D$2,)</f>
        <v>tấn</v>
      </c>
      <c r="G442" s="1916"/>
      <c r="H442" s="1244">
        <f t="shared" si="80"/>
        <v>0</v>
      </c>
      <c r="I442" s="1247"/>
      <c r="J442" s="1247"/>
      <c r="K442" s="1247"/>
      <c r="L442" s="1247"/>
      <c r="M442" s="1247"/>
      <c r="N442" s="1247"/>
      <c r="O442" s="1247"/>
      <c r="P442" s="1247"/>
      <c r="Q442" s="1247"/>
      <c r="R442" s="1247"/>
      <c r="S442" s="1247"/>
      <c r="T442" s="1671"/>
      <c r="U442" s="1664" t="str">
        <f>IFERROR(VLOOKUP(B442,ChiTietDuToan!C:H,5,0),"")</f>
        <v/>
      </c>
      <c r="V442" s="2309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57" t="s">
        <v>1027</v>
      </c>
      <c r="C443" s="67" t="str">
        <f t="shared" si="72"/>
        <v xml:space="preserve"> </v>
      </c>
      <c r="D443" s="1240" t="str">
        <f>VLOOKUP($B443,DG!A:D,DG!$B$2,)</f>
        <v>04.5101</v>
      </c>
      <c r="E443" s="1241" t="str">
        <f>VLOOKUP($B443,DG!A:D,DG!$C$2,)</f>
        <v>Gia công và lắp dựng cốt thép D&lt;=10</v>
      </c>
      <c r="F443" s="1240" t="str">
        <f>VLOOKUP($B443,DG!A:D,DG!$D$2,)</f>
        <v>kg</v>
      </c>
      <c r="G443" s="1916">
        <f>G432</f>
        <v>31.1</v>
      </c>
      <c r="H443" s="1244">
        <f t="shared" si="80"/>
        <v>0</v>
      </c>
      <c r="I443" s="1247"/>
      <c r="J443" s="1247"/>
      <c r="K443" s="1247"/>
      <c r="L443" s="1247"/>
      <c r="M443" s="1247"/>
      <c r="N443" s="1247"/>
      <c r="O443" s="1247"/>
      <c r="P443" s="1247"/>
      <c r="Q443" s="1247"/>
      <c r="R443" s="1247"/>
      <c r="S443" s="1247"/>
      <c r="T443" s="1671"/>
      <c r="U443" s="1664" t="str">
        <f>IFERROR(VLOOKUP(B443,ChiTietDuToan!C:H,5,0),"")</f>
        <v/>
      </c>
      <c r="V443" s="2309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57" t="s">
        <v>1888</v>
      </c>
      <c r="C444" s="67" t="str">
        <f t="shared" si="72"/>
        <v xml:space="preserve"> </v>
      </c>
      <c r="D444" s="1240" t="str">
        <f>VLOOKUP($B444,DG!A:D,DG!$B$2,)</f>
        <v>04.1203b</v>
      </c>
      <c r="E444" s="1241" t="str">
        <f>VLOOKUP($B444,DG!A:D,DG!$C$2,)</f>
        <v>Đổ bê tông mác M150 đá 1x2</v>
      </c>
      <c r="F444" s="1240" t="str">
        <f>VLOOKUP($B444,DG!A:D,DG!$D$2,)</f>
        <v>m3</v>
      </c>
      <c r="G444" s="1916">
        <v>1.1339999999999999</v>
      </c>
      <c r="H444" s="1244">
        <f t="shared" si="80"/>
        <v>0</v>
      </c>
      <c r="I444" s="1247"/>
      <c r="J444" s="1247"/>
      <c r="K444" s="1247"/>
      <c r="L444" s="1247"/>
      <c r="M444" s="1247"/>
      <c r="N444" s="1247"/>
      <c r="O444" s="1247"/>
      <c r="P444" s="1247"/>
      <c r="Q444" s="1247"/>
      <c r="R444" s="1247"/>
      <c r="S444" s="1247"/>
      <c r="T444" s="1671"/>
      <c r="U444" s="1664" t="str">
        <f>IFERROR(VLOOKUP(B444,ChiTietDuToan!C:H,5,0),"")</f>
        <v/>
      </c>
      <c r="V444" s="2309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56"/>
      <c r="C445" s="65" t="str">
        <f t="shared" ca="1" si="72"/>
        <v xml:space="preserve"> </v>
      </c>
      <c r="D445" s="1237"/>
      <c r="E445" s="1666" t="s">
        <v>2436</v>
      </c>
      <c r="F445" s="1238" t="s">
        <v>2391</v>
      </c>
      <c r="G445" s="1912"/>
      <c r="H445" s="1523">
        <f ca="1">SUM(I445:O445)+T445</f>
        <v>0</v>
      </c>
      <c r="I445" s="1239">
        <f ca="1">SUMIF(mong3pm,chitiet!$A445,slmong3pm)</f>
        <v>0</v>
      </c>
      <c r="J445" s="1239">
        <f ca="1">SUMIF(mongct,chitiet!$A445,slmongct)</f>
        <v>0</v>
      </c>
      <c r="K445" s="1239">
        <f>+SUMIF(mong3p1m,chitiet!$A445,slmong3p1m)</f>
        <v>0</v>
      </c>
      <c r="L445" s="1239">
        <f>IFERROR(HLOOKUP(A445,pp1p!$6:$90,85,0),0)</f>
        <v>0</v>
      </c>
      <c r="M445" s="1239">
        <f ca="1">SUMIF(mongHTHH,chitiet!$A445,slmongHTHH)</f>
        <v>0</v>
      </c>
      <c r="N445" s="1239">
        <f ca="1">SUMIF(mongHTDL,chitiet!$A445,slmongHTDL)</f>
        <v>0</v>
      </c>
      <c r="O445" s="1239"/>
      <c r="P445" s="1239"/>
      <c r="Q445" s="1239"/>
      <c r="R445" s="1239"/>
      <c r="S445" s="1239"/>
      <c r="T445" s="1671"/>
      <c r="U445" s="1664">
        <f>IFERROR(VLOOKUP(B445,ChiTietDuToan!C:H,5,0),"")</f>
        <v>0</v>
      </c>
      <c r="V445" s="2309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75" t="s">
        <v>641</v>
      </c>
      <c r="C446" s="67" t="str">
        <f t="shared" ca="1" si="72"/>
        <v xml:space="preserve"> </v>
      </c>
      <c r="D446" s="1236" t="str">
        <f>VLOOKUP($B446,DG!A:D,DG!$B$2,)</f>
        <v>04.4001</v>
      </c>
      <c r="E446" s="1246" t="str">
        <f>VLOOKUP($B446,DG!A:D,DG!$C$2,)</f>
        <v>Đà cản BTCT 1,2m</v>
      </c>
      <c r="F446" s="1240" t="str">
        <f>VLOOKUP($B446,DG!A:D,DG!$D$2,)</f>
        <v>cái</v>
      </c>
      <c r="G446" s="1918">
        <v>2</v>
      </c>
      <c r="H446" s="1244">
        <f t="shared" ref="H446:J447" ca="1" si="81">H$445*$G446</f>
        <v>0</v>
      </c>
      <c r="I446" s="1244">
        <f t="shared" ca="1" si="81"/>
        <v>0</v>
      </c>
      <c r="J446" s="1244">
        <f t="shared" ca="1" si="81"/>
        <v>0</v>
      </c>
      <c r="K446" s="1244">
        <f t="shared" ref="K446:N447" si="82">K$445*$G446</f>
        <v>0</v>
      </c>
      <c r="L446" s="1244">
        <f t="shared" si="82"/>
        <v>0</v>
      </c>
      <c r="M446" s="1244">
        <f t="shared" ca="1" si="82"/>
        <v>0</v>
      </c>
      <c r="N446" s="1244">
        <f t="shared" ca="1" si="82"/>
        <v>0</v>
      </c>
      <c r="O446" s="1244"/>
      <c r="P446" s="1244"/>
      <c r="Q446" s="1244"/>
      <c r="R446" s="1244"/>
      <c r="S446" s="1244"/>
      <c r="T446" s="1671"/>
      <c r="U446" s="1664" t="str">
        <f>IFERROR(VLOOKUP(B446,ChiTietDuToan!C:H,5,0),"")</f>
        <v>cái</v>
      </c>
      <c r="V446" s="2309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75" t="s">
        <v>570</v>
      </c>
      <c r="C447" s="67" t="str">
        <f t="shared" ca="1" si="72"/>
        <v xml:space="preserve"> </v>
      </c>
      <c r="D447" s="1240"/>
      <c r="E447" s="1246" t="str">
        <f>VLOOKUP($B447,DG!A:D,DG!$C$2,)</f>
        <v>Boulon 22x650+ 2 long đền vuông D24-50x50x3/Zn</v>
      </c>
      <c r="F447" s="1240" t="str">
        <f>VLOOKUP($B447,DG!A:D,DG!$D$2,)</f>
        <v>bộ</v>
      </c>
      <c r="G447" s="1918">
        <v>2</v>
      </c>
      <c r="H447" s="1244">
        <f t="shared" ca="1" si="81"/>
        <v>0</v>
      </c>
      <c r="I447" s="1244">
        <f t="shared" ca="1" si="81"/>
        <v>0</v>
      </c>
      <c r="J447" s="1244">
        <f t="shared" ca="1" si="81"/>
        <v>0</v>
      </c>
      <c r="K447" s="1244">
        <f t="shared" si="82"/>
        <v>0</v>
      </c>
      <c r="L447" s="1244">
        <f t="shared" si="82"/>
        <v>0</v>
      </c>
      <c r="M447" s="1244">
        <f t="shared" ca="1" si="82"/>
        <v>0</v>
      </c>
      <c r="N447" s="1244">
        <f t="shared" ca="1" si="82"/>
        <v>0</v>
      </c>
      <c r="O447" s="1244"/>
      <c r="P447" s="1244"/>
      <c r="Q447" s="1244"/>
      <c r="R447" s="1244"/>
      <c r="S447" s="1244"/>
      <c r="T447" s="1671"/>
      <c r="U447" s="1664" t="str">
        <f>IFERROR(VLOOKUP(B447,ChiTietDuToan!C:H,5,0),"")</f>
        <v>bộ</v>
      </c>
      <c r="V447" s="2309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75" t="str">
        <f>IF(F5=1,"MDD1",IF(F5=2,"MDD2",IF(F5=3,"MDD3",IF(F5=4,"MDD4"))))</f>
        <v>MDD3</v>
      </c>
      <c r="C448" s="67" t="str">
        <f t="shared" si="72"/>
        <v xml:space="preserve"> </v>
      </c>
      <c r="D448" s="1240" t="str">
        <f>VLOOKUP($B448,DG!A:D,DG!$B$2,)</f>
        <v>03.1013</v>
      </c>
      <c r="E448" s="1241" t="str">
        <f>VLOOKUP($B448,DG!A:D,DG!$C$2,)</f>
        <v>Đào hố móng đất cấp 3 sâu &gt;1m DT&lt;5m2</v>
      </c>
      <c r="F448" s="1240" t="str">
        <f>VLOOKUP($B448,DG!A:D,DG!$D$2,)</f>
        <v>m3</v>
      </c>
      <c r="G448" s="1917">
        <v>10.33</v>
      </c>
      <c r="H448" s="1247"/>
      <c r="I448" s="1247"/>
      <c r="J448" s="1247"/>
      <c r="K448" s="1247"/>
      <c r="L448" s="1247"/>
      <c r="M448" s="1247"/>
      <c r="N448" s="1247"/>
      <c r="O448" s="1247"/>
      <c r="P448" s="1247"/>
      <c r="Q448" s="1247"/>
      <c r="R448" s="1247"/>
      <c r="S448" s="1247"/>
      <c r="T448" s="1671"/>
      <c r="U448" s="1664" t="str">
        <f>IFERROR(VLOOKUP(B448,ChiTietDuToan!C:H,5,0),"")</f>
        <v>m3</v>
      </c>
      <c r="V448" s="2309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75" t="str">
        <f>IF(F5=1,"MDAP1",IF(F5=2,"MDAP2",IF(F5=3,"MDAP3",IF(F5=4,"MDAP4"))))</f>
        <v>MDAP3</v>
      </c>
      <c r="C449" s="67" t="str">
        <f t="shared" si="72"/>
        <v xml:space="preserve"> </v>
      </c>
      <c r="D449" s="1240" t="str">
        <f>VLOOKUP($B449,DG!A:D,DG!$B$2,)</f>
        <v>03.4113</v>
      </c>
      <c r="E449" s="1241" t="str">
        <f>VLOOKUP($B449,DG!A:D,DG!$C$2,)</f>
        <v>Đắp đất hố móng, độ chặt k=0,95</v>
      </c>
      <c r="F449" s="1240" t="str">
        <f>VLOOKUP($B449,DG!A:D,DG!$D$2,)</f>
        <v>m3</v>
      </c>
      <c r="G449" s="1917">
        <v>11.93</v>
      </c>
      <c r="H449" s="1247"/>
      <c r="I449" s="1247"/>
      <c r="J449" s="1247"/>
      <c r="K449" s="1247"/>
      <c r="L449" s="1247"/>
      <c r="M449" s="1247"/>
      <c r="N449" s="1247"/>
      <c r="O449" s="1247"/>
      <c r="P449" s="1247"/>
      <c r="Q449" s="1247"/>
      <c r="R449" s="1247"/>
      <c r="S449" s="1247"/>
      <c r="T449" s="1671"/>
      <c r="U449" s="1664" t="str">
        <f>IFERROR(VLOOKUP(B449,ChiTietDuToan!C:H,5,0),"")</f>
        <v>m3</v>
      </c>
      <c r="V449" s="2309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75" t="s">
        <v>642</v>
      </c>
      <c r="C450" s="67" t="str">
        <f t="shared" si="72"/>
        <v xml:space="preserve"> </v>
      </c>
      <c r="D450" s="1240" t="str">
        <f>VLOOKUP($B450,DG!A:D,DG!$B$2,)</f>
        <v>02.1123</v>
      </c>
      <c r="E450" s="1241" t="str">
        <f>VLOOKUP($B450,DG!A:D,DG!$C$2,)</f>
        <v>Bốc dỡ đà cản, đế néo</v>
      </c>
      <c r="F450" s="1240" t="str">
        <f>VLOOKUP($B450,DG!A:D,DG!$D$2,)</f>
        <v>tấn</v>
      </c>
      <c r="G450" s="1917">
        <f>0.1*G446</f>
        <v>0.2</v>
      </c>
      <c r="H450" s="1244"/>
      <c r="I450" s="1244"/>
      <c r="J450" s="1244"/>
      <c r="K450" s="1244"/>
      <c r="L450" s="1244"/>
      <c r="M450" s="1244"/>
      <c r="N450" s="1244"/>
      <c r="O450" s="1244"/>
      <c r="P450" s="1244"/>
      <c r="Q450" s="1244"/>
      <c r="R450" s="1244"/>
      <c r="S450" s="1244"/>
      <c r="T450" s="1671"/>
      <c r="U450" s="1664" t="str">
        <f>IFERROR(VLOOKUP(B450,ChiTietDuToan!C:H,5,0),"")</f>
        <v/>
      </c>
      <c r="V450" s="2309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57" t="s">
        <v>2125</v>
      </c>
      <c r="C451" s="67" t="str">
        <f t="shared" si="72"/>
        <v xml:space="preserve"> </v>
      </c>
      <c r="D451" s="1240" t="str">
        <f>VLOOKUP($B451,DG!A:C,2,)</f>
        <v>02.1451</v>
      </c>
      <c r="E451" s="1241" t="str">
        <f>VLOOKUP($B451,DG!A:C,3,)</f>
        <v>V/c đà cản vào vị trí (cự ly &lt;=100m)</v>
      </c>
      <c r="F451" s="1240" t="str">
        <f>VLOOKUP($B451,DG!A:D,4,0)</f>
        <v>tấn</v>
      </c>
      <c r="G451" s="1917">
        <f>+G450</f>
        <v>0.2</v>
      </c>
      <c r="H451" s="1247"/>
      <c r="I451" s="1247"/>
      <c r="J451" s="1247"/>
      <c r="K451" s="1247"/>
      <c r="L451" s="1247"/>
      <c r="M451" s="1247"/>
      <c r="N451" s="1247"/>
      <c r="O451" s="1247"/>
      <c r="P451" s="1247"/>
      <c r="Q451" s="1247"/>
      <c r="R451" s="1247"/>
      <c r="S451" s="1247"/>
      <c r="T451" s="1671"/>
      <c r="U451" s="1664" t="str">
        <f>IFERROR(VLOOKUP(B451,ChiTietDuToan!C:H,5,0),"")</f>
        <v/>
      </c>
      <c r="V451" s="2309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57" t="s">
        <v>640</v>
      </c>
      <c r="C452" s="67" t="str">
        <f t="shared" si="72"/>
        <v xml:space="preserve"> </v>
      </c>
      <c r="D452" s="1240" t="str">
        <f>VLOOKUP($B452,DG!A:C,2,)</f>
        <v>02.1482</v>
      </c>
      <c r="E452" s="1241" t="str">
        <f>VLOOKUP($B452,DG!A:C,3,)</f>
        <v>V/c dụng cụ thi công vào vị trí (cự ly &lt;=100m)</v>
      </c>
      <c r="F452" s="1240" t="str">
        <f>VLOOKUP($B452,DG!A:D,4,0)</f>
        <v>tấn</v>
      </c>
      <c r="G452" s="1917">
        <v>0.2</v>
      </c>
      <c r="H452" s="1247"/>
      <c r="I452" s="1247"/>
      <c r="J452" s="1247"/>
      <c r="K452" s="1247"/>
      <c r="L452" s="1247"/>
      <c r="M452" s="1247"/>
      <c r="N452" s="1247"/>
      <c r="O452" s="1247"/>
      <c r="P452" s="1247"/>
      <c r="Q452" s="1247"/>
      <c r="R452" s="1247"/>
      <c r="S452" s="1247"/>
      <c r="T452" s="1671"/>
      <c r="U452" s="1664" t="str">
        <f>IFERROR(VLOOKUP(B452,ChiTietDuToan!C:H,5,0),"")</f>
        <v/>
      </c>
      <c r="V452" s="2309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56"/>
      <c r="C453" s="65" t="str">
        <f t="shared" ca="1" si="72"/>
        <v xml:space="preserve"> </v>
      </c>
      <c r="D453" s="1237"/>
      <c r="E453" s="1666" t="s">
        <v>2437</v>
      </c>
      <c r="F453" s="1238" t="s">
        <v>2391</v>
      </c>
      <c r="G453" s="1912"/>
      <c r="H453" s="1523">
        <f ca="1">SUM(I453:O453)+T453</f>
        <v>0</v>
      </c>
      <c r="I453" s="1239">
        <f ca="1">SUMIF(mong3pm,chitiet!$A453,slmong3pm)</f>
        <v>0</v>
      </c>
      <c r="J453" s="1239">
        <f ca="1">SUMIF(mongct,chitiet!$A453,slmongct)</f>
        <v>0</v>
      </c>
      <c r="K453" s="1239"/>
      <c r="L453" s="1239">
        <f>IFERROR(HLOOKUP(A453,pp1p!$6:$90,85,0),0)</f>
        <v>0</v>
      </c>
      <c r="M453" s="1239">
        <f ca="1">SUMIF(mongHTHH,chitiet!$A453,slmongHTHH)</f>
        <v>0</v>
      </c>
      <c r="N453" s="1239">
        <f ca="1">SUMIF(mongHTDL,chitiet!$A453,slmongHTDL)</f>
        <v>0</v>
      </c>
      <c r="O453" s="1239"/>
      <c r="P453" s="1239"/>
      <c r="Q453" s="1239"/>
      <c r="R453" s="1239"/>
      <c r="S453" s="1239"/>
      <c r="T453" s="1671"/>
      <c r="U453" s="1664">
        <f>IFERROR(VLOOKUP(B453,ChiTietDuToan!C:H,5,0),"")</f>
        <v>0</v>
      </c>
      <c r="V453" s="2309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75" t="s">
        <v>1627</v>
      </c>
      <c r="C454" s="67" t="str">
        <f t="shared" ca="1" si="72"/>
        <v xml:space="preserve"> </v>
      </c>
      <c r="D454" s="1236" t="str">
        <f>VLOOKUP($B454,DG!A:D,DG!$B$2,)</f>
        <v>04.3801</v>
      </c>
      <c r="E454" s="1246" t="str">
        <f>VLOOKUP($B454,DG!A:D,DG!$C$2,)</f>
        <v>Đà cản BTCT 1,5m</v>
      </c>
      <c r="F454" s="1240" t="str">
        <f>VLOOKUP($B454,DG!A:D,DG!$D$2,)</f>
        <v>cái</v>
      </c>
      <c r="G454" s="1918">
        <v>1</v>
      </c>
      <c r="H454" s="1244">
        <f t="shared" ref="H454:N456" ca="1" si="84">H$453*$G454</f>
        <v>0</v>
      </c>
      <c r="I454" s="1244">
        <f t="shared" ca="1" si="84"/>
        <v>0</v>
      </c>
      <c r="J454" s="1244">
        <f t="shared" ca="1" si="84"/>
        <v>0</v>
      </c>
      <c r="K454" s="1244">
        <f t="shared" si="84"/>
        <v>0</v>
      </c>
      <c r="L454" s="1244">
        <f t="shared" si="84"/>
        <v>0</v>
      </c>
      <c r="M454" s="1244">
        <f t="shared" ca="1" si="84"/>
        <v>0</v>
      </c>
      <c r="N454" s="1244">
        <f t="shared" ca="1" si="84"/>
        <v>0</v>
      </c>
      <c r="O454" s="1244"/>
      <c r="P454" s="1244"/>
      <c r="Q454" s="1244"/>
      <c r="R454" s="1244"/>
      <c r="S454" s="1244"/>
      <c r="T454" s="1671"/>
      <c r="U454" s="1664" t="str">
        <f>IFERROR(VLOOKUP(B454,ChiTietDuToan!C:H,5,0),"")</f>
        <v>cái</v>
      </c>
      <c r="V454" s="2309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75" t="s">
        <v>641</v>
      </c>
      <c r="C455" s="67" t="str">
        <f t="shared" ca="1" si="72"/>
        <v xml:space="preserve"> </v>
      </c>
      <c r="D455" s="1236" t="str">
        <f>VLOOKUP($B455,DG!A:D,DG!$B$2,)</f>
        <v>04.4001</v>
      </c>
      <c r="E455" s="1246" t="str">
        <f>VLOOKUP($B455,DG!A:D,DG!$C$2,)</f>
        <v>Đà cản BTCT 1,2m</v>
      </c>
      <c r="F455" s="1240" t="str">
        <f>VLOOKUP($B455,DG!A:D,DG!$D$2,)</f>
        <v>cái</v>
      </c>
      <c r="G455" s="1918">
        <v>1</v>
      </c>
      <c r="H455" s="1244">
        <f t="shared" ca="1" si="84"/>
        <v>0</v>
      </c>
      <c r="I455" s="1244">
        <f t="shared" ca="1" si="84"/>
        <v>0</v>
      </c>
      <c r="J455" s="1244">
        <f t="shared" ca="1" si="84"/>
        <v>0</v>
      </c>
      <c r="K455" s="1244">
        <f t="shared" si="84"/>
        <v>0</v>
      </c>
      <c r="L455" s="1244">
        <f t="shared" si="84"/>
        <v>0</v>
      </c>
      <c r="M455" s="1244">
        <f t="shared" ca="1" si="84"/>
        <v>0</v>
      </c>
      <c r="N455" s="1244">
        <f t="shared" ca="1" si="84"/>
        <v>0</v>
      </c>
      <c r="O455" s="1244"/>
      <c r="P455" s="1244"/>
      <c r="Q455" s="1244"/>
      <c r="R455" s="1244"/>
      <c r="S455" s="1244"/>
      <c r="T455" s="1671"/>
      <c r="U455" s="1664" t="str">
        <f>IFERROR(VLOOKUP(B455,ChiTietDuToan!C:H,5,0),"")</f>
        <v>cái</v>
      </c>
      <c r="V455" s="2309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75" t="s">
        <v>570</v>
      </c>
      <c r="C456" s="67" t="str">
        <f t="shared" ca="1" si="72"/>
        <v xml:space="preserve"> </v>
      </c>
      <c r="D456" s="1240"/>
      <c r="E456" s="1246" t="str">
        <f>VLOOKUP($B456,DG!A:D,DG!$C$2,)</f>
        <v>Boulon 22x650+ 2 long đền vuông D24-50x50x3/Zn</v>
      </c>
      <c r="F456" s="1240" t="str">
        <f>VLOOKUP($B456,DG!A:D,DG!$D$2,)</f>
        <v>bộ</v>
      </c>
      <c r="G456" s="1918">
        <v>2</v>
      </c>
      <c r="H456" s="1244">
        <f t="shared" ca="1" si="84"/>
        <v>0</v>
      </c>
      <c r="I456" s="1244">
        <f t="shared" ca="1" si="84"/>
        <v>0</v>
      </c>
      <c r="J456" s="1244">
        <f t="shared" ca="1" si="84"/>
        <v>0</v>
      </c>
      <c r="K456" s="1244">
        <f t="shared" si="84"/>
        <v>0</v>
      </c>
      <c r="L456" s="1244">
        <f t="shared" si="84"/>
        <v>0</v>
      </c>
      <c r="M456" s="1244">
        <f t="shared" ca="1" si="84"/>
        <v>0</v>
      </c>
      <c r="N456" s="1244">
        <f t="shared" ca="1" si="84"/>
        <v>0</v>
      </c>
      <c r="O456" s="1244"/>
      <c r="P456" s="1244"/>
      <c r="Q456" s="1244"/>
      <c r="R456" s="1244"/>
      <c r="S456" s="1244"/>
      <c r="T456" s="1671"/>
      <c r="U456" s="1664" t="str">
        <f>IFERROR(VLOOKUP(B456,ChiTietDuToan!C:H,5,0),"")</f>
        <v>bộ</v>
      </c>
      <c r="V456" s="2309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75" t="str">
        <f>IF(F5=1,"MDD1",IF(F5=2,"MDD2",IF(F5=3,"MDD3",IF(F5=4,"MDD4"))))</f>
        <v>MDD3</v>
      </c>
      <c r="C457" s="67" t="str">
        <f t="shared" si="72"/>
        <v xml:space="preserve"> </v>
      </c>
      <c r="D457" s="1240" t="str">
        <f>VLOOKUP($B457,DG!A:D,DG!$B$2,)</f>
        <v>03.1013</v>
      </c>
      <c r="E457" s="1241" t="str">
        <f>VLOOKUP($B457,DG!A:D,DG!$C$2,)</f>
        <v>Đào hố móng đất cấp 3 sâu &gt;1m DT&lt;5m2</v>
      </c>
      <c r="F457" s="1240" t="str">
        <f>VLOOKUP($B457,DG!A:D,DG!$D$2,)</f>
        <v>m3</v>
      </c>
      <c r="G457" s="1917">
        <v>10.63</v>
      </c>
      <c r="H457" s="1247"/>
      <c r="I457" s="1247"/>
      <c r="J457" s="1247"/>
      <c r="K457" s="1247"/>
      <c r="L457" s="1247"/>
      <c r="M457" s="1247"/>
      <c r="N457" s="1247"/>
      <c r="O457" s="1247"/>
      <c r="P457" s="1247"/>
      <c r="Q457" s="1247"/>
      <c r="R457" s="1247"/>
      <c r="S457" s="1247"/>
      <c r="T457" s="1671"/>
      <c r="U457" s="1664" t="str">
        <f>IFERROR(VLOOKUP(B457,ChiTietDuToan!C:H,5,0),"")</f>
        <v>m3</v>
      </c>
      <c r="V457" s="2309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75" t="str">
        <f>IF(F5=1,"MDAP1",IF(F5=2,"MDAP2",IF(F5=3,"MDAP3",IF(F5=4,"MDAP4"))))</f>
        <v>MDAP3</v>
      </c>
      <c r="C458" s="67" t="str">
        <f t="shared" si="72"/>
        <v xml:space="preserve"> </v>
      </c>
      <c r="D458" s="1240" t="str">
        <f>VLOOKUP($B458,DG!A:D,DG!$B$2,)</f>
        <v>03.4113</v>
      </c>
      <c r="E458" s="1241" t="str">
        <f>VLOOKUP($B458,DG!A:D,DG!$C$2,)</f>
        <v>Đắp đất hố móng, độ chặt k=0,95</v>
      </c>
      <c r="F458" s="1240" t="str">
        <f>VLOOKUP($B458,DG!A:D,DG!$D$2,)</f>
        <v>m3</v>
      </c>
      <c r="G458" s="1917">
        <v>12.23</v>
      </c>
      <c r="H458" s="1247"/>
      <c r="I458" s="1247"/>
      <c r="J458" s="1247"/>
      <c r="K458" s="1247"/>
      <c r="L458" s="1247"/>
      <c r="M458" s="1247"/>
      <c r="N458" s="1247"/>
      <c r="O458" s="1247"/>
      <c r="P458" s="1247"/>
      <c r="Q458" s="1247"/>
      <c r="R458" s="1247"/>
      <c r="S458" s="1247"/>
      <c r="T458" s="1671"/>
      <c r="U458" s="1664" t="str">
        <f>IFERROR(VLOOKUP(B458,ChiTietDuToan!C:H,5,0),"")</f>
        <v>m3</v>
      </c>
      <c r="V458" s="2309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75" t="s">
        <v>642</v>
      </c>
      <c r="C459" s="67" t="str">
        <f t="shared" si="72"/>
        <v xml:space="preserve"> </v>
      </c>
      <c r="D459" s="1240" t="str">
        <f>VLOOKUP($B459,DG!A:D,DG!$B$2,)</f>
        <v>02.1123</v>
      </c>
      <c r="E459" s="1241" t="str">
        <f>VLOOKUP($B459,DG!A:D,DG!$C$2,)</f>
        <v>Bốc dỡ đà cản, đế néo</v>
      </c>
      <c r="F459" s="1240" t="str">
        <f>VLOOKUP($B459,DG!A:D,DG!$D$2,)</f>
        <v>tấn</v>
      </c>
      <c r="G459" s="1917">
        <f>0.255+0.1</f>
        <v>0.35499999999999998</v>
      </c>
      <c r="H459" s="1244"/>
      <c r="I459" s="1244"/>
      <c r="J459" s="1244"/>
      <c r="K459" s="1244"/>
      <c r="L459" s="1244"/>
      <c r="M459" s="1244"/>
      <c r="N459" s="1244"/>
      <c r="O459" s="1244"/>
      <c r="P459" s="1244"/>
      <c r="Q459" s="1244"/>
      <c r="R459" s="1244"/>
      <c r="S459" s="1244"/>
      <c r="T459" s="1671"/>
      <c r="U459" s="1664" t="str">
        <f>IFERROR(VLOOKUP(B459,ChiTietDuToan!C:H,5,0),"")</f>
        <v/>
      </c>
      <c r="V459" s="2309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57" t="s">
        <v>2125</v>
      </c>
      <c r="C460" s="67" t="str">
        <f t="shared" si="72"/>
        <v xml:space="preserve"> </v>
      </c>
      <c r="D460" s="1240" t="str">
        <f>VLOOKUP($B460,DG!A:C,2,)</f>
        <v>02.1451</v>
      </c>
      <c r="E460" s="1241" t="str">
        <f>VLOOKUP($B460,DG!A:C,3,)</f>
        <v>V/c đà cản vào vị trí (cự ly &lt;=100m)</v>
      </c>
      <c r="F460" s="1240" t="str">
        <f>VLOOKUP($B460,DG!A:D,4,0)</f>
        <v>tấn</v>
      </c>
      <c r="G460" s="1917">
        <f>G459</f>
        <v>0.35499999999999998</v>
      </c>
      <c r="H460" s="1247"/>
      <c r="I460" s="1247"/>
      <c r="J460" s="1247"/>
      <c r="K460" s="1247"/>
      <c r="L460" s="1247"/>
      <c r="M460" s="1247"/>
      <c r="N460" s="1247"/>
      <c r="O460" s="1247"/>
      <c r="P460" s="1247"/>
      <c r="Q460" s="1247"/>
      <c r="R460" s="1247"/>
      <c r="S460" s="1247"/>
      <c r="T460" s="1671"/>
      <c r="U460" s="1664" t="str">
        <f>IFERROR(VLOOKUP(B460,ChiTietDuToan!C:H,5,0),"")</f>
        <v/>
      </c>
      <c r="V460" s="2309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57" t="s">
        <v>640</v>
      </c>
      <c r="C461" s="67" t="str">
        <f t="shared" si="72"/>
        <v xml:space="preserve"> </v>
      </c>
      <c r="D461" s="1240" t="str">
        <f>VLOOKUP($B461,DG!A:C,2,)</f>
        <v>02.1482</v>
      </c>
      <c r="E461" s="1241" t="str">
        <f>VLOOKUP($B461,DG!A:C,3,)</f>
        <v>V/c dụng cụ thi công vào vị trí (cự ly &lt;=100m)</v>
      </c>
      <c r="F461" s="1240" t="str">
        <f>VLOOKUP($B461,DG!A:D,4,0)</f>
        <v>tấn</v>
      </c>
      <c r="G461" s="1917">
        <v>0.2</v>
      </c>
      <c r="H461" s="1247"/>
      <c r="I461" s="1247"/>
      <c r="J461" s="1247"/>
      <c r="K461" s="1247"/>
      <c r="L461" s="1247"/>
      <c r="M461" s="1247"/>
      <c r="N461" s="1247"/>
      <c r="O461" s="1247"/>
      <c r="P461" s="1247"/>
      <c r="Q461" s="1247"/>
      <c r="R461" s="1247"/>
      <c r="S461" s="1247"/>
      <c r="T461" s="1671"/>
      <c r="U461" s="1664" t="str">
        <f>IFERROR(VLOOKUP(B461,ChiTietDuToan!C:H,5,0),"")</f>
        <v/>
      </c>
      <c r="V461" s="2309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56"/>
      <c r="C462" s="65" t="str">
        <f t="shared" ca="1" si="72"/>
        <v xml:space="preserve"> </v>
      </c>
      <c r="D462" s="1237"/>
      <c r="E462" s="1666" t="s">
        <v>2438</v>
      </c>
      <c r="F462" s="1238" t="s">
        <v>2391</v>
      </c>
      <c r="G462" s="1912"/>
      <c r="H462" s="1523">
        <f ca="1">SUM(I462:O462)+T462</f>
        <v>0</v>
      </c>
      <c r="I462" s="1239">
        <f ca="1">SUMIF(mong3pm,chitiet!$A462,slmong3pm)</f>
        <v>0</v>
      </c>
      <c r="J462" s="1239">
        <f ca="1">SUMIF(mongct,chitiet!$A462,slmongct)</f>
        <v>0</v>
      </c>
      <c r="K462" s="1239"/>
      <c r="L462" s="1239">
        <f>IFERROR(HLOOKUP(A462,pp1p!$6:$90,85,0),0)</f>
        <v>0</v>
      </c>
      <c r="M462" s="1239">
        <f ca="1">SUMIF(mongHTHH,chitiet!$A462,slmongHTHH)</f>
        <v>0</v>
      </c>
      <c r="N462" s="1239">
        <f ca="1">SUMIF(mongHTDL,chitiet!$A462,slmongHTDL)</f>
        <v>0</v>
      </c>
      <c r="O462" s="1239"/>
      <c r="P462" s="1239"/>
      <c r="Q462" s="1239"/>
      <c r="R462" s="1239"/>
      <c r="S462" s="1239"/>
      <c r="T462" s="1671"/>
      <c r="U462" s="1664">
        <f>IFERROR(VLOOKUP(B462,ChiTietDuToan!C:H,5,0),"")</f>
        <v>0</v>
      </c>
      <c r="V462" s="2309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75" t="s">
        <v>1627</v>
      </c>
      <c r="C463" s="67" t="str">
        <f t="shared" ref="C463:C526" ca="1" si="85">IF(OR(P463&lt;&gt;0,H463&lt;&gt;0),"x"," ")</f>
        <v xml:space="preserve"> </v>
      </c>
      <c r="D463" s="1236" t="str">
        <f>VLOOKUP($B463,DG!A:D,DG!$B$2,)</f>
        <v>04.3801</v>
      </c>
      <c r="E463" s="1246" t="str">
        <f>VLOOKUP($B463,DG!A:D,DG!$C$2,)</f>
        <v>Đà cản BTCT 1,5m</v>
      </c>
      <c r="F463" s="1240" t="str">
        <f>VLOOKUP($B463,DG!A:D,DG!$D$2,)</f>
        <v>cái</v>
      </c>
      <c r="G463" s="1918">
        <v>2</v>
      </c>
      <c r="H463" s="1244">
        <f ca="1">H$462*$G463</f>
        <v>0</v>
      </c>
      <c r="I463" s="1244">
        <f t="shared" ref="I463:N464" ca="1" si="86">I$462*$G463</f>
        <v>0</v>
      </c>
      <c r="J463" s="1244">
        <f t="shared" ca="1" si="86"/>
        <v>0</v>
      </c>
      <c r="K463" s="1244">
        <f t="shared" si="86"/>
        <v>0</v>
      </c>
      <c r="L463" s="1244">
        <f t="shared" si="86"/>
        <v>0</v>
      </c>
      <c r="M463" s="1244">
        <f t="shared" ca="1" si="86"/>
        <v>0</v>
      </c>
      <c r="N463" s="1244">
        <f t="shared" ca="1" si="86"/>
        <v>0</v>
      </c>
      <c r="O463" s="1244"/>
      <c r="P463" s="1244"/>
      <c r="Q463" s="1244"/>
      <c r="R463" s="1244"/>
      <c r="S463" s="1244"/>
      <c r="T463" s="1671"/>
      <c r="U463" s="1664" t="str">
        <f>IFERROR(VLOOKUP(B463,ChiTietDuToan!C:H,5,0),"")</f>
        <v>cái</v>
      </c>
      <c r="V463" s="2309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75" t="s">
        <v>570</v>
      </c>
      <c r="C464" s="67" t="str">
        <f t="shared" ca="1" si="85"/>
        <v xml:space="preserve"> </v>
      </c>
      <c r="D464" s="1240"/>
      <c r="E464" s="1246" t="str">
        <f>VLOOKUP($B464,DG!A:D,DG!$C$2,)</f>
        <v>Boulon 22x650+ 2 long đền vuông D24-50x50x3/Zn</v>
      </c>
      <c r="F464" s="1240" t="str">
        <f>VLOOKUP($B464,DG!A:D,DG!$D$2,)</f>
        <v>bộ</v>
      </c>
      <c r="G464" s="1918">
        <v>2</v>
      </c>
      <c r="H464" s="1244">
        <f ca="1">H$462*$G464</f>
        <v>0</v>
      </c>
      <c r="I464" s="1244">
        <f t="shared" ca="1" si="86"/>
        <v>0</v>
      </c>
      <c r="J464" s="1244">
        <f t="shared" ca="1" si="86"/>
        <v>0</v>
      </c>
      <c r="K464" s="1244">
        <f t="shared" si="86"/>
        <v>0</v>
      </c>
      <c r="L464" s="1244">
        <f t="shared" si="86"/>
        <v>0</v>
      </c>
      <c r="M464" s="1244">
        <f t="shared" ca="1" si="86"/>
        <v>0</v>
      </c>
      <c r="N464" s="1244">
        <f t="shared" ca="1" si="86"/>
        <v>0</v>
      </c>
      <c r="O464" s="1244"/>
      <c r="P464" s="1244"/>
      <c r="Q464" s="1244"/>
      <c r="R464" s="1244"/>
      <c r="S464" s="1244"/>
      <c r="T464" s="1671"/>
      <c r="U464" s="1664" t="str">
        <f>IFERROR(VLOOKUP(B464,ChiTietDuToan!C:H,5,0),"")</f>
        <v>bộ</v>
      </c>
      <c r="V464" s="2309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75" t="str">
        <f>IF(F5=1,"MDD1",IF(F5=2,"MDD2",IF(F5=3,"MDD3",IF(F5=4,"MDD4"))))</f>
        <v>MDD3</v>
      </c>
      <c r="C465" s="67" t="str">
        <f t="shared" si="85"/>
        <v xml:space="preserve"> </v>
      </c>
      <c r="D465" s="1240" t="str">
        <f>VLOOKUP($B465,DG!A:D,DG!$B$2,)</f>
        <v>03.1013</v>
      </c>
      <c r="E465" s="1241" t="str">
        <f>VLOOKUP($B465,DG!A:D,DG!$C$2,)</f>
        <v>Đào hố móng đất cấp 3 sâu &gt;1m DT&lt;5m2</v>
      </c>
      <c r="F465" s="1240" t="str">
        <f>VLOOKUP($B465,DG!A:D,DG!$D$2,)</f>
        <v>m3</v>
      </c>
      <c r="G465" s="1917">
        <v>13.55</v>
      </c>
      <c r="H465" s="1247"/>
      <c r="I465" s="1247"/>
      <c r="J465" s="1247"/>
      <c r="K465" s="1247"/>
      <c r="L465" s="1247"/>
      <c r="M465" s="1247"/>
      <c r="N465" s="1247"/>
      <c r="O465" s="1247"/>
      <c r="P465" s="1247"/>
      <c r="Q465" s="1247"/>
      <c r="R465" s="1247"/>
      <c r="S465" s="1247"/>
      <c r="T465" s="1671"/>
      <c r="U465" s="1664" t="str">
        <f>IFERROR(VLOOKUP(B465,ChiTietDuToan!C:H,5,0),"")</f>
        <v>m3</v>
      </c>
      <c r="V465" s="2309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75" t="str">
        <f>IF(F5=1,"MDAP1",IF(F5=2,"MDAP2",IF(F5=3,"MDAP3",IF(F5=4,"MDAP4"))))</f>
        <v>MDAP3</v>
      </c>
      <c r="C466" s="67" t="str">
        <f t="shared" si="85"/>
        <v xml:space="preserve"> </v>
      </c>
      <c r="D466" s="1240" t="str">
        <f>VLOOKUP($B466,DG!A:D,DG!$B$2,)</f>
        <v>03.4113</v>
      </c>
      <c r="E466" s="1241" t="str">
        <f>VLOOKUP($B466,DG!A:D,DG!$C$2,)</f>
        <v>Đắp đất hố móng, độ chặt k=0,95</v>
      </c>
      <c r="F466" s="1240" t="str">
        <f>VLOOKUP($B466,DG!A:D,DG!$D$2,)</f>
        <v>m3</v>
      </c>
      <c r="G466" s="1917">
        <v>15.44</v>
      </c>
      <c r="H466" s="1247"/>
      <c r="I466" s="1247"/>
      <c r="J466" s="1247"/>
      <c r="K466" s="1247"/>
      <c r="L466" s="1247"/>
      <c r="M466" s="1247"/>
      <c r="N466" s="1247"/>
      <c r="O466" s="1247"/>
      <c r="P466" s="1247"/>
      <c r="Q466" s="1247"/>
      <c r="R466" s="1247"/>
      <c r="S466" s="1247"/>
      <c r="T466" s="1671"/>
      <c r="U466" s="1664" t="str">
        <f>IFERROR(VLOOKUP(B466,ChiTietDuToan!C:H,5,0),"")</f>
        <v>m3</v>
      </c>
      <c r="V466" s="2309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75" t="s">
        <v>642</v>
      </c>
      <c r="C467" s="67" t="str">
        <f t="shared" si="85"/>
        <v xml:space="preserve"> </v>
      </c>
      <c r="D467" s="1240" t="str">
        <f>VLOOKUP($B467,DG!A:D,DG!$B$2,)</f>
        <v>02.1123</v>
      </c>
      <c r="E467" s="1241" t="str">
        <f>VLOOKUP($B467,DG!A:D,DG!$C$2,)</f>
        <v>Bốc dỡ đà cản, đế néo</v>
      </c>
      <c r="F467" s="1240" t="str">
        <f>VLOOKUP($B467,DG!A:D,DG!$D$2,)</f>
        <v>tấn</v>
      </c>
      <c r="G467" s="1917">
        <f>0.255*2</f>
        <v>0.51</v>
      </c>
      <c r="H467" s="1244"/>
      <c r="I467" s="1244"/>
      <c r="J467" s="1244"/>
      <c r="K467" s="1244"/>
      <c r="L467" s="1244"/>
      <c r="M467" s="1244"/>
      <c r="N467" s="1244"/>
      <c r="O467" s="1244"/>
      <c r="P467" s="1244"/>
      <c r="Q467" s="1244"/>
      <c r="R467" s="1244"/>
      <c r="S467" s="1244"/>
      <c r="T467" s="1671"/>
      <c r="U467" s="1664" t="str">
        <f>IFERROR(VLOOKUP(B467,ChiTietDuToan!C:H,5,0),"")</f>
        <v/>
      </c>
      <c r="V467" s="2309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57" t="s">
        <v>2125</v>
      </c>
      <c r="C468" s="67" t="str">
        <f t="shared" si="85"/>
        <v xml:space="preserve"> </v>
      </c>
      <c r="D468" s="1240" t="str">
        <f>VLOOKUP($B468,DG!A:C,2,)</f>
        <v>02.1451</v>
      </c>
      <c r="E468" s="1241" t="str">
        <f>VLOOKUP($B468,DG!A:C,3,)</f>
        <v>V/c đà cản vào vị trí (cự ly &lt;=100m)</v>
      </c>
      <c r="F468" s="1240" t="str">
        <f>VLOOKUP($B468,DG!A:D,4,0)</f>
        <v>tấn</v>
      </c>
      <c r="G468" s="1917">
        <f>G467</f>
        <v>0.51</v>
      </c>
      <c r="H468" s="1247"/>
      <c r="I468" s="1247"/>
      <c r="J468" s="1247"/>
      <c r="K468" s="1247"/>
      <c r="L468" s="1247"/>
      <c r="M468" s="1247"/>
      <c r="N468" s="1247"/>
      <c r="O468" s="1247"/>
      <c r="P468" s="1247"/>
      <c r="Q468" s="1247"/>
      <c r="R468" s="1247"/>
      <c r="S468" s="1247"/>
      <c r="T468" s="1671"/>
      <c r="U468" s="1664" t="str">
        <f>IFERROR(VLOOKUP(B468,ChiTietDuToan!C:H,5,0),"")</f>
        <v/>
      </c>
      <c r="V468" s="2309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57" t="s">
        <v>640</v>
      </c>
      <c r="C469" s="67" t="str">
        <f t="shared" si="85"/>
        <v xml:space="preserve"> </v>
      </c>
      <c r="D469" s="1240" t="str">
        <f>VLOOKUP($B469,DG!A:C,2,)</f>
        <v>02.1482</v>
      </c>
      <c r="E469" s="1241" t="str">
        <f>VLOOKUP($B469,DG!A:C,3,)</f>
        <v>V/c dụng cụ thi công vào vị trí (cự ly &lt;=100m)</v>
      </c>
      <c r="F469" s="1240" t="str">
        <f>VLOOKUP($B469,DG!A:D,4,0)</f>
        <v>tấn</v>
      </c>
      <c r="G469" s="1917">
        <v>0.2</v>
      </c>
      <c r="H469" s="1247"/>
      <c r="I469" s="1247"/>
      <c r="J469" s="1247"/>
      <c r="K469" s="1247"/>
      <c r="L469" s="1247"/>
      <c r="M469" s="1247"/>
      <c r="N469" s="1247"/>
      <c r="O469" s="1247"/>
      <c r="P469" s="1247"/>
      <c r="Q469" s="1247"/>
      <c r="R469" s="1247"/>
      <c r="S469" s="1247"/>
      <c r="T469" s="1671"/>
      <c r="U469" s="1664" t="str">
        <f>IFERROR(VLOOKUP(B469,ChiTietDuToan!C:H,5,0),"")</f>
        <v/>
      </c>
      <c r="V469" s="2309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56"/>
      <c r="C470" s="65" t="str">
        <f t="shared" ca="1" si="85"/>
        <v xml:space="preserve"> </v>
      </c>
      <c r="D470" s="1237"/>
      <c r="E470" s="1666" t="s">
        <v>2439</v>
      </c>
      <c r="F470" s="1238" t="s">
        <v>2391</v>
      </c>
      <c r="G470" s="1912"/>
      <c r="H470" s="1523">
        <f ca="1">SUM(I470:O470)+T470</f>
        <v>0</v>
      </c>
      <c r="I470" s="1239">
        <f ca="1">SUMIF(mong3pm,chitiet!$A470,slmong3pm)</f>
        <v>0</v>
      </c>
      <c r="J470" s="1239">
        <f ca="1">SUMIF(mongct,chitiet!$A470,slmongct)</f>
        <v>0</v>
      </c>
      <c r="K470" s="1239">
        <f ca="1">SUMIF(mong1pm,chitiet!$A470,slmong1pm)</f>
        <v>0</v>
      </c>
      <c r="L470" s="1239">
        <f>IFERROR(HLOOKUP(A470,pp1p!$6:$90,85,0),0)</f>
        <v>0</v>
      </c>
      <c r="M470" s="1239">
        <f ca="1">SUMIF(mongHTHH,chitiet!$A470,slmongHTHH)</f>
        <v>0</v>
      </c>
      <c r="N470" s="1239">
        <f ca="1">SUMIF(mongHTDL,chitiet!$A470,slmongHTDL)</f>
        <v>0</v>
      </c>
      <c r="O470" s="1239"/>
      <c r="P470" s="1239"/>
      <c r="Q470" s="1239"/>
      <c r="R470" s="1239"/>
      <c r="S470" s="1239"/>
      <c r="T470" s="1671"/>
      <c r="U470" s="1664">
        <f>IFERROR(VLOOKUP(B470,ChiTietDuToan!C:H,5,0),"")</f>
        <v>0</v>
      </c>
      <c r="V470" s="2309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59" t="s">
        <v>225</v>
      </c>
      <c r="C471" s="67" t="str">
        <f t="shared" ca="1" si="85"/>
        <v xml:space="preserve"> </v>
      </c>
      <c r="D471" s="1236" t="str">
        <f>VLOOKUP($B471,DG!A:D,DG!$B$2,)</f>
        <v>04.5142</v>
      </c>
      <c r="E471" s="1248" t="str">
        <f>VLOOKUP($B471,DG!A:D,DG!$C$2,)</f>
        <v>Cừ tràm 5m</v>
      </c>
      <c r="F471" s="1236" t="str">
        <f>VLOOKUP($B471,DG!A:D,DG!$D$2,)</f>
        <v>cây</v>
      </c>
      <c r="G471" s="1915">
        <v>28</v>
      </c>
      <c r="H471" s="1245">
        <f ca="1">H$470*$G471</f>
        <v>0</v>
      </c>
      <c r="I471" s="1245">
        <f t="shared" ref="I471:N474" ca="1" si="87">I$470*$G471</f>
        <v>0</v>
      </c>
      <c r="J471" s="1245">
        <f t="shared" ca="1" si="87"/>
        <v>0</v>
      </c>
      <c r="K471" s="1245">
        <f t="shared" ca="1" si="87"/>
        <v>0</v>
      </c>
      <c r="L471" s="1245">
        <f t="shared" si="87"/>
        <v>0</v>
      </c>
      <c r="M471" s="1245">
        <f t="shared" ca="1" si="87"/>
        <v>0</v>
      </c>
      <c r="N471" s="1245">
        <f t="shared" ca="1" si="87"/>
        <v>0</v>
      </c>
      <c r="O471" s="1245"/>
      <c r="P471" s="1245"/>
      <c r="Q471" s="1245"/>
      <c r="R471" s="1245"/>
      <c r="S471" s="1245"/>
      <c r="T471" s="1671"/>
      <c r="U471" s="1664" t="str">
        <f>IFERROR(VLOOKUP(B471,ChiTietDuToan!C:H,5,0),"")</f>
        <v/>
      </c>
      <c r="V471" s="2309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59" t="s">
        <v>1627</v>
      </c>
      <c r="C472" s="67" t="str">
        <f t="shared" ca="1" si="85"/>
        <v xml:space="preserve"> </v>
      </c>
      <c r="D472" s="1236" t="str">
        <f>VLOOKUP($B472,DG!A:D,DG!$B$2,)</f>
        <v>04.3801</v>
      </c>
      <c r="E472" s="1248" t="str">
        <f>VLOOKUP($B472,DG!A:D,DG!$C$2,)</f>
        <v>Đà cản BTCT 1,5m</v>
      </c>
      <c r="F472" s="1236" t="str">
        <f>VLOOKUP($B472,DG!A:D,DG!$D$2,)</f>
        <v>cái</v>
      </c>
      <c r="G472" s="1915">
        <v>2</v>
      </c>
      <c r="H472" s="1245">
        <f ca="1">H$470*$G472</f>
        <v>0</v>
      </c>
      <c r="I472" s="1245">
        <f t="shared" ca="1" si="87"/>
        <v>0</v>
      </c>
      <c r="J472" s="1245">
        <f t="shared" ca="1" si="87"/>
        <v>0</v>
      </c>
      <c r="K472" s="1245">
        <f t="shared" ca="1" si="87"/>
        <v>0</v>
      </c>
      <c r="L472" s="1245">
        <f t="shared" si="87"/>
        <v>0</v>
      </c>
      <c r="M472" s="1245">
        <f t="shared" ca="1" si="87"/>
        <v>0</v>
      </c>
      <c r="N472" s="1245">
        <f t="shared" ca="1" si="87"/>
        <v>0</v>
      </c>
      <c r="O472" s="1245"/>
      <c r="P472" s="1245"/>
      <c r="Q472" s="1245"/>
      <c r="R472" s="1245"/>
      <c r="S472" s="1245"/>
      <c r="T472" s="1671"/>
      <c r="U472" s="1664" t="str">
        <f>IFERROR(VLOOKUP(B472,ChiTietDuToan!C:H,5,0),"")</f>
        <v>cái</v>
      </c>
      <c r="V472" s="2309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59" t="s">
        <v>730</v>
      </c>
      <c r="C473" s="67" t="str">
        <f t="shared" ca="1" si="85"/>
        <v xml:space="preserve"> </v>
      </c>
      <c r="D473" s="1236"/>
      <c r="E473" s="1248" t="str">
        <f>VLOOKUP($B473,DG!A:D,DG!$C$2,)</f>
        <v>Boulon 22x850+ 2 long đền vuông D24-50x50x3/Zn</v>
      </c>
      <c r="F473" s="1236" t="str">
        <f>VLOOKUP($B473,DG!A:D,DG!$D$2,)</f>
        <v>bộ</v>
      </c>
      <c r="G473" s="1915">
        <v>1</v>
      </c>
      <c r="H473" s="1245">
        <f ca="1">H$470*$G473</f>
        <v>0</v>
      </c>
      <c r="I473" s="1245">
        <f t="shared" ca="1" si="87"/>
        <v>0</v>
      </c>
      <c r="J473" s="1245">
        <f t="shared" ca="1" si="87"/>
        <v>0</v>
      </c>
      <c r="K473" s="1245">
        <f t="shared" ca="1" si="87"/>
        <v>0</v>
      </c>
      <c r="L473" s="1245">
        <f t="shared" si="87"/>
        <v>0</v>
      </c>
      <c r="M473" s="1245">
        <f t="shared" ca="1" si="87"/>
        <v>0</v>
      </c>
      <c r="N473" s="1245">
        <f t="shared" ca="1" si="87"/>
        <v>0</v>
      </c>
      <c r="O473" s="1245"/>
      <c r="P473" s="1245"/>
      <c r="Q473" s="1245"/>
      <c r="R473" s="1245"/>
      <c r="S473" s="1245"/>
      <c r="T473" s="1671"/>
      <c r="U473" s="1664" t="str">
        <f>IFERROR(VLOOKUP(B473,ChiTietDuToan!C:H,5,0),"")</f>
        <v/>
      </c>
      <c r="V473" s="2309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59" t="s">
        <v>570</v>
      </c>
      <c r="C474" s="67" t="str">
        <f t="shared" ca="1" si="85"/>
        <v xml:space="preserve"> </v>
      </c>
      <c r="D474" s="1236"/>
      <c r="E474" s="1248" t="str">
        <f>VLOOKUP($B474,DG!A:D,DG!$C$2,)</f>
        <v>Boulon 22x650+ 2 long đền vuông D24-50x50x3/Zn</v>
      </c>
      <c r="F474" s="1236" t="str">
        <f>VLOOKUP($B474,DG!A:D,DG!$D$2,)</f>
        <v>bộ</v>
      </c>
      <c r="G474" s="1915">
        <v>2</v>
      </c>
      <c r="H474" s="1245">
        <f ca="1">H$470*$G474</f>
        <v>0</v>
      </c>
      <c r="I474" s="1245">
        <f ca="1">I$470*$G474</f>
        <v>0</v>
      </c>
      <c r="J474" s="1245">
        <f t="shared" ca="1" si="87"/>
        <v>0</v>
      </c>
      <c r="K474" s="1245">
        <f t="shared" ca="1" si="87"/>
        <v>0</v>
      </c>
      <c r="L474" s="1245">
        <f t="shared" si="87"/>
        <v>0</v>
      </c>
      <c r="M474" s="1245">
        <f t="shared" ca="1" si="87"/>
        <v>0</v>
      </c>
      <c r="N474" s="1245">
        <f t="shared" ca="1" si="87"/>
        <v>0</v>
      </c>
      <c r="O474" s="1245"/>
      <c r="P474" s="1245"/>
      <c r="Q474" s="1245"/>
      <c r="R474" s="1245"/>
      <c r="S474" s="1245"/>
      <c r="T474" s="1671"/>
      <c r="U474" s="1664" t="str">
        <f>IFERROR(VLOOKUP(B474,ChiTietDuToan!C:H,5,0),"")</f>
        <v>bộ</v>
      </c>
      <c r="V474" s="2309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59" t="str">
        <f>IF(F5=1,"MDD1",IF(F5=2,"MDD2",IF(F5=3,"MDD3",IF(F5=4,"MDD4"))))</f>
        <v>MDD3</v>
      </c>
      <c r="C475" s="67" t="str">
        <f t="shared" si="85"/>
        <v xml:space="preserve"> </v>
      </c>
      <c r="D475" s="1236" t="str">
        <f>VLOOKUP($B475,DG!A:D,DG!$B$2,)</f>
        <v>03.1013</v>
      </c>
      <c r="E475" s="1241" t="str">
        <f>VLOOKUP($B475,DG!A:D,DG!$C$2,)</f>
        <v>Đào hố móng đất cấp 3 sâu &gt;1m DT&lt;5m2</v>
      </c>
      <c r="F475" s="1236" t="str">
        <f>VLOOKUP($B475,DG!A:D,DG!$D$2,)</f>
        <v>m3</v>
      </c>
      <c r="G475" s="1917">
        <v>4.03</v>
      </c>
      <c r="H475" s="1250"/>
      <c r="I475" s="1250"/>
      <c r="J475" s="1250"/>
      <c r="K475" s="1250"/>
      <c r="L475" s="1250"/>
      <c r="M475" s="1250"/>
      <c r="N475" s="1250"/>
      <c r="O475" s="1250"/>
      <c r="P475" s="1250"/>
      <c r="Q475" s="1250"/>
      <c r="R475" s="1250"/>
      <c r="S475" s="1250"/>
      <c r="T475" s="1671"/>
      <c r="U475" s="1664" t="str">
        <f>IFERROR(VLOOKUP(B475,ChiTietDuToan!C:H,5,0),"")</f>
        <v>m3</v>
      </c>
      <c r="V475" s="2309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59" t="str">
        <f>IF(F5=1,"MDAP1",IF(F5=2,"MDAP2",IF(F5=3,"MDAP3",IF(F5=4,"MDAP4"))))</f>
        <v>MDAP3</v>
      </c>
      <c r="C476" s="67" t="str">
        <f t="shared" si="85"/>
        <v xml:space="preserve"> </v>
      </c>
      <c r="D476" s="1236" t="str">
        <f>VLOOKUP($B476,DG!A:D,DG!$B$2,)</f>
        <v>03.4113</v>
      </c>
      <c r="E476" s="1241" t="str">
        <f>VLOOKUP($B476,DG!A:D,DG!$C$2,)</f>
        <v>Đắp đất hố móng, độ chặt k=0,95</v>
      </c>
      <c r="F476" s="1236" t="str">
        <f>VLOOKUP($B476,DG!A:D,DG!$D$2,)</f>
        <v>m3</v>
      </c>
      <c r="G476" s="1917">
        <v>4.3140000000000001</v>
      </c>
      <c r="H476" s="1250"/>
      <c r="I476" s="1250"/>
      <c r="J476" s="1250"/>
      <c r="K476" s="1250"/>
      <c r="L476" s="1250"/>
      <c r="M476" s="1250"/>
      <c r="N476" s="1250"/>
      <c r="O476" s="1250"/>
      <c r="P476" s="1250"/>
      <c r="Q476" s="1250"/>
      <c r="R476" s="1250"/>
      <c r="S476" s="1250"/>
      <c r="T476" s="1671"/>
      <c r="U476" s="1664" t="str">
        <f>IFERROR(VLOOKUP(B476,ChiTietDuToan!C:H,5,0),"")</f>
        <v>m3</v>
      </c>
      <c r="V476" s="2309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59" t="s">
        <v>642</v>
      </c>
      <c r="C477" s="67" t="str">
        <f t="shared" si="85"/>
        <v xml:space="preserve"> </v>
      </c>
      <c r="D477" s="1236" t="str">
        <f>VLOOKUP($B477,DG!A:D,DG!$B$2,)</f>
        <v>02.1123</v>
      </c>
      <c r="E477" s="1241" t="str">
        <f>VLOOKUP($B477,DG!A:D,DG!$C$2,)</f>
        <v>Bốc dỡ đà cản, đế néo</v>
      </c>
      <c r="F477" s="1236" t="str">
        <f>VLOOKUP($B477,DG!A:D,DG!$D$2,)</f>
        <v>tấn</v>
      </c>
      <c r="G477" s="1914">
        <f>0.255*2</f>
        <v>0.51</v>
      </c>
      <c r="H477" s="1250"/>
      <c r="I477" s="1250"/>
      <c r="J477" s="1250"/>
      <c r="K477" s="1250"/>
      <c r="L477" s="1250"/>
      <c r="M477" s="1250"/>
      <c r="N477" s="1250"/>
      <c r="O477" s="1250"/>
      <c r="P477" s="1250"/>
      <c r="Q477" s="1250"/>
      <c r="R477" s="1250"/>
      <c r="S477" s="1250"/>
      <c r="T477" s="1671"/>
      <c r="U477" s="1664" t="str">
        <f>IFERROR(VLOOKUP(B477,ChiTietDuToan!C:H,5,0),"")</f>
        <v/>
      </c>
      <c r="V477" s="2309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59" t="s">
        <v>1629</v>
      </c>
      <c r="C478" s="67" t="str">
        <f t="shared" si="85"/>
        <v xml:space="preserve"> </v>
      </c>
      <c r="D478" s="1236" t="str">
        <f>VLOOKUP($B478,DG!A:D,DG!$B$2,)</f>
        <v>02.1119</v>
      </c>
      <c r="E478" s="1241" t="str">
        <f>VLOOKUP($B478,DG!A:D,DG!$C$2,)</f>
        <v>Bốc dỡ cừ tràm 5m</v>
      </c>
      <c r="F478" s="1236" t="str">
        <f>VLOOKUP($B478,DG!A:D,DG!$D$2,)</f>
        <v>cây</v>
      </c>
      <c r="G478" s="1915">
        <f>G471</f>
        <v>28</v>
      </c>
      <c r="H478" s="1250"/>
      <c r="I478" s="1250"/>
      <c r="J478" s="1250"/>
      <c r="K478" s="1250"/>
      <c r="L478" s="1250"/>
      <c r="M478" s="1250"/>
      <c r="N478" s="1250"/>
      <c r="O478" s="1250"/>
      <c r="P478" s="1250"/>
      <c r="Q478" s="1250"/>
      <c r="R478" s="1250"/>
      <c r="S478" s="1250"/>
      <c r="T478" s="1671"/>
      <c r="U478" s="1664" t="str">
        <f>IFERROR(VLOOKUP(B478,ChiTietDuToan!C:H,5,0),"")</f>
        <v/>
      </c>
      <c r="V478" s="2309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76" t="s">
        <v>639</v>
      </c>
      <c r="C479" s="67" t="str">
        <f t="shared" si="85"/>
        <v xml:space="preserve"> </v>
      </c>
      <c r="D479" s="1236" t="str">
        <f>VLOOKUP($B479,DG!A:C,2,)</f>
        <v>02.1411</v>
      </c>
      <c r="E479" s="1241" t="str">
        <f>VLOOKUP($B479,DG!A:C,3,)</f>
        <v>V/c cừ tràm 5m ( cự ly &lt;=100m)</v>
      </c>
      <c r="F479" s="1236" t="str">
        <f>VLOOKUP($B479,DG!A:D,4,0)</f>
        <v>cây</v>
      </c>
      <c r="G479" s="1915">
        <f>G471</f>
        <v>28</v>
      </c>
      <c r="H479" s="1250"/>
      <c r="I479" s="1250"/>
      <c r="J479" s="1250"/>
      <c r="K479" s="1250"/>
      <c r="L479" s="1250"/>
      <c r="M479" s="1250"/>
      <c r="N479" s="1250"/>
      <c r="O479" s="1250"/>
      <c r="P479" s="1250"/>
      <c r="Q479" s="1250"/>
      <c r="R479" s="1250"/>
      <c r="S479" s="1250"/>
      <c r="T479" s="1671"/>
      <c r="U479" s="1664" t="str">
        <f>IFERROR(VLOOKUP(B479,ChiTietDuToan!C:H,5,0),"")</f>
        <v/>
      </c>
      <c r="V479" s="2309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74" t="s">
        <v>2125</v>
      </c>
      <c r="C480" s="67" t="str">
        <f t="shared" si="85"/>
        <v xml:space="preserve"> </v>
      </c>
      <c r="D480" s="1236" t="str">
        <f>VLOOKUP($B480,DG!A:C,2,)</f>
        <v>02.1451</v>
      </c>
      <c r="E480" s="1241" t="str">
        <f>VLOOKUP($B480,DG!A:C,3,)</f>
        <v>V/c đà cản vào vị trí (cự ly &lt;=100m)</v>
      </c>
      <c r="F480" s="1236" t="str">
        <f>VLOOKUP($B480,DG!A:D,4,0)</f>
        <v>tấn</v>
      </c>
      <c r="G480" s="1914">
        <f>G477</f>
        <v>0.51</v>
      </c>
      <c r="H480" s="1250"/>
      <c r="I480" s="1250"/>
      <c r="J480" s="1250"/>
      <c r="K480" s="1250"/>
      <c r="L480" s="1250"/>
      <c r="M480" s="1250"/>
      <c r="N480" s="1250"/>
      <c r="O480" s="1250"/>
      <c r="P480" s="1250"/>
      <c r="Q480" s="1250"/>
      <c r="R480" s="1250"/>
      <c r="S480" s="1250"/>
      <c r="T480" s="1671"/>
      <c r="U480" s="1664" t="str">
        <f>IFERROR(VLOOKUP(B480,ChiTietDuToan!C:H,5,0),"")</f>
        <v/>
      </c>
      <c r="V480" s="2309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74" t="s">
        <v>640</v>
      </c>
      <c r="C481" s="67" t="str">
        <f t="shared" si="85"/>
        <v xml:space="preserve"> </v>
      </c>
      <c r="D481" s="1236" t="str">
        <f>VLOOKUP($B481,DG!A:C,2,)</f>
        <v>02.1482</v>
      </c>
      <c r="E481" s="1241" t="str">
        <f>VLOOKUP($B481,DG!A:C,3,)</f>
        <v>V/c dụng cụ thi công vào vị trí (cự ly &lt;=100m)</v>
      </c>
      <c r="F481" s="1236" t="str">
        <f>VLOOKUP($B481,DG!A:D,4,0)</f>
        <v>tấn</v>
      </c>
      <c r="G481" s="1914">
        <v>0.2</v>
      </c>
      <c r="H481" s="1250"/>
      <c r="I481" s="1250"/>
      <c r="J481" s="1250"/>
      <c r="K481" s="1250"/>
      <c r="L481" s="1250"/>
      <c r="M481" s="1250"/>
      <c r="N481" s="1250"/>
      <c r="O481" s="1250"/>
      <c r="P481" s="1250"/>
      <c r="Q481" s="1250"/>
      <c r="R481" s="1250"/>
      <c r="S481" s="1250"/>
      <c r="T481" s="1671"/>
      <c r="U481" s="1664" t="str">
        <f>IFERROR(VLOOKUP(B481,ChiTietDuToan!C:H,5,0),"")</f>
        <v/>
      </c>
      <c r="V481" s="2309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56"/>
      <c r="C482" s="65" t="str">
        <f t="shared" ca="1" si="85"/>
        <v xml:space="preserve"> </v>
      </c>
      <c r="D482" s="1237"/>
      <c r="E482" s="1666" t="s">
        <v>2440</v>
      </c>
      <c r="F482" s="1238" t="s">
        <v>2391</v>
      </c>
      <c r="G482" s="1912"/>
      <c r="H482" s="1523">
        <f ca="1">SUM(I482:O482)+T482</f>
        <v>0</v>
      </c>
      <c r="I482" s="1239">
        <f ca="1">SUMIF(mong3pm,chitiet!$A482,slmong3pm)</f>
        <v>0</v>
      </c>
      <c r="J482" s="1239">
        <f ca="1">SUMIF(mongct,chitiet!$A482,slmongct)</f>
        <v>0</v>
      </c>
      <c r="K482" s="1239">
        <f>+SUMIF(mong3p1m,chitiet!$A482,slmong3p1m)</f>
        <v>0</v>
      </c>
      <c r="L482" s="1239">
        <f>IFERROR(HLOOKUP(A482,pp1p!$6:$90,85,0),0)</f>
        <v>0</v>
      </c>
      <c r="M482" s="1239">
        <f ca="1">SUMIF(mongHTHH,chitiet!$A482,slmongHTHH)</f>
        <v>0</v>
      </c>
      <c r="N482" s="1239">
        <f ca="1">SUMIF(mongHTDL,chitiet!$A482,slmongHTDL)</f>
        <v>0</v>
      </c>
      <c r="O482" s="1239"/>
      <c r="P482" s="1239"/>
      <c r="Q482" s="1239"/>
      <c r="R482" s="1239"/>
      <c r="S482" s="1239"/>
      <c r="T482" s="1671"/>
      <c r="U482" s="1664">
        <f>IFERROR(VLOOKUP(B482,ChiTietDuToan!C:H,5,0),"")</f>
        <v>0</v>
      </c>
      <c r="V482" s="2309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75" t="s">
        <v>641</v>
      </c>
      <c r="C483" s="67" t="str">
        <f t="shared" ca="1" si="85"/>
        <v xml:space="preserve"> </v>
      </c>
      <c r="D483" s="1236" t="str">
        <f>VLOOKUP($B483,DG!A:D,DG!$B$2,)</f>
        <v>04.4001</v>
      </c>
      <c r="E483" s="1246" t="str">
        <f>VLOOKUP($B483,DG!A:D,DG!$C$2,)</f>
        <v>Đà cản BTCT 1,2m</v>
      </c>
      <c r="F483" s="1240" t="str">
        <f>VLOOKUP($B483,DG!A:D,DG!$D$2,)</f>
        <v>cái</v>
      </c>
      <c r="G483" s="1918">
        <v>2</v>
      </c>
      <c r="H483" s="1244">
        <f ca="1">H$482*$G483</f>
        <v>0</v>
      </c>
      <c r="I483" s="1244">
        <f t="shared" ref="I483:N484" ca="1" si="88">I$482*$G483</f>
        <v>0</v>
      </c>
      <c r="J483" s="1244">
        <f t="shared" ca="1" si="88"/>
        <v>0</v>
      </c>
      <c r="K483" s="1244">
        <f t="shared" si="88"/>
        <v>0</v>
      </c>
      <c r="L483" s="1244">
        <f t="shared" si="88"/>
        <v>0</v>
      </c>
      <c r="M483" s="1244">
        <f t="shared" ca="1" si="88"/>
        <v>0</v>
      </c>
      <c r="N483" s="1244">
        <f t="shared" ca="1" si="88"/>
        <v>0</v>
      </c>
      <c r="O483" s="1244"/>
      <c r="P483" s="1244"/>
      <c r="Q483" s="1244"/>
      <c r="R483" s="1244"/>
      <c r="S483" s="1244"/>
      <c r="T483" s="1671"/>
      <c r="U483" s="1664" t="str">
        <f>IFERROR(VLOOKUP(B483,ChiTietDuToan!C:H,5,0),"")</f>
        <v>cái</v>
      </c>
      <c r="V483" s="2309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75" t="s">
        <v>1881</v>
      </c>
      <c r="C484" s="67" t="str">
        <f t="shared" ca="1" si="85"/>
        <v xml:space="preserve"> </v>
      </c>
      <c r="D484" s="1240"/>
      <c r="E484" s="1246" t="str">
        <f>VLOOKUP($B484,DG!A:D,DG!$C$2,)</f>
        <v>Boulon 22x700+ 2 long đền vuông D24-50x50x3/Zn</v>
      </c>
      <c r="F484" s="1240" t="str">
        <f>VLOOKUP($B484,DG!A:D,DG!$D$2,)</f>
        <v>bộ</v>
      </c>
      <c r="G484" s="1918">
        <v>1</v>
      </c>
      <c r="H484" s="1244">
        <f ca="1">H$482*$G484</f>
        <v>0</v>
      </c>
      <c r="I484" s="1244">
        <f t="shared" ca="1" si="88"/>
        <v>0</v>
      </c>
      <c r="J484" s="1244">
        <f t="shared" ca="1" si="88"/>
        <v>0</v>
      </c>
      <c r="K484" s="1244">
        <f t="shared" si="88"/>
        <v>0</v>
      </c>
      <c r="L484" s="1244">
        <f t="shared" si="88"/>
        <v>0</v>
      </c>
      <c r="M484" s="1244">
        <f t="shared" ca="1" si="88"/>
        <v>0</v>
      </c>
      <c r="N484" s="1244">
        <f t="shared" ca="1" si="88"/>
        <v>0</v>
      </c>
      <c r="O484" s="1244"/>
      <c r="P484" s="1244"/>
      <c r="Q484" s="1244"/>
      <c r="R484" s="1244"/>
      <c r="S484" s="1244"/>
      <c r="T484" s="1671"/>
      <c r="U484" s="1664" t="str">
        <f>IFERROR(VLOOKUP(B484,ChiTietDuToan!C:H,5,0),"")</f>
        <v/>
      </c>
      <c r="V484" s="2309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59" t="s">
        <v>1865</v>
      </c>
      <c r="C485" s="67" t="str">
        <f t="shared" ca="1" si="85"/>
        <v xml:space="preserve"> </v>
      </c>
      <c r="D485" s="1236">
        <f>VLOOKUP($B485,DG!A:D,DG!$B$2,)</f>
        <v>0</v>
      </c>
      <c r="E485" s="1241" t="str">
        <f>VLOOKUP($B485,DG!A:D,DG!$C$2,)</f>
        <v>Đá 2x4</v>
      </c>
      <c r="F485" s="1236" t="str">
        <f>VLOOKUP($B485,DG!A:D,DG!$D$2,)</f>
        <v>m3</v>
      </c>
      <c r="G485" s="1913">
        <v>0.42099999999999999</v>
      </c>
      <c r="H485" s="1245">
        <f t="shared" ref="H485:N485" ca="1" si="89">H$18*$G485</f>
        <v>0</v>
      </c>
      <c r="I485" s="1245">
        <f t="shared" ca="1" si="89"/>
        <v>0</v>
      </c>
      <c r="J485" s="1245">
        <f t="shared" ca="1" si="89"/>
        <v>0</v>
      </c>
      <c r="K485" s="1245">
        <f t="shared" ca="1" si="89"/>
        <v>0</v>
      </c>
      <c r="L485" s="1245">
        <f t="shared" si="89"/>
        <v>0</v>
      </c>
      <c r="M485" s="1245">
        <f t="shared" ca="1" si="89"/>
        <v>0</v>
      </c>
      <c r="N485" s="1245">
        <f t="shared" ca="1" si="89"/>
        <v>0</v>
      </c>
      <c r="O485" s="1245"/>
      <c r="P485" s="1245"/>
      <c r="Q485" s="1245"/>
      <c r="R485" s="1245"/>
      <c r="S485" s="1245"/>
      <c r="T485" s="1671"/>
      <c r="U485" s="1664" t="str">
        <f>IFERROR(VLOOKUP(B485,ChiTietDuToan!C:H,5,0),"")</f>
        <v>m3</v>
      </c>
      <c r="V485" s="2309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75" t="str">
        <f>IF(F5=1,"MDD1",IF(F5=2,"MDD2",IF(F5=3,"MDD3",IF(F5=4,"MDD4"))))</f>
        <v>MDD3</v>
      </c>
      <c r="C486" s="67" t="str">
        <f t="shared" si="85"/>
        <v xml:space="preserve"> </v>
      </c>
      <c r="D486" s="1240" t="str">
        <f>VLOOKUP($B486,DG!A:D,DG!$B$2,)</f>
        <v>03.1013</v>
      </c>
      <c r="E486" s="1241" t="str">
        <f>VLOOKUP($B486,DG!A:D,DG!$C$2,)</f>
        <v>Đào hố móng đất cấp 3 sâu &gt;1m DT&lt;5m2</v>
      </c>
      <c r="F486" s="1240" t="str">
        <f>VLOOKUP($B486,DG!A:D,DG!$D$2,)</f>
        <v>m3</v>
      </c>
      <c r="G486" s="1917">
        <v>3.25</v>
      </c>
      <c r="H486" s="1247"/>
      <c r="I486" s="1247"/>
      <c r="J486" s="1247"/>
      <c r="K486" s="1247"/>
      <c r="L486" s="1247"/>
      <c r="M486" s="1247"/>
      <c r="N486" s="1247"/>
      <c r="O486" s="1247"/>
      <c r="P486" s="1247"/>
      <c r="Q486" s="1247"/>
      <c r="R486" s="1247"/>
      <c r="S486" s="1247"/>
      <c r="T486" s="1671"/>
      <c r="U486" s="1664" t="str">
        <f>IFERROR(VLOOKUP(B486,ChiTietDuToan!C:H,5,0),"")</f>
        <v>m3</v>
      </c>
      <c r="V486" s="2309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75" t="str">
        <f>IF(F5=1,"MDAP1",IF(F5=2,"MDAP2",IF(F5=3,"MDAP3",IF(F5=4,"MDAP4"))))</f>
        <v>MDAP3</v>
      </c>
      <c r="C487" s="67" t="str">
        <f t="shared" si="85"/>
        <v xml:space="preserve"> </v>
      </c>
      <c r="D487" s="1240" t="str">
        <f>VLOOKUP($B487,DG!A:D,DG!$B$2,)</f>
        <v>03.4113</v>
      </c>
      <c r="E487" s="1241" t="str">
        <f>VLOOKUP($B487,DG!A:D,DG!$C$2,)</f>
        <v>Đắp đất hố móng, độ chặt k=0,95</v>
      </c>
      <c r="F487" s="1240" t="str">
        <f>VLOOKUP($B487,DG!A:D,DG!$D$2,)</f>
        <v>m3</v>
      </c>
      <c r="G487" s="1917">
        <v>3.44</v>
      </c>
      <c r="H487" s="1247"/>
      <c r="I487" s="1247"/>
      <c r="J487" s="1247"/>
      <c r="K487" s="1247"/>
      <c r="L487" s="1247"/>
      <c r="M487" s="1247"/>
      <c r="N487" s="1247"/>
      <c r="O487" s="1247"/>
      <c r="P487" s="1247"/>
      <c r="Q487" s="1247"/>
      <c r="R487" s="1247"/>
      <c r="S487" s="1247"/>
      <c r="T487" s="1671"/>
      <c r="U487" s="1664" t="str">
        <f>IFERROR(VLOOKUP(B487,ChiTietDuToan!C:H,5,0),"")</f>
        <v>m3</v>
      </c>
      <c r="V487" s="2309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75" t="s">
        <v>642</v>
      </c>
      <c r="C488" s="67" t="str">
        <f t="shared" si="85"/>
        <v xml:space="preserve"> </v>
      </c>
      <c r="D488" s="1240" t="str">
        <f>VLOOKUP($B488,DG!A:D,DG!$B$2,)</f>
        <v>02.1123</v>
      </c>
      <c r="E488" s="1241" t="str">
        <f>VLOOKUP($B488,DG!A:D,DG!$C$2,)</f>
        <v>Bốc dỡ đà cản, đế néo</v>
      </c>
      <c r="F488" s="1240" t="str">
        <f>VLOOKUP($B488,DG!A:D,DG!$D$2,)</f>
        <v>tấn</v>
      </c>
      <c r="G488" s="1917">
        <f>0.1*2</f>
        <v>0.2</v>
      </c>
      <c r="H488" s="1244"/>
      <c r="I488" s="1244"/>
      <c r="J488" s="1244"/>
      <c r="K488" s="1244"/>
      <c r="L488" s="1244"/>
      <c r="M488" s="1244"/>
      <c r="N488" s="1244"/>
      <c r="O488" s="1244"/>
      <c r="P488" s="1244"/>
      <c r="Q488" s="1244"/>
      <c r="R488" s="1244"/>
      <c r="S488" s="1244"/>
      <c r="T488" s="1671"/>
      <c r="U488" s="1664" t="str">
        <f>IFERROR(VLOOKUP(B488,ChiTietDuToan!C:H,5,0),"")</f>
        <v/>
      </c>
      <c r="V488" s="2309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57" t="s">
        <v>2125</v>
      </c>
      <c r="C489" s="67" t="str">
        <f t="shared" si="85"/>
        <v xml:space="preserve"> </v>
      </c>
      <c r="D489" s="1240" t="str">
        <f>VLOOKUP($B489,DG!A:C,2,)</f>
        <v>02.1451</v>
      </c>
      <c r="E489" s="1241" t="str">
        <f>VLOOKUP($B489,DG!A:C,3,)</f>
        <v>V/c đà cản vào vị trí (cự ly &lt;=100m)</v>
      </c>
      <c r="F489" s="1240" t="str">
        <f>VLOOKUP($B489,DG!A:D,4,0)</f>
        <v>tấn</v>
      </c>
      <c r="G489" s="1917">
        <f>G488</f>
        <v>0.2</v>
      </c>
      <c r="H489" s="1247"/>
      <c r="I489" s="1247"/>
      <c r="J489" s="1247"/>
      <c r="K489" s="1247"/>
      <c r="L489" s="1247"/>
      <c r="M489" s="1247"/>
      <c r="N489" s="1247"/>
      <c r="O489" s="1247"/>
      <c r="P489" s="1247"/>
      <c r="Q489" s="1247"/>
      <c r="R489" s="1247"/>
      <c r="S489" s="1247"/>
      <c r="T489" s="1671"/>
      <c r="U489" s="1664" t="str">
        <f>IFERROR(VLOOKUP(B489,ChiTietDuToan!C:H,5,0),"")</f>
        <v/>
      </c>
      <c r="V489" s="2309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74" t="s">
        <v>679</v>
      </c>
      <c r="C490" s="67" t="str">
        <f t="shared" si="85"/>
        <v xml:space="preserve"> </v>
      </c>
      <c r="D490" s="1236" t="str">
        <f>VLOOKUP($B490,DG!A:C,2,)</f>
        <v>02.1241</v>
      </c>
      <c r="E490" s="1241" t="str">
        <f>VLOOKUP($B490,DG!A:C,3,)</f>
        <v>V/c đá dăm ( cự ly &lt;=100m)</v>
      </c>
      <c r="F490" s="1236" t="str">
        <f>VLOOKUP($B490,DG!A:D,4,0)</f>
        <v>m3</v>
      </c>
      <c r="G490" s="1913">
        <f>G485</f>
        <v>0.42099999999999999</v>
      </c>
      <c r="H490" s="1250"/>
      <c r="I490" s="1250"/>
      <c r="J490" s="1250"/>
      <c r="K490" s="1250"/>
      <c r="L490" s="1250"/>
      <c r="M490" s="1250"/>
      <c r="N490" s="1250"/>
      <c r="O490" s="1250"/>
      <c r="P490" s="1250"/>
      <c r="Q490" s="1250"/>
      <c r="R490" s="1250"/>
      <c r="S490" s="1250"/>
      <c r="T490" s="1671"/>
      <c r="U490" s="1664" t="str">
        <f>IFERROR(VLOOKUP(B490,ChiTietDuToan!C:H,5,0),"")</f>
        <v/>
      </c>
      <c r="V490" s="2309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57" t="s">
        <v>640</v>
      </c>
      <c r="C491" s="67" t="str">
        <f t="shared" si="85"/>
        <v xml:space="preserve"> </v>
      </c>
      <c r="D491" s="1240" t="str">
        <f>VLOOKUP($B491,DG!A:C,2,)</f>
        <v>02.1482</v>
      </c>
      <c r="E491" s="1241" t="str">
        <f>VLOOKUP($B491,DG!A:C,3,)</f>
        <v>V/c dụng cụ thi công vào vị trí (cự ly &lt;=100m)</v>
      </c>
      <c r="F491" s="1240" t="str">
        <f>VLOOKUP($B491,DG!A:D,4,0)</f>
        <v>tấn</v>
      </c>
      <c r="G491" s="1917">
        <v>0.2</v>
      </c>
      <c r="H491" s="1247"/>
      <c r="I491" s="1247"/>
      <c r="J491" s="1247"/>
      <c r="K491" s="1247"/>
      <c r="L491" s="1247"/>
      <c r="M491" s="1247"/>
      <c r="N491" s="1247"/>
      <c r="O491" s="1247"/>
      <c r="P491" s="1247"/>
      <c r="Q491" s="1247"/>
      <c r="R491" s="1247"/>
      <c r="S491" s="1247"/>
      <c r="T491" s="1671"/>
      <c r="U491" s="1664" t="str">
        <f>IFERROR(VLOOKUP(B491,ChiTietDuToan!C:H,5,0),"")</f>
        <v/>
      </c>
      <c r="V491" s="2309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56"/>
      <c r="C492" s="65" t="str">
        <f t="shared" ca="1" si="85"/>
        <v xml:space="preserve"> </v>
      </c>
      <c r="D492" s="1237"/>
      <c r="E492" s="1666" t="s">
        <v>2441</v>
      </c>
      <c r="F492" s="1238" t="s">
        <v>2391</v>
      </c>
      <c r="G492" s="1912"/>
      <c r="H492" s="1523">
        <f ca="1">SUM(I492:O492)+T492</f>
        <v>0</v>
      </c>
      <c r="I492" s="1239">
        <f ca="1">SUMIF(mong3pm,chitiet!$A492,slmong3pm)</f>
        <v>0</v>
      </c>
      <c r="J492" s="1239">
        <f ca="1">SUMIF(mongct,chitiet!$A492,slmongct)</f>
        <v>0</v>
      </c>
      <c r="K492" s="1239">
        <f>+SUMIF(mong3p1m,chitiet!$A492,slmong3p1m)</f>
        <v>0</v>
      </c>
      <c r="L492" s="1239">
        <f>IFERROR(HLOOKUP(A492,pp1p!$6:$90,85,0),0)</f>
        <v>0</v>
      </c>
      <c r="M492" s="1239">
        <f ca="1">SUMIF(mongHTHH,chitiet!$A492,slmongHTHH)</f>
        <v>0</v>
      </c>
      <c r="N492" s="1239">
        <f ca="1">SUMIF(mongHTDL,chitiet!$A492,slmongHTDL)</f>
        <v>0</v>
      </c>
      <c r="O492" s="1239"/>
      <c r="P492" s="1239"/>
      <c r="Q492" s="1239"/>
      <c r="R492" s="1239"/>
      <c r="S492" s="1239"/>
      <c r="T492" s="1671"/>
      <c r="U492" s="1664">
        <f>IFERROR(VLOOKUP(B492,ChiTietDuToan!C:H,5,0),"")</f>
        <v>0</v>
      </c>
      <c r="V492" s="2309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75" t="s">
        <v>1627</v>
      </c>
      <c r="C493" s="67" t="str">
        <f t="shared" ca="1" si="85"/>
        <v xml:space="preserve"> </v>
      </c>
      <c r="D493" s="1236" t="str">
        <f>VLOOKUP($B493,DG!A:D,DG!$B$2,)</f>
        <v>04.3801</v>
      </c>
      <c r="E493" s="1246" t="str">
        <f>VLOOKUP($B493,DG!A:D,DG!$C$2,)</f>
        <v>Đà cản BTCT 1,5m</v>
      </c>
      <c r="F493" s="1240" t="str">
        <f>VLOOKUP($B493,DG!A:D,DG!$D$2,)</f>
        <v>cái</v>
      </c>
      <c r="G493" s="1918">
        <v>2</v>
      </c>
      <c r="H493" s="1244">
        <f ca="1">H$492*$G493</f>
        <v>0</v>
      </c>
      <c r="I493" s="1244">
        <f t="shared" ref="I493:N494" ca="1" si="90">I$492*$G493</f>
        <v>0</v>
      </c>
      <c r="J493" s="1244">
        <f t="shared" ca="1" si="90"/>
        <v>0</v>
      </c>
      <c r="K493" s="1244">
        <f t="shared" si="90"/>
        <v>0</v>
      </c>
      <c r="L493" s="1244">
        <f t="shared" si="90"/>
        <v>0</v>
      </c>
      <c r="M493" s="1244">
        <f t="shared" ca="1" si="90"/>
        <v>0</v>
      </c>
      <c r="N493" s="1244">
        <f t="shared" ca="1" si="90"/>
        <v>0</v>
      </c>
      <c r="O493" s="1244"/>
      <c r="P493" s="1244"/>
      <c r="Q493" s="1244"/>
      <c r="R493" s="1244"/>
      <c r="S493" s="1244"/>
      <c r="T493" s="1671"/>
      <c r="U493" s="1664" t="str">
        <f>IFERROR(VLOOKUP(B493,ChiTietDuToan!C:H,5,0),"")</f>
        <v>cái</v>
      </c>
      <c r="V493" s="2309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75" t="s">
        <v>419</v>
      </c>
      <c r="C494" s="67" t="str">
        <f t="shared" ca="1" si="85"/>
        <v xml:space="preserve"> </v>
      </c>
      <c r="D494" s="1240"/>
      <c r="E494" s="1246" t="str">
        <f>VLOOKUP($B494,DG!A:D,DG!$C$2,)</f>
        <v>Boulon 22x800+ 2 long đền vuông D24-50x50x3/Zn</v>
      </c>
      <c r="F494" s="1240" t="str">
        <f>VLOOKUP($B494,DG!A:D,DG!$D$2,)</f>
        <v>bộ</v>
      </c>
      <c r="G494" s="1918">
        <v>1</v>
      </c>
      <c r="H494" s="1244">
        <f ca="1">H$492*$G494</f>
        <v>0</v>
      </c>
      <c r="I494" s="1244">
        <f t="shared" ca="1" si="90"/>
        <v>0</v>
      </c>
      <c r="J494" s="1244">
        <f t="shared" ca="1" si="90"/>
        <v>0</v>
      </c>
      <c r="K494" s="1244">
        <f t="shared" si="90"/>
        <v>0</v>
      </c>
      <c r="L494" s="1244">
        <f t="shared" si="90"/>
        <v>0</v>
      </c>
      <c r="M494" s="1244">
        <f t="shared" ca="1" si="90"/>
        <v>0</v>
      </c>
      <c r="N494" s="1244">
        <f t="shared" ca="1" si="90"/>
        <v>0</v>
      </c>
      <c r="O494" s="1244"/>
      <c r="P494" s="1244"/>
      <c r="Q494" s="1244"/>
      <c r="R494" s="1244"/>
      <c r="S494" s="1244"/>
      <c r="T494" s="1671"/>
      <c r="U494" s="1664" t="str">
        <f>IFERROR(VLOOKUP(B494,ChiTietDuToan!C:H,5,0),"")</f>
        <v/>
      </c>
      <c r="V494" s="2309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59" t="s">
        <v>1865</v>
      </c>
      <c r="C495" s="67" t="str">
        <f t="shared" ca="1" si="85"/>
        <v xml:space="preserve"> </v>
      </c>
      <c r="D495" s="1236">
        <f>VLOOKUP($B495,DG!A:D,DG!$B$2,)</f>
        <v>0</v>
      </c>
      <c r="E495" s="1241" t="str">
        <f>VLOOKUP($B495,DG!A:D,DG!$C$2,)</f>
        <v>Đá 2x4</v>
      </c>
      <c r="F495" s="1236" t="str">
        <f>VLOOKUP($B495,DG!A:D,DG!$D$2,)</f>
        <v>m3</v>
      </c>
      <c r="G495" s="1913">
        <v>0.42099999999999999</v>
      </c>
      <c r="H495" s="1245">
        <f t="shared" ref="H495:N495" ca="1" si="91">H$18*$G495</f>
        <v>0</v>
      </c>
      <c r="I495" s="1245">
        <f t="shared" ca="1" si="91"/>
        <v>0</v>
      </c>
      <c r="J495" s="1245">
        <f t="shared" ca="1" si="91"/>
        <v>0</v>
      </c>
      <c r="K495" s="1245">
        <f t="shared" ca="1" si="91"/>
        <v>0</v>
      </c>
      <c r="L495" s="1245">
        <f t="shared" si="91"/>
        <v>0</v>
      </c>
      <c r="M495" s="1245">
        <f t="shared" ca="1" si="91"/>
        <v>0</v>
      </c>
      <c r="N495" s="1245">
        <f t="shared" ca="1" si="91"/>
        <v>0</v>
      </c>
      <c r="O495" s="1245"/>
      <c r="P495" s="1245"/>
      <c r="Q495" s="1245"/>
      <c r="R495" s="1245"/>
      <c r="S495" s="1245"/>
      <c r="T495" s="1671"/>
      <c r="U495" s="1664" t="str">
        <f>IFERROR(VLOOKUP(B495,ChiTietDuToan!C:H,5,0),"")</f>
        <v>m3</v>
      </c>
      <c r="V495" s="2309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75" t="str">
        <f>IF(F5=1,"MDD1",IF(F5=2,"MDD2",IF(F5=3,"MDD3",IF(F5=4,"MDD4"))))</f>
        <v>MDD3</v>
      </c>
      <c r="C496" s="67" t="str">
        <f t="shared" si="85"/>
        <v xml:space="preserve"> </v>
      </c>
      <c r="D496" s="1240" t="str">
        <f>VLOOKUP($B496,DG!A:D,DG!$B$2,)</f>
        <v>03.1013</v>
      </c>
      <c r="E496" s="1241" t="str">
        <f>VLOOKUP($B496,DG!A:D,DG!$C$2,)</f>
        <v>Đào hố móng đất cấp 3 sâu &gt;1m DT&lt;5m2</v>
      </c>
      <c r="F496" s="1240" t="str">
        <f>VLOOKUP($B496,DG!A:D,DG!$D$2,)</f>
        <v>m3</v>
      </c>
      <c r="G496" s="1917">
        <v>4.03</v>
      </c>
      <c r="H496" s="1247"/>
      <c r="I496" s="1247"/>
      <c r="J496" s="1247"/>
      <c r="K496" s="1247"/>
      <c r="L496" s="1247"/>
      <c r="M496" s="1247"/>
      <c r="N496" s="1247"/>
      <c r="O496" s="1247"/>
      <c r="P496" s="1247"/>
      <c r="Q496" s="1247"/>
      <c r="R496" s="1247"/>
      <c r="S496" s="1247"/>
      <c r="T496" s="1671"/>
      <c r="U496" s="1664" t="str">
        <f>IFERROR(VLOOKUP(B496,ChiTietDuToan!C:H,5,0),"")</f>
        <v>m3</v>
      </c>
      <c r="V496" s="2309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75" t="str">
        <f>IF(F5=1,"MDAP1",IF(F5=2,"MDAP2",IF(F5=3,"MDAP3",IF(F5=4,"MDAP4"))))</f>
        <v>MDAP3</v>
      </c>
      <c r="C497" s="67" t="str">
        <f t="shared" si="85"/>
        <v xml:space="preserve"> </v>
      </c>
      <c r="D497" s="1240" t="str">
        <f>VLOOKUP($B497,DG!A:D,DG!$B$2,)</f>
        <v>03.4113</v>
      </c>
      <c r="E497" s="1241" t="str">
        <f>VLOOKUP($B497,DG!A:D,DG!$C$2,)</f>
        <v>Đắp đất hố móng, độ chặt k=0,95</v>
      </c>
      <c r="F497" s="1240" t="str">
        <f>VLOOKUP($B497,DG!A:D,DG!$D$2,)</f>
        <v>m3</v>
      </c>
      <c r="G497" s="1917">
        <v>4.3140000000000001</v>
      </c>
      <c r="H497" s="1247"/>
      <c r="I497" s="1247"/>
      <c r="J497" s="1247"/>
      <c r="K497" s="1247"/>
      <c r="L497" s="1247"/>
      <c r="M497" s="1247"/>
      <c r="N497" s="1247"/>
      <c r="O497" s="1247"/>
      <c r="P497" s="1247"/>
      <c r="Q497" s="1247"/>
      <c r="R497" s="1247"/>
      <c r="S497" s="1247"/>
      <c r="T497" s="1671"/>
      <c r="U497" s="1664" t="str">
        <f>IFERROR(VLOOKUP(B497,ChiTietDuToan!C:H,5,0),"")</f>
        <v>m3</v>
      </c>
      <c r="V497" s="2309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75" t="s">
        <v>642</v>
      </c>
      <c r="C498" s="67" t="str">
        <f t="shared" si="85"/>
        <v xml:space="preserve"> </v>
      </c>
      <c r="D498" s="1240" t="str">
        <f>VLOOKUP($B498,DG!A:D,DG!$B$2,)</f>
        <v>02.1123</v>
      </c>
      <c r="E498" s="1241" t="str">
        <f>VLOOKUP($B498,DG!A:D,DG!$C$2,)</f>
        <v>Bốc dỡ đà cản, đế néo</v>
      </c>
      <c r="F498" s="1240" t="str">
        <f>VLOOKUP($B498,DG!A:D,DG!$D$2,)</f>
        <v>tấn</v>
      </c>
      <c r="G498" s="1917">
        <f>0.255*2</f>
        <v>0.51</v>
      </c>
      <c r="H498" s="1244"/>
      <c r="I498" s="1244"/>
      <c r="J498" s="1244"/>
      <c r="K498" s="1244"/>
      <c r="L498" s="1244"/>
      <c r="M498" s="1244"/>
      <c r="N498" s="1244"/>
      <c r="O498" s="1244"/>
      <c r="P498" s="1244"/>
      <c r="Q498" s="1244"/>
      <c r="R498" s="1244"/>
      <c r="S498" s="1244"/>
      <c r="T498" s="1671"/>
      <c r="U498" s="1664" t="str">
        <f>IFERROR(VLOOKUP(B498,ChiTietDuToan!C:H,5,0),"")</f>
        <v/>
      </c>
      <c r="V498" s="2309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57" t="s">
        <v>2125</v>
      </c>
      <c r="C499" s="67" t="str">
        <f t="shared" si="85"/>
        <v xml:space="preserve"> </v>
      </c>
      <c r="D499" s="1240" t="str">
        <f>VLOOKUP($B499,DG!A:C,2,)</f>
        <v>02.1451</v>
      </c>
      <c r="E499" s="1241" t="str">
        <f>VLOOKUP($B499,DG!A:C,3,)</f>
        <v>V/c đà cản vào vị trí (cự ly &lt;=100m)</v>
      </c>
      <c r="F499" s="1240" t="str">
        <f>VLOOKUP($B499,DG!A:D,4,0)</f>
        <v>tấn</v>
      </c>
      <c r="G499" s="1917">
        <f>G498</f>
        <v>0.51</v>
      </c>
      <c r="H499" s="1247"/>
      <c r="I499" s="1247"/>
      <c r="J499" s="1247"/>
      <c r="K499" s="1247"/>
      <c r="L499" s="1247"/>
      <c r="M499" s="1247"/>
      <c r="N499" s="1247"/>
      <c r="O499" s="1247"/>
      <c r="P499" s="1247"/>
      <c r="Q499" s="1247"/>
      <c r="R499" s="1247"/>
      <c r="S499" s="1247"/>
      <c r="T499" s="1671"/>
      <c r="U499" s="1664" t="str">
        <f>IFERROR(VLOOKUP(B499,ChiTietDuToan!C:H,5,0),"")</f>
        <v/>
      </c>
      <c r="V499" s="2309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74" t="s">
        <v>679</v>
      </c>
      <c r="C500" s="67" t="str">
        <f t="shared" si="85"/>
        <v xml:space="preserve"> </v>
      </c>
      <c r="D500" s="1236" t="str">
        <f>VLOOKUP($B500,DG!A:C,2,)</f>
        <v>02.1241</v>
      </c>
      <c r="E500" s="1241" t="str">
        <f>VLOOKUP($B500,DG!A:C,3,)</f>
        <v>V/c đá dăm ( cự ly &lt;=100m)</v>
      </c>
      <c r="F500" s="1236" t="str">
        <f>VLOOKUP($B500,DG!A:D,4,0)</f>
        <v>m3</v>
      </c>
      <c r="G500" s="1913">
        <f>G495</f>
        <v>0.42099999999999999</v>
      </c>
      <c r="H500" s="1250"/>
      <c r="I500" s="1250"/>
      <c r="J500" s="1250"/>
      <c r="K500" s="1250"/>
      <c r="L500" s="1250"/>
      <c r="M500" s="1250"/>
      <c r="N500" s="1250"/>
      <c r="O500" s="1250"/>
      <c r="P500" s="1250"/>
      <c r="Q500" s="1250"/>
      <c r="R500" s="1250"/>
      <c r="S500" s="1250"/>
      <c r="T500" s="1671"/>
      <c r="U500" s="1664" t="str">
        <f>IFERROR(VLOOKUP(B500,ChiTietDuToan!C:H,5,0),"")</f>
        <v/>
      </c>
      <c r="V500" s="2309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57" t="s">
        <v>640</v>
      </c>
      <c r="C501" s="67" t="str">
        <f t="shared" si="85"/>
        <v xml:space="preserve"> </v>
      </c>
      <c r="D501" s="1240" t="str">
        <f>VLOOKUP($B501,DG!A:C,2,)</f>
        <v>02.1482</v>
      </c>
      <c r="E501" s="1241" t="str">
        <f>VLOOKUP($B501,DG!A:C,3,)</f>
        <v>V/c dụng cụ thi công vào vị trí (cự ly &lt;=100m)</v>
      </c>
      <c r="F501" s="1240" t="str">
        <f>VLOOKUP($B501,DG!A:D,4,0)</f>
        <v>tấn</v>
      </c>
      <c r="G501" s="1917">
        <v>0.2</v>
      </c>
      <c r="H501" s="1247"/>
      <c r="I501" s="1247"/>
      <c r="J501" s="1247"/>
      <c r="K501" s="1247"/>
      <c r="L501" s="1247"/>
      <c r="M501" s="1247"/>
      <c r="N501" s="1247"/>
      <c r="O501" s="1247"/>
      <c r="P501" s="1247"/>
      <c r="Q501" s="1247"/>
      <c r="R501" s="1247"/>
      <c r="S501" s="1247"/>
      <c r="T501" s="1671"/>
      <c r="U501" s="1664" t="str">
        <f>IFERROR(VLOOKUP(B501,ChiTietDuToan!C:H,5,0),"")</f>
        <v/>
      </c>
      <c r="V501" s="2309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56"/>
      <c r="C502" s="65" t="str">
        <f t="shared" ca="1" si="85"/>
        <v xml:space="preserve"> </v>
      </c>
      <c r="D502" s="1237"/>
      <c r="E502" s="1666" t="s">
        <v>2442</v>
      </c>
      <c r="F502" s="1238" t="s">
        <v>2391</v>
      </c>
      <c r="G502" s="1912"/>
      <c r="H502" s="1523">
        <f ca="1">SUM(I502:O502)+T502</f>
        <v>0</v>
      </c>
      <c r="I502" s="1239">
        <f ca="1">SUMIF(mong3pm,chitiet!$A502,slmong3pm)</f>
        <v>0</v>
      </c>
      <c r="J502" s="1239">
        <f ca="1">SUMIF(mongct,chitiet!$A502,slmongct)</f>
        <v>0</v>
      </c>
      <c r="K502" s="1239">
        <f ca="1">SUMIF(mong1pm,chitiet!$A502,slmong1pm)</f>
        <v>0</v>
      </c>
      <c r="L502" s="1239">
        <f>IFERROR(HLOOKUP(A502,pp1p!$6:$90,85,0),0)</f>
        <v>0</v>
      </c>
      <c r="M502" s="1239">
        <f ca="1">SUMIF(mongHTHH,chitiet!$A502,slmongHTHH)</f>
        <v>0</v>
      </c>
      <c r="N502" s="1239">
        <f ca="1">SUMIF(mongHTDL,chitiet!$A502,slmongHTDL)</f>
        <v>0</v>
      </c>
      <c r="O502" s="1239"/>
      <c r="P502" s="1239"/>
      <c r="Q502" s="1239"/>
      <c r="R502" s="1239"/>
      <c r="S502" s="1239"/>
      <c r="T502" s="1671"/>
      <c r="U502" s="1664">
        <f>IFERROR(VLOOKUP(B502,ChiTietDuToan!C:H,5,0),"")</f>
        <v>0</v>
      </c>
      <c r="V502" s="2309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75" t="s">
        <v>1627</v>
      </c>
      <c r="C503" s="67" t="str">
        <f t="shared" ca="1" si="85"/>
        <v xml:space="preserve"> </v>
      </c>
      <c r="D503" s="1236" t="str">
        <f>VLOOKUP($B503,DG!A:D,DG!$B$2,)</f>
        <v>04.3801</v>
      </c>
      <c r="E503" s="1246" t="str">
        <f>VLOOKUP($B503,DG!A:D,DG!$C$2,)</f>
        <v>Đà cản BTCT 1,5m</v>
      </c>
      <c r="F503" s="1240" t="str">
        <f>VLOOKUP($B503,DG!A:D,DG!$D$2,)</f>
        <v>cái</v>
      </c>
      <c r="G503" s="1918">
        <v>4</v>
      </c>
      <c r="H503" s="1244">
        <f ca="1">H$502*$G503</f>
        <v>0</v>
      </c>
      <c r="I503" s="1244">
        <f t="shared" ref="I503:N504" ca="1" si="92">I$502*$G503</f>
        <v>0</v>
      </c>
      <c r="J503" s="1244">
        <f t="shared" ca="1" si="92"/>
        <v>0</v>
      </c>
      <c r="K503" s="1244">
        <f t="shared" ca="1" si="92"/>
        <v>0</v>
      </c>
      <c r="L503" s="1244">
        <f t="shared" si="92"/>
        <v>0</v>
      </c>
      <c r="M503" s="1244">
        <f t="shared" ca="1" si="92"/>
        <v>0</v>
      </c>
      <c r="N503" s="1244">
        <f t="shared" ca="1" si="92"/>
        <v>0</v>
      </c>
      <c r="O503" s="1244"/>
      <c r="P503" s="1244"/>
      <c r="Q503" s="1244"/>
      <c r="R503" s="1244"/>
      <c r="S503" s="1244"/>
      <c r="T503" s="1671"/>
      <c r="U503" s="1664" t="str">
        <f>IFERROR(VLOOKUP(B503,ChiTietDuToan!C:H,5,0),"")</f>
        <v>cái</v>
      </c>
      <c r="V503" s="2309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75" t="s">
        <v>570</v>
      </c>
      <c r="C504" s="67" t="str">
        <f t="shared" ca="1" si="85"/>
        <v xml:space="preserve"> </v>
      </c>
      <c r="D504" s="1236"/>
      <c r="E504" s="1246" t="str">
        <f>VLOOKUP($B504,DG!A:D,DG!$C$2,)</f>
        <v>Boulon 22x650+ 2 long đền vuông D24-50x50x3/Zn</v>
      </c>
      <c r="F504" s="1240" t="str">
        <f>VLOOKUP($B504,DG!A:D,DG!$D$2,)</f>
        <v>bộ</v>
      </c>
      <c r="G504" s="1918">
        <v>4</v>
      </c>
      <c r="H504" s="1244">
        <f ca="1">H$502*$G504</f>
        <v>0</v>
      </c>
      <c r="I504" s="1244">
        <f t="shared" ca="1" si="92"/>
        <v>0</v>
      </c>
      <c r="J504" s="1244">
        <f t="shared" ca="1" si="92"/>
        <v>0</v>
      </c>
      <c r="K504" s="1244">
        <f t="shared" ca="1" si="92"/>
        <v>0</v>
      </c>
      <c r="L504" s="1244">
        <f t="shared" si="92"/>
        <v>0</v>
      </c>
      <c r="M504" s="1244">
        <f t="shared" ca="1" si="92"/>
        <v>0</v>
      </c>
      <c r="N504" s="1244">
        <f t="shared" ca="1" si="92"/>
        <v>0</v>
      </c>
      <c r="O504" s="1244"/>
      <c r="P504" s="1244"/>
      <c r="Q504" s="1244"/>
      <c r="R504" s="1244"/>
      <c r="S504" s="1244"/>
      <c r="T504" s="1671"/>
      <c r="U504" s="1664" t="str">
        <f>IFERROR(VLOOKUP(B504,ChiTietDuToan!C:H,5,0),"")</f>
        <v>bộ</v>
      </c>
      <c r="V504" s="2309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75" t="str">
        <f>IF(F5=1,"MDD1",IF(F5=2,"MDD2",IF(F5=3,"MDD3",IF(F5=4,"MDD4"))))</f>
        <v>MDD3</v>
      </c>
      <c r="C505" s="67" t="str">
        <f t="shared" si="85"/>
        <v xml:space="preserve"> </v>
      </c>
      <c r="D505" s="1240" t="str">
        <f>VLOOKUP($B505,DG!A:D,DG!$B$2,)</f>
        <v>03.1013</v>
      </c>
      <c r="E505" s="1241" t="str">
        <f>VLOOKUP($B505,DG!A:D,DG!$C$2,)</f>
        <v>Đào hố móng đất cấp 3 sâu &gt;1m DT&lt;5m2</v>
      </c>
      <c r="F505" s="1240" t="str">
        <f>VLOOKUP($B505,DG!A:D,DG!$D$2,)</f>
        <v>m3</v>
      </c>
      <c r="G505" s="1917">
        <v>10.63</v>
      </c>
      <c r="H505" s="1247"/>
      <c r="I505" s="1247"/>
      <c r="J505" s="1247"/>
      <c r="K505" s="1247"/>
      <c r="L505" s="1247"/>
      <c r="M505" s="1247"/>
      <c r="N505" s="1247"/>
      <c r="O505" s="1247"/>
      <c r="P505" s="1247"/>
      <c r="Q505" s="1247"/>
      <c r="R505" s="1247"/>
      <c r="S505" s="1247"/>
      <c r="T505" s="1671"/>
      <c r="U505" s="1664" t="str">
        <f>IFERROR(VLOOKUP(B505,ChiTietDuToan!C:H,5,0),"")</f>
        <v>m3</v>
      </c>
      <c r="V505" s="2309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75" t="str">
        <f>IF(F5=1,"MDAP1",IF(F5=2,"MDAP2",IF(F5=3,"MDAP3",IF(F5=4,"MDAP4"))))</f>
        <v>MDAP3</v>
      </c>
      <c r="C506" s="67" t="str">
        <f t="shared" si="85"/>
        <v xml:space="preserve"> </v>
      </c>
      <c r="D506" s="1240" t="str">
        <f>VLOOKUP($B506,DG!A:D,DG!$B$2,)</f>
        <v>03.4113</v>
      </c>
      <c r="E506" s="1241" t="str">
        <f>VLOOKUP($B506,DG!A:D,DG!$C$2,)</f>
        <v>Đắp đất hố móng, độ chặt k=0,95</v>
      </c>
      <c r="F506" s="1240" t="str">
        <f>VLOOKUP($B506,DG!A:D,DG!$D$2,)</f>
        <v>m3</v>
      </c>
      <c r="G506" s="1917">
        <v>10.63</v>
      </c>
      <c r="H506" s="1247"/>
      <c r="I506" s="1247"/>
      <c r="J506" s="1247"/>
      <c r="K506" s="1247"/>
      <c r="L506" s="1247"/>
      <c r="M506" s="1247"/>
      <c r="N506" s="1247"/>
      <c r="O506" s="1247"/>
      <c r="P506" s="1247"/>
      <c r="Q506" s="1247"/>
      <c r="R506" s="1247"/>
      <c r="S506" s="1247"/>
      <c r="T506" s="1671"/>
      <c r="U506" s="1664" t="str">
        <f>IFERROR(VLOOKUP(B506,ChiTietDuToan!C:H,5,0),"")</f>
        <v>m3</v>
      </c>
      <c r="V506" s="2309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75" t="s">
        <v>642</v>
      </c>
      <c r="C507" s="67" t="str">
        <f t="shared" si="85"/>
        <v xml:space="preserve"> </v>
      </c>
      <c r="D507" s="1240" t="str">
        <f>VLOOKUP($B507,DG!A:D,DG!$B$2,)</f>
        <v>02.1123</v>
      </c>
      <c r="E507" s="1241" t="str">
        <f>VLOOKUP($B507,DG!A:D,DG!$C$2,)</f>
        <v>Bốc dỡ đà cản, đế néo</v>
      </c>
      <c r="F507" s="1240" t="str">
        <f>VLOOKUP($B507,DG!A:D,DG!$D$2,)</f>
        <v>tấn</v>
      </c>
      <c r="G507" s="1917">
        <f>0.255*G503</f>
        <v>1.02</v>
      </c>
      <c r="H507" s="1244"/>
      <c r="I507" s="1244"/>
      <c r="J507" s="1244"/>
      <c r="K507" s="1244"/>
      <c r="L507" s="1244"/>
      <c r="M507" s="1244"/>
      <c r="N507" s="1244"/>
      <c r="O507" s="1244"/>
      <c r="P507" s="1244"/>
      <c r="Q507" s="1244"/>
      <c r="R507" s="1244"/>
      <c r="S507" s="1244"/>
      <c r="T507" s="1671"/>
      <c r="U507" s="1664" t="str">
        <f>IFERROR(VLOOKUP(B507,ChiTietDuToan!C:H,5,0),"")</f>
        <v/>
      </c>
      <c r="V507" s="2309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57" t="s">
        <v>2125</v>
      </c>
      <c r="C508" s="67" t="str">
        <f t="shared" si="85"/>
        <v xml:space="preserve"> </v>
      </c>
      <c r="D508" s="1240" t="str">
        <f>VLOOKUP($B508,DG!A:C,2,)</f>
        <v>02.1451</v>
      </c>
      <c r="E508" s="1241" t="str">
        <f>VLOOKUP($B508,DG!A:C,3,)</f>
        <v>V/c đà cản vào vị trí (cự ly &lt;=100m)</v>
      </c>
      <c r="F508" s="1240" t="str">
        <f>VLOOKUP($B508,DG!A:D,4,0)</f>
        <v>tấn</v>
      </c>
      <c r="G508" s="1917">
        <f>G507</f>
        <v>1.02</v>
      </c>
      <c r="H508" s="1247"/>
      <c r="I508" s="1247"/>
      <c r="J508" s="1247"/>
      <c r="K508" s="1247"/>
      <c r="L508" s="1247"/>
      <c r="M508" s="1247"/>
      <c r="N508" s="1247"/>
      <c r="O508" s="1247"/>
      <c r="P508" s="1247"/>
      <c r="Q508" s="1247"/>
      <c r="R508" s="1247"/>
      <c r="S508" s="1247"/>
      <c r="T508" s="1671"/>
      <c r="U508" s="1664" t="str">
        <f>IFERROR(VLOOKUP(B508,ChiTietDuToan!C:H,5,0),"")</f>
        <v/>
      </c>
      <c r="V508" s="2309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57" t="s">
        <v>640</v>
      </c>
      <c r="C509" s="67" t="str">
        <f t="shared" si="85"/>
        <v xml:space="preserve"> </v>
      </c>
      <c r="D509" s="1240" t="str">
        <f>VLOOKUP($B509,DG!A:C,2,)</f>
        <v>02.1482</v>
      </c>
      <c r="E509" s="1241" t="str">
        <f>VLOOKUP($B509,DG!A:C,3,)</f>
        <v>V/c dụng cụ thi công vào vị trí (cự ly &lt;=100m)</v>
      </c>
      <c r="F509" s="1240" t="str">
        <f>VLOOKUP($B509,DG!A:D,4,0)</f>
        <v>tấn</v>
      </c>
      <c r="G509" s="1917">
        <v>0.2</v>
      </c>
      <c r="H509" s="1247"/>
      <c r="I509" s="1247"/>
      <c r="J509" s="1247"/>
      <c r="K509" s="1247"/>
      <c r="L509" s="1247"/>
      <c r="M509" s="1247"/>
      <c r="N509" s="1247"/>
      <c r="O509" s="1247"/>
      <c r="P509" s="1247"/>
      <c r="Q509" s="1247"/>
      <c r="R509" s="1247"/>
      <c r="S509" s="1247"/>
      <c r="T509" s="1671"/>
      <c r="U509" s="1664" t="str">
        <f>IFERROR(VLOOKUP(B509,ChiTietDuToan!C:H,5,0),"")</f>
        <v/>
      </c>
      <c r="V509" s="2309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56"/>
      <c r="C510" s="65" t="str">
        <f t="shared" ca="1" si="85"/>
        <v xml:space="preserve"> </v>
      </c>
      <c r="D510" s="1237"/>
      <c r="E510" s="1666" t="s">
        <v>2443</v>
      </c>
      <c r="F510" s="1238" t="s">
        <v>2391</v>
      </c>
      <c r="G510" s="1912"/>
      <c r="H510" s="1523">
        <f ca="1">SUM(I510:O510)+T510</f>
        <v>0</v>
      </c>
      <c r="I510" s="1239">
        <f ca="1">SUMIF(mong3pm,chitiet!$A510,slmong3pm)</f>
        <v>0</v>
      </c>
      <c r="J510" s="1239">
        <f ca="1">SUMIF(mongct,chitiet!$A510,slmongct)</f>
        <v>0</v>
      </c>
      <c r="K510" s="1239">
        <f ca="1">SUMIF(mong1pm,chitiet!$A510,slmong1pm)</f>
        <v>0</v>
      </c>
      <c r="L510" s="1239">
        <f>IFERROR(HLOOKUP(A510,pp1p!$6:$90,85,0),0)</f>
        <v>0</v>
      </c>
      <c r="M510" s="1239">
        <f ca="1">SUMIF(mongHTHH,chitiet!$A510,slmongHTHH)</f>
        <v>0</v>
      </c>
      <c r="N510" s="1239">
        <f ca="1">SUMIF(mongHTDL,chitiet!$A510,slmongHTDL)</f>
        <v>0</v>
      </c>
      <c r="O510" s="1239"/>
      <c r="P510" s="1239"/>
      <c r="Q510" s="1239"/>
      <c r="R510" s="1239"/>
      <c r="S510" s="1239"/>
      <c r="T510" s="1671"/>
      <c r="U510" s="1664">
        <f>IFERROR(VLOOKUP(B510,ChiTietDuToan!C:H,5,0),"")</f>
        <v>0</v>
      </c>
      <c r="V510" s="2309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75" t="s">
        <v>1889</v>
      </c>
      <c r="C511" s="67" t="str">
        <f t="shared" ca="1" si="85"/>
        <v xml:space="preserve"> </v>
      </c>
      <c r="D511" s="1240" t="str">
        <f>VLOOKUP($B511,DG!A:D,DG!$B$2,)</f>
        <v>04.1203c</v>
      </c>
      <c r="E511" s="1241" t="str">
        <f>VLOOKUP($B511,DG!A:D,DG!$C$2,)</f>
        <v>Đổ bê tông móng trụ &lt;=250cm-M200 đá 1x2</v>
      </c>
      <c r="F511" s="1240" t="str">
        <f>VLOOKUP($B511,DG!A:D,DG!$D$2,)</f>
        <v>m3</v>
      </c>
      <c r="G511" s="1916">
        <v>2.0139999999999998</v>
      </c>
      <c r="H511" s="1244">
        <f ca="1">H$510*$G511</f>
        <v>0</v>
      </c>
      <c r="I511" s="1244">
        <f t="shared" ref="I511:N514" ca="1" si="93">I$510*$G511</f>
        <v>0</v>
      </c>
      <c r="J511" s="1244">
        <f t="shared" ca="1" si="93"/>
        <v>0</v>
      </c>
      <c r="K511" s="1244">
        <f t="shared" ca="1" si="93"/>
        <v>0</v>
      </c>
      <c r="L511" s="1244">
        <f t="shared" si="93"/>
        <v>0</v>
      </c>
      <c r="M511" s="1244">
        <f t="shared" ca="1" si="93"/>
        <v>0</v>
      </c>
      <c r="N511" s="1244">
        <f t="shared" ca="1" si="93"/>
        <v>0</v>
      </c>
      <c r="O511" s="1244"/>
      <c r="P511" s="1244"/>
      <c r="Q511" s="1244"/>
      <c r="R511" s="1244"/>
      <c r="S511" s="1244"/>
      <c r="T511" s="1671"/>
      <c r="U511" s="1664" t="str">
        <f>IFERROR(VLOOKUP(B511,ChiTietDuToan!C:H,5,0),"")</f>
        <v/>
      </c>
      <c r="V511" s="2309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75" t="s">
        <v>2008</v>
      </c>
      <c r="C512" s="67" t="str">
        <f t="shared" ca="1" si="85"/>
        <v xml:space="preserve"> </v>
      </c>
      <c r="D512" s="1240" t="str">
        <f>VLOOKUP($B512,DG!A:D,DG!$B$2,)</f>
        <v>04.3112</v>
      </c>
      <c r="E512" s="1241" t="str">
        <f>VLOOKUP($B512,DG!A:D,DG!$C$2,)</f>
        <v>Đổ bê tông mác M100 đá 4x6</v>
      </c>
      <c r="F512" s="1240" t="str">
        <f>VLOOKUP($B512,DG!A:D,DG!$D$2,)</f>
        <v>m3</v>
      </c>
      <c r="G512" s="1916">
        <v>0.20399999999999999</v>
      </c>
      <c r="H512" s="1244">
        <f ca="1">H$510*$G512</f>
        <v>0</v>
      </c>
      <c r="I512" s="1244">
        <f t="shared" ca="1" si="93"/>
        <v>0</v>
      </c>
      <c r="J512" s="1244">
        <f t="shared" ca="1" si="93"/>
        <v>0</v>
      </c>
      <c r="K512" s="1244">
        <f t="shared" ca="1" si="93"/>
        <v>0</v>
      </c>
      <c r="L512" s="1244">
        <f t="shared" si="93"/>
        <v>0</v>
      </c>
      <c r="M512" s="1244">
        <f t="shared" ca="1" si="93"/>
        <v>0</v>
      </c>
      <c r="N512" s="1244">
        <f t="shared" ca="1" si="93"/>
        <v>0</v>
      </c>
      <c r="O512" s="1244"/>
      <c r="P512" s="1244"/>
      <c r="Q512" s="1244"/>
      <c r="R512" s="1244"/>
      <c r="S512" s="1244"/>
      <c r="T512" s="1671"/>
      <c r="U512" s="1664" t="str">
        <f>IFERROR(VLOOKUP(B512,ChiTietDuToan!C:H,5,0),"")</f>
        <v/>
      </c>
      <c r="V512" s="2309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58" t="s">
        <v>4665</v>
      </c>
      <c r="C513" s="67" t="str">
        <f t="shared" ca="1" si="85"/>
        <v xml:space="preserve"> </v>
      </c>
      <c r="D513" s="1240"/>
      <c r="E513" s="1241" t="str">
        <f>VLOOKUP($B513,DG!A:D,DG!$C$2,)</f>
        <v>Cát vàng</v>
      </c>
      <c r="F513" s="1240" t="str">
        <f>VLOOKUP($B513,DG!A:D,DG!$D$2,)</f>
        <v>m3</v>
      </c>
      <c r="G513" s="1920">
        <v>0.24</v>
      </c>
      <c r="H513" s="1244">
        <f ca="1">H$510*$G513</f>
        <v>0</v>
      </c>
      <c r="I513" s="1244">
        <f t="shared" ca="1" si="93"/>
        <v>0</v>
      </c>
      <c r="J513" s="1244">
        <f t="shared" ca="1" si="93"/>
        <v>0</v>
      </c>
      <c r="K513" s="1244">
        <f t="shared" ca="1" si="93"/>
        <v>0</v>
      </c>
      <c r="L513" s="1244">
        <f t="shared" si="93"/>
        <v>0</v>
      </c>
      <c r="M513" s="1244">
        <f t="shared" ca="1" si="93"/>
        <v>0</v>
      </c>
      <c r="N513" s="1244">
        <f t="shared" ca="1" si="93"/>
        <v>0</v>
      </c>
      <c r="O513" s="1244"/>
      <c r="P513" s="1244"/>
      <c r="Q513" s="1244"/>
      <c r="R513" s="1244"/>
      <c r="S513" s="1244"/>
      <c r="T513" s="1671"/>
      <c r="U513" s="1664" t="str">
        <f>IFERROR(VLOOKUP(B513,ChiTietDuToan!C:H,5,0),"")</f>
        <v>m3</v>
      </c>
      <c r="V513" s="2309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75" t="s">
        <v>2026</v>
      </c>
      <c r="C514" s="67" t="str">
        <f t="shared" ca="1" si="85"/>
        <v xml:space="preserve"> </v>
      </c>
      <c r="D514" s="1240"/>
      <c r="E514" s="1246" t="str">
        <f>VLOOKUP($B514,DG!A:D,DG!$C$2,)</f>
        <v>Sắt   Ø6</v>
      </c>
      <c r="F514" s="1240" t="str">
        <f>VLOOKUP($B514,DG!A:D,DG!$D$2,)</f>
        <v>kg</v>
      </c>
      <c r="G514" s="1918">
        <v>193.05</v>
      </c>
      <c r="H514" s="1244">
        <f ca="1">H$510*$G514</f>
        <v>0</v>
      </c>
      <c r="I514" s="1244">
        <f t="shared" ca="1" si="93"/>
        <v>0</v>
      </c>
      <c r="J514" s="1244">
        <f t="shared" ca="1" si="93"/>
        <v>0</v>
      </c>
      <c r="K514" s="1244">
        <f t="shared" ca="1" si="93"/>
        <v>0</v>
      </c>
      <c r="L514" s="1244">
        <f t="shared" si="93"/>
        <v>0</v>
      </c>
      <c r="M514" s="1244">
        <f t="shared" ca="1" si="93"/>
        <v>0</v>
      </c>
      <c r="N514" s="1244">
        <f t="shared" ca="1" si="93"/>
        <v>0</v>
      </c>
      <c r="O514" s="1244"/>
      <c r="P514" s="1244"/>
      <c r="Q514" s="1244"/>
      <c r="R514" s="1244"/>
      <c r="S514" s="1244"/>
      <c r="T514" s="1671"/>
      <c r="U514" s="1664" t="str">
        <f>IFERROR(VLOOKUP(B514,ChiTietDuToan!C:H,5,0),"")</f>
        <v/>
      </c>
      <c r="V514" s="2309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75" t="str">
        <f>IF(F5=1,"MDD1",IF(F5=2,"MDD2",IF(F5=3,"MDD3",IF(F5=4,"MDD4"))))</f>
        <v>MDD3</v>
      </c>
      <c r="C515" s="67" t="str">
        <f t="shared" si="85"/>
        <v xml:space="preserve"> </v>
      </c>
      <c r="D515" s="1240" t="str">
        <f>VLOOKUP($B515,DG!A:D,DG!$B$2,)</f>
        <v>03.1013</v>
      </c>
      <c r="E515" s="1241" t="str">
        <f>VLOOKUP($B515,DG!A:D,DG!$C$2,)</f>
        <v>Đào hố móng đất cấp 3 sâu &gt;1m DT&lt;5m2</v>
      </c>
      <c r="F515" s="1240" t="str">
        <f>VLOOKUP($B515,DG!A:D,DG!$D$2,)</f>
        <v>m3</v>
      </c>
      <c r="G515" s="1922">
        <v>5.3040000000000003</v>
      </c>
      <c r="H515" s="1247"/>
      <c r="I515" s="1247"/>
      <c r="J515" s="1247"/>
      <c r="K515" s="1247"/>
      <c r="L515" s="1247"/>
      <c r="M515" s="1247"/>
      <c r="N515" s="1247"/>
      <c r="O515" s="1247"/>
      <c r="P515" s="1247"/>
      <c r="Q515" s="1247"/>
      <c r="R515" s="1247"/>
      <c r="S515" s="1247"/>
      <c r="T515" s="1671"/>
      <c r="U515" s="1664" t="str">
        <f>IFERROR(VLOOKUP(B515,ChiTietDuToan!C:H,5,0),"")</f>
        <v>m3</v>
      </c>
      <c r="V515" s="2309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75" t="str">
        <f>IF(F5=1,"MDAP1",IF(F5=2,"MDAP2",IF(F5=3,"MDAP3",IF(F5=4,"MDAP4"))))</f>
        <v>MDAP3</v>
      </c>
      <c r="C516" s="67" t="str">
        <f t="shared" si="85"/>
        <v xml:space="preserve"> </v>
      </c>
      <c r="D516" s="1240" t="str">
        <f>VLOOKUP($B516,DG!A:D,DG!$B$2,)</f>
        <v>03.4113</v>
      </c>
      <c r="E516" s="1241" t="str">
        <f>VLOOKUP($B516,DG!A:D,DG!$C$2,)</f>
        <v>Đắp đất hố móng, độ chặt k=0,95</v>
      </c>
      <c r="F516" s="1240" t="str">
        <f>VLOOKUP($B516,DG!A:D,DG!$D$2,)</f>
        <v>m3</v>
      </c>
      <c r="G516" s="1922">
        <v>2.8450000000000002</v>
      </c>
      <c r="H516" s="1247"/>
      <c r="I516" s="1247"/>
      <c r="J516" s="1247"/>
      <c r="K516" s="1247"/>
      <c r="L516" s="1247"/>
      <c r="M516" s="1247"/>
      <c r="N516" s="1247"/>
      <c r="O516" s="1247"/>
      <c r="P516" s="1247"/>
      <c r="Q516" s="1247"/>
      <c r="R516" s="1247"/>
      <c r="S516" s="1247"/>
      <c r="T516" s="1671"/>
      <c r="U516" s="1664" t="str">
        <f>IFERROR(VLOOKUP(B516,ChiTietDuToan!C:H,5,0),"")</f>
        <v>m3</v>
      </c>
      <c r="V516" s="2309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75" t="s">
        <v>1108</v>
      </c>
      <c r="C517" s="67" t="str">
        <f t="shared" si="85"/>
        <v xml:space="preserve"> </v>
      </c>
      <c r="D517" s="1240" t="str">
        <f>VLOOKUP($B517,DG!A:D,DG!$B$2,)</f>
        <v>03.7000</v>
      </c>
      <c r="E517" s="1241" t="str">
        <f>VLOOKUP($B517,DG!A:D,DG!$C$2,)&amp;"san phaúng ñaàu cöø"</f>
        <v>Đắp cát san phaúng ñaàu cöø</v>
      </c>
      <c r="F517" s="1240" t="str">
        <f>VLOOKUP($B517,DG!A:D,DG!$D$2,)</f>
        <v>m3</v>
      </c>
      <c r="G517" s="1917">
        <f>G513</f>
        <v>0.24</v>
      </c>
      <c r="H517" s="1244"/>
      <c r="I517" s="1244"/>
      <c r="J517" s="1244"/>
      <c r="K517" s="1244"/>
      <c r="L517" s="1244"/>
      <c r="M517" s="1244"/>
      <c r="N517" s="1244"/>
      <c r="O517" s="1244"/>
      <c r="P517" s="1244"/>
      <c r="Q517" s="1244"/>
      <c r="R517" s="1244"/>
      <c r="S517" s="1244"/>
      <c r="T517" s="1671"/>
      <c r="U517" s="1664" t="str">
        <f>IFERROR(VLOOKUP(B517,ChiTietDuToan!C:H,5,0),"")</f>
        <v/>
      </c>
      <c r="V517" s="2309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75" t="s">
        <v>9</v>
      </c>
      <c r="C518" s="67" t="str">
        <f t="shared" si="85"/>
        <v xml:space="preserve"> </v>
      </c>
      <c r="D518" s="1240" t="str">
        <f>VLOOKUP($B518,DG!A:D,DG!$B$2,)</f>
        <v>04.5101</v>
      </c>
      <c r="E518" s="1241" t="str">
        <f>VLOOKUP($B518,DG!A:D,DG!$C$2,)</f>
        <v>Gia công và lắp dựng cốt thép D&lt;=10</v>
      </c>
      <c r="F518" s="1240" t="str">
        <f>VLOOKUP($B518,DG!A:D,DG!$D$2,)</f>
        <v>kg</v>
      </c>
      <c r="G518" s="1918">
        <f>G514</f>
        <v>193.05</v>
      </c>
      <c r="H518" s="1244"/>
      <c r="I518" s="1244"/>
      <c r="J518" s="1244"/>
      <c r="K518" s="1244"/>
      <c r="L518" s="1244"/>
      <c r="M518" s="1244"/>
      <c r="N518" s="1244"/>
      <c r="O518" s="1244"/>
      <c r="P518" s="1244"/>
      <c r="Q518" s="1244"/>
      <c r="R518" s="1244"/>
      <c r="S518" s="1244"/>
      <c r="T518" s="1671"/>
      <c r="U518" s="1664" t="str">
        <f>IFERROR(VLOOKUP(B518,ChiTietDuToan!C:H,5,0),"")</f>
        <v/>
      </c>
      <c r="V518" s="2309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75" t="s">
        <v>10</v>
      </c>
      <c r="C519" s="67" t="str">
        <f t="shared" si="85"/>
        <v xml:space="preserve"> </v>
      </c>
      <c r="D519" s="1240" t="str">
        <f>VLOOKUP($B519,DG!A:D,DG!$B$2,)</f>
        <v>04.2001</v>
      </c>
      <c r="E519" s="1241" t="str">
        <f>VLOOKUP($B519,DG!A:D,DG!$C$2,)</f>
        <v>Gia công và lắp dựng ván khuôn</v>
      </c>
      <c r="F519" s="1240" t="str">
        <f>VLOOKUP($B519,DG!A:D,DG!$D$2,)</f>
        <v>m2</v>
      </c>
      <c r="G519" s="1917">
        <v>8</v>
      </c>
      <c r="H519" s="1244"/>
      <c r="I519" s="1244"/>
      <c r="J519" s="1244"/>
      <c r="K519" s="1244"/>
      <c r="L519" s="1244"/>
      <c r="M519" s="1244"/>
      <c r="N519" s="1244"/>
      <c r="O519" s="1244"/>
      <c r="P519" s="1244"/>
      <c r="Q519" s="1244"/>
      <c r="R519" s="1244"/>
      <c r="S519" s="1244"/>
      <c r="T519" s="1671"/>
      <c r="U519" s="1664" t="str">
        <f>IFERROR(VLOOKUP(B519,ChiTietDuToan!C:H,5,0),"")</f>
        <v/>
      </c>
      <c r="V519" s="2309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57" t="s">
        <v>17</v>
      </c>
      <c r="C520" s="67" t="str">
        <f t="shared" si="85"/>
        <v xml:space="preserve"> </v>
      </c>
      <c r="D520" s="1240" t="str">
        <f>VLOOKUP($B520,DG!A:C,2,)</f>
        <v>02.1351</v>
      </c>
      <c r="E520" s="1241" t="str">
        <f>VLOOKUP($B520,DG!A:C,3,)</f>
        <v>V/c cốt thép ( cự ly &lt;=100m)</v>
      </c>
      <c r="F520" s="1240" t="str">
        <f>VLOOKUP($B520,DG!A:D,4,0)</f>
        <v>tấn</v>
      </c>
      <c r="G520" s="1917">
        <f>G514/1000</f>
        <v>0.19305</v>
      </c>
      <c r="H520" s="1247"/>
      <c r="I520" s="1247"/>
      <c r="J520" s="1247"/>
      <c r="K520" s="1247"/>
      <c r="L520" s="1247"/>
      <c r="M520" s="1247"/>
      <c r="N520" s="1247"/>
      <c r="O520" s="1247"/>
      <c r="P520" s="1247"/>
      <c r="Q520" s="1247"/>
      <c r="R520" s="1247"/>
      <c r="S520" s="1247"/>
      <c r="T520" s="1671"/>
      <c r="U520" s="1664" t="str">
        <f>IFERROR(VLOOKUP(B520,ChiTietDuToan!C:H,5,0),"")</f>
        <v/>
      </c>
      <c r="V520" s="2309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57" t="s">
        <v>19</v>
      </c>
      <c r="C521" s="67" t="str">
        <f t="shared" si="85"/>
        <v xml:space="preserve"> </v>
      </c>
      <c r="D521" s="1240">
        <f>VLOOKUP($B521,DG!A:C,2,)</f>
        <v>0</v>
      </c>
      <c r="E521" s="1241" t="str">
        <f>VLOOKUP($B521,DG!A:C,3,)</f>
        <v>Cát vàng</v>
      </c>
      <c r="F521" s="1240" t="str">
        <f>VLOOKUP($B521,DG!A:D,4,0)</f>
        <v>m3</v>
      </c>
      <c r="G521" s="1917">
        <f>G513</f>
        <v>0.24</v>
      </c>
      <c r="H521" s="1247"/>
      <c r="I521" s="1247"/>
      <c r="J521" s="1247"/>
      <c r="K521" s="1247"/>
      <c r="L521" s="1247"/>
      <c r="M521" s="1247"/>
      <c r="N521" s="1247"/>
      <c r="O521" s="1247"/>
      <c r="P521" s="1247"/>
      <c r="Q521" s="1247"/>
      <c r="R521" s="1247"/>
      <c r="S521" s="1247"/>
      <c r="T521" s="1671"/>
      <c r="U521" s="1664" t="str">
        <f>IFERROR(VLOOKUP(B521,ChiTietDuToan!C:H,5,0),"")</f>
        <v>m3</v>
      </c>
      <c r="V521" s="2309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57" t="s">
        <v>640</v>
      </c>
      <c r="C522" s="67" t="str">
        <f t="shared" si="85"/>
        <v xml:space="preserve"> </v>
      </c>
      <c r="D522" s="1240" t="str">
        <f>VLOOKUP($B522,DG!A:C,2,)</f>
        <v>02.1482</v>
      </c>
      <c r="E522" s="1241" t="str">
        <f>VLOOKUP($B522,DG!A:C,3,)</f>
        <v>V/c dụng cụ thi công vào vị trí (cự ly &lt;=100m)</v>
      </c>
      <c r="F522" s="1240" t="str">
        <f>VLOOKUP($B522,DG!A:D,4,0)</f>
        <v>tấn</v>
      </c>
      <c r="G522" s="1917">
        <v>0.2</v>
      </c>
      <c r="H522" s="1247"/>
      <c r="I522" s="1247"/>
      <c r="J522" s="1247"/>
      <c r="K522" s="1247"/>
      <c r="L522" s="1247"/>
      <c r="M522" s="1247"/>
      <c r="N522" s="1247"/>
      <c r="O522" s="1247"/>
      <c r="P522" s="1247"/>
      <c r="Q522" s="1247"/>
      <c r="R522" s="1247"/>
      <c r="S522" s="1247"/>
      <c r="T522" s="1671"/>
      <c r="U522" s="1664" t="str">
        <f>IFERROR(VLOOKUP(B522,ChiTietDuToan!C:H,5,0),"")</f>
        <v/>
      </c>
      <c r="V522" s="2309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56"/>
      <c r="C523" s="65" t="str">
        <f t="shared" ca="1" si="85"/>
        <v xml:space="preserve"> </v>
      </c>
      <c r="D523" s="1237"/>
      <c r="E523" s="1666" t="s">
        <v>2444</v>
      </c>
      <c r="F523" s="1238" t="s">
        <v>2391</v>
      </c>
      <c r="G523" s="1912"/>
      <c r="H523" s="1523">
        <f ca="1">SUM(I523:O523)+T523</f>
        <v>0</v>
      </c>
      <c r="I523" s="1239">
        <f ca="1">SUMIF(mong3pm,chitiet!$A523,slmong3pm)</f>
        <v>0</v>
      </c>
      <c r="J523" s="1239">
        <f ca="1">SUMIF(mongct,chitiet!$A523,slmongct)</f>
        <v>0</v>
      </c>
      <c r="K523" s="1239">
        <f ca="1">SUMIF(mong1pm,chitiet!$A523,slmong1pm)</f>
        <v>0</v>
      </c>
      <c r="L523" s="1239">
        <f>IFERROR(HLOOKUP(A523,pp1p!$6:$90,85,0),0)</f>
        <v>0</v>
      </c>
      <c r="M523" s="1239">
        <f ca="1">SUMIF(mongHTHH,chitiet!$A523,slmongHTHH)</f>
        <v>0</v>
      </c>
      <c r="N523" s="1239">
        <f ca="1">SUMIF(mongHTDL,chitiet!$A523,slmongHTDL)</f>
        <v>0</v>
      </c>
      <c r="O523" s="1239"/>
      <c r="P523" s="1239"/>
      <c r="Q523" s="1239"/>
      <c r="R523" s="1239"/>
      <c r="S523" s="1239"/>
      <c r="T523" s="1671"/>
      <c r="U523" s="1664">
        <f>IFERROR(VLOOKUP(B523,ChiTietDuToan!C:H,5,0),"")</f>
        <v>0</v>
      </c>
      <c r="V523" s="2309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75" t="s">
        <v>1627</v>
      </c>
      <c r="C524" s="67" t="str">
        <f t="shared" ca="1" si="85"/>
        <v xml:space="preserve"> </v>
      </c>
      <c r="D524" s="1236" t="str">
        <f>VLOOKUP($B524,DG!A:D,DG!$B$2,)</f>
        <v>04.3801</v>
      </c>
      <c r="E524" s="1246" t="str">
        <f>VLOOKUP($B524,DG!A:D,DG!$C$2,)</f>
        <v>Đà cản BTCT 1,5m</v>
      </c>
      <c r="F524" s="1240" t="str">
        <f>VLOOKUP($B524,DG!A:D,DG!$D$2,)</f>
        <v>cái</v>
      </c>
      <c r="G524" s="1918">
        <v>4</v>
      </c>
      <c r="H524" s="1244">
        <f t="shared" ref="H524:N525" ca="1" si="95">H$523*$G524</f>
        <v>0</v>
      </c>
      <c r="I524" s="1244">
        <f t="shared" ca="1" si="95"/>
        <v>0</v>
      </c>
      <c r="J524" s="1244">
        <f t="shared" ca="1" si="95"/>
        <v>0</v>
      </c>
      <c r="K524" s="1244">
        <f t="shared" ca="1" si="95"/>
        <v>0</v>
      </c>
      <c r="L524" s="1244">
        <f t="shared" si="95"/>
        <v>0</v>
      </c>
      <c r="M524" s="1244">
        <f t="shared" ca="1" si="95"/>
        <v>0</v>
      </c>
      <c r="N524" s="1244">
        <f t="shared" ca="1" si="95"/>
        <v>0</v>
      </c>
      <c r="O524" s="1244"/>
      <c r="P524" s="1244"/>
      <c r="Q524" s="1244"/>
      <c r="R524" s="1244"/>
      <c r="S524" s="1244"/>
      <c r="T524" s="1671"/>
      <c r="U524" s="1664" t="str">
        <f>IFERROR(VLOOKUP(B524,ChiTietDuToan!C:H,5,0),"")</f>
        <v>cái</v>
      </c>
      <c r="V524" s="2309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75" t="s">
        <v>419</v>
      </c>
      <c r="C525" s="67" t="str">
        <f t="shared" ca="1" si="85"/>
        <v xml:space="preserve"> </v>
      </c>
      <c r="D525" s="1236"/>
      <c r="E525" s="1665" t="str">
        <f>VLOOKUP($B525,DG!A:D,DG!$C$2,)</f>
        <v>Boulon 22x800+ 2 long đền vuông D24-50x50x3/Zn</v>
      </c>
      <c r="F525" s="1240" t="str">
        <f>VLOOKUP($B525,DG!A:D,DG!$D$2,)</f>
        <v>bộ</v>
      </c>
      <c r="G525" s="1918">
        <v>4</v>
      </c>
      <c r="H525" s="1244">
        <f t="shared" ca="1" si="95"/>
        <v>0</v>
      </c>
      <c r="I525" s="1244">
        <f t="shared" ca="1" si="95"/>
        <v>0</v>
      </c>
      <c r="J525" s="1244">
        <f t="shared" ca="1" si="95"/>
        <v>0</v>
      </c>
      <c r="K525" s="1244">
        <f t="shared" ca="1" si="95"/>
        <v>0</v>
      </c>
      <c r="L525" s="1244">
        <f t="shared" si="95"/>
        <v>0</v>
      </c>
      <c r="M525" s="1244">
        <f t="shared" ca="1" si="95"/>
        <v>0</v>
      </c>
      <c r="N525" s="1244">
        <f t="shared" ca="1" si="95"/>
        <v>0</v>
      </c>
      <c r="O525" s="1244"/>
      <c r="P525" s="1244"/>
      <c r="Q525" s="1244"/>
      <c r="R525" s="1244"/>
      <c r="S525" s="1244"/>
      <c r="T525" s="1671"/>
      <c r="U525" s="1664" t="str">
        <f>IFERROR(VLOOKUP(B525,ChiTietDuToan!C:H,5,0),"")</f>
        <v/>
      </c>
      <c r="V525" s="2309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75" t="str">
        <f>IF(F5=1,"MDD1",IF(F5=2,"MDD2",IF(F5=3,"MDD3",IF(F5=4,"MDD4"))))</f>
        <v>MDD3</v>
      </c>
      <c r="C526" s="67" t="str">
        <f t="shared" si="85"/>
        <v xml:space="preserve"> </v>
      </c>
      <c r="D526" s="1240" t="str">
        <f>VLOOKUP($B526,DG!A:D,DG!$B$2,)</f>
        <v>03.1013</v>
      </c>
      <c r="E526" s="1241" t="str">
        <f>VLOOKUP($B526,DG!A:D,DG!$C$2,)</f>
        <v>Đào hố móng đất cấp 3 sâu &gt;1m DT&lt;5m2</v>
      </c>
      <c r="F526" s="1240" t="str">
        <f>VLOOKUP($B526,DG!A:D,DG!$D$2,)</f>
        <v>m3</v>
      </c>
      <c r="G526" s="1917">
        <v>21.8</v>
      </c>
      <c r="H526" s="1247"/>
      <c r="I526" s="1247"/>
      <c r="J526" s="1247"/>
      <c r="K526" s="1247"/>
      <c r="L526" s="1247"/>
      <c r="M526" s="1247"/>
      <c r="N526" s="1247"/>
      <c r="O526" s="1247"/>
      <c r="P526" s="1247"/>
      <c r="Q526" s="1247"/>
      <c r="R526" s="1247"/>
      <c r="S526" s="1247"/>
      <c r="T526" s="1671"/>
      <c r="U526" s="1664" t="str">
        <f>IFERROR(VLOOKUP(B526,ChiTietDuToan!C:H,5,0),"")</f>
        <v>m3</v>
      </c>
      <c r="V526" s="2309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75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40" t="str">
        <f>VLOOKUP($B527,DG!A:D,DG!$B$2,)</f>
        <v>03.4113</v>
      </c>
      <c r="E527" s="1241" t="str">
        <f>VLOOKUP($B527,DG!A:D,DG!$C$2,)</f>
        <v>Đắp đất hố móng, độ chặt k=0,95</v>
      </c>
      <c r="F527" s="1240" t="str">
        <f>VLOOKUP($B527,DG!A:D,DG!$D$2,)</f>
        <v>m3</v>
      </c>
      <c r="G527" s="1917">
        <v>23.1</v>
      </c>
      <c r="H527" s="1247"/>
      <c r="I527" s="1247"/>
      <c r="J527" s="1247"/>
      <c r="K527" s="1247"/>
      <c r="L527" s="1247"/>
      <c r="M527" s="1247"/>
      <c r="N527" s="1247"/>
      <c r="O527" s="1247"/>
      <c r="P527" s="1247"/>
      <c r="Q527" s="1247"/>
      <c r="R527" s="1247"/>
      <c r="S527" s="1247"/>
      <c r="T527" s="1671"/>
      <c r="U527" s="1664" t="str">
        <f>IFERROR(VLOOKUP(B527,ChiTietDuToan!C:H,5,0),"")</f>
        <v>m3</v>
      </c>
      <c r="V527" s="2309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75" t="s">
        <v>642</v>
      </c>
      <c r="C528" s="67" t="str">
        <f t="shared" si="96"/>
        <v xml:space="preserve"> </v>
      </c>
      <c r="D528" s="1240" t="str">
        <f>VLOOKUP($B528,DG!A:D,DG!$B$2,)</f>
        <v>02.1123</v>
      </c>
      <c r="E528" s="1241" t="str">
        <f>VLOOKUP($B528,DG!A:D,DG!$C$2,)</f>
        <v>Bốc dỡ đà cản, đế néo</v>
      </c>
      <c r="F528" s="1240" t="str">
        <f>VLOOKUP($B528,DG!A:D,DG!$D$2,)</f>
        <v>tấn</v>
      </c>
      <c r="G528" s="1917">
        <f>0.255*G524</f>
        <v>1.02</v>
      </c>
      <c r="H528" s="1244"/>
      <c r="I528" s="1244"/>
      <c r="J528" s="1244"/>
      <c r="K528" s="1244"/>
      <c r="L528" s="1244"/>
      <c r="M528" s="1244"/>
      <c r="N528" s="1244"/>
      <c r="O528" s="1244"/>
      <c r="P528" s="1244"/>
      <c r="Q528" s="1244"/>
      <c r="R528" s="1244"/>
      <c r="S528" s="1244"/>
      <c r="T528" s="1671"/>
      <c r="U528" s="1664" t="str">
        <f>IFERROR(VLOOKUP(B528,ChiTietDuToan!C:H,5,0),"")</f>
        <v/>
      </c>
      <c r="V528" s="2309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57" t="s">
        <v>2125</v>
      </c>
      <c r="C529" s="67" t="str">
        <f t="shared" si="96"/>
        <v xml:space="preserve"> </v>
      </c>
      <c r="D529" s="1240" t="str">
        <f>VLOOKUP($B529,DG!A:C,2,)</f>
        <v>02.1451</v>
      </c>
      <c r="E529" s="1241" t="str">
        <f>VLOOKUP($B529,DG!A:C,3,)</f>
        <v>V/c đà cản vào vị trí (cự ly &lt;=100m)</v>
      </c>
      <c r="F529" s="1240" t="str">
        <f>VLOOKUP($B529,DG!A:D,4,0)</f>
        <v>tấn</v>
      </c>
      <c r="G529" s="1917">
        <f>G528</f>
        <v>1.02</v>
      </c>
      <c r="H529" s="1247"/>
      <c r="I529" s="1247"/>
      <c r="J529" s="1247"/>
      <c r="K529" s="1247"/>
      <c r="L529" s="1247"/>
      <c r="M529" s="1247"/>
      <c r="N529" s="1247"/>
      <c r="O529" s="1247"/>
      <c r="P529" s="1247"/>
      <c r="Q529" s="1247"/>
      <c r="R529" s="1247"/>
      <c r="S529" s="1247"/>
      <c r="T529" s="1671"/>
      <c r="U529" s="1664" t="str">
        <f>IFERROR(VLOOKUP(B529,ChiTietDuToan!C:H,5,0),"")</f>
        <v/>
      </c>
      <c r="V529" s="2309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57" t="s">
        <v>640</v>
      </c>
      <c r="C530" s="67" t="str">
        <f t="shared" si="96"/>
        <v xml:space="preserve"> </v>
      </c>
      <c r="D530" s="1240" t="str">
        <f>VLOOKUP($B530,DG!A:C,2,)</f>
        <v>02.1482</v>
      </c>
      <c r="E530" s="1241" t="str">
        <f>VLOOKUP($B530,DG!A:C,3,)</f>
        <v>V/c dụng cụ thi công vào vị trí (cự ly &lt;=100m)</v>
      </c>
      <c r="F530" s="1240" t="str">
        <f>VLOOKUP($B530,DG!A:D,4,0)</f>
        <v>tấn</v>
      </c>
      <c r="G530" s="1917">
        <v>0.2</v>
      </c>
      <c r="H530" s="1247"/>
      <c r="I530" s="1247"/>
      <c r="J530" s="1247"/>
      <c r="K530" s="1247"/>
      <c r="L530" s="1247"/>
      <c r="M530" s="1247"/>
      <c r="N530" s="1247"/>
      <c r="O530" s="1247"/>
      <c r="P530" s="1247"/>
      <c r="Q530" s="1247"/>
      <c r="R530" s="1247"/>
      <c r="S530" s="1247"/>
      <c r="T530" s="1671"/>
      <c r="U530" s="1664" t="str">
        <f>IFERROR(VLOOKUP(B530,ChiTietDuToan!C:H,5,0),"")</f>
        <v/>
      </c>
      <c r="V530" s="2309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68"/>
      <c r="C531" s="65" t="str">
        <f t="shared" ca="1" si="96"/>
        <v xml:space="preserve"> </v>
      </c>
      <c r="D531" s="1237"/>
      <c r="E531" s="1666" t="s">
        <v>2445</v>
      </c>
      <c r="F531" s="1238" t="s">
        <v>2446</v>
      </c>
      <c r="G531" s="1912"/>
      <c r="H531" s="1523">
        <f ca="1">SUM(I531:O531)+T531</f>
        <v>0</v>
      </c>
      <c r="I531" s="1239"/>
      <c r="J531" s="1239"/>
      <c r="K531" s="1239"/>
      <c r="L531" s="1239">
        <f>IFERROR(HLOOKUP(A531,pp1p!$6:$90,85,0),0)</f>
        <v>0</v>
      </c>
      <c r="M531" s="1239">
        <f ca="1">SUMIF(tdllHTHH,chitiet!$E531,sltdllHTHH)</f>
        <v>0</v>
      </c>
      <c r="N531" s="1239"/>
      <c r="O531" s="1239"/>
      <c r="P531" s="1239"/>
      <c r="Q531" s="1239"/>
      <c r="R531" s="1239"/>
      <c r="S531" s="1239"/>
      <c r="T531" s="1671"/>
      <c r="U531" s="1664">
        <f>IFERROR(VLOOKUP(B531,ChiTietDuToan!C:H,5,0),"")</f>
        <v>0</v>
      </c>
      <c r="V531" s="2309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57" t="s">
        <v>759</v>
      </c>
      <c r="C532" s="67" t="str">
        <f t="shared" ca="1" si="96"/>
        <v xml:space="preserve"> </v>
      </c>
      <c r="D532" s="1236"/>
      <c r="E532" s="1241" t="str">
        <f>VLOOKUP($B532,DG!A:D,DG!$C$2,)</f>
        <v xml:space="preserve">Ximăng </v>
      </c>
      <c r="F532" s="1240" t="str">
        <f>VLOOKUP($B532,DG!A:D,DG!$D$2,)</f>
        <v>kg</v>
      </c>
      <c r="G532" s="1916">
        <f>G545*P545+G546*P546</f>
        <v>0</v>
      </c>
      <c r="H532" s="1245">
        <f t="shared" ref="H532:N534" ca="1" si="97">H$531*$G532</f>
        <v>0</v>
      </c>
      <c r="I532" s="1245">
        <f t="shared" si="97"/>
        <v>0</v>
      </c>
      <c r="J532" s="1245">
        <f t="shared" si="97"/>
        <v>0</v>
      </c>
      <c r="K532" s="1245">
        <f t="shared" si="97"/>
        <v>0</v>
      </c>
      <c r="L532" s="1245">
        <f t="shared" si="97"/>
        <v>0</v>
      </c>
      <c r="M532" s="1245">
        <f t="shared" ca="1" si="97"/>
        <v>0</v>
      </c>
      <c r="N532" s="1245">
        <f t="shared" si="97"/>
        <v>0</v>
      </c>
      <c r="O532" s="1245"/>
      <c r="P532" s="1245"/>
      <c r="Q532" s="1245"/>
      <c r="R532" s="1245"/>
      <c r="S532" s="1245"/>
      <c r="T532" s="1671"/>
      <c r="U532" s="1664" t="str">
        <f>IFERROR(VLOOKUP(B532,ChiTietDuToan!C:H,5,0),"")</f>
        <v>kg</v>
      </c>
      <c r="V532" s="2309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58" t="s">
        <v>4665</v>
      </c>
      <c r="C533" s="67" t="str">
        <f t="shared" ca="1" si="96"/>
        <v xml:space="preserve"> </v>
      </c>
      <c r="D533" s="1240"/>
      <c r="E533" s="1241" t="str">
        <f>VLOOKUP($B533,DG!A:D,DG!$C$2,)</f>
        <v>Cát vàng</v>
      </c>
      <c r="F533" s="1240" t="str">
        <f>VLOOKUP($B533,DG!A:D,DG!$D$2,)</f>
        <v>m3</v>
      </c>
      <c r="G533" s="1916">
        <f>G545*Q545+G546*Q546</f>
        <v>0</v>
      </c>
      <c r="H533" s="1245">
        <f t="shared" ca="1" si="97"/>
        <v>0</v>
      </c>
      <c r="I533" s="1245">
        <f t="shared" si="97"/>
        <v>0</v>
      </c>
      <c r="J533" s="1245">
        <f t="shared" si="97"/>
        <v>0</v>
      </c>
      <c r="K533" s="1245">
        <f t="shared" si="97"/>
        <v>0</v>
      </c>
      <c r="L533" s="1245">
        <f t="shared" si="97"/>
        <v>0</v>
      </c>
      <c r="M533" s="1245">
        <f t="shared" ca="1" si="97"/>
        <v>0</v>
      </c>
      <c r="N533" s="1245">
        <f t="shared" si="97"/>
        <v>0</v>
      </c>
      <c r="O533" s="1245"/>
      <c r="P533" s="1245"/>
      <c r="Q533" s="1245"/>
      <c r="R533" s="1245"/>
      <c r="S533" s="1245"/>
      <c r="T533" s="1671"/>
      <c r="U533" s="1664" t="str">
        <f>IFERROR(VLOOKUP(B533,ChiTietDuToan!C:H,5,0),"")</f>
        <v>m3</v>
      </c>
      <c r="V533" s="2309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57" t="s">
        <v>884</v>
      </c>
      <c r="C534" s="67" t="str">
        <f t="shared" ca="1" si="96"/>
        <v xml:space="preserve"> </v>
      </c>
      <c r="D534" s="1240" t="s">
        <v>731</v>
      </c>
      <c r="E534" s="1241" t="str">
        <f>VLOOKUP($B534,DG!A:D,DG!$C$2,)</f>
        <v>Đá 1x2</v>
      </c>
      <c r="F534" s="1240" t="str">
        <f>VLOOKUP($B534,DG!A:D,DG!$D$2,)</f>
        <v>m3</v>
      </c>
      <c r="G534" s="1916">
        <f>G546*R546</f>
        <v>0</v>
      </c>
      <c r="H534" s="1245">
        <f t="shared" ca="1" si="97"/>
        <v>0</v>
      </c>
      <c r="I534" s="1245">
        <f t="shared" si="97"/>
        <v>0</v>
      </c>
      <c r="J534" s="1245">
        <f t="shared" si="97"/>
        <v>0</v>
      </c>
      <c r="K534" s="1245">
        <f t="shared" si="97"/>
        <v>0</v>
      </c>
      <c r="L534" s="1245">
        <f t="shared" si="97"/>
        <v>0</v>
      </c>
      <c r="M534" s="1245">
        <f t="shared" ca="1" si="97"/>
        <v>0</v>
      </c>
      <c r="N534" s="1245">
        <f t="shared" si="97"/>
        <v>0</v>
      </c>
      <c r="O534" s="1245"/>
      <c r="P534" s="1245"/>
      <c r="Q534" s="1245"/>
      <c r="R534" s="1245"/>
      <c r="S534" s="1245"/>
      <c r="T534" s="1671"/>
      <c r="U534" s="1664" t="str">
        <f>IFERROR(VLOOKUP(B534,ChiTietDuToan!C:H,5,0),"")</f>
        <v/>
      </c>
      <c r="V534" s="2309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57" t="s">
        <v>2032</v>
      </c>
      <c r="C535" s="67" t="str">
        <f t="shared" si="96"/>
        <v xml:space="preserve"> </v>
      </c>
      <c r="D535" s="1240" t="s">
        <v>731</v>
      </c>
      <c r="E535" s="1241" t="str">
        <f>VLOOKUP($B535,DG!A:D,DG!$C$2,)</f>
        <v>Đá 4x6</v>
      </c>
      <c r="F535" s="1240" t="str">
        <f>VLOOKUP($B535,DG!A:D,DG!$D$2,)</f>
        <v>m3</v>
      </c>
      <c r="G535" s="1916">
        <f>G545*R545</f>
        <v>0</v>
      </c>
      <c r="H535" s="1245"/>
      <c r="I535" s="1245"/>
      <c r="J535" s="1245"/>
      <c r="K535" s="1245"/>
      <c r="L535" s="1245"/>
      <c r="M535" s="1245"/>
      <c r="N535" s="1245"/>
      <c r="O535" s="1245"/>
      <c r="P535" s="1245"/>
      <c r="Q535" s="1245"/>
      <c r="R535" s="1245"/>
      <c r="S535" s="1245"/>
      <c r="T535" s="1671"/>
      <c r="U535" s="1664" t="str">
        <f>IFERROR(VLOOKUP(B535,ChiTietDuToan!C:H,5,0),"")</f>
        <v/>
      </c>
      <c r="V535" s="2309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57" t="s">
        <v>2026</v>
      </c>
      <c r="C536" s="67" t="str">
        <f t="shared" si="96"/>
        <v xml:space="preserve"> </v>
      </c>
      <c r="D536" s="1240" t="s">
        <v>731</v>
      </c>
      <c r="E536" s="1246" t="str">
        <f>VLOOKUP($B536,DG!A:D,DG!$C$2,)</f>
        <v>Sắt   Ø6</v>
      </c>
      <c r="F536" s="1240" t="str">
        <f>VLOOKUP($B536,DG!A:D,DG!$D$2,)</f>
        <v>kg</v>
      </c>
      <c r="G536" s="1916">
        <v>4.74</v>
      </c>
      <c r="H536" s="1245"/>
      <c r="I536" s="1245"/>
      <c r="J536" s="1245"/>
      <c r="K536" s="1245"/>
      <c r="L536" s="1245"/>
      <c r="M536" s="1245"/>
      <c r="N536" s="1245"/>
      <c r="O536" s="1245"/>
      <c r="P536" s="1245"/>
      <c r="Q536" s="1245"/>
      <c r="R536" s="1245"/>
      <c r="S536" s="1245"/>
      <c r="T536" s="1671"/>
      <c r="U536" s="1664" t="str">
        <f>IFERROR(VLOOKUP(B536,ChiTietDuToan!C:H,5,0),"")</f>
        <v/>
      </c>
      <c r="V536" s="2309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57" t="s">
        <v>874</v>
      </c>
      <c r="C537" s="67" t="str">
        <f t="shared" si="96"/>
        <v xml:space="preserve"> </v>
      </c>
      <c r="D537" s="1240" t="s">
        <v>731</v>
      </c>
      <c r="E537" s="1246" t="str">
        <f>VLOOKUP($B537,DG!A:D,DG!$C$2,)</f>
        <v>Gỗ ván khuôn</v>
      </c>
      <c r="F537" s="1240" t="str">
        <f>VLOOKUP($B537,DG!A:D,DG!$D$2,)</f>
        <v>m3</v>
      </c>
      <c r="G537" s="1923">
        <f>S546*G546</f>
        <v>0</v>
      </c>
      <c r="H537" s="1245"/>
      <c r="I537" s="1245"/>
      <c r="J537" s="1245"/>
      <c r="K537" s="1245"/>
      <c r="L537" s="1245"/>
      <c r="M537" s="1245"/>
      <c r="N537" s="1245"/>
      <c r="O537" s="1245"/>
      <c r="P537" s="1245"/>
      <c r="Q537" s="1245"/>
      <c r="R537" s="1245"/>
      <c r="S537" s="1245"/>
      <c r="T537" s="1671"/>
      <c r="U537" s="1664" t="str">
        <f>IFERROR(VLOOKUP(B537,ChiTietDuToan!C:H,5,0),"")</f>
        <v/>
      </c>
      <c r="V537" s="2309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57" t="s">
        <v>888</v>
      </c>
      <c r="C538" s="67" t="str">
        <f t="shared" si="96"/>
        <v xml:space="preserve"> </v>
      </c>
      <c r="D538" s="1240" t="s">
        <v>731</v>
      </c>
      <c r="E538" s="1246" t="str">
        <f>VLOOKUP($B538,DG!A:D,DG!$C$2,)</f>
        <v>Dây thép buộc A70</v>
      </c>
      <c r="F538" s="1240" t="str">
        <f>VLOOKUP($B538,DG!A:D,DG!$D$2,)</f>
        <v>kg</v>
      </c>
      <c r="G538" s="1920">
        <v>0.1</v>
      </c>
      <c r="H538" s="1245"/>
      <c r="I538" s="1245"/>
      <c r="J538" s="1245"/>
      <c r="K538" s="1245"/>
      <c r="L538" s="1245"/>
      <c r="M538" s="1245"/>
      <c r="N538" s="1245"/>
      <c r="O538" s="1245"/>
      <c r="P538" s="1245"/>
      <c r="Q538" s="1245"/>
      <c r="R538" s="1245"/>
      <c r="S538" s="1245"/>
      <c r="T538" s="1671"/>
      <c r="U538" s="1664" t="str">
        <f>IFERROR(VLOOKUP(B538,ChiTietDuToan!C:H,5,0),"")</f>
        <v/>
      </c>
      <c r="V538" s="2309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57" t="s">
        <v>644</v>
      </c>
      <c r="C539" s="67" t="str">
        <f t="shared" ca="1" si="96"/>
        <v xml:space="preserve"> </v>
      </c>
      <c r="D539" s="1240" t="s">
        <v>715</v>
      </c>
      <c r="E539" s="1241" t="str">
        <f>VLOOKUP($B539,DG!A:D,DG!$C$2,)</f>
        <v>Đào hố móng đất cấp 3 sâu &gt;1m DT&lt;5m2</v>
      </c>
      <c r="F539" s="1240" t="str">
        <f>VLOOKUP($B539,DG!A:D,DG!$D$2,)</f>
        <v>m3</v>
      </c>
      <c r="G539" s="1913">
        <v>0.29599999999999999</v>
      </c>
      <c r="H539" s="1245">
        <f ca="1">H$531*$G539</f>
        <v>0</v>
      </c>
      <c r="I539" s="1245">
        <f t="shared" ref="I539:N540" si="98">I$531*$G539</f>
        <v>0</v>
      </c>
      <c r="J539" s="1245">
        <f t="shared" si="98"/>
        <v>0</v>
      </c>
      <c r="K539" s="1245">
        <f t="shared" si="98"/>
        <v>0</v>
      </c>
      <c r="L539" s="1245">
        <f t="shared" si="98"/>
        <v>0</v>
      </c>
      <c r="M539" s="1245">
        <f t="shared" ca="1" si="98"/>
        <v>0</v>
      </c>
      <c r="N539" s="1245">
        <f t="shared" si="98"/>
        <v>0</v>
      </c>
      <c r="O539" s="1245"/>
      <c r="P539" s="1245"/>
      <c r="Q539" s="1245"/>
      <c r="R539" s="1245"/>
      <c r="S539" s="1245"/>
      <c r="T539" s="1671"/>
      <c r="U539" s="1664" t="str">
        <f>IFERROR(VLOOKUP(B539,ChiTietDuToan!C:H,5,0),"")</f>
        <v>m3</v>
      </c>
      <c r="V539" s="2309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57" t="s">
        <v>21</v>
      </c>
      <c r="C540" s="67" t="str">
        <f t="shared" ca="1" si="96"/>
        <v xml:space="preserve"> </v>
      </c>
      <c r="D540" s="1240" t="s">
        <v>22</v>
      </c>
      <c r="E540" s="1241" t="str">
        <f>VLOOKUP($B540,DG!A:D,DG!$C$2,)</f>
        <v>Đắp đất hố móng, độ chặt k=0,95</v>
      </c>
      <c r="F540" s="1240" t="str">
        <f>VLOOKUP($B540,DG!A:D,DG!$D$2,)</f>
        <v>m3</v>
      </c>
      <c r="G540" s="1913">
        <v>0.218</v>
      </c>
      <c r="H540" s="1245">
        <f ca="1">H$531*$G540</f>
        <v>0</v>
      </c>
      <c r="I540" s="1245">
        <f t="shared" si="98"/>
        <v>0</v>
      </c>
      <c r="J540" s="1245">
        <f t="shared" si="98"/>
        <v>0</v>
      </c>
      <c r="K540" s="1245">
        <f t="shared" si="98"/>
        <v>0</v>
      </c>
      <c r="L540" s="1245">
        <f t="shared" si="98"/>
        <v>0</v>
      </c>
      <c r="M540" s="1245">
        <f t="shared" ca="1" si="98"/>
        <v>0</v>
      </c>
      <c r="N540" s="1245">
        <f t="shared" si="98"/>
        <v>0</v>
      </c>
      <c r="O540" s="1245"/>
      <c r="P540" s="1245"/>
      <c r="Q540" s="1245"/>
      <c r="R540" s="1245"/>
      <c r="S540" s="1245"/>
      <c r="T540" s="1671"/>
      <c r="U540" s="1664" t="str">
        <f>IFERROR(VLOOKUP(B540,ChiTietDuToan!C:H,5,0),"")</f>
        <v>m3</v>
      </c>
      <c r="V540" s="2309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57" t="s">
        <v>498</v>
      </c>
      <c r="C541" s="67" t="str">
        <f t="shared" si="96"/>
        <v xml:space="preserve"> </v>
      </c>
      <c r="D541" s="1240" t="str">
        <f>VLOOKUP($B541,DG!A:D,DG!$B$2,)</f>
        <v>02.1211</v>
      </c>
      <c r="E541" s="1241" t="str">
        <f>VLOOKUP($B541,DG!A:D,DG!$C$2,)</f>
        <v>V/c xi măng ( cự ly &lt;=100m)</v>
      </c>
      <c r="F541" s="1240" t="str">
        <f>VLOOKUP($B541,DG!A:D,DG!$D$2,)</f>
        <v>tấn</v>
      </c>
      <c r="G541" s="1913">
        <f>G532/1000</f>
        <v>0</v>
      </c>
      <c r="H541" s="1245"/>
      <c r="I541" s="1245"/>
      <c r="J541" s="1245"/>
      <c r="K541" s="1245"/>
      <c r="L541" s="1245"/>
      <c r="M541" s="1245"/>
      <c r="N541" s="1245"/>
      <c r="O541" s="1245"/>
      <c r="P541" s="1245"/>
      <c r="Q541" s="1245"/>
      <c r="R541" s="1245"/>
      <c r="S541" s="1245"/>
      <c r="T541" s="1671"/>
      <c r="U541" s="1664" t="str">
        <f>IFERROR(VLOOKUP(B541,ChiTietDuToan!C:H,5,0),"")</f>
        <v/>
      </c>
      <c r="V541" s="2309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57" t="s">
        <v>1663</v>
      </c>
      <c r="C542" s="67" t="str">
        <f t="shared" si="96"/>
        <v xml:space="preserve"> </v>
      </c>
      <c r="D542" s="1240" t="str">
        <f>VLOOKUP($B542,DG!A:D,DG!$B$2,)</f>
        <v>02.1231</v>
      </c>
      <c r="E542" s="1241" t="str">
        <f>VLOOKUP($B542,DG!A:D,DG!$C$2,)</f>
        <v>V/c cát vàng cự ly &lt;=100m</v>
      </c>
      <c r="F542" s="1240" t="str">
        <f>VLOOKUP($B542,DG!A:D,DG!$D$2,)</f>
        <v>m3</v>
      </c>
      <c r="G542" s="1913">
        <f>G533</f>
        <v>0</v>
      </c>
      <c r="H542" s="1245"/>
      <c r="I542" s="1245"/>
      <c r="J542" s="1245"/>
      <c r="K542" s="1245"/>
      <c r="L542" s="1245"/>
      <c r="M542" s="1245"/>
      <c r="N542" s="1245"/>
      <c r="O542" s="1245"/>
      <c r="P542" s="1245"/>
      <c r="Q542" s="1245"/>
      <c r="R542" s="1245"/>
      <c r="S542" s="1245"/>
      <c r="T542" s="1671"/>
      <c r="U542" s="1664" t="str">
        <f>IFERROR(VLOOKUP(B542,ChiTietDuToan!C:H,5,0),"")</f>
        <v/>
      </c>
      <c r="V542" s="2309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57" t="s">
        <v>524</v>
      </c>
      <c r="C543" s="67" t="str">
        <f t="shared" si="96"/>
        <v xml:space="preserve"> </v>
      </c>
      <c r="D543" s="1240" t="str">
        <f>VLOOKUP($B543,DG!A:D,DG!$B$2,)</f>
        <v>02.1241</v>
      </c>
      <c r="E543" s="1241" t="str">
        <f>VLOOKUP($B543,DG!A:D,DG!$C$2,)</f>
        <v>V/c đá dăm ( cự ly &lt;=100m)</v>
      </c>
      <c r="F543" s="1240" t="str">
        <f>VLOOKUP($B543,DG!A:D,DG!$D$2,)</f>
        <v>m3</v>
      </c>
      <c r="G543" s="1913">
        <f>G534</f>
        <v>0</v>
      </c>
      <c r="H543" s="1245"/>
      <c r="I543" s="1245"/>
      <c r="J543" s="1245"/>
      <c r="K543" s="1245"/>
      <c r="L543" s="1245"/>
      <c r="M543" s="1245"/>
      <c r="N543" s="1245"/>
      <c r="O543" s="1245"/>
      <c r="P543" s="1245"/>
      <c r="Q543" s="1245"/>
      <c r="R543" s="1245"/>
      <c r="S543" s="1245"/>
      <c r="T543" s="1671"/>
      <c r="U543" s="1664" t="str">
        <f>IFERROR(VLOOKUP(B543,ChiTietDuToan!C:H,5,0),"")</f>
        <v/>
      </c>
      <c r="V543" s="2309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57" t="s">
        <v>9</v>
      </c>
      <c r="C544" s="67" t="str">
        <f t="shared" si="96"/>
        <v xml:space="preserve"> </v>
      </c>
      <c r="D544" s="1240" t="str">
        <f>VLOOKUP($B544,DG!A:D,DG!$B$2,)</f>
        <v>04.5101</v>
      </c>
      <c r="E544" s="1241" t="str">
        <f>VLOOKUP($B544,DG!A:D,DG!$C$2,)</f>
        <v>Gia công và lắp dựng cốt thép D&lt;=10</v>
      </c>
      <c r="F544" s="1240" t="str">
        <f>VLOOKUP($B544,DG!A:D,DG!$D$2,)</f>
        <v>kg</v>
      </c>
      <c r="G544" s="1913">
        <f>G536</f>
        <v>4.74</v>
      </c>
      <c r="H544" s="1245"/>
      <c r="I544" s="1245"/>
      <c r="J544" s="1245"/>
      <c r="K544" s="1245"/>
      <c r="L544" s="1245"/>
      <c r="M544" s="1245"/>
      <c r="N544" s="1245"/>
      <c r="O544" s="1245"/>
      <c r="P544" s="1245"/>
      <c r="Q544" s="1245"/>
      <c r="R544" s="1245"/>
      <c r="S544" s="1245"/>
      <c r="T544" s="1671"/>
      <c r="U544" s="1664" t="str">
        <f>IFERROR(VLOOKUP(B544,ChiTietDuToan!C:H,5,0),"")</f>
        <v/>
      </c>
      <c r="V544" s="2309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57" t="s">
        <v>2008</v>
      </c>
      <c r="C545" s="67" t="str">
        <f t="shared" si="96"/>
        <v xml:space="preserve"> </v>
      </c>
      <c r="D545" s="1240" t="str">
        <f>VLOOKUP($B545,DG!A:D,DG!$B$2,)</f>
        <v>04.3112</v>
      </c>
      <c r="E545" s="1241" t="str">
        <f>VLOOKUP($B545,DG!A:D,DG!$C$2,)</f>
        <v>Đổ bê tông mác M100 đá 4x6</v>
      </c>
      <c r="F545" s="1240" t="str">
        <f>VLOOKUP($B545,DG!A:D,DG!$D$2,)</f>
        <v>m3</v>
      </c>
      <c r="G545" s="1923">
        <v>3.5000000000000003E-2</v>
      </c>
      <c r="H545" s="1247"/>
      <c r="I545" s="1247"/>
      <c r="J545" s="1247"/>
      <c r="K545" s="1247"/>
      <c r="L545" s="1247"/>
      <c r="M545" s="1247"/>
      <c r="N545" s="1247"/>
      <c r="O545" s="1247"/>
      <c r="P545" s="1247"/>
      <c r="Q545" s="1247"/>
      <c r="R545" s="1247"/>
      <c r="S545" s="1247"/>
      <c r="T545" s="1671"/>
      <c r="U545" s="1664" t="str">
        <f>IFERROR(VLOOKUP(B545,ChiTietDuToan!C:H,5,0),"")</f>
        <v/>
      </c>
      <c r="V545" s="2309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57" t="s">
        <v>1889</v>
      </c>
      <c r="C546" s="67" t="str">
        <f t="shared" si="96"/>
        <v xml:space="preserve"> </v>
      </c>
      <c r="D546" s="1240" t="str">
        <f>VLOOKUP($B546,DG!A:D,DG!$B$2,)</f>
        <v>04.1203c</v>
      </c>
      <c r="E546" s="1241" t="str">
        <f>VLOOKUP($B546,DG!A:D,DG!$C$2,)</f>
        <v>Đổ bê tông móng trụ &lt;=250cm-M200 đá 1x2</v>
      </c>
      <c r="F546" s="1240" t="str">
        <f>VLOOKUP($B546,DG!A:D,DG!$D$2,)</f>
        <v>m3</v>
      </c>
      <c r="G546" s="1923">
        <v>5.0500000000000003E-2</v>
      </c>
      <c r="H546" s="1247"/>
      <c r="I546" s="1247"/>
      <c r="J546" s="1247"/>
      <c r="K546" s="1247"/>
      <c r="L546" s="1247"/>
      <c r="M546" s="1247"/>
      <c r="N546" s="1247"/>
      <c r="O546" s="1247"/>
      <c r="P546" s="1247"/>
      <c r="Q546" s="1247"/>
      <c r="R546" s="1247"/>
      <c r="S546" s="1247"/>
      <c r="T546" s="1671"/>
      <c r="U546" s="1664" t="str">
        <f>IFERROR(VLOOKUP(B546,ChiTietDuToan!C:H,5,0),"")</f>
        <v/>
      </c>
      <c r="V546" s="2309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68"/>
      <c r="C547" s="65" t="str">
        <f t="shared" si="96"/>
        <v xml:space="preserve"> </v>
      </c>
      <c r="D547" s="1237"/>
      <c r="E547" s="1666" t="s">
        <v>2447</v>
      </c>
      <c r="F547" s="1238" t="s">
        <v>2446</v>
      </c>
      <c r="G547" s="1912"/>
      <c r="H547" s="1523">
        <f>SUM(I547:O547)+T547</f>
        <v>0</v>
      </c>
      <c r="I547" s="1239"/>
      <c r="J547" s="1239"/>
      <c r="K547" s="1239"/>
      <c r="L547" s="1239">
        <f>IFERROR(HLOOKUP(A547,pp1p!$6:$90,85,0),0)</f>
        <v>0</v>
      </c>
      <c r="M547" s="1239"/>
      <c r="N547" s="1239"/>
      <c r="O547" s="1239"/>
      <c r="P547" s="1239"/>
      <c r="Q547" s="1239"/>
      <c r="R547" s="1239"/>
      <c r="S547" s="1239"/>
      <c r="T547" s="1671"/>
      <c r="U547" s="1664">
        <f>IFERROR(VLOOKUP(B547,ChiTietDuToan!C:H,5,0),"")</f>
        <v>0</v>
      </c>
      <c r="V547" s="2309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57" t="s">
        <v>759</v>
      </c>
      <c r="C548" s="67" t="str">
        <f t="shared" si="96"/>
        <v xml:space="preserve"> </v>
      </c>
      <c r="D548" s="1236"/>
      <c r="E548" s="1241" t="str">
        <f>VLOOKUP($B548,DG!A:D,DG!$C$2,)</f>
        <v xml:space="preserve">Ximăng </v>
      </c>
      <c r="F548" s="1240" t="str">
        <f>VLOOKUP($B548,DG!A:D,DG!$D$2,)</f>
        <v>kg</v>
      </c>
      <c r="G548" s="1916">
        <f>G561*P561+G562*P562</f>
        <v>0</v>
      </c>
      <c r="H548" s="1249">
        <f>H$547*$G548</f>
        <v>0</v>
      </c>
      <c r="I548" s="1249"/>
      <c r="J548" s="1249"/>
      <c r="K548" s="1249"/>
      <c r="L548" s="1249"/>
      <c r="M548" s="1249"/>
      <c r="N548" s="1249"/>
      <c r="O548" s="1249"/>
      <c r="P548" s="1249"/>
      <c r="Q548" s="1249"/>
      <c r="R548" s="1249"/>
      <c r="S548" s="1249"/>
      <c r="T548" s="1671"/>
      <c r="U548" s="1664" t="str">
        <f>IFERROR(VLOOKUP(B548,ChiTietDuToan!C:H,5,0),"")</f>
        <v>kg</v>
      </c>
      <c r="V548" s="2309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58" t="s">
        <v>4665</v>
      </c>
      <c r="C549" s="67" t="str">
        <f t="shared" si="96"/>
        <v xml:space="preserve"> </v>
      </c>
      <c r="D549" s="1240"/>
      <c r="E549" s="1241" t="str">
        <f>VLOOKUP($B549,DG!A:D,DG!$C$2,)</f>
        <v>Cát vàng</v>
      </c>
      <c r="F549" s="1240" t="str">
        <f>VLOOKUP($B549,DG!A:D,DG!$D$2,)</f>
        <v>m3</v>
      </c>
      <c r="G549" s="1916">
        <f>G561*Q561+G562*Q562</f>
        <v>0</v>
      </c>
      <c r="H549" s="1249">
        <f>H$547*$G549</f>
        <v>0</v>
      </c>
      <c r="I549" s="1249"/>
      <c r="J549" s="1249"/>
      <c r="K549" s="1249"/>
      <c r="L549" s="1249"/>
      <c r="M549" s="1249"/>
      <c r="N549" s="1249"/>
      <c r="O549" s="1249"/>
      <c r="P549" s="1249"/>
      <c r="Q549" s="1249"/>
      <c r="R549" s="1249"/>
      <c r="S549" s="1249"/>
      <c r="T549" s="1671"/>
      <c r="U549" s="1664" t="str">
        <f>IFERROR(VLOOKUP(B549,ChiTietDuToan!C:H,5,0),"")</f>
        <v>m3</v>
      </c>
      <c r="V549" s="2309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57" t="s">
        <v>884</v>
      </c>
      <c r="C550" s="67" t="str">
        <f t="shared" si="96"/>
        <v xml:space="preserve"> </v>
      </c>
      <c r="D550" s="1240" t="s">
        <v>731</v>
      </c>
      <c r="E550" s="1241" t="str">
        <f>VLOOKUP($B550,DG!A:D,DG!$C$2,)</f>
        <v>Đá 1x2</v>
      </c>
      <c r="F550" s="1240" t="str">
        <f>VLOOKUP($B550,DG!A:D,DG!$D$2,)</f>
        <v>m3</v>
      </c>
      <c r="G550" s="1916">
        <f>G562*R562</f>
        <v>0</v>
      </c>
      <c r="H550" s="1249">
        <f>H$547*$G550</f>
        <v>0</v>
      </c>
      <c r="I550" s="1249"/>
      <c r="J550" s="1249"/>
      <c r="K550" s="1249"/>
      <c r="L550" s="1249"/>
      <c r="M550" s="1249"/>
      <c r="N550" s="1249"/>
      <c r="O550" s="1249"/>
      <c r="P550" s="1249"/>
      <c r="Q550" s="1249"/>
      <c r="R550" s="1249"/>
      <c r="S550" s="1249"/>
      <c r="T550" s="1671"/>
      <c r="U550" s="1664" t="str">
        <f>IFERROR(VLOOKUP(B550,ChiTietDuToan!C:H,5,0),"")</f>
        <v/>
      </c>
      <c r="V550" s="2309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57" t="s">
        <v>2032</v>
      </c>
      <c r="C551" s="67" t="str">
        <f t="shared" si="96"/>
        <v xml:space="preserve"> </v>
      </c>
      <c r="D551" s="1240" t="s">
        <v>731</v>
      </c>
      <c r="E551" s="1241" t="str">
        <f>VLOOKUP($B551,DG!A:D,DG!$C$2,)</f>
        <v>Đá 4x6</v>
      </c>
      <c r="F551" s="1240" t="str">
        <f>VLOOKUP($B551,DG!A:D,DG!$D$2,)</f>
        <v>m3</v>
      </c>
      <c r="G551" s="1916">
        <f>G561*R561</f>
        <v>0</v>
      </c>
      <c r="H551" s="1249">
        <f>H$547*$G551</f>
        <v>0</v>
      </c>
      <c r="I551" s="1249"/>
      <c r="J551" s="1249"/>
      <c r="K551" s="1249"/>
      <c r="L551" s="1249"/>
      <c r="M551" s="1249"/>
      <c r="N551" s="1249"/>
      <c r="O551" s="1249"/>
      <c r="P551" s="1249"/>
      <c r="Q551" s="1249"/>
      <c r="R551" s="1249"/>
      <c r="S551" s="1249"/>
      <c r="T551" s="1671"/>
      <c r="U551" s="1664" t="str">
        <f>IFERROR(VLOOKUP(B551,ChiTietDuToan!C:H,5,0),"")</f>
        <v/>
      </c>
      <c r="V551" s="2309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57" t="s">
        <v>2026</v>
      </c>
      <c r="C552" s="67" t="str">
        <f t="shared" si="96"/>
        <v xml:space="preserve"> </v>
      </c>
      <c r="D552" s="1240" t="s">
        <v>731</v>
      </c>
      <c r="E552" s="1246" t="str">
        <f>VLOOKUP($B552,DG!A:D,DG!$C$2,)</f>
        <v>Sắt   Ø6</v>
      </c>
      <c r="F552" s="1240" t="str">
        <f>VLOOKUP($B552,DG!A:D,DG!$D$2,)</f>
        <v>kg</v>
      </c>
      <c r="G552" s="1916">
        <v>4.74</v>
      </c>
      <c r="H552" s="1245"/>
      <c r="I552" s="1245"/>
      <c r="J552" s="1245"/>
      <c r="K552" s="1245"/>
      <c r="L552" s="1245"/>
      <c r="M552" s="1245"/>
      <c r="N552" s="1245"/>
      <c r="O552" s="1245"/>
      <c r="P552" s="1245"/>
      <c r="Q552" s="1245"/>
      <c r="R552" s="1245"/>
      <c r="S552" s="1245"/>
      <c r="T552" s="1671"/>
      <c r="U552" s="1664" t="str">
        <f>IFERROR(VLOOKUP(B552,ChiTietDuToan!C:H,5,0),"")</f>
        <v/>
      </c>
      <c r="V552" s="2309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57" t="s">
        <v>874</v>
      </c>
      <c r="C553" s="67" t="str">
        <f t="shared" si="96"/>
        <v xml:space="preserve"> </v>
      </c>
      <c r="D553" s="1240" t="s">
        <v>731</v>
      </c>
      <c r="E553" s="1246" t="str">
        <f>VLOOKUP($B553,DG!A:D,DG!$C$2,)</f>
        <v>Gỗ ván khuôn</v>
      </c>
      <c r="F553" s="1240" t="str">
        <f>VLOOKUP($B553,DG!A:D,DG!$D$2,)</f>
        <v>m3</v>
      </c>
      <c r="G553" s="1923">
        <f>S562*G562</f>
        <v>0</v>
      </c>
      <c r="H553" s="1249">
        <f>H$547*$G553</f>
        <v>0</v>
      </c>
      <c r="I553" s="1249"/>
      <c r="J553" s="1249"/>
      <c r="K553" s="1249"/>
      <c r="L553" s="1249"/>
      <c r="M553" s="1249"/>
      <c r="N553" s="1249"/>
      <c r="O553" s="1249"/>
      <c r="P553" s="1249"/>
      <c r="Q553" s="1249"/>
      <c r="R553" s="1249"/>
      <c r="S553" s="1249"/>
      <c r="T553" s="1671"/>
      <c r="U553" s="1664" t="str">
        <f>IFERROR(VLOOKUP(B553,ChiTietDuToan!C:H,5,0),"")</f>
        <v/>
      </c>
      <c r="V553" s="2309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57" t="s">
        <v>888</v>
      </c>
      <c r="C554" s="67" t="str">
        <f t="shared" si="96"/>
        <v xml:space="preserve"> </v>
      </c>
      <c r="D554" s="1240" t="s">
        <v>731</v>
      </c>
      <c r="E554" s="1246" t="str">
        <f>VLOOKUP($B554,DG!A:D,DG!$C$2,)</f>
        <v>Dây thép buộc A70</v>
      </c>
      <c r="F554" s="1240" t="str">
        <f>VLOOKUP($B554,DG!A:D,DG!$D$2,)</f>
        <v>kg</v>
      </c>
      <c r="G554" s="1920">
        <v>0.1</v>
      </c>
      <c r="H554" s="1245"/>
      <c r="I554" s="1245"/>
      <c r="J554" s="1245"/>
      <c r="K554" s="1245"/>
      <c r="L554" s="1245"/>
      <c r="M554" s="1245"/>
      <c r="N554" s="1245"/>
      <c r="O554" s="1245"/>
      <c r="P554" s="1245"/>
      <c r="Q554" s="1245"/>
      <c r="R554" s="1245"/>
      <c r="S554" s="1245"/>
      <c r="T554" s="1671"/>
      <c r="U554" s="1664" t="str">
        <f>IFERROR(VLOOKUP(B554,ChiTietDuToan!C:H,5,0),"")</f>
        <v/>
      </c>
      <c r="V554" s="2309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57" t="s">
        <v>644</v>
      </c>
      <c r="C555" s="67" t="str">
        <f t="shared" ca="1" si="96"/>
        <v xml:space="preserve"> </v>
      </c>
      <c r="D555" s="1240" t="s">
        <v>715</v>
      </c>
      <c r="E555" s="1241" t="str">
        <f>VLOOKUP($B555,DG!A:D,DG!$C$2,)</f>
        <v>Đào hố móng đất cấp 3 sâu &gt;1m DT&lt;5m2</v>
      </c>
      <c r="F555" s="1240" t="str">
        <f>VLOOKUP($B555,DG!A:D,DG!$D$2,)</f>
        <v>m3</v>
      </c>
      <c r="G555" s="1913">
        <v>0.29599999999999999</v>
      </c>
      <c r="H555" s="1245">
        <f ca="1">H$531*$G555</f>
        <v>0</v>
      </c>
      <c r="I555" s="1245"/>
      <c r="J555" s="1245"/>
      <c r="K555" s="1245"/>
      <c r="L555" s="1245"/>
      <c r="M555" s="1245"/>
      <c r="N555" s="1245"/>
      <c r="O555" s="1245"/>
      <c r="P555" s="1245"/>
      <c r="Q555" s="1245"/>
      <c r="R555" s="1245"/>
      <c r="S555" s="1245"/>
      <c r="T555" s="1671"/>
      <c r="U555" s="1664" t="str">
        <f>IFERROR(VLOOKUP(B555,ChiTietDuToan!C:H,5,0),"")</f>
        <v>m3</v>
      </c>
      <c r="V555" s="2309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57" t="s">
        <v>21</v>
      </c>
      <c r="C556" s="67" t="str">
        <f t="shared" ca="1" si="96"/>
        <v xml:space="preserve"> </v>
      </c>
      <c r="D556" s="1240" t="s">
        <v>22</v>
      </c>
      <c r="E556" s="1241" t="str">
        <f>VLOOKUP($B556,DG!A:D,DG!$C$2,)</f>
        <v>Đắp đất hố móng, độ chặt k=0,95</v>
      </c>
      <c r="F556" s="1240" t="str">
        <f>VLOOKUP($B556,DG!A:D,DG!$D$2,)</f>
        <v>m3</v>
      </c>
      <c r="G556" s="1913">
        <v>0.218</v>
      </c>
      <c r="H556" s="1245">
        <f ca="1">H$531*$G556</f>
        <v>0</v>
      </c>
      <c r="I556" s="1245"/>
      <c r="J556" s="1245"/>
      <c r="K556" s="1245"/>
      <c r="L556" s="1245"/>
      <c r="M556" s="1245"/>
      <c r="N556" s="1245"/>
      <c r="O556" s="1245"/>
      <c r="P556" s="1245"/>
      <c r="Q556" s="1245"/>
      <c r="R556" s="1245"/>
      <c r="S556" s="1245"/>
      <c r="T556" s="1671"/>
      <c r="U556" s="1664" t="str">
        <f>IFERROR(VLOOKUP(B556,ChiTietDuToan!C:H,5,0),"")</f>
        <v>m3</v>
      </c>
      <c r="V556" s="2309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57" t="s">
        <v>498</v>
      </c>
      <c r="C557" s="67" t="str">
        <f t="shared" si="96"/>
        <v xml:space="preserve"> </v>
      </c>
      <c r="D557" s="1240" t="str">
        <f>VLOOKUP($B557,DG!A:D,DG!$B$2,)</f>
        <v>02.1211</v>
      </c>
      <c r="E557" s="1241" t="str">
        <f>VLOOKUP($B557,DG!A:D,DG!$C$2,)</f>
        <v>V/c xi măng ( cự ly &lt;=100m)</v>
      </c>
      <c r="F557" s="1240" t="str">
        <f>VLOOKUP($B557,DG!A:D,DG!$D$2,)</f>
        <v>tấn</v>
      </c>
      <c r="G557" s="1913">
        <f>G548/1000</f>
        <v>0</v>
      </c>
      <c r="H557" s="1245"/>
      <c r="I557" s="1245"/>
      <c r="J557" s="1245"/>
      <c r="K557" s="1245"/>
      <c r="L557" s="1245"/>
      <c r="M557" s="1245"/>
      <c r="N557" s="1245"/>
      <c r="O557" s="1245"/>
      <c r="P557" s="1245"/>
      <c r="Q557" s="1245"/>
      <c r="R557" s="1245"/>
      <c r="S557" s="1245"/>
      <c r="T557" s="1671"/>
      <c r="U557" s="1664" t="str">
        <f>IFERROR(VLOOKUP(B557,ChiTietDuToan!C:H,5,0),"")</f>
        <v/>
      </c>
      <c r="V557" s="2309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57" t="s">
        <v>1663</v>
      </c>
      <c r="C558" s="67" t="str">
        <f t="shared" si="96"/>
        <v xml:space="preserve"> </v>
      </c>
      <c r="D558" s="1240" t="str">
        <f>VLOOKUP($B558,DG!A:D,DG!$B$2,)</f>
        <v>02.1231</v>
      </c>
      <c r="E558" s="1241" t="str">
        <f>VLOOKUP($B558,DG!A:D,DG!$C$2,)</f>
        <v>V/c cát vàng cự ly &lt;=100m</v>
      </c>
      <c r="F558" s="1240" t="str">
        <f>VLOOKUP($B558,DG!A:D,DG!$D$2,)</f>
        <v>m3</v>
      </c>
      <c r="G558" s="1913">
        <f>G549</f>
        <v>0</v>
      </c>
      <c r="H558" s="1245"/>
      <c r="I558" s="1245"/>
      <c r="J558" s="1245"/>
      <c r="K558" s="1245"/>
      <c r="L558" s="1245"/>
      <c r="M558" s="1245"/>
      <c r="N558" s="1245"/>
      <c r="O558" s="1245"/>
      <c r="P558" s="1245"/>
      <c r="Q558" s="1245"/>
      <c r="R558" s="1245"/>
      <c r="S558" s="1245"/>
      <c r="T558" s="1671"/>
      <c r="U558" s="1664" t="str">
        <f>IFERROR(VLOOKUP(B558,ChiTietDuToan!C:H,5,0),"")</f>
        <v/>
      </c>
      <c r="V558" s="2309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57" t="s">
        <v>524</v>
      </c>
      <c r="C559" s="67" t="str">
        <f t="shared" si="96"/>
        <v xml:space="preserve"> </v>
      </c>
      <c r="D559" s="1240" t="str">
        <f>VLOOKUP($B559,DG!A:D,DG!$B$2,)</f>
        <v>02.1241</v>
      </c>
      <c r="E559" s="1241" t="str">
        <f>VLOOKUP($B559,DG!A:D,DG!$C$2,)</f>
        <v>V/c đá dăm ( cự ly &lt;=100m)</v>
      </c>
      <c r="F559" s="1240" t="str">
        <f>VLOOKUP($B559,DG!A:D,DG!$D$2,)</f>
        <v>m3</v>
      </c>
      <c r="G559" s="1913">
        <f>G550</f>
        <v>0</v>
      </c>
      <c r="H559" s="1245"/>
      <c r="I559" s="1245"/>
      <c r="J559" s="1245"/>
      <c r="K559" s="1245"/>
      <c r="L559" s="1245"/>
      <c r="M559" s="1245"/>
      <c r="N559" s="1245"/>
      <c r="O559" s="1245"/>
      <c r="P559" s="1245"/>
      <c r="Q559" s="1245"/>
      <c r="R559" s="1245"/>
      <c r="S559" s="1245"/>
      <c r="T559" s="1671"/>
      <c r="U559" s="1664" t="str">
        <f>IFERROR(VLOOKUP(B559,ChiTietDuToan!C:H,5,0),"")</f>
        <v/>
      </c>
      <c r="V559" s="2309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57" t="s">
        <v>9</v>
      </c>
      <c r="C560" s="67" t="str">
        <f t="shared" si="96"/>
        <v xml:space="preserve"> </v>
      </c>
      <c r="D560" s="1240" t="str">
        <f>VLOOKUP($B560,DG!A:D,DG!$B$2,)</f>
        <v>04.5101</v>
      </c>
      <c r="E560" s="1241" t="str">
        <f>VLOOKUP($B560,DG!A:D,DG!$C$2,)</f>
        <v>Gia công và lắp dựng cốt thép D&lt;=10</v>
      </c>
      <c r="F560" s="1240" t="str">
        <f>VLOOKUP($B560,DG!A:D,DG!$D$2,)</f>
        <v>kg</v>
      </c>
      <c r="G560" s="1913">
        <f>G552</f>
        <v>4.74</v>
      </c>
      <c r="H560" s="1245"/>
      <c r="I560" s="1245"/>
      <c r="J560" s="1245"/>
      <c r="K560" s="1245"/>
      <c r="L560" s="1245"/>
      <c r="M560" s="1245"/>
      <c r="N560" s="1245"/>
      <c r="O560" s="1245"/>
      <c r="P560" s="1245"/>
      <c r="Q560" s="1245"/>
      <c r="R560" s="1245"/>
      <c r="S560" s="1245"/>
      <c r="T560" s="1671"/>
      <c r="U560" s="1664" t="str">
        <f>IFERROR(VLOOKUP(B560,ChiTietDuToan!C:H,5,0),"")</f>
        <v/>
      </c>
      <c r="V560" s="2309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57" t="s">
        <v>2008</v>
      </c>
      <c r="C561" s="67" t="str">
        <f t="shared" si="96"/>
        <v xml:space="preserve"> </v>
      </c>
      <c r="D561" s="1240" t="str">
        <f>VLOOKUP($B561,DG!A:D,DG!$B$2,)</f>
        <v>04.3112</v>
      </c>
      <c r="E561" s="1241" t="str">
        <f>VLOOKUP($B561,DG!A:D,DG!$C$2,)</f>
        <v>Đổ bê tông mác M100 đá 4x6</v>
      </c>
      <c r="F561" s="1240" t="str">
        <f>VLOOKUP($B561,DG!A:D,DG!$D$2,)</f>
        <v>m3</v>
      </c>
      <c r="G561" s="1923">
        <v>3.5000000000000003E-2</v>
      </c>
      <c r="H561" s="1247"/>
      <c r="I561" s="1247"/>
      <c r="J561" s="1247"/>
      <c r="K561" s="1247"/>
      <c r="L561" s="1247"/>
      <c r="M561" s="1247"/>
      <c r="N561" s="1247"/>
      <c r="O561" s="1247"/>
      <c r="P561" s="1247"/>
      <c r="Q561" s="1247"/>
      <c r="R561" s="1247"/>
      <c r="S561" s="1247"/>
      <c r="T561" s="1671"/>
      <c r="U561" s="1664" t="str">
        <f>IFERROR(VLOOKUP(B561,ChiTietDuToan!C:H,5,0),"")</f>
        <v/>
      </c>
      <c r="V561" s="2309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57" t="s">
        <v>1889</v>
      </c>
      <c r="C562" s="67" t="str">
        <f t="shared" si="96"/>
        <v xml:space="preserve"> </v>
      </c>
      <c r="D562" s="1240" t="str">
        <f>VLOOKUP($B562,DG!A:D,DG!$B$2,)</f>
        <v>04.1203c</v>
      </c>
      <c r="E562" s="1241" t="str">
        <f>VLOOKUP($B562,DG!A:D,DG!$C$2,)</f>
        <v>Đổ bê tông móng trụ &lt;=250cm-M200 đá 1x2</v>
      </c>
      <c r="F562" s="1240" t="str">
        <f>VLOOKUP($B562,DG!A:D,DG!$D$2,)</f>
        <v>m3</v>
      </c>
      <c r="G562" s="1923">
        <v>5.0500000000000003E-2</v>
      </c>
      <c r="H562" s="1247"/>
      <c r="I562" s="1247"/>
      <c r="J562" s="1247"/>
      <c r="K562" s="1247"/>
      <c r="L562" s="1247"/>
      <c r="M562" s="1247"/>
      <c r="N562" s="1247"/>
      <c r="O562" s="1247"/>
      <c r="P562" s="1247"/>
      <c r="Q562" s="1247"/>
      <c r="R562" s="1247"/>
      <c r="S562" s="1247"/>
      <c r="T562" s="1671"/>
      <c r="U562" s="1664" t="str">
        <f>IFERROR(VLOOKUP(B562,ChiTietDuToan!C:H,5,0),"")</f>
        <v/>
      </c>
      <c r="V562" s="2309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56"/>
      <c r="C563" s="65" t="str">
        <f t="shared" ca="1" si="96"/>
        <v xml:space="preserve"> </v>
      </c>
      <c r="D563" s="1237"/>
      <c r="E563" s="1666" t="s">
        <v>2448</v>
      </c>
      <c r="F563" s="1238" t="s">
        <v>2449</v>
      </c>
      <c r="G563" s="1912"/>
      <c r="H563" s="1523">
        <f ca="1">SUM(I563:O563)+T563</f>
        <v>0</v>
      </c>
      <c r="I563" s="1239"/>
      <c r="J563" s="1239"/>
      <c r="K563" s="1239"/>
      <c r="L563" s="1239">
        <f>IFERROR(HLOOKUP(A563,pp1p!$6:$90,85,0),0)</f>
        <v>0</v>
      </c>
      <c r="M563" s="1239">
        <f ca="1">SUMIF(tdllHTHH,chitiet!$E563,sltdllHTHH)</f>
        <v>0</v>
      </c>
      <c r="N563" s="1239">
        <f ca="1">SUMIF(tdllHTDL,chitiet!$E563,sltdllHTDL)</f>
        <v>0</v>
      </c>
      <c r="O563" s="1239">
        <f ca="1">SUMIF(tdllHTCS,chitiet!$E563,sltdllHTCS)</f>
        <v>0</v>
      </c>
      <c r="P563" s="1239">
        <f ca="1">H563+Q563-R563</f>
        <v>0</v>
      </c>
      <c r="Q563" s="1239"/>
      <c r="R563" s="1239"/>
      <c r="S563" s="1239"/>
      <c r="T563" s="1671"/>
      <c r="U563" s="1664">
        <f>IFERROR(VLOOKUP(B563,ChiTietDuToan!C:H,5,0),"")</f>
        <v>0</v>
      </c>
      <c r="V563" s="2309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59" t="s">
        <v>103</v>
      </c>
      <c r="C564" s="67" t="str">
        <f t="shared" ca="1" si="96"/>
        <v xml:space="preserve"> </v>
      </c>
      <c r="D564" s="1236"/>
      <c r="E564" s="1248" t="str">
        <f>VLOOKUP($B564,DG!A:D,DG!$C$2,)</f>
        <v>Cáp đồng trần M25mm2</v>
      </c>
      <c r="F564" s="1236" t="str">
        <f>VLOOKUP($B564,DG!A:D,DG!$D$2,)</f>
        <v>kg</v>
      </c>
      <c r="G564" s="1914">
        <v>3.36</v>
      </c>
      <c r="H564" s="1251">
        <f ca="1">H$563*$G564</f>
        <v>0</v>
      </c>
      <c r="I564" s="1245"/>
      <c r="J564" s="1245"/>
      <c r="K564" s="1245"/>
      <c r="L564" s="1245"/>
      <c r="M564" s="1245">
        <f t="shared" ref="M564:O566" ca="1" si="99">M$563*$G564</f>
        <v>0</v>
      </c>
      <c r="N564" s="1245">
        <f t="shared" ca="1" si="99"/>
        <v>0</v>
      </c>
      <c r="O564" s="1245">
        <f t="shared" ca="1" si="99"/>
        <v>0</v>
      </c>
      <c r="P564" s="1251">
        <f ca="1">$P$563*G564</f>
        <v>0</v>
      </c>
      <c r="Q564" s="1245"/>
      <c r="R564" s="1245"/>
      <c r="S564" s="1245"/>
      <c r="T564" s="1671"/>
      <c r="U564" s="1664" t="str">
        <f>IFERROR(VLOOKUP(B564,ChiTietDuToan!C:H,5,0),"")</f>
        <v>kg</v>
      </c>
      <c r="V564" s="2309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59" t="s">
        <v>1560</v>
      </c>
      <c r="C565" s="67" t="str">
        <f t="shared" ca="1" si="96"/>
        <v xml:space="preserve"> </v>
      </c>
      <c r="D565" s="1236"/>
      <c r="E565" s="1248" t="str">
        <f>VLOOKUP($B565,DG!A:D,DG!$C$2,)</f>
        <v>Cọc tiếp đất Ø 16- 2,4m + kẹp cọc</v>
      </c>
      <c r="F565" s="1236" t="str">
        <f>VLOOKUP($B565,DG!A:D,DG!$D$2,)</f>
        <v>bộ</v>
      </c>
      <c r="G565" s="1915">
        <v>1</v>
      </c>
      <c r="H565" s="1245">
        <f ca="1">H$563*$G565</f>
        <v>0</v>
      </c>
      <c r="I565" s="1245"/>
      <c r="J565" s="1245"/>
      <c r="K565" s="1245"/>
      <c r="L565" s="1245"/>
      <c r="M565" s="1245">
        <f t="shared" ca="1" si="99"/>
        <v>0</v>
      </c>
      <c r="N565" s="1245">
        <f t="shared" ca="1" si="99"/>
        <v>0</v>
      </c>
      <c r="O565" s="1245">
        <f t="shared" ca="1" si="99"/>
        <v>0</v>
      </c>
      <c r="P565" s="1245">
        <f ca="1">$P$563*G565</f>
        <v>0</v>
      </c>
      <c r="Q565" s="1245"/>
      <c r="R565" s="1245"/>
      <c r="S565" s="1245"/>
      <c r="T565" s="1671"/>
      <c r="U565" s="1664" t="str">
        <f>IFERROR(VLOOKUP(B565,ChiTietDuToan!C:H,5,0),"")</f>
        <v>bộ</v>
      </c>
      <c r="V565" s="2309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59" t="s">
        <v>2263</v>
      </c>
      <c r="C566" s="67" t="str">
        <f t="shared" ca="1" si="96"/>
        <v xml:space="preserve"> </v>
      </c>
      <c r="D566" s="1236"/>
      <c r="E566" s="1248" t="s">
        <v>2450</v>
      </c>
      <c r="F566" s="1236" t="str">
        <f>VLOOKUP($B566,DG!A:D,DG!$D$2,)</f>
        <v>cái</v>
      </c>
      <c r="G566" s="1915">
        <v>0</v>
      </c>
      <c r="H566" s="1245">
        <f ca="1">H$563*$G566</f>
        <v>0</v>
      </c>
      <c r="I566" s="1245"/>
      <c r="J566" s="1245"/>
      <c r="K566" s="1245"/>
      <c r="L566" s="1245"/>
      <c r="M566" s="1245">
        <f t="shared" ca="1" si="99"/>
        <v>0</v>
      </c>
      <c r="N566" s="1245">
        <f t="shared" ca="1" si="99"/>
        <v>0</v>
      </c>
      <c r="O566" s="1245">
        <f t="shared" ca="1" si="99"/>
        <v>0</v>
      </c>
      <c r="P566" s="1245"/>
      <c r="Q566" s="1245"/>
      <c r="R566" s="1245"/>
      <c r="S566" s="1245"/>
      <c r="T566" s="1671"/>
      <c r="U566" s="1664" t="str">
        <f>IFERROR(VLOOKUP(B566,ChiTietDuToan!C:H,5,0),"")</f>
        <v/>
      </c>
      <c r="V566" s="2309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59" t="s">
        <v>1569</v>
      </c>
      <c r="C567" s="67" t="str">
        <f t="shared" ca="1" si="96"/>
        <v xml:space="preserve"> </v>
      </c>
      <c r="D567" s="1236" t="str">
        <f>VLOOKUP($B567,DG!A:D,DG!$B$2,)</f>
        <v>05.7001</v>
      </c>
      <c r="E567" s="1241" t="str">
        <f>VLOOKUP($B567,DG!A:D,DG!$C$2,)</f>
        <v xml:space="preserve">Kéo dây tiếp địa </v>
      </c>
      <c r="F567" s="1236" t="str">
        <f>VLOOKUP($B567,DG!A:D,DG!$D$2,)</f>
        <v>mét</v>
      </c>
      <c r="G567" s="1914">
        <f>G564</f>
        <v>3.36</v>
      </c>
      <c r="H567" s="1245">
        <f ca="1">H$563*$G567</f>
        <v>0</v>
      </c>
      <c r="I567" s="1250"/>
      <c r="J567" s="1250"/>
      <c r="K567" s="1250"/>
      <c r="L567" s="1250"/>
      <c r="M567" s="1250"/>
      <c r="N567" s="1250"/>
      <c r="O567" s="1250"/>
      <c r="P567" s="1251">
        <f ca="1">$P$563*G567</f>
        <v>0</v>
      </c>
      <c r="Q567" s="1250"/>
      <c r="R567" s="1250"/>
      <c r="S567" s="1250"/>
      <c r="T567" s="1671"/>
      <c r="U567" s="1664" t="str">
        <f>IFERROR(VLOOKUP(B567,ChiTietDuToan!C:H,5,0),"")</f>
        <v>kg</v>
      </c>
      <c r="V567" s="2309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59" t="s">
        <v>1134</v>
      </c>
      <c r="C568" s="67" t="str">
        <f t="shared" ca="1" si="96"/>
        <v xml:space="preserve"> </v>
      </c>
      <c r="D568" s="1236" t="str">
        <f>VLOOKUP($B568,DG!A:D,DG!$B$2,)</f>
        <v>05.8103</v>
      </c>
      <c r="E568" s="1241" t="str">
        <f>VLOOKUP($B568,DG!A:D,DG!$C$2,)</f>
        <v>Đóng cọc tiếp địa đất cấp 3</v>
      </c>
      <c r="F568" s="1236" t="str">
        <f>VLOOKUP($B568,DG!A:D,DG!$D$2,)</f>
        <v>cọc</v>
      </c>
      <c r="G568" s="1915">
        <v>1</v>
      </c>
      <c r="H568" s="1245">
        <f ca="1">H$563*$G568</f>
        <v>0</v>
      </c>
      <c r="I568" s="1245"/>
      <c r="J568" s="1245"/>
      <c r="K568" s="1245"/>
      <c r="L568" s="1245"/>
      <c r="M568" s="1245"/>
      <c r="N568" s="1245"/>
      <c r="O568" s="1245"/>
      <c r="P568" s="1245">
        <f ca="1">$P$563*G568</f>
        <v>0</v>
      </c>
      <c r="Q568" s="1245"/>
      <c r="R568" s="1245"/>
      <c r="S568" s="1245"/>
      <c r="T568" s="1671"/>
      <c r="U568" s="1664" t="str">
        <f>IFERROR(VLOOKUP(B568,ChiTietDuToan!C:H,5,0),"")</f>
        <v>cọc</v>
      </c>
      <c r="V568" s="2309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59" t="s">
        <v>1955</v>
      </c>
      <c r="C569" s="67" t="str">
        <f t="shared" si="96"/>
        <v xml:space="preserve"> </v>
      </c>
      <c r="D569" s="1236" t="str">
        <f>VLOOKUP($B569,DG!A:D,DG!$B$2,)</f>
        <v>02.1120</v>
      </c>
      <c r="E569" s="1241" t="str">
        <f>VLOOKUP($B569,DG!A:D,DG!$C$2,)</f>
        <v>Bốc dỡ phụ kiện</v>
      </c>
      <c r="F569" s="1236" t="str">
        <f>VLOOKUP($B569,DG!A:D,DG!$D$2,)</f>
        <v>tấn</v>
      </c>
      <c r="G569" s="1913"/>
      <c r="H569" s="1245"/>
      <c r="I569" s="1245"/>
      <c r="J569" s="1245"/>
      <c r="K569" s="1245"/>
      <c r="L569" s="1245"/>
      <c r="M569" s="1245"/>
      <c r="N569" s="1245"/>
      <c r="O569" s="1245"/>
      <c r="P569" s="1245"/>
      <c r="Q569" s="1245"/>
      <c r="R569" s="1245"/>
      <c r="S569" s="1245"/>
      <c r="T569" s="1671"/>
      <c r="U569" s="1664" t="str">
        <f>IFERROR(VLOOKUP(B569,ChiTietDuToan!C:H,5,0),"")</f>
        <v/>
      </c>
      <c r="V569" s="2309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74" t="s">
        <v>1956</v>
      </c>
      <c r="C570" s="67" t="str">
        <f t="shared" si="96"/>
        <v xml:space="preserve"> </v>
      </c>
      <c r="D570" s="1236" t="str">
        <f>VLOOKUP($B570,DG!A:C,2,)</f>
        <v>02.1351</v>
      </c>
      <c r="E570" s="1241" t="str">
        <f>VLOOKUP($B570,DG!A:C,3,)</f>
        <v>V/c tiếp địa vào vị trí ( cự ly &lt;=100m)</v>
      </c>
      <c r="F570" s="1236" t="str">
        <f>VLOOKUP($B570,DG!A:D,4,0)</f>
        <v>tấn</v>
      </c>
      <c r="G570" s="1913"/>
      <c r="H570" s="1250"/>
      <c r="I570" s="1250"/>
      <c r="J570" s="1250"/>
      <c r="K570" s="1250"/>
      <c r="L570" s="1250"/>
      <c r="M570" s="1250"/>
      <c r="N570" s="1250"/>
      <c r="O570" s="1250"/>
      <c r="P570" s="1250"/>
      <c r="Q570" s="1250"/>
      <c r="R570" s="1250"/>
      <c r="S570" s="1250"/>
      <c r="T570" s="1671"/>
      <c r="U570" s="1664" t="str">
        <f>IFERROR(VLOOKUP(B570,ChiTietDuToan!C:H,5,0),"")</f>
        <v/>
      </c>
      <c r="V570" s="2309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56"/>
      <c r="C571" s="65" t="str">
        <f t="shared" ca="1" si="96"/>
        <v xml:space="preserve"> </v>
      </c>
      <c r="D571" s="1237"/>
      <c r="E571" s="1666" t="s">
        <v>2451</v>
      </c>
      <c r="F571" s="1238" t="s">
        <v>2449</v>
      </c>
      <c r="G571" s="1912"/>
      <c r="H571" s="1523">
        <f ca="1">SUM(I571:O571)+T571</f>
        <v>0</v>
      </c>
      <c r="I571" s="1239"/>
      <c r="J571" s="1239"/>
      <c r="K571" s="1239"/>
      <c r="L571" s="1239">
        <f>IFERROR(HLOOKUP(A571,pp1p!$6:$90,85,0),0)</f>
        <v>0</v>
      </c>
      <c r="M571" s="1239">
        <f>pp_NC!CC184</f>
        <v>0</v>
      </c>
      <c r="N571" s="1239">
        <f ca="1">SUMIF(tdllHTDL,chitiet!$E571,sltdllHTDL)</f>
        <v>0</v>
      </c>
      <c r="O571" s="1239">
        <f ca="1">SUMIF(tdllHTCS,chitiet!$E571,sltdllHTCS)</f>
        <v>0</v>
      </c>
      <c r="P571" s="1239"/>
      <c r="Q571" s="1239"/>
      <c r="R571" s="1239"/>
      <c r="S571" s="1239"/>
      <c r="T571" s="1671"/>
      <c r="U571" s="1664">
        <f>IFERROR(VLOOKUP(B571,ChiTietDuToan!C:H,5,0),"")</f>
        <v>0</v>
      </c>
      <c r="V571" s="2309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59" t="s">
        <v>103</v>
      </c>
      <c r="C572" s="67" t="str">
        <f t="shared" ca="1" si="96"/>
        <v xml:space="preserve"> </v>
      </c>
      <c r="D572" s="1236"/>
      <c r="E572" s="1248" t="str">
        <f>VLOOKUP($B572,DG!A:D,DG!$C$2,)&amp;" : 9m"</f>
        <v>Cáp đồng trần M25mm2 : 9m</v>
      </c>
      <c r="F572" s="1236" t="str">
        <f>VLOOKUP($B572,DG!A:D,DG!$D$2,)</f>
        <v>kg</v>
      </c>
      <c r="G572" s="1914">
        <f>9*0.224</f>
        <v>2.016</v>
      </c>
      <c r="H572" s="1245">
        <f ca="1">H$571*$G572</f>
        <v>0</v>
      </c>
      <c r="I572" s="1245"/>
      <c r="J572" s="1245"/>
      <c r="K572" s="1245"/>
      <c r="L572" s="1245"/>
      <c r="M572" s="1245">
        <f>M$571*$G572</f>
        <v>0</v>
      </c>
      <c r="N572" s="1245">
        <f t="shared" ref="M572:O574" ca="1" si="100">N$571*$G572</f>
        <v>0</v>
      </c>
      <c r="O572" s="1245">
        <f t="shared" ca="1" si="100"/>
        <v>0</v>
      </c>
      <c r="P572" s="1245"/>
      <c r="Q572" s="1245"/>
      <c r="R572" s="1245"/>
      <c r="S572" s="1245"/>
      <c r="T572" s="1671"/>
      <c r="U572" s="1664" t="str">
        <f>IFERROR(VLOOKUP(B572,ChiTietDuToan!C:H,5,0),"")</f>
        <v>kg</v>
      </c>
      <c r="V572" s="2309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59" t="s">
        <v>1560</v>
      </c>
      <c r="C573" s="67" t="str">
        <f t="shared" ca="1" si="96"/>
        <v xml:space="preserve"> </v>
      </c>
      <c r="D573" s="1236"/>
      <c r="E573" s="1248" t="str">
        <f>VLOOKUP($B573,DG!A:D,DG!$C$2,)</f>
        <v>Cọc tiếp đất Ø 16- 2,4m + kẹp cọc</v>
      </c>
      <c r="F573" s="1236" t="str">
        <f>VLOOKUP($B573,DG!A:D,DG!$D$2,)</f>
        <v>bộ</v>
      </c>
      <c r="G573" s="1915">
        <v>1</v>
      </c>
      <c r="H573" s="1245">
        <f ca="1">H$571*$G573</f>
        <v>0</v>
      </c>
      <c r="I573" s="1245"/>
      <c r="J573" s="1245"/>
      <c r="K573" s="1245"/>
      <c r="L573" s="1245"/>
      <c r="M573" s="1245">
        <f>M$571*$G573</f>
        <v>0</v>
      </c>
      <c r="N573" s="1245">
        <f t="shared" ca="1" si="100"/>
        <v>0</v>
      </c>
      <c r="O573" s="1245">
        <f t="shared" ca="1" si="100"/>
        <v>0</v>
      </c>
      <c r="P573" s="1245"/>
      <c r="Q573" s="1245"/>
      <c r="R573" s="1245"/>
      <c r="S573" s="1245"/>
      <c r="T573" s="1671"/>
      <c r="U573" s="1664" t="str">
        <f>IFERROR(VLOOKUP(B573,ChiTietDuToan!C:H,5,0),"")</f>
        <v>bộ</v>
      </c>
      <c r="V573" s="2309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59" t="s">
        <v>534</v>
      </c>
      <c r="C574" s="67" t="str">
        <f t="shared" ca="1" si="96"/>
        <v xml:space="preserve"> </v>
      </c>
      <c r="D574" s="1236"/>
      <c r="E574" s="1248" t="str">
        <f>VLOOKUP($B574,DG!A:D,DG!$C$2,)</f>
        <v>Kẹp ép WR cỡ dây 50mm2</v>
      </c>
      <c r="F574" s="1236" t="str">
        <f>VLOOKUP($B574,DG!A:D,DG!$D$2,)</f>
        <v>cái</v>
      </c>
      <c r="G574" s="1915">
        <v>2</v>
      </c>
      <c r="H574" s="1245">
        <f ca="1">H$571*$G574</f>
        <v>0</v>
      </c>
      <c r="I574" s="1245"/>
      <c r="J574" s="1245"/>
      <c r="K574" s="1245"/>
      <c r="L574" s="1245"/>
      <c r="M574" s="1245">
        <f t="shared" si="100"/>
        <v>0</v>
      </c>
      <c r="N574" s="1245">
        <f t="shared" ca="1" si="100"/>
        <v>0</v>
      </c>
      <c r="O574" s="1245">
        <f t="shared" ca="1" si="100"/>
        <v>0</v>
      </c>
      <c r="P574" s="1245"/>
      <c r="Q574" s="1245"/>
      <c r="R574" s="1245"/>
      <c r="S574" s="1245"/>
      <c r="T574" s="1671"/>
      <c r="U574" s="1664" t="str">
        <f>IFERROR(VLOOKUP(B574,ChiTietDuToan!C:H,5,0),"")</f>
        <v/>
      </c>
      <c r="V574" s="2309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59" t="s">
        <v>1082</v>
      </c>
      <c r="C575" s="67" t="str">
        <f t="shared" si="96"/>
        <v xml:space="preserve"> </v>
      </c>
      <c r="D575" s="1236"/>
      <c r="E575" s="1248" t="str">
        <f>VLOOKUP($B575,DG!A:D,DG!$C$2,)</f>
        <v>Đầu cosse ép Cu 25mm2</v>
      </c>
      <c r="F575" s="1236" t="str">
        <f>VLOOKUP($B575,DG!A:D,DG!$D$2,)</f>
        <v>cái</v>
      </c>
      <c r="G575" s="1915">
        <v>2</v>
      </c>
      <c r="H575" s="1245"/>
      <c r="I575" s="1245"/>
      <c r="J575" s="1245"/>
      <c r="K575" s="1245"/>
      <c r="L575" s="1245"/>
      <c r="M575" s="1245"/>
      <c r="N575" s="1245"/>
      <c r="O575" s="1245"/>
      <c r="P575" s="1245"/>
      <c r="Q575" s="1245"/>
      <c r="R575" s="1245"/>
      <c r="S575" s="1245"/>
      <c r="T575" s="1671"/>
      <c r="U575" s="1664" t="str">
        <f>IFERROR(VLOOKUP(B575,ChiTietDuToan!C:H,5,0),"")</f>
        <v/>
      </c>
      <c r="V575" s="2309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59" t="s">
        <v>2072</v>
      </c>
      <c r="C576" s="67" t="str">
        <f t="shared" si="96"/>
        <v xml:space="preserve"> </v>
      </c>
      <c r="D576" s="1236"/>
      <c r="E576" s="1248" t="str">
        <f>VLOOKUP($B576,DG!A:D,DG!$C$2,)</f>
        <v>Boulon 12x40+ 2 long đền vuông D14-50x50x3/Zn</v>
      </c>
      <c r="F576" s="1236" t="str">
        <f>VLOOKUP($B576,DG!A:D,DG!$D$2,)</f>
        <v>bộ</v>
      </c>
      <c r="G576" s="1915">
        <v>1</v>
      </c>
      <c r="H576" s="1245"/>
      <c r="I576" s="1245"/>
      <c r="J576" s="1245"/>
      <c r="K576" s="1245"/>
      <c r="L576" s="1245"/>
      <c r="M576" s="1245"/>
      <c r="N576" s="1245"/>
      <c r="O576" s="1245"/>
      <c r="P576" s="1245"/>
      <c r="Q576" s="1245"/>
      <c r="R576" s="1245"/>
      <c r="S576" s="1245"/>
      <c r="T576" s="1671"/>
      <c r="U576" s="1664" t="str">
        <f>IFERROR(VLOOKUP(B576,ChiTietDuToan!C:H,5,0),"")</f>
        <v/>
      </c>
      <c r="V576" s="2309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59" t="s">
        <v>1569</v>
      </c>
      <c r="C577" s="67" t="str">
        <f t="shared" si="96"/>
        <v xml:space="preserve"> </v>
      </c>
      <c r="D577" s="1236" t="str">
        <f>VLOOKUP($B577,DG!A:D,DG!$B$2,)</f>
        <v>05.7001</v>
      </c>
      <c r="E577" s="1241" t="str">
        <f>VLOOKUP($B577,DG!A:D,DG!$C$2,)</f>
        <v xml:space="preserve">Kéo dây tiếp địa </v>
      </c>
      <c r="F577" s="1236" t="str">
        <f>VLOOKUP($B577,DG!A:D,DG!$D$2,)</f>
        <v>mét</v>
      </c>
      <c r="G577" s="1914">
        <f>G572</f>
        <v>2.016</v>
      </c>
      <c r="H577" s="1250"/>
      <c r="I577" s="1250"/>
      <c r="J577" s="1250"/>
      <c r="K577" s="1250"/>
      <c r="L577" s="1250"/>
      <c r="M577" s="1250"/>
      <c r="N577" s="1250"/>
      <c r="O577" s="1250"/>
      <c r="P577" s="1250"/>
      <c r="Q577" s="1250"/>
      <c r="R577" s="1250"/>
      <c r="S577" s="1250"/>
      <c r="T577" s="1671"/>
      <c r="U577" s="1664" t="str">
        <f>IFERROR(VLOOKUP(B577,ChiTietDuToan!C:H,5,0),"")</f>
        <v>kg</v>
      </c>
      <c r="V577" s="2309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59" t="s">
        <v>1134</v>
      </c>
      <c r="C578" s="67" t="str">
        <f t="shared" si="96"/>
        <v xml:space="preserve"> </v>
      </c>
      <c r="D578" s="1236" t="str">
        <f>VLOOKUP($B578,DG!A:D,DG!$B$2,)</f>
        <v>05.8103</v>
      </c>
      <c r="E578" s="1241" t="str">
        <f>VLOOKUP($B578,DG!A:D,DG!$C$2,)</f>
        <v>Đóng cọc tiếp địa đất cấp 3</v>
      </c>
      <c r="F578" s="1236" t="str">
        <f>VLOOKUP($B578,DG!A:D,DG!$D$2,)</f>
        <v>cọc</v>
      </c>
      <c r="G578" s="1915">
        <v>1</v>
      </c>
      <c r="H578" s="1245"/>
      <c r="I578" s="1245"/>
      <c r="J578" s="1245"/>
      <c r="K578" s="1245"/>
      <c r="L578" s="1245"/>
      <c r="M578" s="1245"/>
      <c r="N578" s="1245"/>
      <c r="O578" s="1245"/>
      <c r="P578" s="1245"/>
      <c r="Q578" s="1245"/>
      <c r="R578" s="1245"/>
      <c r="S578" s="1245"/>
      <c r="T578" s="1671"/>
      <c r="U578" s="1664" t="str">
        <f>IFERROR(VLOOKUP(B578,ChiTietDuToan!C:H,5,0),"")</f>
        <v>cọc</v>
      </c>
      <c r="V578" s="2309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59" t="s">
        <v>1955</v>
      </c>
      <c r="C579" s="67" t="str">
        <f t="shared" si="96"/>
        <v xml:space="preserve"> </v>
      </c>
      <c r="D579" s="1236" t="str">
        <f>VLOOKUP($B579,DG!A:D,DG!$B$2,)</f>
        <v>02.1120</v>
      </c>
      <c r="E579" s="1241" t="str">
        <f>VLOOKUP($B579,DG!A:D,DG!$C$2,)</f>
        <v>Bốc dỡ phụ kiện</v>
      </c>
      <c r="F579" s="1236" t="str">
        <f>VLOOKUP($B579,DG!A:D,DG!$D$2,)</f>
        <v>tấn</v>
      </c>
      <c r="G579" s="1913"/>
      <c r="H579" s="1245"/>
      <c r="I579" s="1245"/>
      <c r="J579" s="1245"/>
      <c r="K579" s="1245"/>
      <c r="L579" s="1245"/>
      <c r="M579" s="1245"/>
      <c r="N579" s="1245"/>
      <c r="O579" s="1245"/>
      <c r="P579" s="1245"/>
      <c r="Q579" s="1245"/>
      <c r="R579" s="1245"/>
      <c r="S579" s="1245"/>
      <c r="T579" s="1671"/>
      <c r="U579" s="1664" t="str">
        <f>IFERROR(VLOOKUP(B579,ChiTietDuToan!C:H,5,0),"")</f>
        <v/>
      </c>
      <c r="V579" s="2309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74" t="s">
        <v>1956</v>
      </c>
      <c r="C580" s="67" t="str">
        <f t="shared" si="96"/>
        <v xml:space="preserve"> </v>
      </c>
      <c r="D580" s="1236" t="str">
        <f>VLOOKUP($B580,DG!A:C,2,)</f>
        <v>02.1351</v>
      </c>
      <c r="E580" s="1241" t="str">
        <f>VLOOKUP($B580,DG!A:C,3,)</f>
        <v>V/c tiếp địa vào vị trí ( cự ly &lt;=100m)</v>
      </c>
      <c r="F580" s="1236" t="str">
        <f>VLOOKUP($B580,DG!A:D,4,0)</f>
        <v>tấn</v>
      </c>
      <c r="G580" s="1913"/>
      <c r="H580" s="1250"/>
      <c r="I580" s="1250"/>
      <c r="J580" s="1250"/>
      <c r="K580" s="1250"/>
      <c r="L580" s="1250"/>
      <c r="M580" s="1250"/>
      <c r="N580" s="1250"/>
      <c r="O580" s="1250"/>
      <c r="P580" s="1250"/>
      <c r="Q580" s="1250"/>
      <c r="R580" s="1250"/>
      <c r="S580" s="1250"/>
      <c r="T580" s="1671"/>
      <c r="U580" s="1664" t="str">
        <f>IFERROR(VLOOKUP(B580,ChiTietDuToan!C:H,5,0),"")</f>
        <v/>
      </c>
      <c r="V580" s="2309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56"/>
      <c r="C581" s="65" t="str">
        <f t="shared" ca="1" si="96"/>
        <v xml:space="preserve"> </v>
      </c>
      <c r="D581" s="1237"/>
      <c r="E581" s="1666" t="s">
        <v>4869</v>
      </c>
      <c r="F581" s="1238" t="s">
        <v>2449</v>
      </c>
      <c r="G581" s="1912"/>
      <c r="H581" s="1523">
        <f ca="1">SUM(I581:O581)+T581</f>
        <v>0</v>
      </c>
      <c r="I581" s="1239"/>
      <c r="J581" s="1239"/>
      <c r="K581" s="1239"/>
      <c r="L581" s="1239">
        <f>IFERROR(HLOOKUP(A581,pp1p!$6:$90,85,0),0)</f>
        <v>0</v>
      </c>
      <c r="M581" s="1239">
        <f>pp_NC!CC192</f>
        <v>0</v>
      </c>
      <c r="N581" s="1239">
        <f ca="1">SUMIF(tdllHTDL,chitiet!$E581,sltdllHTDL)</f>
        <v>0</v>
      </c>
      <c r="O581" s="1239">
        <f ca="1">SUMIF(tdllHTCS,chitiet!$E581,sltdllHTCS)</f>
        <v>0</v>
      </c>
      <c r="P581" s="1239">
        <f ca="1">H581+Q581-R581</f>
        <v>0</v>
      </c>
      <c r="Q581" s="1239"/>
      <c r="R581" s="1239"/>
      <c r="S581" s="1239"/>
      <c r="T581" s="1671"/>
      <c r="U581" s="1664">
        <f>IFERROR(VLOOKUP(B581,ChiTietDuToan!C:H,5,0),"")</f>
        <v>0</v>
      </c>
      <c r="V581" s="2309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59" t="s">
        <v>103</v>
      </c>
      <c r="C582" s="67" t="str">
        <f t="shared" ca="1" si="96"/>
        <v xml:space="preserve"> </v>
      </c>
      <c r="D582" s="1236"/>
      <c r="E582" s="1248" t="str">
        <f>VLOOKUP($B582,DG!A:D,DG!$C$2,)&amp;" : 9m"</f>
        <v>Cáp đồng trần M25mm2 : 9m</v>
      </c>
      <c r="F582" s="1236" t="str">
        <f>VLOOKUP($B582,DG!A:D,DG!$D$2,)</f>
        <v>kg</v>
      </c>
      <c r="G582" s="1914">
        <f>9*0.224</f>
        <v>2.016</v>
      </c>
      <c r="H582" s="1251">
        <f ca="1">H$581*$G582</f>
        <v>0</v>
      </c>
      <c r="I582" s="1245"/>
      <c r="J582" s="1245"/>
      <c r="K582" s="1245"/>
      <c r="L582" s="1245"/>
      <c r="M582" s="1245">
        <f>M$571*$G582</f>
        <v>0</v>
      </c>
      <c r="N582" s="1245">
        <f t="shared" ref="M582:O584" ca="1" si="102">N$571*$G582</f>
        <v>0</v>
      </c>
      <c r="O582" s="1245">
        <f t="shared" ca="1" si="102"/>
        <v>0</v>
      </c>
      <c r="P582" s="2204">
        <f ca="1">H582+Q582-R582</f>
        <v>0</v>
      </c>
      <c r="Q582" s="1251"/>
      <c r="R582" s="1251"/>
      <c r="S582" s="1251"/>
      <c r="T582" s="1671"/>
      <c r="U582" s="1664" t="str">
        <f>IFERROR(VLOOKUP(B582,ChiTietDuToan!C:H,5,0),"")</f>
        <v>kg</v>
      </c>
      <c r="V582" s="2309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59" t="s">
        <v>1560</v>
      </c>
      <c r="C583" s="67" t="str">
        <f t="shared" ca="1" si="96"/>
        <v xml:space="preserve"> </v>
      </c>
      <c r="D583" s="1236"/>
      <c r="E583" s="1248" t="str">
        <f>VLOOKUP($B583,DG!A:D,DG!$C$2,)</f>
        <v>Cọc tiếp đất Ø 16- 2,4m + kẹp cọc</v>
      </c>
      <c r="F583" s="1236" t="str">
        <f>VLOOKUP($B583,DG!A:D,DG!$D$2,)</f>
        <v>bộ</v>
      </c>
      <c r="G583" s="1915">
        <v>1</v>
      </c>
      <c r="H583" s="1245">
        <f t="shared" ref="H583:H588" ca="1" si="103">H$581*$G583</f>
        <v>0</v>
      </c>
      <c r="I583" s="1245"/>
      <c r="J583" s="1245"/>
      <c r="K583" s="1245"/>
      <c r="L583" s="1245"/>
      <c r="M583" s="1245">
        <f>M$571*$G583</f>
        <v>0</v>
      </c>
      <c r="N583" s="1245">
        <f t="shared" ca="1" si="102"/>
        <v>0</v>
      </c>
      <c r="O583" s="1245">
        <f t="shared" ca="1" si="102"/>
        <v>0</v>
      </c>
      <c r="P583" s="1239">
        <f ca="1">H583+Q583-R583</f>
        <v>0</v>
      </c>
      <c r="Q583" s="1245"/>
      <c r="R583" s="1245"/>
      <c r="S583" s="1245"/>
      <c r="T583" s="1671"/>
      <c r="U583" s="1664" t="str">
        <f>IFERROR(VLOOKUP(B583,ChiTietDuToan!C:H,5,0),"")</f>
        <v>bộ</v>
      </c>
      <c r="V583" s="2309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59" t="s">
        <v>4514</v>
      </c>
      <c r="C584" s="67" t="str">
        <f t="shared" ca="1" si="96"/>
        <v xml:space="preserve"> </v>
      </c>
      <c r="D584" s="1236"/>
      <c r="E584" s="1248" t="str">
        <f>VLOOKUP($B584,DG!A:D,DG!$C$2,)</f>
        <v>Ghíp nối IPC 95-25</v>
      </c>
      <c r="F584" s="1236" t="str">
        <f>VLOOKUP($B584,DG!A:D,DG!$D$2,)</f>
        <v>cái</v>
      </c>
      <c r="G584" s="1915">
        <v>1</v>
      </c>
      <c r="H584" s="1245">
        <f t="shared" ca="1" si="103"/>
        <v>0</v>
      </c>
      <c r="I584" s="1245"/>
      <c r="J584" s="1245"/>
      <c r="K584" s="1245"/>
      <c r="L584" s="1245"/>
      <c r="M584" s="1245">
        <f t="shared" si="102"/>
        <v>0</v>
      </c>
      <c r="N584" s="1245">
        <f t="shared" ca="1" si="102"/>
        <v>0</v>
      </c>
      <c r="O584" s="1245">
        <f t="shared" ca="1" si="102"/>
        <v>0</v>
      </c>
      <c r="P584" s="1239">
        <f ca="1">H584+Q584-R584</f>
        <v>0</v>
      </c>
      <c r="Q584" s="1245"/>
      <c r="R584" s="1245"/>
      <c r="S584" s="1245"/>
      <c r="T584" s="1671"/>
      <c r="U584" s="1664" t="str">
        <f>IFERROR(VLOOKUP(B584,ChiTietDuToan!C:H,5,0),"")</f>
        <v/>
      </c>
      <c r="V584" s="2309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59" t="s">
        <v>1082</v>
      </c>
      <c r="C585" s="67" t="str">
        <f t="shared" ca="1" si="96"/>
        <v xml:space="preserve"> </v>
      </c>
      <c r="D585" s="1236"/>
      <c r="E585" s="1248" t="str">
        <f>VLOOKUP($B585,DG!A:D,DG!C$2,)</f>
        <v>Đầu cosse ép Cu 25mm2</v>
      </c>
      <c r="F585" s="1236" t="str">
        <f>VLOOKUP($B585,DG!A:D,DG!$D$2,)</f>
        <v>cái</v>
      </c>
      <c r="G585" s="1915"/>
      <c r="H585" s="1245">
        <f t="shared" ca="1" si="103"/>
        <v>0</v>
      </c>
      <c r="I585" s="1245">
        <f t="shared" ref="I585:O586" ca="1" si="104">I$609*$G585</f>
        <v>0</v>
      </c>
      <c r="J585" s="1245">
        <f t="shared" ca="1" si="104"/>
        <v>0</v>
      </c>
      <c r="K585" s="1245">
        <f t="shared" ca="1" si="104"/>
        <v>0</v>
      </c>
      <c r="L585" s="1245">
        <f t="shared" si="104"/>
        <v>0</v>
      </c>
      <c r="M585" s="1245">
        <f t="shared" ca="1" si="104"/>
        <v>0</v>
      </c>
      <c r="N585" s="1245">
        <f t="shared" ca="1" si="104"/>
        <v>0</v>
      </c>
      <c r="O585" s="1245">
        <f t="shared" si="104"/>
        <v>0</v>
      </c>
      <c r="P585" s="1245">
        <f ca="1">$P$581*G585</f>
        <v>0</v>
      </c>
      <c r="Q585" s="1245"/>
      <c r="R585" s="1245"/>
      <c r="S585" s="1245"/>
      <c r="T585" s="1671"/>
      <c r="U585" s="1664" t="str">
        <f>IFERROR(VLOOKUP(B585,ChiTietDuToan!C:H,5,0),"")</f>
        <v/>
      </c>
      <c r="V585" s="2309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59" t="s">
        <v>2072</v>
      </c>
      <c r="C586" s="67" t="str">
        <f t="shared" ca="1" si="96"/>
        <v xml:space="preserve"> </v>
      </c>
      <c r="D586" s="1236"/>
      <c r="E586" s="1248" t="str">
        <f>VLOOKUP($B586,DG!A:D,DG!C$2,)</f>
        <v>Boulon 12x40+ 2 long đền vuông D14-50x50x3/Zn</v>
      </c>
      <c r="F586" s="1236" t="str">
        <f>VLOOKUP($B586,DG!A:D,DG!$D$2,)</f>
        <v>bộ</v>
      </c>
      <c r="G586" s="1915"/>
      <c r="H586" s="1245">
        <f t="shared" ca="1" si="103"/>
        <v>0</v>
      </c>
      <c r="I586" s="1245">
        <f t="shared" ca="1" si="104"/>
        <v>0</v>
      </c>
      <c r="J586" s="1245">
        <f t="shared" ca="1" si="104"/>
        <v>0</v>
      </c>
      <c r="K586" s="1245">
        <f t="shared" ca="1" si="104"/>
        <v>0</v>
      </c>
      <c r="L586" s="1245">
        <f t="shared" si="104"/>
        <v>0</v>
      </c>
      <c r="M586" s="1245">
        <f t="shared" ca="1" si="104"/>
        <v>0</v>
      </c>
      <c r="N586" s="1245">
        <f t="shared" ca="1" si="104"/>
        <v>0</v>
      </c>
      <c r="O586" s="1245">
        <f t="shared" si="104"/>
        <v>0</v>
      </c>
      <c r="P586" s="1245">
        <f ca="1">$P$581*G586</f>
        <v>0</v>
      </c>
      <c r="Q586" s="1245"/>
      <c r="R586" s="1245"/>
      <c r="S586" s="1245"/>
      <c r="T586" s="1671"/>
      <c r="U586" s="1664" t="str">
        <f>IFERROR(VLOOKUP(B586,ChiTietDuToan!C:H,5,0),"")</f>
        <v/>
      </c>
      <c r="V586" s="2309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59" t="s">
        <v>1569</v>
      </c>
      <c r="C587" s="67" t="str">
        <f t="shared" ca="1" si="96"/>
        <v xml:space="preserve"> </v>
      </c>
      <c r="D587" s="1236" t="str">
        <f>VLOOKUP($B587,DG!A:D,DG!$B$2,)</f>
        <v>05.7001</v>
      </c>
      <c r="E587" s="1241" t="str">
        <f>VLOOKUP($B587,DG!A:D,DG!$C$2,)</f>
        <v xml:space="preserve">Kéo dây tiếp địa </v>
      </c>
      <c r="F587" s="2202" t="s">
        <v>2310</v>
      </c>
      <c r="G587" s="1914">
        <f>G582</f>
        <v>2.016</v>
      </c>
      <c r="H587" s="1245">
        <f t="shared" ca="1" si="103"/>
        <v>0</v>
      </c>
      <c r="I587" s="1250"/>
      <c r="J587" s="1250"/>
      <c r="K587" s="1250"/>
      <c r="L587" s="1250"/>
      <c r="M587" s="1250"/>
      <c r="N587" s="1250"/>
      <c r="O587" s="1250"/>
      <c r="P587" s="1239">
        <f ca="1">H587+Q587-R587</f>
        <v>0</v>
      </c>
      <c r="Q587" s="1251"/>
      <c r="R587" s="1251"/>
      <c r="S587" s="1251"/>
      <c r="T587" s="1671"/>
      <c r="U587" s="1664" t="str">
        <f>IFERROR(VLOOKUP(B587,ChiTietDuToan!C:H,5,0),"")</f>
        <v>kg</v>
      </c>
      <c r="V587" s="2309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59" t="s">
        <v>1134</v>
      </c>
      <c r="C588" s="67" t="str">
        <f t="shared" ca="1" si="96"/>
        <v xml:space="preserve"> </v>
      </c>
      <c r="D588" s="1236" t="str">
        <f>VLOOKUP($B588,DG!A:D,DG!$B$2,)</f>
        <v>05.8103</v>
      </c>
      <c r="E588" s="1241" t="str">
        <f>VLOOKUP($B588,DG!A:D,DG!$C$2,)</f>
        <v>Đóng cọc tiếp địa đất cấp 3</v>
      </c>
      <c r="F588" s="1236" t="str">
        <f>VLOOKUP($B588,DG!A:D,DG!$D$2,)</f>
        <v>cọc</v>
      </c>
      <c r="G588" s="1915">
        <v>1</v>
      </c>
      <c r="H588" s="1245">
        <f t="shared" ca="1" si="103"/>
        <v>0</v>
      </c>
      <c r="I588" s="1245"/>
      <c r="J588" s="1245"/>
      <c r="K588" s="1245"/>
      <c r="L588" s="1245"/>
      <c r="M588" s="1245"/>
      <c r="N588" s="1245"/>
      <c r="O588" s="1245"/>
      <c r="P588" s="1239">
        <f ca="1">H588+Q588-R588</f>
        <v>0</v>
      </c>
      <c r="Q588" s="1245"/>
      <c r="R588" s="1245"/>
      <c r="S588" s="1245"/>
      <c r="T588" s="1671"/>
      <c r="U588" s="1664" t="str">
        <f>IFERROR(VLOOKUP(B588,ChiTietDuToan!C:H,5,0),"")</f>
        <v>cọc</v>
      </c>
      <c r="V588" s="2309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59" t="s">
        <v>1955</v>
      </c>
      <c r="C589" s="67" t="str">
        <f t="shared" si="96"/>
        <v xml:space="preserve"> </v>
      </c>
      <c r="D589" s="1236" t="str">
        <f>VLOOKUP($B589,DG!A:D,DG!$B$2,)</f>
        <v>02.1120</v>
      </c>
      <c r="E589" s="1241" t="str">
        <f>VLOOKUP($B589,DG!A:D,DG!$C$2,)</f>
        <v>Bốc dỡ phụ kiện</v>
      </c>
      <c r="F589" s="1236" t="str">
        <f>VLOOKUP($B589,DG!A:D,DG!$D$2,)</f>
        <v>tấn</v>
      </c>
      <c r="G589" s="1913"/>
      <c r="H589" s="1245"/>
      <c r="I589" s="1245"/>
      <c r="J589" s="1245"/>
      <c r="K589" s="1245"/>
      <c r="L589" s="1245"/>
      <c r="M589" s="1245"/>
      <c r="N589" s="1245"/>
      <c r="O589" s="1245"/>
      <c r="P589" s="1245"/>
      <c r="Q589" s="1245"/>
      <c r="R589" s="1245"/>
      <c r="S589" s="1245"/>
      <c r="T589" s="1671"/>
      <c r="U589" s="1664" t="str">
        <f>IFERROR(VLOOKUP(B589,ChiTietDuToan!C:H,5,0),"")</f>
        <v/>
      </c>
      <c r="V589" s="2309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74" t="s">
        <v>1956</v>
      </c>
      <c r="C590" s="67" t="str">
        <f t="shared" si="96"/>
        <v xml:space="preserve"> </v>
      </c>
      <c r="D590" s="1236" t="str">
        <f>VLOOKUP($B590,DG!A:C,2,)</f>
        <v>02.1351</v>
      </c>
      <c r="E590" s="1241" t="str">
        <f>VLOOKUP($B590,DG!A:C,3,)</f>
        <v>V/c tiếp địa vào vị trí ( cự ly &lt;=100m)</v>
      </c>
      <c r="F590" s="1236" t="str">
        <f>VLOOKUP($B590,DG!A:D,4,0)</f>
        <v>tấn</v>
      </c>
      <c r="G590" s="1913"/>
      <c r="H590" s="1250"/>
      <c r="I590" s="1250"/>
      <c r="J590" s="1250"/>
      <c r="K590" s="1250"/>
      <c r="L590" s="1250"/>
      <c r="M590" s="1250"/>
      <c r="N590" s="1250"/>
      <c r="O590" s="1250"/>
      <c r="P590" s="1250"/>
      <c r="Q590" s="1250"/>
      <c r="R590" s="1250"/>
      <c r="S590" s="1250"/>
      <c r="T590" s="1671"/>
      <c r="U590" s="1664" t="str">
        <f>IFERROR(VLOOKUP(B590,ChiTietDuToan!C:H,5,0),"")</f>
        <v/>
      </c>
      <c r="V590" s="2309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56"/>
      <c r="C591" s="65" t="str">
        <f t="shared" ref="C591:C654" ca="1" si="105">IF(OR(P591&lt;&gt;0,H591&lt;&gt;0),"x"," ")</f>
        <v xml:space="preserve"> </v>
      </c>
      <c r="D591" s="1237"/>
      <c r="E591" s="1666" t="s">
        <v>2453</v>
      </c>
      <c r="F591" s="1238" t="s">
        <v>2449</v>
      </c>
      <c r="G591" s="1912"/>
      <c r="H591" s="1523">
        <f ca="1">SUM(I591:O591)+T591</f>
        <v>0</v>
      </c>
      <c r="I591" s="1239"/>
      <c r="J591" s="1239"/>
      <c r="K591" s="1239"/>
      <c r="L591" s="1239">
        <f>IFERROR(HLOOKUP(A591,pp1p!$6:$90,85,0),0)</f>
        <v>0</v>
      </c>
      <c r="M591" s="1239">
        <f>pp_NC!CC193</f>
        <v>0</v>
      </c>
      <c r="N591" s="1239">
        <f ca="1">SUMIF(tdllHTDL,chitiet!$E591,sltdllHTDL)</f>
        <v>0</v>
      </c>
      <c r="O591" s="1239">
        <f ca="1">SUMIF(tdllHTCS,chitiet!$E591,sltdllHTCS)</f>
        <v>0</v>
      </c>
      <c r="P591" s="1239"/>
      <c r="Q591" s="1239"/>
      <c r="R591" s="1239"/>
      <c r="S591" s="1239"/>
      <c r="T591" s="1671"/>
      <c r="U591" s="1664">
        <f>IFERROR(VLOOKUP(B591,ChiTietDuToan!C:H,5,0),"")</f>
        <v>0</v>
      </c>
      <c r="V591" s="2309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59" t="s">
        <v>103</v>
      </c>
      <c r="C592" s="67" t="str">
        <f t="shared" ca="1" si="105"/>
        <v xml:space="preserve"> </v>
      </c>
      <c r="D592" s="1236"/>
      <c r="E592" s="1248" t="str">
        <f>VLOOKUP($B592,DG!A:D,DG!$C$2,)&amp;" : 3m"</f>
        <v>Cáp đồng trần M25mm2 : 3m</v>
      </c>
      <c r="F592" s="1236" t="str">
        <f>VLOOKUP($B592,DG!A:D,DG!$D$2,)</f>
        <v>kg</v>
      </c>
      <c r="G592" s="1914">
        <f>3*0.224</f>
        <v>0.67200000000000004</v>
      </c>
      <c r="H592" s="1245">
        <f ca="1">H$571*$G592</f>
        <v>0</v>
      </c>
      <c r="I592" s="1245"/>
      <c r="J592" s="1245"/>
      <c r="K592" s="1245"/>
      <c r="L592" s="1245"/>
      <c r="M592" s="1245">
        <f>M$571*$G592</f>
        <v>0</v>
      </c>
      <c r="N592" s="1245">
        <f t="shared" ref="M592:O594" ca="1" si="106">N$571*$G592</f>
        <v>0</v>
      </c>
      <c r="O592" s="1245">
        <f t="shared" ca="1" si="106"/>
        <v>0</v>
      </c>
      <c r="P592" s="1245"/>
      <c r="Q592" s="1245"/>
      <c r="R592" s="1245"/>
      <c r="S592" s="1245"/>
      <c r="T592" s="1671"/>
      <c r="U592" s="1664" t="str">
        <f>IFERROR(VLOOKUP(B592,ChiTietDuToan!C:H,5,0),"")</f>
        <v>kg</v>
      </c>
      <c r="V592" s="2309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59" t="s">
        <v>1560</v>
      </c>
      <c r="C593" s="67" t="str">
        <f t="shared" ca="1" si="105"/>
        <v xml:space="preserve"> </v>
      </c>
      <c r="D593" s="1236"/>
      <c r="E593" s="1248" t="str">
        <f>VLOOKUP($B593,DG!A:D,DG!$C$2,)</f>
        <v>Cọc tiếp đất Ø 16- 2,4m + kẹp cọc</v>
      </c>
      <c r="F593" s="1236" t="str">
        <f>VLOOKUP($B593,DG!A:D,DG!$D$2,)</f>
        <v>bộ</v>
      </c>
      <c r="G593" s="1915">
        <v>1</v>
      </c>
      <c r="H593" s="1245">
        <f ca="1">H$571*$G593</f>
        <v>0</v>
      </c>
      <c r="I593" s="1245"/>
      <c r="J593" s="1245"/>
      <c r="K593" s="1245"/>
      <c r="L593" s="1245"/>
      <c r="M593" s="1245">
        <f>M$571*$G593</f>
        <v>0</v>
      </c>
      <c r="N593" s="1245">
        <f t="shared" ca="1" si="106"/>
        <v>0</v>
      </c>
      <c r="O593" s="1245">
        <f t="shared" ca="1" si="106"/>
        <v>0</v>
      </c>
      <c r="P593" s="1245"/>
      <c r="Q593" s="1245"/>
      <c r="R593" s="1245"/>
      <c r="S593" s="1245"/>
      <c r="T593" s="1671"/>
      <c r="U593" s="1664" t="str">
        <f>IFERROR(VLOOKUP(B593,ChiTietDuToan!C:H,5,0),"")</f>
        <v>bộ</v>
      </c>
      <c r="V593" s="2309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59" t="s">
        <v>2274</v>
      </c>
      <c r="C594" s="67" t="str">
        <f t="shared" ca="1" si="105"/>
        <v xml:space="preserve"> </v>
      </c>
      <c r="D594" s="1236"/>
      <c r="E594" s="1248" t="str">
        <f>VLOOKUP($B594,DG!A:D,DG!$C$2,)</f>
        <v>Ghíp nối IPC 50-35</v>
      </c>
      <c r="F594" s="1236" t="str">
        <f>VLOOKUP($B594,DG!A:D,DG!$D$2,)</f>
        <v>cái</v>
      </c>
      <c r="G594" s="1915">
        <v>1</v>
      </c>
      <c r="H594" s="1245">
        <f ca="1">H$571*$G594</f>
        <v>0</v>
      </c>
      <c r="I594" s="1245"/>
      <c r="J594" s="1245"/>
      <c r="K594" s="1245"/>
      <c r="L594" s="1245"/>
      <c r="M594" s="1245">
        <f t="shared" si="106"/>
        <v>0</v>
      </c>
      <c r="N594" s="1245">
        <f t="shared" ca="1" si="106"/>
        <v>0</v>
      </c>
      <c r="O594" s="1245">
        <f t="shared" ca="1" si="106"/>
        <v>0</v>
      </c>
      <c r="P594" s="1245"/>
      <c r="Q594" s="1245"/>
      <c r="R594" s="1245"/>
      <c r="S594" s="1245"/>
      <c r="T594" s="1671"/>
      <c r="U594" s="1664" t="str">
        <f>IFERROR(VLOOKUP(B594,ChiTietDuToan!C:H,5,0),"")</f>
        <v/>
      </c>
      <c r="V594" s="2309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59" t="s">
        <v>1569</v>
      </c>
      <c r="C595" s="67" t="str">
        <f t="shared" si="105"/>
        <v xml:space="preserve"> </v>
      </c>
      <c r="D595" s="1236" t="str">
        <f>VLOOKUP($B595,DG!A:D,DG!$B$2,)</f>
        <v>05.7001</v>
      </c>
      <c r="E595" s="1241" t="str">
        <f>VLOOKUP($B595,DG!A:D,DG!$C$2,)</f>
        <v xml:space="preserve">Kéo dây tiếp địa </v>
      </c>
      <c r="F595" s="1236" t="str">
        <f>VLOOKUP($B595,DG!A:D,DG!$D$2,)</f>
        <v>mét</v>
      </c>
      <c r="G595" s="1914">
        <f>G592</f>
        <v>0.67200000000000004</v>
      </c>
      <c r="H595" s="1250"/>
      <c r="I595" s="1250"/>
      <c r="J595" s="1250"/>
      <c r="K595" s="1250"/>
      <c r="L595" s="1250"/>
      <c r="M595" s="1250"/>
      <c r="N595" s="1250"/>
      <c r="O595" s="1250"/>
      <c r="P595" s="1250"/>
      <c r="Q595" s="1250"/>
      <c r="R595" s="1250"/>
      <c r="S595" s="1250"/>
      <c r="T595" s="1671"/>
      <c r="U595" s="1664" t="str">
        <f>IFERROR(VLOOKUP(B595,ChiTietDuToan!C:H,5,0),"")</f>
        <v>kg</v>
      </c>
      <c r="V595" s="2309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59" t="s">
        <v>1134</v>
      </c>
      <c r="C596" s="67" t="str">
        <f t="shared" si="105"/>
        <v xml:space="preserve"> </v>
      </c>
      <c r="D596" s="1236" t="str">
        <f>VLOOKUP($B596,DG!A:D,DG!$B$2,)</f>
        <v>05.8103</v>
      </c>
      <c r="E596" s="1241" t="str">
        <f>VLOOKUP($B596,DG!A:D,DG!$C$2,)</f>
        <v>Đóng cọc tiếp địa đất cấp 3</v>
      </c>
      <c r="F596" s="1236" t="str">
        <f>VLOOKUP($B596,DG!A:D,DG!$D$2,)</f>
        <v>cọc</v>
      </c>
      <c r="G596" s="1915">
        <v>1</v>
      </c>
      <c r="H596" s="1245"/>
      <c r="I596" s="1245"/>
      <c r="J596" s="1245"/>
      <c r="K596" s="1245"/>
      <c r="L596" s="1245"/>
      <c r="M596" s="1245"/>
      <c r="N596" s="1245"/>
      <c r="O596" s="1245"/>
      <c r="P596" s="1245"/>
      <c r="Q596" s="1245"/>
      <c r="R596" s="1245"/>
      <c r="S596" s="1245"/>
      <c r="T596" s="1671"/>
      <c r="U596" s="1664" t="str">
        <f>IFERROR(VLOOKUP(B596,ChiTietDuToan!C:H,5,0),"")</f>
        <v>cọc</v>
      </c>
      <c r="V596" s="2309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59" t="s">
        <v>1955</v>
      </c>
      <c r="C597" s="67" t="str">
        <f t="shared" si="105"/>
        <v xml:space="preserve"> </v>
      </c>
      <c r="D597" s="1236" t="str">
        <f>VLOOKUP($B597,DG!A:D,DG!$B$2,)</f>
        <v>02.1120</v>
      </c>
      <c r="E597" s="1241" t="str">
        <f>VLOOKUP($B597,DG!A:D,DG!$C$2,)</f>
        <v>Bốc dỡ phụ kiện</v>
      </c>
      <c r="F597" s="1236" t="str">
        <f>VLOOKUP($B597,DG!A:D,DG!$D$2,)</f>
        <v>tấn</v>
      </c>
      <c r="G597" s="1913"/>
      <c r="H597" s="1245"/>
      <c r="I597" s="1245"/>
      <c r="J597" s="1245"/>
      <c r="K597" s="1245"/>
      <c r="L597" s="1245"/>
      <c r="M597" s="1245"/>
      <c r="N597" s="1245"/>
      <c r="O597" s="1245"/>
      <c r="P597" s="1245"/>
      <c r="Q597" s="1245"/>
      <c r="R597" s="1245"/>
      <c r="S597" s="1245"/>
      <c r="T597" s="1671"/>
      <c r="U597" s="1664" t="str">
        <f>IFERROR(VLOOKUP(B597,ChiTietDuToan!C:H,5,0),"")</f>
        <v/>
      </c>
      <c r="V597" s="2309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74" t="s">
        <v>1956</v>
      </c>
      <c r="C598" s="67" t="str">
        <f t="shared" si="105"/>
        <v xml:space="preserve"> </v>
      </c>
      <c r="D598" s="1236" t="str">
        <f>VLOOKUP($B598,DG!A:C,2,)</f>
        <v>02.1351</v>
      </c>
      <c r="E598" s="1241" t="str">
        <f>VLOOKUP($B598,DG!A:C,3,)</f>
        <v>V/c tiếp địa vào vị trí ( cự ly &lt;=100m)</v>
      </c>
      <c r="F598" s="1236" t="str">
        <f>VLOOKUP($B598,DG!A:D,4,0)</f>
        <v>tấn</v>
      </c>
      <c r="G598" s="1913"/>
      <c r="H598" s="1250"/>
      <c r="I598" s="1250"/>
      <c r="J598" s="1250"/>
      <c r="K598" s="1250"/>
      <c r="L598" s="1250"/>
      <c r="M598" s="1250"/>
      <c r="N598" s="1250"/>
      <c r="O598" s="1250"/>
      <c r="P598" s="1250"/>
      <c r="Q598" s="1250"/>
      <c r="R598" s="1250"/>
      <c r="S598" s="1250"/>
      <c r="T598" s="1671"/>
      <c r="U598" s="1664" t="str">
        <f>IFERROR(VLOOKUP(B598,ChiTietDuToan!C:H,5,0),"")</f>
        <v/>
      </c>
      <c r="V598" s="2309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56"/>
      <c r="C599" s="65" t="str">
        <f t="shared" ca="1" si="105"/>
        <v xml:space="preserve"> </v>
      </c>
      <c r="D599" s="1237"/>
      <c r="E599" s="1666" t="s">
        <v>2454</v>
      </c>
      <c r="F599" s="1238" t="s">
        <v>2449</v>
      </c>
      <c r="G599" s="1912"/>
      <c r="H599" s="1523">
        <f ca="1">SUM(I599:O599)+T599</f>
        <v>0</v>
      </c>
      <c r="I599" s="1239">
        <f ca="1">SUMIF(tdll3pm,chitiet!$E599,sltdll3pm)</f>
        <v>0</v>
      </c>
      <c r="J599" s="1239">
        <f ca="1">SUMIF(tdllct,chitiet!$E599,sltdllct)</f>
        <v>0</v>
      </c>
      <c r="K599" s="1239"/>
      <c r="L599" s="1239">
        <f>IFERROR(HLOOKUP(A599,pp1p!$6:$90,85,0),0)</f>
        <v>0</v>
      </c>
      <c r="M599" s="1239">
        <f ca="1">SUMIF(tdllHTHH,chitiet!$E599,sltdllHTHH)</f>
        <v>0</v>
      </c>
      <c r="N599" s="1239">
        <f ca="1">SUMIF(tdllHTDL,chitiet!$E599,sltdllHTDL)</f>
        <v>0</v>
      </c>
      <c r="O599" s="1239">
        <f ca="1">SUMIF(tdllHTCS,chitiet!$E599,sltdllHTCS)</f>
        <v>0</v>
      </c>
      <c r="P599" s="1239"/>
      <c r="Q599" s="1239"/>
      <c r="R599" s="1239"/>
      <c r="S599" s="1239"/>
      <c r="T599" s="1671"/>
      <c r="U599" s="1664">
        <f>IFERROR(VLOOKUP(B599,ChiTietDuToan!C:H,5,0),"")</f>
        <v>0</v>
      </c>
      <c r="V599" s="2309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59" t="s">
        <v>103</v>
      </c>
      <c r="C600" s="67" t="str">
        <f t="shared" ca="1" si="105"/>
        <v xml:space="preserve"> </v>
      </c>
      <c r="D600" s="1236"/>
      <c r="E600" s="1248" t="str">
        <f>VLOOKUP($B600,DG!A:D,DG!C$2,)&amp;" : 10m"</f>
        <v>Cáp đồng trần M25mm2 : 10m</v>
      </c>
      <c r="F600" s="1236" t="str">
        <f>VLOOKUP($B600,DG!A:D,DG!$D$2,)</f>
        <v>kg</v>
      </c>
      <c r="G600" s="1914">
        <f>10*0.224</f>
        <v>2.2400000000000002</v>
      </c>
      <c r="H600" s="1245">
        <f ca="1">H$599*$G600</f>
        <v>0</v>
      </c>
      <c r="I600" s="1245">
        <f t="shared" ref="I600:O602" ca="1" si="107">I$599*$G600</f>
        <v>0</v>
      </c>
      <c r="J600" s="1245">
        <f t="shared" ca="1" si="107"/>
        <v>0</v>
      </c>
      <c r="K600" s="1245">
        <f t="shared" si="107"/>
        <v>0</v>
      </c>
      <c r="L600" s="1245">
        <f t="shared" si="107"/>
        <v>0</v>
      </c>
      <c r="M600" s="1245">
        <f t="shared" ca="1" si="107"/>
        <v>0</v>
      </c>
      <c r="N600" s="1245">
        <f t="shared" ca="1" si="107"/>
        <v>0</v>
      </c>
      <c r="O600" s="1245">
        <f t="shared" ca="1" si="107"/>
        <v>0</v>
      </c>
      <c r="P600" s="1245"/>
      <c r="Q600" s="1245"/>
      <c r="R600" s="1245"/>
      <c r="S600" s="1245"/>
      <c r="T600" s="1671"/>
      <c r="U600" s="1664" t="str">
        <f>IFERROR(VLOOKUP(B600,ChiTietDuToan!C:H,5,0),"")</f>
        <v>kg</v>
      </c>
      <c r="V600" s="2309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59" t="s">
        <v>1560</v>
      </c>
      <c r="C601" s="67" t="str">
        <f t="shared" ca="1" si="105"/>
        <v xml:space="preserve"> </v>
      </c>
      <c r="D601" s="1236"/>
      <c r="E601" s="1248" t="str">
        <f>VLOOKUP($B601,DG!A:D,DG!C$2,)</f>
        <v>Cọc tiếp đất Ø 16- 2,4m + kẹp cọc</v>
      </c>
      <c r="F601" s="1236" t="str">
        <f>VLOOKUP($B601,DG!A:D,DG!$D$2,)</f>
        <v>bộ</v>
      </c>
      <c r="G601" s="1915">
        <v>1</v>
      </c>
      <c r="H601" s="1245">
        <f t="shared" ref="H601:H608" ca="1" si="108">H$599*$G601</f>
        <v>0</v>
      </c>
      <c r="I601" s="1245">
        <f t="shared" ca="1" si="107"/>
        <v>0</v>
      </c>
      <c r="J601" s="1245">
        <f t="shared" ca="1" si="107"/>
        <v>0</v>
      </c>
      <c r="K601" s="1245">
        <f t="shared" si="107"/>
        <v>0</v>
      </c>
      <c r="L601" s="1245">
        <f t="shared" si="107"/>
        <v>0</v>
      </c>
      <c r="M601" s="1245">
        <f t="shared" ca="1" si="107"/>
        <v>0</v>
      </c>
      <c r="N601" s="1245">
        <f t="shared" ca="1" si="107"/>
        <v>0</v>
      </c>
      <c r="O601" s="1245">
        <f t="shared" ca="1" si="107"/>
        <v>0</v>
      </c>
      <c r="P601" s="1245"/>
      <c r="Q601" s="1245"/>
      <c r="R601" s="1245"/>
      <c r="S601" s="1245"/>
      <c r="T601" s="1671"/>
      <c r="U601" s="1664" t="str">
        <f>IFERROR(VLOOKUP(B601,ChiTietDuToan!C:H,5,0),"")</f>
        <v>bộ</v>
      </c>
      <c r="V601" s="2309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59" t="s">
        <v>1530</v>
      </c>
      <c r="C602" s="67" t="str">
        <f t="shared" ca="1" si="105"/>
        <v xml:space="preserve"> </v>
      </c>
      <c r="D602" s="1236"/>
      <c r="E602" s="1248" t="str">
        <f>VLOOKUP($B602,DG!A:D,DG!C$2,)</f>
        <v>Kẹp nối đồng-nhôm</v>
      </c>
      <c r="F602" s="1236" t="str">
        <f>VLOOKUP($B602,DG!A:D,DG!$D$2,)</f>
        <v>cái</v>
      </c>
      <c r="G602" s="1915">
        <v>2</v>
      </c>
      <c r="H602" s="1245">
        <f t="shared" ca="1" si="108"/>
        <v>0</v>
      </c>
      <c r="I602" s="1245">
        <f t="shared" ca="1" si="107"/>
        <v>0</v>
      </c>
      <c r="J602" s="1245">
        <f t="shared" ca="1" si="107"/>
        <v>0</v>
      </c>
      <c r="K602" s="1245">
        <f t="shared" si="107"/>
        <v>0</v>
      </c>
      <c r="L602" s="1245">
        <f t="shared" si="107"/>
        <v>0</v>
      </c>
      <c r="M602" s="1245">
        <f t="shared" ca="1" si="107"/>
        <v>0</v>
      </c>
      <c r="N602" s="1245">
        <f t="shared" ca="1" si="107"/>
        <v>0</v>
      </c>
      <c r="O602" s="1245">
        <f t="shared" ca="1" si="107"/>
        <v>0</v>
      </c>
      <c r="P602" s="1245"/>
      <c r="Q602" s="1245"/>
      <c r="R602" s="1245"/>
      <c r="S602" s="1245"/>
      <c r="T602" s="1671"/>
      <c r="U602" s="1664" t="str">
        <f>IFERROR(VLOOKUP(B602,ChiTietDuToan!C:H,5,0),"")</f>
        <v/>
      </c>
      <c r="V602" s="2309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59" t="s">
        <v>1082</v>
      </c>
      <c r="C603" s="67" t="str">
        <f t="shared" ca="1" si="105"/>
        <v xml:space="preserve"> </v>
      </c>
      <c r="D603" s="1236"/>
      <c r="E603" s="1248" t="str">
        <f>VLOOKUP($B603,DG!A:D,DG!C$2,)</f>
        <v>Đầu cosse ép Cu 25mm2</v>
      </c>
      <c r="F603" s="1236" t="str">
        <f>VLOOKUP($B603,DG!A:D,DG!$D$2,)</f>
        <v>cái</v>
      </c>
      <c r="G603" s="1915">
        <v>2</v>
      </c>
      <c r="H603" s="1245">
        <f t="shared" ca="1" si="108"/>
        <v>0</v>
      </c>
      <c r="I603" s="1245">
        <f t="shared" ref="I603:N604" ca="1" si="109">I$609*$G603</f>
        <v>0</v>
      </c>
      <c r="J603" s="1245">
        <f t="shared" ca="1" si="109"/>
        <v>0</v>
      </c>
      <c r="K603" s="1245">
        <f t="shared" ca="1" si="109"/>
        <v>0</v>
      </c>
      <c r="L603" s="1245">
        <f t="shared" si="109"/>
        <v>0</v>
      </c>
      <c r="M603" s="1245">
        <f t="shared" ca="1" si="109"/>
        <v>0</v>
      </c>
      <c r="N603" s="1245">
        <f t="shared" ca="1" si="109"/>
        <v>0</v>
      </c>
      <c r="O603" s="1245"/>
      <c r="P603" s="1245"/>
      <c r="Q603" s="1245"/>
      <c r="R603" s="1245"/>
      <c r="S603" s="1245"/>
      <c r="T603" s="1671"/>
      <c r="U603" s="1664" t="str">
        <f>IFERROR(VLOOKUP(B603,ChiTietDuToan!C:H,5,0),"")</f>
        <v/>
      </c>
      <c r="V603" s="2309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59" t="s">
        <v>2072</v>
      </c>
      <c r="C604" s="67" t="str">
        <f t="shared" ca="1" si="105"/>
        <v xml:space="preserve"> </v>
      </c>
      <c r="D604" s="1236"/>
      <c r="E604" s="1248" t="str">
        <f>VLOOKUP($B604,DG!A:D,DG!C$2,)</f>
        <v>Boulon 12x40+ 2 long đền vuông D14-50x50x3/Zn</v>
      </c>
      <c r="F604" s="1236" t="str">
        <f>VLOOKUP($B604,DG!A:D,DG!$D$2,)</f>
        <v>bộ</v>
      </c>
      <c r="G604" s="1915">
        <v>1</v>
      </c>
      <c r="H604" s="1245">
        <f t="shared" ca="1" si="108"/>
        <v>0</v>
      </c>
      <c r="I604" s="1245">
        <f t="shared" ca="1" si="109"/>
        <v>0</v>
      </c>
      <c r="J604" s="1245">
        <f t="shared" ca="1" si="109"/>
        <v>0</v>
      </c>
      <c r="K604" s="1245">
        <f t="shared" ca="1" si="109"/>
        <v>0</v>
      </c>
      <c r="L604" s="1245">
        <f t="shared" si="109"/>
        <v>0</v>
      </c>
      <c r="M604" s="1245">
        <f t="shared" ca="1" si="109"/>
        <v>0</v>
      </c>
      <c r="N604" s="1245">
        <f t="shared" ca="1" si="109"/>
        <v>0</v>
      </c>
      <c r="O604" s="1245"/>
      <c r="P604" s="1245"/>
      <c r="Q604" s="1245"/>
      <c r="R604" s="1245"/>
      <c r="S604" s="1245"/>
      <c r="T604" s="1671"/>
      <c r="U604" s="1664" t="str">
        <f>IFERROR(VLOOKUP(B604,ChiTietDuToan!C:H,5,0),"")</f>
        <v/>
      </c>
      <c r="V604" s="2309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59" t="s">
        <v>1569</v>
      </c>
      <c r="C605" s="67" t="str">
        <f t="shared" ca="1" si="105"/>
        <v xml:space="preserve"> </v>
      </c>
      <c r="D605" s="1236" t="str">
        <f>VLOOKUP($B605,DG!A:D,DG!$B$2,)</f>
        <v>05.7001</v>
      </c>
      <c r="E605" s="1241" t="str">
        <f>VLOOKUP($B605,DG!A:D,DG!C$2,)</f>
        <v xml:space="preserve">Kéo dây tiếp địa </v>
      </c>
      <c r="F605" s="1236" t="str">
        <f>VLOOKUP($B605,DG!A:D,DG!$D$2,)</f>
        <v>mét</v>
      </c>
      <c r="G605" s="1914">
        <f>G600</f>
        <v>2.2400000000000002</v>
      </c>
      <c r="H605" s="1245">
        <f t="shared" ca="1" si="108"/>
        <v>0</v>
      </c>
      <c r="I605" s="1250"/>
      <c r="J605" s="1250"/>
      <c r="K605" s="1250"/>
      <c r="L605" s="1250"/>
      <c r="M605" s="1250"/>
      <c r="N605" s="1250"/>
      <c r="O605" s="1250"/>
      <c r="P605" s="1250"/>
      <c r="Q605" s="1250"/>
      <c r="R605" s="1250"/>
      <c r="S605" s="1250"/>
      <c r="T605" s="1671"/>
      <c r="U605" s="1664" t="str">
        <f>IFERROR(VLOOKUP(B605,ChiTietDuToan!C:H,5,0),"")</f>
        <v>kg</v>
      </c>
      <c r="V605" s="2309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59" t="s">
        <v>1134</v>
      </c>
      <c r="C606" s="67" t="str">
        <f t="shared" ca="1" si="105"/>
        <v xml:space="preserve"> </v>
      </c>
      <c r="D606" s="1236" t="str">
        <f>VLOOKUP($B606,DG!A:D,DG!$B$2,)</f>
        <v>05.8103</v>
      </c>
      <c r="E606" s="1241" t="str">
        <f>VLOOKUP($B606,DG!A:D,DG!C$2,)</f>
        <v>Đóng cọc tiếp địa đất cấp 3</v>
      </c>
      <c r="F606" s="1236" t="str">
        <f>VLOOKUP($B606,DG!A:D,DG!$D$2,)</f>
        <v>cọc</v>
      </c>
      <c r="G606" s="1915">
        <f>+G601</f>
        <v>1</v>
      </c>
      <c r="H606" s="1245">
        <f t="shared" ca="1" si="108"/>
        <v>0</v>
      </c>
      <c r="I606" s="1245"/>
      <c r="J606" s="1245"/>
      <c r="K606" s="1245"/>
      <c r="L606" s="1245"/>
      <c r="M606" s="1245"/>
      <c r="N606" s="1245"/>
      <c r="O606" s="1245"/>
      <c r="P606" s="1245"/>
      <c r="Q606" s="1245"/>
      <c r="R606" s="1245"/>
      <c r="S606" s="1245"/>
      <c r="T606" s="1671"/>
      <c r="U606" s="1664" t="str">
        <f>IFERROR(VLOOKUP(B606,ChiTietDuToan!C:H,5,0),"")</f>
        <v>cọc</v>
      </c>
      <c r="V606" s="2309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59" t="s">
        <v>1955</v>
      </c>
      <c r="C607" s="67" t="str">
        <f t="shared" ca="1" si="105"/>
        <v xml:space="preserve"> </v>
      </c>
      <c r="D607" s="1236" t="str">
        <f>VLOOKUP($B607,DG!A:D,DG!$B$2,)</f>
        <v>02.1120</v>
      </c>
      <c r="E607" s="1241" t="str">
        <f>VLOOKUP($B607,DG!A:D,DG!C$2,)</f>
        <v>Bốc dỡ phụ kiện</v>
      </c>
      <c r="F607" s="1236" t="str">
        <f>VLOOKUP($B607,DG!A:D,DG!$D$2,)</f>
        <v>tấn</v>
      </c>
      <c r="G607" s="1913"/>
      <c r="H607" s="1245">
        <f t="shared" ca="1" si="108"/>
        <v>0</v>
      </c>
      <c r="I607" s="1245"/>
      <c r="J607" s="1245"/>
      <c r="K607" s="1245"/>
      <c r="L607" s="1245"/>
      <c r="M607" s="1245"/>
      <c r="N607" s="1245"/>
      <c r="O607" s="1245"/>
      <c r="P607" s="1245"/>
      <c r="Q607" s="1245"/>
      <c r="R607" s="1245"/>
      <c r="S607" s="1245"/>
      <c r="T607" s="1671"/>
      <c r="U607" s="1664" t="str">
        <f>IFERROR(VLOOKUP(B607,ChiTietDuToan!C:H,5,0),"")</f>
        <v/>
      </c>
      <c r="V607" s="2309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74" t="s">
        <v>1956</v>
      </c>
      <c r="C608" s="67" t="str">
        <f t="shared" ca="1" si="105"/>
        <v xml:space="preserve"> </v>
      </c>
      <c r="D608" s="1236" t="str">
        <f>VLOOKUP($B608,DG!A:C,2,)</f>
        <v>02.1351</v>
      </c>
      <c r="E608" s="1241" t="str">
        <f>VLOOKUP($B608,DG!A:C,3,)</f>
        <v>V/c tiếp địa vào vị trí ( cự ly &lt;=100m)</v>
      </c>
      <c r="F608" s="1236" t="str">
        <f>VLOOKUP($B608,DG!A:D,4,0)</f>
        <v>tấn</v>
      </c>
      <c r="G608" s="1913"/>
      <c r="H608" s="1245">
        <f t="shared" ca="1" si="108"/>
        <v>0</v>
      </c>
      <c r="I608" s="1250"/>
      <c r="J608" s="1250"/>
      <c r="K608" s="1250"/>
      <c r="L608" s="1250"/>
      <c r="M608" s="1250"/>
      <c r="N608" s="1250"/>
      <c r="O608" s="1250"/>
      <c r="P608" s="1250"/>
      <c r="Q608" s="1250"/>
      <c r="R608" s="1250"/>
      <c r="S608" s="1250"/>
      <c r="T608" s="1671"/>
      <c r="U608" s="1664" t="str">
        <f>IFERROR(VLOOKUP(B608,ChiTietDuToan!C:H,5,0),"")</f>
        <v/>
      </c>
      <c r="V608" s="2309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92" t="s">
        <v>1689</v>
      </c>
      <c r="B609" s="1954"/>
      <c r="C609" s="1193" t="str">
        <f t="shared" ca="1" si="105"/>
        <v xml:space="preserve"> </v>
      </c>
      <c r="D609" s="1237"/>
      <c r="E609" s="1666" t="s">
        <v>2455</v>
      </c>
      <c r="F609" s="1238" t="s">
        <v>2449</v>
      </c>
      <c r="G609" s="1924"/>
      <c r="H609" s="1523">
        <f ca="1">SUM(I609:O609)+T609</f>
        <v>0</v>
      </c>
      <c r="I609" s="1239">
        <f ca="1">SUMIF(tdll3pm,chitiet!$E609,sltdll3pm)</f>
        <v>0</v>
      </c>
      <c r="J609" s="1239">
        <f ca="1">SUMIF(tdllct,chitiet!$E609,sltdllct)</f>
        <v>0</v>
      </c>
      <c r="K609" s="1239">
        <f ca="1">SUMIF(tdll3p1m,E609,sltdll3p1m)</f>
        <v>0</v>
      </c>
      <c r="L609" s="1239">
        <f>IFERROR(HLOOKUP(A609,pp1p!$6:$90,85,0),0)</f>
        <v>0</v>
      </c>
      <c r="M609" s="1239">
        <f ca="1">SUMIF(tdllHTHH,chitiet!$E609,sltdllHTHH)</f>
        <v>0</v>
      </c>
      <c r="N609" s="1239">
        <f ca="1">SUMIF(tdllHTDL,chitiet!$E609,sltdllHTDL)</f>
        <v>0</v>
      </c>
      <c r="O609" s="1239"/>
      <c r="P609" s="1239">
        <f ca="1">H609+Q609-R609</f>
        <v>0</v>
      </c>
      <c r="Q609" s="1239"/>
      <c r="R609" s="1239"/>
      <c r="S609" s="1239"/>
      <c r="T609" s="1664"/>
      <c r="U609" s="1664">
        <f>IFERROR(VLOOKUP(B609,ChiTietDuToan!C:H,5,0),"")</f>
        <v>0</v>
      </c>
      <c r="V609" s="2309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91"/>
      <c r="B610" s="1952" t="s">
        <v>103</v>
      </c>
      <c r="C610" s="1194" t="str">
        <f t="shared" ca="1" si="105"/>
        <v xml:space="preserve"> </v>
      </c>
      <c r="D610" s="1236" t="s">
        <v>4655</v>
      </c>
      <c r="E610" s="1248" t="str">
        <f>VLOOKUP($B610,DG!A:D,DG!C$2,)</f>
        <v>Cáp đồng trần M25mm2</v>
      </c>
      <c r="F610" s="1236" t="str">
        <f>VLOOKUP($B610,DG!A:D,DG!$D$2,)</f>
        <v>kg</v>
      </c>
      <c r="G610" s="1914">
        <f>9*0.224</f>
        <v>2.016</v>
      </c>
      <c r="H610" s="1249">
        <f t="shared" ref="H610:H618" ca="1" si="110">H$609*$G610</f>
        <v>0</v>
      </c>
      <c r="I610" s="1245">
        <f t="shared" ref="I610:N614" ca="1" si="111">I$609*$G610</f>
        <v>0</v>
      </c>
      <c r="J610" s="1245">
        <f t="shared" ca="1" si="111"/>
        <v>0</v>
      </c>
      <c r="K610" s="1251">
        <f t="shared" ca="1" si="111"/>
        <v>0</v>
      </c>
      <c r="L610" s="1245">
        <f t="shared" si="111"/>
        <v>0</v>
      </c>
      <c r="M610" s="1245">
        <f t="shared" ca="1" si="111"/>
        <v>0</v>
      </c>
      <c r="N610" s="1245">
        <f t="shared" ca="1" si="111"/>
        <v>0</v>
      </c>
      <c r="O610" s="1245"/>
      <c r="P610" s="1249">
        <f ca="1">G610*$P$609</f>
        <v>0</v>
      </c>
      <c r="Q610" s="1245"/>
      <c r="R610" s="1245"/>
      <c r="S610" s="1245"/>
      <c r="T610" s="1664"/>
      <c r="U610" s="1664" t="str">
        <f>IFERROR(VLOOKUP(B610,ChiTietDuToan!C:H,5,0),"")</f>
        <v>kg</v>
      </c>
      <c r="V610" s="2309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91"/>
      <c r="B611" s="1952" t="s">
        <v>1560</v>
      </c>
      <c r="C611" s="1194" t="str">
        <f t="shared" ca="1" si="105"/>
        <v xml:space="preserve"> </v>
      </c>
      <c r="D611" s="1236"/>
      <c r="E611" s="1248" t="str">
        <f>VLOOKUP($B611,DG!A:D,DG!C$2,)</f>
        <v>Cọc tiếp đất Ø 16- 2,4m + kẹp cọc</v>
      </c>
      <c r="F611" s="1236" t="str">
        <f>VLOOKUP($B611,DG!A:D,DG!$D$2,)</f>
        <v>bộ</v>
      </c>
      <c r="G611" s="1915">
        <v>1</v>
      </c>
      <c r="H611" s="1245">
        <f t="shared" ca="1" si="110"/>
        <v>0</v>
      </c>
      <c r="I611" s="1245">
        <f t="shared" ca="1" si="111"/>
        <v>0</v>
      </c>
      <c r="J611" s="1245">
        <f t="shared" ca="1" si="111"/>
        <v>0</v>
      </c>
      <c r="K611" s="1245">
        <f t="shared" ca="1" si="111"/>
        <v>0</v>
      </c>
      <c r="L611" s="1245">
        <f t="shared" si="111"/>
        <v>0</v>
      </c>
      <c r="M611" s="1245">
        <f t="shared" ca="1" si="111"/>
        <v>0</v>
      </c>
      <c r="N611" s="1245">
        <f t="shared" ca="1" si="111"/>
        <v>0</v>
      </c>
      <c r="O611" s="1245"/>
      <c r="P611" s="1245">
        <f ca="1">G611*$P$609</f>
        <v>0</v>
      </c>
      <c r="Q611" s="1245"/>
      <c r="R611" s="1245"/>
      <c r="S611" s="1245"/>
      <c r="T611" s="1663"/>
      <c r="U611" s="1664" t="str">
        <f>IFERROR(VLOOKUP(B611,ChiTietDuToan!C:H,5,0),"")</f>
        <v>bộ</v>
      </c>
      <c r="V611" s="2309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59" t="s">
        <v>1631</v>
      </c>
      <c r="C612" s="67" t="str">
        <f t="shared" ca="1" si="105"/>
        <v xml:space="preserve"> </v>
      </c>
      <c r="D612" s="1236"/>
      <c r="E612" s="1248" t="str">
        <f>VLOOKUP($B612,DG!A:D,DG!C$2,)</f>
        <v>Kẹp ép WR cỡ dây 50mm2</v>
      </c>
      <c r="F612" s="1236" t="str">
        <f>VLOOKUP($B612,DG!A:D,DG!$D$2,)</f>
        <v>cái</v>
      </c>
      <c r="G612" s="1915">
        <f>2</f>
        <v>2</v>
      </c>
      <c r="H612" s="1245">
        <f t="shared" ca="1" si="110"/>
        <v>0</v>
      </c>
      <c r="I612" s="1245">
        <f t="shared" ca="1" si="111"/>
        <v>0</v>
      </c>
      <c r="J612" s="1245">
        <f t="shared" ca="1" si="111"/>
        <v>0</v>
      </c>
      <c r="K612" s="1245">
        <f t="shared" ca="1" si="111"/>
        <v>0</v>
      </c>
      <c r="L612" s="1245">
        <f t="shared" si="111"/>
        <v>0</v>
      </c>
      <c r="M612" s="1245">
        <f t="shared" ca="1" si="111"/>
        <v>0</v>
      </c>
      <c r="N612" s="1245">
        <f t="shared" ca="1" si="111"/>
        <v>0</v>
      </c>
      <c r="O612" s="1245"/>
      <c r="P612" s="1245">
        <f ca="1">G612*$P$609</f>
        <v>0</v>
      </c>
      <c r="Q612" s="1245"/>
      <c r="R612" s="1245"/>
      <c r="S612" s="1245"/>
      <c r="T612" s="1671"/>
      <c r="U612" s="1664" t="str">
        <f>IFERROR(VLOOKUP(B612,ChiTietDuToan!C:H,5,0),"")</f>
        <v/>
      </c>
      <c r="V612" s="2309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59" t="s">
        <v>1542</v>
      </c>
      <c r="C613" s="67" t="str">
        <f t="shared" ca="1" si="105"/>
        <v xml:space="preserve"> </v>
      </c>
      <c r="D613" s="1236"/>
      <c r="E613" s="1248" t="str">
        <f>VLOOKUP($B613,DG!A:D,DG!C$2,)</f>
        <v xml:space="preserve">Ống PVC D21x1,6mm </v>
      </c>
      <c r="F613" s="1236" t="str">
        <f>VLOOKUP($B613,DG!A:D,DG!$D$2,)</f>
        <v>m</v>
      </c>
      <c r="G613" s="1915">
        <f>6-6</f>
        <v>0</v>
      </c>
      <c r="H613" s="1245">
        <f t="shared" ca="1" si="110"/>
        <v>0</v>
      </c>
      <c r="I613" s="1245">
        <f t="shared" ca="1" si="111"/>
        <v>0</v>
      </c>
      <c r="J613" s="1245">
        <f t="shared" ca="1" si="111"/>
        <v>0</v>
      </c>
      <c r="K613" s="1245">
        <f t="shared" ca="1" si="111"/>
        <v>0</v>
      </c>
      <c r="L613" s="1245">
        <f t="shared" si="111"/>
        <v>0</v>
      </c>
      <c r="M613" s="1245">
        <f t="shared" ca="1" si="111"/>
        <v>0</v>
      </c>
      <c r="N613" s="1245">
        <f t="shared" ca="1" si="111"/>
        <v>0</v>
      </c>
      <c r="O613" s="1245"/>
      <c r="P613" s="1245"/>
      <c r="Q613" s="1245"/>
      <c r="R613" s="1245"/>
      <c r="S613" s="1245"/>
      <c r="T613" s="1671"/>
      <c r="U613" s="1664" t="str">
        <f>IFERROR(VLOOKUP(B613,ChiTietDuToan!C:H,5,0),"")</f>
        <v>m</v>
      </c>
      <c r="V613" s="2309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59" t="s">
        <v>2072</v>
      </c>
      <c r="C614" s="67" t="str">
        <f ca="1">IF(OR(P614&lt;&gt;0,H614&lt;&gt;0),"x"," ")</f>
        <v xml:space="preserve"> </v>
      </c>
      <c r="D614" s="1236"/>
      <c r="E614" s="1248" t="str">
        <f>VLOOKUP($B614,DG!A:D,DG!C$2,)</f>
        <v>Boulon 12x40+ 2 long đền vuông D14-50x50x3/Zn</v>
      </c>
      <c r="F614" s="1236" t="str">
        <f>VLOOKUP($B614,DG!A:D,DG!$D$2,)</f>
        <v>bộ</v>
      </c>
      <c r="G614" s="1915">
        <f ca="1">1*H609</f>
        <v>0</v>
      </c>
      <c r="H614" s="1245">
        <f t="shared" ca="1" si="110"/>
        <v>0</v>
      </c>
      <c r="I614" s="1245">
        <f t="shared" ca="1" si="111"/>
        <v>0</v>
      </c>
      <c r="J614" s="1245">
        <f t="shared" ca="1" si="111"/>
        <v>0</v>
      </c>
      <c r="K614" s="1245">
        <f t="shared" ca="1" si="111"/>
        <v>0</v>
      </c>
      <c r="L614" s="1245">
        <f t="shared" ca="1" si="111"/>
        <v>0</v>
      </c>
      <c r="M614" s="1245">
        <f t="shared" ca="1" si="111"/>
        <v>0</v>
      </c>
      <c r="N614" s="1245">
        <f t="shared" ca="1" si="111"/>
        <v>0</v>
      </c>
      <c r="O614" s="1245"/>
      <c r="P614" s="1245"/>
      <c r="Q614" s="1245"/>
      <c r="R614" s="1245"/>
      <c r="S614" s="1245"/>
      <c r="T614" s="1671"/>
      <c r="U614" s="1664" t="str">
        <f>IFERROR(VLOOKUP(B614,ChiTietDuToan!C:H,5,0),"")</f>
        <v/>
      </c>
      <c r="V614" s="2309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91"/>
      <c r="B615" s="1952" t="s">
        <v>1569</v>
      </c>
      <c r="C615" s="1194" t="str">
        <f t="shared" ca="1" si="105"/>
        <v xml:space="preserve"> </v>
      </c>
      <c r="D615" s="1236" t="str">
        <f>VLOOKUP($B615,DG!A:D,DG!$B$2,)</f>
        <v>05.7001</v>
      </c>
      <c r="E615" s="1241" t="str">
        <f>VLOOKUP($B615,DG!A:D,DG!C$2,)</f>
        <v xml:space="preserve">Kéo dây tiếp địa </v>
      </c>
      <c r="F615" s="1236" t="str">
        <f>VLOOKUP($B615,DG!A:D,DG!$D$2,)</f>
        <v>mét</v>
      </c>
      <c r="G615" s="1914">
        <f>G610</f>
        <v>2.016</v>
      </c>
      <c r="H615" s="1249">
        <f t="shared" ca="1" si="110"/>
        <v>0</v>
      </c>
      <c r="I615" s="1250"/>
      <c r="J615" s="1250"/>
      <c r="K615" s="1250"/>
      <c r="L615" s="1250"/>
      <c r="M615" s="1250"/>
      <c r="N615" s="1250"/>
      <c r="O615" s="1250"/>
      <c r="P615" s="1249">
        <f ca="1">G615*$P$609</f>
        <v>0</v>
      </c>
      <c r="Q615" s="1250"/>
      <c r="R615" s="1250"/>
      <c r="S615" s="1250"/>
      <c r="T615" s="1663"/>
      <c r="U615" s="1664" t="str">
        <f>IFERROR(VLOOKUP(B615,ChiTietDuToan!C:H,5,0),"")</f>
        <v>kg</v>
      </c>
      <c r="V615" s="2309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91"/>
      <c r="B616" s="1952" t="s">
        <v>1134</v>
      </c>
      <c r="C616" s="1194" t="str">
        <f t="shared" ca="1" si="105"/>
        <v xml:space="preserve"> </v>
      </c>
      <c r="D616" s="1236" t="str">
        <f>VLOOKUP($B616,DG!A:D,DG!$B$2,)</f>
        <v>05.8103</v>
      </c>
      <c r="E616" s="1241" t="str">
        <f>VLOOKUP($B616,DG!A:D,DG!C$2,)</f>
        <v>Đóng cọc tiếp địa đất cấp 3</v>
      </c>
      <c r="F616" s="1236" t="str">
        <f>VLOOKUP($B616,DG!A:D,DG!$D$2,)</f>
        <v>cọc</v>
      </c>
      <c r="G616" s="1915">
        <f>G611</f>
        <v>1</v>
      </c>
      <c r="H616" s="1245">
        <f t="shared" ca="1" si="110"/>
        <v>0</v>
      </c>
      <c r="I616" s="1245"/>
      <c r="J616" s="1245"/>
      <c r="K616" s="1245"/>
      <c r="L616" s="1245"/>
      <c r="M616" s="1245"/>
      <c r="N616" s="1245"/>
      <c r="O616" s="1245"/>
      <c r="P616" s="1245">
        <f ca="1">G616*$P$609</f>
        <v>0</v>
      </c>
      <c r="Q616" s="1245"/>
      <c r="R616" s="1245"/>
      <c r="S616" s="1245"/>
      <c r="T616" s="1663"/>
      <c r="U616" s="1664" t="str">
        <f>IFERROR(VLOOKUP(B616,ChiTietDuToan!C:H,5,0),"")</f>
        <v>cọc</v>
      </c>
      <c r="V616" s="2309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59" t="s">
        <v>1955</v>
      </c>
      <c r="C617" s="67" t="str">
        <f t="shared" ca="1" si="105"/>
        <v xml:space="preserve"> </v>
      </c>
      <c r="D617" s="1236" t="str">
        <f>VLOOKUP($B617,DG!A:D,DG!$B$2,)</f>
        <v>02.1120</v>
      </c>
      <c r="E617" s="1241" t="str">
        <f>VLOOKUP($B617,DG!A:D,DG!C$2,)</f>
        <v>Bốc dỡ phụ kiện</v>
      </c>
      <c r="F617" s="1236" t="str">
        <f>VLOOKUP($B617,DG!A:D,DG!$D$2,)</f>
        <v>tấn</v>
      </c>
      <c r="G617" s="1913">
        <f>0.008-0.008</f>
        <v>0</v>
      </c>
      <c r="H617" s="1245">
        <f t="shared" ca="1" si="110"/>
        <v>0</v>
      </c>
      <c r="I617" s="1245"/>
      <c r="J617" s="1245"/>
      <c r="K617" s="1245"/>
      <c r="L617" s="1245"/>
      <c r="M617" s="1245"/>
      <c r="N617" s="1245"/>
      <c r="O617" s="1245"/>
      <c r="P617" s="1245"/>
      <c r="Q617" s="1245"/>
      <c r="R617" s="1245"/>
      <c r="S617" s="1245"/>
      <c r="T617" s="1671"/>
      <c r="U617" s="1664" t="str">
        <f>IFERROR(VLOOKUP(B617,ChiTietDuToan!C:H,5,0),"")</f>
        <v/>
      </c>
      <c r="V617" s="2309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74" t="s">
        <v>1956</v>
      </c>
      <c r="C618" s="67" t="str">
        <f ca="1">IF(OR(P618&lt;&gt;0,H618&lt;&gt;0),"x"," ")</f>
        <v xml:space="preserve"> </v>
      </c>
      <c r="D618" s="1236" t="str">
        <f>VLOOKUP($B618,DG!A:C,2,)</f>
        <v>02.1351</v>
      </c>
      <c r="E618" s="1241" t="str">
        <f>VLOOKUP($B618,DG!A:C,3,)</f>
        <v>V/c tiếp địa vào vị trí ( cự ly &lt;=100m)</v>
      </c>
      <c r="F618" s="1236" t="str">
        <f>VLOOKUP($B618,DG!A:D,4,0)</f>
        <v>tấn</v>
      </c>
      <c r="G618" s="1913"/>
      <c r="H618" s="1245">
        <f t="shared" ca="1" si="110"/>
        <v>0</v>
      </c>
      <c r="I618" s="1250"/>
      <c r="J618" s="1250"/>
      <c r="K618" s="1250"/>
      <c r="L618" s="1250"/>
      <c r="M618" s="1250"/>
      <c r="N618" s="1250"/>
      <c r="O618" s="1250"/>
      <c r="P618" s="1250"/>
      <c r="Q618" s="1250"/>
      <c r="R618" s="1250"/>
      <c r="S618" s="1250"/>
      <c r="T618" s="1671"/>
      <c r="U618" s="1664" t="str">
        <f>IFERROR(VLOOKUP(B618,ChiTietDuToan!C:H,5,0),"")</f>
        <v/>
      </c>
      <c r="V618" s="2309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53" t="s">
        <v>2297</v>
      </c>
      <c r="B619" s="1954" t="str">
        <f>A619</f>
        <v>TDLL12</v>
      </c>
      <c r="C619" s="65" t="str">
        <f t="shared" ca="1" si="105"/>
        <v xml:space="preserve"> </v>
      </c>
      <c r="D619" s="1237"/>
      <c r="E619" s="1666" t="s">
        <v>2456</v>
      </c>
      <c r="F619" s="1238" t="s">
        <v>2449</v>
      </c>
      <c r="G619" s="1924"/>
      <c r="H619" s="1523">
        <f ca="1">SUM(I619:O619)+T619</f>
        <v>0</v>
      </c>
      <c r="I619" s="1239">
        <f ca="1">SUMIF(tdll3pm,chitiet!$E619,sltdll3pm)</f>
        <v>0</v>
      </c>
      <c r="J619" s="1239">
        <f ca="1">SUMIF(tdllct,chitiet!$E619,sltdllct)</f>
        <v>0</v>
      </c>
      <c r="K619" s="1239">
        <f ca="1">SUMIF(tdll3p1m,E619,sltdll3p1m)</f>
        <v>0</v>
      </c>
      <c r="L619" s="1239">
        <f>IFERROR(HLOOKUP(A619,pp1p!$6:$90,85,0),0)</f>
        <v>0</v>
      </c>
      <c r="M619" s="1239">
        <f ca="1">SUMIF(tdllHTHH,chitiet!$E619,sltdllHTHH)</f>
        <v>0</v>
      </c>
      <c r="N619" s="1239">
        <f ca="1">SUMIF(tdllHTDL,chitiet!$E619,sltdllHTDL)</f>
        <v>0</v>
      </c>
      <c r="O619" s="1239"/>
      <c r="P619" s="1523">
        <f ca="1">H619+Q619-R619</f>
        <v>0</v>
      </c>
      <c r="Q619" s="1239"/>
      <c r="R619" s="1239"/>
      <c r="S619" s="1239"/>
      <c r="T619" s="1664"/>
      <c r="U619" s="1664" t="str">
        <f>IFERROR(VLOOKUP(B619,ChiTietDuToan!C:H,5,0),"")</f>
        <v>Bộ</v>
      </c>
      <c r="V619" s="2309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59" t="s">
        <v>103</v>
      </c>
      <c r="C620" s="67" t="str">
        <f t="shared" ca="1" si="105"/>
        <v xml:space="preserve"> </v>
      </c>
      <c r="D620" s="1236"/>
      <c r="E620" s="1248" t="str">
        <f>VLOOKUP($B620,DG!A:D,DG!C$2,)</f>
        <v>Cáp đồng trần M25mm2</v>
      </c>
      <c r="F620" s="1236" t="str">
        <f>VLOOKUP($B620,DG!A:D,DG!$D$2,)</f>
        <v>kg</v>
      </c>
      <c r="G620" s="1914">
        <f>9*0.224</f>
        <v>2.016</v>
      </c>
      <c r="H620" s="1249">
        <f ca="1">$H$619*$G620</f>
        <v>0</v>
      </c>
      <c r="I620" s="1251">
        <f t="shared" ref="I620:K624" ca="1" si="112">I$619*$G620</f>
        <v>0</v>
      </c>
      <c r="J620" s="1251">
        <f t="shared" ca="1" si="112"/>
        <v>0</v>
      </c>
      <c r="K620" s="1251">
        <f ca="1">K$619*$G620</f>
        <v>0</v>
      </c>
      <c r="L620" s="1251">
        <f t="shared" ref="L620:O624" si="113">L$619*$G620</f>
        <v>0</v>
      </c>
      <c r="M620" s="1251">
        <f t="shared" ca="1" si="113"/>
        <v>0</v>
      </c>
      <c r="N620" s="1251">
        <f t="shared" ca="1" si="113"/>
        <v>0</v>
      </c>
      <c r="O620" s="1251">
        <f t="shared" si="113"/>
        <v>0</v>
      </c>
      <c r="P620" s="1242">
        <f ca="1">$P$619*G620</f>
        <v>0</v>
      </c>
      <c r="Q620" s="1245"/>
      <c r="R620" s="1245"/>
      <c r="S620" s="1245"/>
      <c r="T620" s="1663"/>
      <c r="U620" s="1664" t="str">
        <f>IFERROR(VLOOKUP(B620,ChiTietDuToan!C:H,5,0),"")</f>
        <v>kg</v>
      </c>
      <c r="V620" s="2309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59" t="s">
        <v>1560</v>
      </c>
      <c r="C621" s="67" t="str">
        <f t="shared" ca="1" si="105"/>
        <v xml:space="preserve"> </v>
      </c>
      <c r="D621" s="1236"/>
      <c r="E621" s="1248" t="str">
        <f>VLOOKUP($B621,DG!A:D,DG!C$2,)</f>
        <v>Cọc tiếp đất Ø 16- 2,4m + kẹp cọc</v>
      </c>
      <c r="F621" s="1236" t="str">
        <f>VLOOKUP($B621,DG!A:D,DG!$D$2,)</f>
        <v>bộ</v>
      </c>
      <c r="G621" s="1915">
        <v>1</v>
      </c>
      <c r="H621" s="1245">
        <f t="shared" ref="H621:H629" ca="1" si="114">$H$619*$G621</f>
        <v>0</v>
      </c>
      <c r="I621" s="1251">
        <f t="shared" ca="1" si="112"/>
        <v>0</v>
      </c>
      <c r="J621" s="1251">
        <f t="shared" ca="1" si="112"/>
        <v>0</v>
      </c>
      <c r="K621" s="1251">
        <f t="shared" ca="1" si="112"/>
        <v>0</v>
      </c>
      <c r="L621" s="1251">
        <f t="shared" si="113"/>
        <v>0</v>
      </c>
      <c r="M621" s="1251">
        <f t="shared" ca="1" si="113"/>
        <v>0</v>
      </c>
      <c r="N621" s="1251">
        <f t="shared" ca="1" si="113"/>
        <v>0</v>
      </c>
      <c r="O621" s="1251">
        <f t="shared" si="113"/>
        <v>0</v>
      </c>
      <c r="P621" s="1244">
        <f ca="1">$P$619*G621</f>
        <v>0</v>
      </c>
      <c r="Q621" s="1245"/>
      <c r="R621" s="1245"/>
      <c r="S621" s="1245"/>
      <c r="T621" s="1663"/>
      <c r="U621" s="1664" t="str">
        <f>IFERROR(VLOOKUP(B621,ChiTietDuToan!C:H,5,0),"")</f>
        <v>bộ</v>
      </c>
      <c r="V621" s="2309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59" t="s">
        <v>534</v>
      </c>
      <c r="C622" s="67" t="str">
        <f t="shared" ca="1" si="105"/>
        <v xml:space="preserve"> </v>
      </c>
      <c r="D622" s="1236"/>
      <c r="E622" s="1248" t="str">
        <f>VLOOKUP($B622,DG!A:D,DG!C$2,)</f>
        <v>Kẹp ép WR cỡ dây 50mm2</v>
      </c>
      <c r="F622" s="1236" t="str">
        <f>VLOOKUP($B622,DG!A:D,DG!$D$2,)</f>
        <v>cái</v>
      </c>
      <c r="G622" s="1915">
        <v>1</v>
      </c>
      <c r="H622" s="1245">
        <f t="shared" ca="1" si="114"/>
        <v>0</v>
      </c>
      <c r="I622" s="1251">
        <f t="shared" ca="1" si="112"/>
        <v>0</v>
      </c>
      <c r="J622" s="1251">
        <f t="shared" ca="1" si="112"/>
        <v>0</v>
      </c>
      <c r="K622" s="1251">
        <f t="shared" ca="1" si="112"/>
        <v>0</v>
      </c>
      <c r="L622" s="1251">
        <f t="shared" si="113"/>
        <v>0</v>
      </c>
      <c r="M622" s="1251">
        <f t="shared" ca="1" si="113"/>
        <v>0</v>
      </c>
      <c r="N622" s="1251">
        <f t="shared" ca="1" si="113"/>
        <v>0</v>
      </c>
      <c r="O622" s="1251">
        <f t="shared" si="113"/>
        <v>0</v>
      </c>
      <c r="P622" s="1244">
        <f ca="1">$P$619*G622</f>
        <v>0</v>
      </c>
      <c r="Q622" s="1245"/>
      <c r="R622" s="1245"/>
      <c r="S622" s="1245"/>
      <c r="T622" s="1663"/>
      <c r="U622" s="1664" t="str">
        <f>IFERROR(VLOOKUP(B622,ChiTietDuToan!C:H,5,0),"")</f>
        <v/>
      </c>
      <c r="V622" s="2309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59" t="s">
        <v>1082</v>
      </c>
      <c r="C623" s="67" t="str">
        <f t="shared" ca="1" si="105"/>
        <v xml:space="preserve"> </v>
      </c>
      <c r="D623" s="1236"/>
      <c r="E623" s="1248" t="str">
        <f>VLOOKUP($B623,DG!A:D,DG!C$2,)</f>
        <v>Đầu cosse ép Cu 25mm2</v>
      </c>
      <c r="F623" s="1236" t="str">
        <f>VLOOKUP($B623,DG!A:D,DG!$D$2,)</f>
        <v>cái</v>
      </c>
      <c r="G623" s="1915"/>
      <c r="H623" s="1245">
        <f t="shared" ca="1" si="114"/>
        <v>0</v>
      </c>
      <c r="I623" s="1251">
        <f t="shared" ca="1" si="112"/>
        <v>0</v>
      </c>
      <c r="J623" s="1251">
        <f t="shared" ca="1" si="112"/>
        <v>0</v>
      </c>
      <c r="K623" s="1251">
        <f t="shared" ca="1" si="112"/>
        <v>0</v>
      </c>
      <c r="L623" s="1251">
        <f t="shared" si="113"/>
        <v>0</v>
      </c>
      <c r="M623" s="1251">
        <f t="shared" ca="1" si="113"/>
        <v>0</v>
      </c>
      <c r="N623" s="1251">
        <f t="shared" ca="1" si="113"/>
        <v>0</v>
      </c>
      <c r="O623" s="1251">
        <f t="shared" si="113"/>
        <v>0</v>
      </c>
      <c r="P623" s="1245"/>
      <c r="Q623" s="1245"/>
      <c r="R623" s="1245"/>
      <c r="S623" s="1245"/>
      <c r="T623" s="1671"/>
      <c r="U623" s="1664" t="str">
        <f>IFERROR(VLOOKUP(B623,ChiTietDuToan!C:H,5,0),"")</f>
        <v/>
      </c>
      <c r="V623" s="2309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59" t="s">
        <v>2072</v>
      </c>
      <c r="C624" s="67" t="str">
        <f t="shared" ca="1" si="105"/>
        <v xml:space="preserve"> </v>
      </c>
      <c r="D624" s="1236"/>
      <c r="E624" s="1248" t="str">
        <f>VLOOKUP($B624,DG!A:D,DG!C$2,)</f>
        <v>Boulon 12x40+ 2 long đền vuông D14-50x50x3/Zn</v>
      </c>
      <c r="F624" s="1236" t="str">
        <f>VLOOKUP($B624,DG!A:D,DG!$D$2,)</f>
        <v>bộ</v>
      </c>
      <c r="G624" s="1915"/>
      <c r="H624" s="1245">
        <f t="shared" ca="1" si="114"/>
        <v>0</v>
      </c>
      <c r="I624" s="1251">
        <f t="shared" ca="1" si="112"/>
        <v>0</v>
      </c>
      <c r="J624" s="1251">
        <f t="shared" ca="1" si="112"/>
        <v>0</v>
      </c>
      <c r="K624" s="1251">
        <f t="shared" ca="1" si="112"/>
        <v>0</v>
      </c>
      <c r="L624" s="1251">
        <f t="shared" si="113"/>
        <v>0</v>
      </c>
      <c r="M624" s="1251">
        <f t="shared" ca="1" si="113"/>
        <v>0</v>
      </c>
      <c r="N624" s="1251">
        <f t="shared" ca="1" si="113"/>
        <v>0</v>
      </c>
      <c r="O624" s="1251">
        <f t="shared" si="113"/>
        <v>0</v>
      </c>
      <c r="P624" s="1245"/>
      <c r="Q624" s="1245"/>
      <c r="R624" s="1245"/>
      <c r="S624" s="1245"/>
      <c r="T624" s="1671"/>
      <c r="U624" s="1664" t="str">
        <f>IFERROR(VLOOKUP(B624,ChiTietDuToan!C:H,5,0),"")</f>
        <v/>
      </c>
      <c r="V624" s="2309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59" t="s">
        <v>1569</v>
      </c>
      <c r="C625" s="67" t="str">
        <f t="shared" ca="1" si="105"/>
        <v xml:space="preserve"> </v>
      </c>
      <c r="D625" s="1236" t="str">
        <f>VLOOKUP($B625,DG!A:D,DG!$B$2,)</f>
        <v>05.7001</v>
      </c>
      <c r="E625" s="1241" t="str">
        <f>VLOOKUP($B625,DG!A:D,DG!C$2,)</f>
        <v xml:space="preserve">Kéo dây tiếp địa </v>
      </c>
      <c r="F625" s="1236" t="str">
        <f>VLOOKUP($B625,DG!A:D,DG!$D$2,)</f>
        <v>mét</v>
      </c>
      <c r="G625" s="1914">
        <f>G620</f>
        <v>2.016</v>
      </c>
      <c r="H625" s="1249">
        <f t="shared" ca="1" si="114"/>
        <v>0</v>
      </c>
      <c r="I625" s="1250"/>
      <c r="J625" s="1250"/>
      <c r="K625" s="1250"/>
      <c r="L625" s="1250"/>
      <c r="M625" s="1250"/>
      <c r="N625" s="1250"/>
      <c r="O625" s="1250"/>
      <c r="P625" s="1242">
        <f ca="1">$P$619*G625</f>
        <v>0</v>
      </c>
      <c r="Q625" s="1250"/>
      <c r="R625" s="1250"/>
      <c r="S625" s="1250"/>
      <c r="T625" s="1663"/>
      <c r="U625" s="1664" t="str">
        <f>IFERROR(VLOOKUP(B625,ChiTietDuToan!C:H,5,0),"")</f>
        <v>kg</v>
      </c>
      <c r="V625" s="2309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59" t="s">
        <v>1134</v>
      </c>
      <c r="C626" s="67" t="str">
        <f t="shared" ca="1" si="105"/>
        <v xml:space="preserve"> </v>
      </c>
      <c r="D626" s="1236" t="str">
        <f>VLOOKUP($B626,DG!A:D,DG!$B$2,)</f>
        <v>05.8103</v>
      </c>
      <c r="E626" s="1241" t="str">
        <f>VLOOKUP($B626,DG!A:D,DG!C$2,)</f>
        <v>Đóng cọc tiếp địa đất cấp 3</v>
      </c>
      <c r="F626" s="1236" t="str">
        <f>VLOOKUP($B626,DG!A:D,DG!$D$2,)</f>
        <v>cọc</v>
      </c>
      <c r="G626" s="1915">
        <f>G621</f>
        <v>1</v>
      </c>
      <c r="H626" s="1245">
        <f t="shared" ca="1" si="114"/>
        <v>0</v>
      </c>
      <c r="I626" s="1245"/>
      <c r="J626" s="1245"/>
      <c r="K626" s="1245"/>
      <c r="L626" s="1245"/>
      <c r="M626" s="1245"/>
      <c r="N626" s="1245"/>
      <c r="O626" s="1245"/>
      <c r="P626" s="1244">
        <f ca="1">$P$619*G626</f>
        <v>0</v>
      </c>
      <c r="Q626" s="1245"/>
      <c r="R626" s="1245"/>
      <c r="S626" s="1245"/>
      <c r="T626" s="1663"/>
      <c r="U626" s="1664" t="str">
        <f>IFERROR(VLOOKUP(B626,ChiTietDuToan!C:H,5,0),"")</f>
        <v>cọc</v>
      </c>
      <c r="V626" s="2309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59" t="s">
        <v>802</v>
      </c>
      <c r="C627" s="67" t="str">
        <f t="shared" si="105"/>
        <v xml:space="preserve"> </v>
      </c>
      <c r="D627" s="1236" t="str">
        <f>VLOOKUP($B627,DG!A:D,DG!$B$2,)</f>
        <v>03.3123</v>
      </c>
      <c r="E627" s="1241" t="str">
        <f>VLOOKUP($B627,DG!A:D,DG!C$2,)</f>
        <v>Đào rãnh tiếp địa đất cấp 3</v>
      </c>
      <c r="F627" s="1236" t="str">
        <f>VLOOKUP($B627,DG!A:D,DG!$D$2,)</f>
        <v>m3</v>
      </c>
      <c r="G627" s="1925">
        <v>0.24</v>
      </c>
      <c r="H627" s="1249"/>
      <c r="I627" s="1245"/>
      <c r="J627" s="1245"/>
      <c r="K627" s="1245"/>
      <c r="L627" s="1245"/>
      <c r="M627" s="1245"/>
      <c r="N627" s="1245"/>
      <c r="O627" s="1245"/>
      <c r="P627" s="1242"/>
      <c r="Q627" s="1245"/>
      <c r="R627" s="1245"/>
      <c r="S627" s="1245"/>
      <c r="T627" s="1663"/>
      <c r="U627" s="1664" t="str">
        <f>IFERROR(VLOOKUP(B627,ChiTietDuToan!C:H,5,0),"")</f>
        <v>m3</v>
      </c>
      <c r="V627" s="2309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59" t="s">
        <v>1955</v>
      </c>
      <c r="C628" s="67" t="str">
        <f t="shared" ca="1" si="105"/>
        <v xml:space="preserve"> </v>
      </c>
      <c r="D628" s="1236" t="str">
        <f>VLOOKUP($B628,DG!A:D,DG!$B$2,)</f>
        <v>02.1120</v>
      </c>
      <c r="E628" s="1241" t="str">
        <f>VLOOKUP($B628,DG!A:D,DG!C$2,)</f>
        <v>Bốc dỡ phụ kiện</v>
      </c>
      <c r="F628" s="1236" t="str">
        <f>VLOOKUP($B628,DG!A:D,DG!$D$2,)</f>
        <v>tấn</v>
      </c>
      <c r="G628" s="1913"/>
      <c r="H628" s="1245">
        <f t="shared" ca="1" si="114"/>
        <v>0</v>
      </c>
      <c r="I628" s="1245"/>
      <c r="J628" s="1245"/>
      <c r="K628" s="1245"/>
      <c r="L628" s="1245"/>
      <c r="M628" s="1245"/>
      <c r="N628" s="1245"/>
      <c r="O628" s="1245"/>
      <c r="P628" s="1245"/>
      <c r="Q628" s="1245"/>
      <c r="R628" s="1245"/>
      <c r="S628" s="1245"/>
      <c r="T628" s="1671"/>
      <c r="U628" s="1664" t="str">
        <f>IFERROR(VLOOKUP(B628,ChiTietDuToan!C:H,5,0),"")</f>
        <v/>
      </c>
      <c r="V628" s="2309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74" t="s">
        <v>1956</v>
      </c>
      <c r="C629" s="67" t="str">
        <f t="shared" ca="1" si="105"/>
        <v xml:space="preserve"> </v>
      </c>
      <c r="D629" s="1236" t="str">
        <f>VLOOKUP($B629,DG!A:C,2,)</f>
        <v>02.1351</v>
      </c>
      <c r="E629" s="1241" t="str">
        <f>VLOOKUP($B629,DG!A:C,3,)</f>
        <v>V/c tiếp địa vào vị trí ( cự ly &lt;=100m)</v>
      </c>
      <c r="F629" s="1236" t="str">
        <f>VLOOKUP($B629,DG!A:D,4,0)</f>
        <v>tấn</v>
      </c>
      <c r="G629" s="1913"/>
      <c r="H629" s="1245">
        <f t="shared" ca="1" si="114"/>
        <v>0</v>
      </c>
      <c r="I629" s="1250"/>
      <c r="J629" s="1250"/>
      <c r="K629" s="1250"/>
      <c r="L629" s="1250"/>
      <c r="M629" s="1250"/>
      <c r="N629" s="1250"/>
      <c r="O629" s="1250"/>
      <c r="P629" s="1250"/>
      <c r="Q629" s="1250"/>
      <c r="R629" s="1250"/>
      <c r="S629" s="1250"/>
      <c r="T629" s="1671"/>
      <c r="U629" s="1664" t="str">
        <f>IFERROR(VLOOKUP(B629,ChiTietDuToan!C:H,5,0),"")</f>
        <v/>
      </c>
      <c r="V629" s="2309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56"/>
      <c r="C630" s="65" t="str">
        <f t="shared" ca="1" si="105"/>
        <v xml:space="preserve"> </v>
      </c>
      <c r="D630" s="1237"/>
      <c r="E630" s="1666" t="s">
        <v>2457</v>
      </c>
      <c r="F630" s="1238" t="s">
        <v>2449</v>
      </c>
      <c r="G630" s="1924"/>
      <c r="H630" s="1523">
        <f ca="1">SUM(I630:O630)+T630</f>
        <v>0</v>
      </c>
      <c r="I630" s="1239">
        <f ca="1">SUMIF(tdll3pm,chitiet!$E630,sltdll3pm)</f>
        <v>0</v>
      </c>
      <c r="J630" s="1239">
        <f ca="1">SUMIF(tdllct,chitiet!$E630,sltdllct)</f>
        <v>0</v>
      </c>
      <c r="K630" s="1239">
        <f ca="1">SUMIF(tdll3p1m,chitiet!$E630,sltdll3p1m)</f>
        <v>0</v>
      </c>
      <c r="L630" s="1239">
        <f>IFERROR(HLOOKUP(A630,pp1p!$6:$90,85,0),0)</f>
        <v>0</v>
      </c>
      <c r="M630" s="1239">
        <f ca="1">SUMIF(tdllHTHH,chitiet!$E630,sltdllHTHH)</f>
        <v>0</v>
      </c>
      <c r="N630" s="1239">
        <f ca="1">SUMIF(tdllHTDL,chitiet!$E630,sltdllHTDL)</f>
        <v>0</v>
      </c>
      <c r="O630" s="1239"/>
      <c r="P630" s="1239"/>
      <c r="Q630" s="1239"/>
      <c r="R630" s="1239"/>
      <c r="S630" s="1239"/>
      <c r="T630" s="1671"/>
      <c r="U630" s="1664">
        <f>IFERROR(VLOOKUP(B630,ChiTietDuToan!C:H,5,0),"")</f>
        <v>0</v>
      </c>
      <c r="V630" s="2309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59" t="s">
        <v>103</v>
      </c>
      <c r="C631" s="67" t="str">
        <f t="shared" ca="1" si="105"/>
        <v xml:space="preserve"> </v>
      </c>
      <c r="D631" s="1236"/>
      <c r="E631" s="1248" t="str">
        <f>VLOOKUP($B631,DG!A:D,DG!C$2,)&amp;" : 25m"</f>
        <v>Cáp đồng trần M25mm2 : 25m</v>
      </c>
      <c r="F631" s="1236" t="str">
        <f>VLOOKUP($B631,DG!A:D,DG!$D$2,)</f>
        <v>kg</v>
      </c>
      <c r="G631" s="1914">
        <f>25*0.224</f>
        <v>5.6000000000000005</v>
      </c>
      <c r="H631" s="1245">
        <f ca="1">H630*$G631</f>
        <v>0</v>
      </c>
      <c r="I631" s="1245">
        <f t="shared" ref="I631:N635" ca="1" si="115">I$609*$G631</f>
        <v>0</v>
      </c>
      <c r="J631" s="1245">
        <f t="shared" ca="1" si="115"/>
        <v>0</v>
      </c>
      <c r="K631" s="1251">
        <f t="shared" ca="1" si="115"/>
        <v>0</v>
      </c>
      <c r="L631" s="1245">
        <f t="shared" si="115"/>
        <v>0</v>
      </c>
      <c r="M631" s="1245">
        <f t="shared" ca="1" si="115"/>
        <v>0</v>
      </c>
      <c r="N631" s="1245">
        <f t="shared" ca="1" si="115"/>
        <v>0</v>
      </c>
      <c r="O631" s="1245"/>
      <c r="P631" s="1245"/>
      <c r="Q631" s="1245"/>
      <c r="R631" s="1245"/>
      <c r="S631" s="1245"/>
      <c r="T631" s="1671"/>
      <c r="U631" s="1664" t="str">
        <f>IFERROR(VLOOKUP(B631,ChiTietDuToan!C:H,5,0),"")</f>
        <v>kg</v>
      </c>
      <c r="V631" s="2309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59" t="s">
        <v>1560</v>
      </c>
      <c r="C632" s="67" t="str">
        <f t="shared" ca="1" si="105"/>
        <v xml:space="preserve"> </v>
      </c>
      <c r="D632" s="1236"/>
      <c r="E632" s="1248" t="str">
        <f>VLOOKUP($B632,DG!A:D,DG!C$2,)</f>
        <v>Cọc tiếp đất Ø 16- 2,4m + kẹp cọc</v>
      </c>
      <c r="F632" s="1236" t="str">
        <f>VLOOKUP($B632,DG!A:D,DG!$D$2,)</f>
        <v>bộ</v>
      </c>
      <c r="G632" s="1915">
        <v>4</v>
      </c>
      <c r="H632" s="1245">
        <f t="shared" ref="H632:H639" ca="1" si="116">H631*$G632</f>
        <v>0</v>
      </c>
      <c r="I632" s="1245">
        <f t="shared" ca="1" si="115"/>
        <v>0</v>
      </c>
      <c r="J632" s="1245">
        <f t="shared" ca="1" si="115"/>
        <v>0</v>
      </c>
      <c r="K632" s="1245">
        <f t="shared" ca="1" si="115"/>
        <v>0</v>
      </c>
      <c r="L632" s="1245">
        <f t="shared" si="115"/>
        <v>0</v>
      </c>
      <c r="M632" s="1245">
        <f t="shared" ca="1" si="115"/>
        <v>0</v>
      </c>
      <c r="N632" s="1245">
        <f t="shared" ca="1" si="115"/>
        <v>0</v>
      </c>
      <c r="O632" s="1245"/>
      <c r="P632" s="1245"/>
      <c r="Q632" s="1245"/>
      <c r="R632" s="1245"/>
      <c r="S632" s="1245"/>
      <c r="T632" s="1671"/>
      <c r="U632" s="1664" t="str">
        <f>IFERROR(VLOOKUP(B632,ChiTietDuToan!C:H,5,0),"")</f>
        <v>bộ</v>
      </c>
      <c r="V632" s="2309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59" t="s">
        <v>1530</v>
      </c>
      <c r="C633" s="67" t="str">
        <f t="shared" ca="1" si="105"/>
        <v xml:space="preserve"> </v>
      </c>
      <c r="D633" s="1236"/>
      <c r="E633" s="1248" t="str">
        <f>VLOOKUP($B633,DG!A:D,DG!C$2,)</f>
        <v>Kẹp nối đồng-nhôm</v>
      </c>
      <c r="F633" s="1236" t="str">
        <f>VLOOKUP($B633,DG!A:D,DG!$D$2,)</f>
        <v>cái</v>
      </c>
      <c r="G633" s="1915">
        <v>5</v>
      </c>
      <c r="H633" s="1245">
        <f t="shared" ca="1" si="116"/>
        <v>0</v>
      </c>
      <c r="I633" s="1245">
        <f t="shared" ca="1" si="115"/>
        <v>0</v>
      </c>
      <c r="J633" s="1245">
        <f t="shared" ca="1" si="115"/>
        <v>0</v>
      </c>
      <c r="K633" s="1245">
        <f t="shared" ca="1" si="115"/>
        <v>0</v>
      </c>
      <c r="L633" s="1245">
        <f t="shared" si="115"/>
        <v>0</v>
      </c>
      <c r="M633" s="1245">
        <f t="shared" ca="1" si="115"/>
        <v>0</v>
      </c>
      <c r="N633" s="1245">
        <f t="shared" ca="1" si="115"/>
        <v>0</v>
      </c>
      <c r="O633" s="1245"/>
      <c r="P633" s="1245"/>
      <c r="Q633" s="1245"/>
      <c r="R633" s="1245"/>
      <c r="S633" s="1245"/>
      <c r="T633" s="1671"/>
      <c r="U633" s="1664" t="str">
        <f>IFERROR(VLOOKUP(B633,ChiTietDuToan!C:H,5,0),"")</f>
        <v/>
      </c>
      <c r="V633" s="2309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59" t="s">
        <v>1082</v>
      </c>
      <c r="C634" s="67" t="str">
        <f t="shared" ca="1" si="105"/>
        <v xml:space="preserve"> </v>
      </c>
      <c r="D634" s="1236"/>
      <c r="E634" s="1248" t="str">
        <f>VLOOKUP($B634,DG!A:D,DG!C$2,)</f>
        <v>Đầu cosse ép Cu 25mm2</v>
      </c>
      <c r="F634" s="1236" t="str">
        <f>VLOOKUP($B634,DG!A:D,DG!$D$2,)</f>
        <v>cái</v>
      </c>
      <c r="G634" s="1915">
        <v>2</v>
      </c>
      <c r="H634" s="1245">
        <f t="shared" ca="1" si="116"/>
        <v>0</v>
      </c>
      <c r="I634" s="1245">
        <f t="shared" ca="1" si="115"/>
        <v>0</v>
      </c>
      <c r="J634" s="1245">
        <f t="shared" ca="1" si="115"/>
        <v>0</v>
      </c>
      <c r="K634" s="1245">
        <f t="shared" ca="1" si="115"/>
        <v>0</v>
      </c>
      <c r="L634" s="1245">
        <f t="shared" si="115"/>
        <v>0</v>
      </c>
      <c r="M634" s="1245">
        <f t="shared" ca="1" si="115"/>
        <v>0</v>
      </c>
      <c r="N634" s="1245">
        <f t="shared" ca="1" si="115"/>
        <v>0</v>
      </c>
      <c r="O634" s="1245"/>
      <c r="P634" s="1245"/>
      <c r="Q634" s="1245"/>
      <c r="R634" s="1245"/>
      <c r="S634" s="1245"/>
      <c r="T634" s="1671"/>
      <c r="U634" s="1664" t="str">
        <f>IFERROR(VLOOKUP(B634,ChiTietDuToan!C:H,5,0),"")</f>
        <v/>
      </c>
      <c r="V634" s="2309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59" t="s">
        <v>2072</v>
      </c>
      <c r="C635" s="67" t="str">
        <f t="shared" ca="1" si="105"/>
        <v xml:space="preserve"> </v>
      </c>
      <c r="D635" s="1236"/>
      <c r="E635" s="1248" t="str">
        <f>VLOOKUP($B635,DG!A:D,DG!C$2,)</f>
        <v>Boulon 12x40+ 2 long đền vuông D14-50x50x3/Zn</v>
      </c>
      <c r="F635" s="1236" t="str">
        <f>VLOOKUP($B635,DG!A:D,DG!$D$2,)</f>
        <v>bộ</v>
      </c>
      <c r="G635" s="1915">
        <v>1</v>
      </c>
      <c r="H635" s="1245">
        <f t="shared" ca="1" si="116"/>
        <v>0</v>
      </c>
      <c r="I635" s="1245">
        <f t="shared" ca="1" si="115"/>
        <v>0</v>
      </c>
      <c r="J635" s="1245">
        <f t="shared" ca="1" si="115"/>
        <v>0</v>
      </c>
      <c r="K635" s="1245">
        <f t="shared" ca="1" si="115"/>
        <v>0</v>
      </c>
      <c r="L635" s="1245">
        <f t="shared" si="115"/>
        <v>0</v>
      </c>
      <c r="M635" s="1245">
        <f t="shared" ca="1" si="115"/>
        <v>0</v>
      </c>
      <c r="N635" s="1245">
        <f t="shared" ca="1" si="115"/>
        <v>0</v>
      </c>
      <c r="O635" s="1245"/>
      <c r="P635" s="1245"/>
      <c r="Q635" s="1245"/>
      <c r="R635" s="1245"/>
      <c r="S635" s="1245"/>
      <c r="T635" s="1671"/>
      <c r="U635" s="1664" t="str">
        <f>IFERROR(VLOOKUP(B635,ChiTietDuToan!C:H,5,0),"")</f>
        <v/>
      </c>
      <c r="V635" s="2309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59" t="s">
        <v>1569</v>
      </c>
      <c r="C636" s="67" t="str">
        <f t="shared" ca="1" si="105"/>
        <v xml:space="preserve"> </v>
      </c>
      <c r="D636" s="1236" t="str">
        <f>VLOOKUP($B636,DG!A:D,DG!$B$2,)</f>
        <v>05.7001</v>
      </c>
      <c r="E636" s="1241" t="str">
        <f>VLOOKUP($B636,DG!A:D,DG!C$2,)</f>
        <v xml:space="preserve">Kéo dây tiếp địa </v>
      </c>
      <c r="F636" s="1236" t="str">
        <f>VLOOKUP($B636,DG!A:D,DG!$D$2,)</f>
        <v>mét</v>
      </c>
      <c r="G636" s="1914">
        <f>G631</f>
        <v>5.6000000000000005</v>
      </c>
      <c r="H636" s="1245">
        <f t="shared" ca="1" si="116"/>
        <v>0</v>
      </c>
      <c r="I636" s="1250"/>
      <c r="J636" s="1250"/>
      <c r="K636" s="1250"/>
      <c r="L636" s="1250"/>
      <c r="M636" s="1250"/>
      <c r="N636" s="1250"/>
      <c r="O636" s="1250"/>
      <c r="P636" s="1250"/>
      <c r="Q636" s="1250"/>
      <c r="R636" s="1250"/>
      <c r="S636" s="1250"/>
      <c r="T636" s="1671"/>
      <c r="U636" s="1664" t="str">
        <f>IFERROR(VLOOKUP(B636,ChiTietDuToan!C:H,5,0),"")</f>
        <v>kg</v>
      </c>
      <c r="V636" s="2309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59" t="s">
        <v>1134</v>
      </c>
      <c r="C637" s="67" t="str">
        <f t="shared" ca="1" si="105"/>
        <v xml:space="preserve"> </v>
      </c>
      <c r="D637" s="1236" t="str">
        <f>VLOOKUP($B637,DG!A:D,DG!$B$2,)</f>
        <v>05.8103</v>
      </c>
      <c r="E637" s="1241" t="str">
        <f>VLOOKUP($B637,DG!A:D,DG!C$2,)</f>
        <v>Đóng cọc tiếp địa đất cấp 3</v>
      </c>
      <c r="F637" s="1236" t="str">
        <f>VLOOKUP($B637,DG!A:D,DG!$D$2,)</f>
        <v>cọc</v>
      </c>
      <c r="G637" s="1915">
        <f>G632</f>
        <v>4</v>
      </c>
      <c r="H637" s="1245">
        <f t="shared" ca="1" si="116"/>
        <v>0</v>
      </c>
      <c r="I637" s="1245"/>
      <c r="J637" s="1245"/>
      <c r="K637" s="1245"/>
      <c r="L637" s="1245"/>
      <c r="M637" s="1245"/>
      <c r="N637" s="1245"/>
      <c r="O637" s="1245"/>
      <c r="P637" s="1245"/>
      <c r="Q637" s="1245"/>
      <c r="R637" s="1245"/>
      <c r="S637" s="1245"/>
      <c r="T637" s="1671"/>
      <c r="U637" s="1664" t="str">
        <f>IFERROR(VLOOKUP(B637,ChiTietDuToan!C:H,5,0),"")</f>
        <v>cọc</v>
      </c>
      <c r="V637" s="2309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59" t="s">
        <v>1955</v>
      </c>
      <c r="C638" s="67" t="str">
        <f t="shared" ca="1" si="105"/>
        <v xml:space="preserve"> </v>
      </c>
      <c r="D638" s="1236" t="str">
        <f>VLOOKUP($B638,DG!A:D,DG!$B$2,)</f>
        <v>02.1120</v>
      </c>
      <c r="E638" s="1241" t="str">
        <f>VLOOKUP($B638,DG!A:D,DG!C$2,)</f>
        <v>Bốc dỡ phụ kiện</v>
      </c>
      <c r="F638" s="1236" t="str">
        <f>VLOOKUP($B638,DG!A:D,DG!$D$2,)</f>
        <v>tấn</v>
      </c>
      <c r="G638" s="1913">
        <v>8.0000000000000002E-3</v>
      </c>
      <c r="H638" s="1245">
        <f t="shared" ca="1" si="116"/>
        <v>0</v>
      </c>
      <c r="I638" s="1245"/>
      <c r="J638" s="1245"/>
      <c r="K638" s="1245"/>
      <c r="L638" s="1245"/>
      <c r="M638" s="1245"/>
      <c r="N638" s="1245"/>
      <c r="O638" s="1245"/>
      <c r="P638" s="1245"/>
      <c r="Q638" s="1245"/>
      <c r="R638" s="1245"/>
      <c r="S638" s="1245"/>
      <c r="T638" s="1671"/>
      <c r="U638" s="1664" t="str">
        <f>IFERROR(VLOOKUP(B638,ChiTietDuToan!C:H,5,0),"")</f>
        <v/>
      </c>
      <c r="V638" s="2309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74" t="s">
        <v>1956</v>
      </c>
      <c r="C639" s="67" t="str">
        <f t="shared" ca="1" si="105"/>
        <v xml:space="preserve"> </v>
      </c>
      <c r="D639" s="1236" t="str">
        <f>VLOOKUP($B639,DG!A:C,2,)</f>
        <v>02.1351</v>
      </c>
      <c r="E639" s="1241" t="str">
        <f>VLOOKUP($B639,DG!A:C,3,)</f>
        <v>V/c tiếp địa vào vị trí ( cự ly &lt;=100m)</v>
      </c>
      <c r="F639" s="1236" t="str">
        <f>VLOOKUP($B639,DG!A:D,4,0)</f>
        <v>tấn</v>
      </c>
      <c r="G639" s="1913">
        <v>8.0000000000000002E-3</v>
      </c>
      <c r="H639" s="1245">
        <f t="shared" ca="1" si="116"/>
        <v>0</v>
      </c>
      <c r="I639" s="1250"/>
      <c r="J639" s="1250"/>
      <c r="K639" s="1250"/>
      <c r="L639" s="1250"/>
      <c r="M639" s="1250"/>
      <c r="N639" s="1250"/>
      <c r="O639" s="1250"/>
      <c r="P639" s="1250"/>
      <c r="Q639" s="1250"/>
      <c r="R639" s="1250"/>
      <c r="S639" s="1250"/>
      <c r="T639" s="1671"/>
      <c r="U639" s="1664" t="str">
        <f>IFERROR(VLOOKUP(B639,ChiTietDuToan!C:H,5,0),"")</f>
        <v/>
      </c>
      <c r="V639" s="2309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56"/>
      <c r="C640" s="65" t="str">
        <f t="shared" ca="1" si="105"/>
        <v xml:space="preserve"> </v>
      </c>
      <c r="D640" s="1237"/>
      <c r="E640" s="1666" t="s">
        <v>2458</v>
      </c>
      <c r="F640" s="1238" t="s">
        <v>2449</v>
      </c>
      <c r="G640" s="1926"/>
      <c r="H640" s="1523">
        <f ca="1">SUM(I640:O640)+T640</f>
        <v>0</v>
      </c>
      <c r="I640" s="1239">
        <f ca="1">SUMIF(tdll3pm,chitiet!$E640,sltdll3pm)</f>
        <v>0</v>
      </c>
      <c r="J640" s="1239">
        <f ca="1">SUMIF(tdllct,chitiet!$E640,sltdllct)</f>
        <v>0</v>
      </c>
      <c r="K640" s="1239">
        <f ca="1">SUMIF(tdll3p1m,chitiet!$E640,sltdll3p1m)</f>
        <v>0</v>
      </c>
      <c r="L640" s="1239">
        <f>IFERROR(HLOOKUP(A640,pp1p!$6:$90,85,0),0)</f>
        <v>0</v>
      </c>
      <c r="M640" s="1239">
        <f ca="1">SUMIF(tdllHTHH,chitiet!$E640,sltdllHTHH)</f>
        <v>0</v>
      </c>
      <c r="N640" s="1239">
        <f ca="1">SUMIF(tdllHTDL,chitiet!$E640,sltdllHTDL)</f>
        <v>0</v>
      </c>
      <c r="O640" s="1239"/>
      <c r="P640" s="1239"/>
      <c r="Q640" s="1239"/>
      <c r="R640" s="1239"/>
      <c r="S640" s="1239"/>
      <c r="T640" s="1671"/>
      <c r="U640" s="1664">
        <f>IFERROR(VLOOKUP(B640,ChiTietDuToan!C:H,5,0),"")</f>
        <v>0</v>
      </c>
      <c r="V640" s="2309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59" t="s">
        <v>103</v>
      </c>
      <c r="C641" s="67" t="str">
        <f t="shared" ca="1" si="105"/>
        <v xml:space="preserve"> </v>
      </c>
      <c r="D641" s="1236"/>
      <c r="E641" s="1248" t="str">
        <f>VLOOKUP($B641,DG!A:D,DG!C$2,)&amp;" (14m)"</f>
        <v>Cáp đồng trần M25mm2 (14m)</v>
      </c>
      <c r="F641" s="1236" t="str">
        <f>VLOOKUP($B641,DG!A:D,DG!$D$2,)</f>
        <v>kg</v>
      </c>
      <c r="G641" s="1914">
        <f>14*0.224</f>
        <v>3.1360000000000001</v>
      </c>
      <c r="H641" s="1245">
        <f ca="1">H$640*$G641</f>
        <v>0</v>
      </c>
      <c r="I641" s="1245">
        <f t="shared" ref="I641:N643" ca="1" si="117">I$640*$G641</f>
        <v>0</v>
      </c>
      <c r="J641" s="1245">
        <f t="shared" ca="1" si="117"/>
        <v>0</v>
      </c>
      <c r="K641" s="1251">
        <f t="shared" ca="1" si="117"/>
        <v>0</v>
      </c>
      <c r="L641" s="1245">
        <f t="shared" si="117"/>
        <v>0</v>
      </c>
      <c r="M641" s="1245">
        <f t="shared" ca="1" si="117"/>
        <v>0</v>
      </c>
      <c r="N641" s="1245">
        <f t="shared" ca="1" si="117"/>
        <v>0</v>
      </c>
      <c r="O641" s="1245"/>
      <c r="P641" s="1245"/>
      <c r="Q641" s="1245"/>
      <c r="R641" s="1245"/>
      <c r="S641" s="1245"/>
      <c r="T641" s="1671"/>
      <c r="U641" s="1664" t="str">
        <f>IFERROR(VLOOKUP(B641,ChiTietDuToan!C:H,5,0),"")</f>
        <v>kg</v>
      </c>
      <c r="V641" s="2309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59" t="s">
        <v>1560</v>
      </c>
      <c r="C642" s="67" t="str">
        <f t="shared" ca="1" si="105"/>
        <v xml:space="preserve"> </v>
      </c>
      <c r="D642" s="1236"/>
      <c r="E642" s="1248" t="str">
        <f>VLOOKUP($B642,DG!A:D,DG!C$2,)</f>
        <v>Cọc tiếp đất Ø 16- 2,4m + kẹp cọc</v>
      </c>
      <c r="F642" s="1236" t="str">
        <f>VLOOKUP($B642,DG!A:D,DG!$D$2,)</f>
        <v>bộ</v>
      </c>
      <c r="G642" s="1915">
        <v>1</v>
      </c>
      <c r="H642" s="1245">
        <f t="shared" ref="H642:H649" ca="1" si="118">H$640*$G642</f>
        <v>0</v>
      </c>
      <c r="I642" s="1245">
        <f t="shared" ca="1" si="117"/>
        <v>0</v>
      </c>
      <c r="J642" s="1245">
        <f t="shared" ca="1" si="117"/>
        <v>0</v>
      </c>
      <c r="K642" s="1245">
        <f t="shared" ca="1" si="117"/>
        <v>0</v>
      </c>
      <c r="L642" s="1245">
        <f t="shared" si="117"/>
        <v>0</v>
      </c>
      <c r="M642" s="1245">
        <f t="shared" ca="1" si="117"/>
        <v>0</v>
      </c>
      <c r="N642" s="1245">
        <f t="shared" ca="1" si="117"/>
        <v>0</v>
      </c>
      <c r="O642" s="1245"/>
      <c r="P642" s="1245"/>
      <c r="Q642" s="1245"/>
      <c r="R642" s="1245"/>
      <c r="S642" s="1245"/>
      <c r="T642" s="1671"/>
      <c r="U642" s="1664" t="str">
        <f>IFERROR(VLOOKUP(B642,ChiTietDuToan!C:H,5,0),"")</f>
        <v>bộ</v>
      </c>
      <c r="V642" s="2309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59" t="s">
        <v>1530</v>
      </c>
      <c r="C643" s="67" t="str">
        <f t="shared" ca="1" si="105"/>
        <v xml:space="preserve"> </v>
      </c>
      <c r="D643" s="1236"/>
      <c r="E643" s="1248" t="str">
        <f>VLOOKUP($B643,DG!A:D,DG!C$2,)</f>
        <v>Kẹp nối đồng-nhôm</v>
      </c>
      <c r="F643" s="1236" t="str">
        <f>VLOOKUP($B643,DG!A:D,DG!$D$2,)</f>
        <v>cái</v>
      </c>
      <c r="G643" s="1915">
        <v>2</v>
      </c>
      <c r="H643" s="1245">
        <f t="shared" ca="1" si="118"/>
        <v>0</v>
      </c>
      <c r="I643" s="1245">
        <f t="shared" ca="1" si="117"/>
        <v>0</v>
      </c>
      <c r="J643" s="1245">
        <f t="shared" ca="1" si="117"/>
        <v>0</v>
      </c>
      <c r="K643" s="1245">
        <f t="shared" ca="1" si="117"/>
        <v>0</v>
      </c>
      <c r="L643" s="1245">
        <f t="shared" si="117"/>
        <v>0</v>
      </c>
      <c r="M643" s="1245">
        <f t="shared" ca="1" si="117"/>
        <v>0</v>
      </c>
      <c r="N643" s="1245">
        <f t="shared" ca="1" si="117"/>
        <v>0</v>
      </c>
      <c r="O643" s="1245"/>
      <c r="P643" s="1245"/>
      <c r="Q643" s="1245"/>
      <c r="R643" s="1245"/>
      <c r="S643" s="1245"/>
      <c r="T643" s="1671"/>
      <c r="U643" s="1664" t="str">
        <f>IFERROR(VLOOKUP(B643,ChiTietDuToan!C:H,5,0),"")</f>
        <v/>
      </c>
      <c r="V643" s="2309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59" t="s">
        <v>1082</v>
      </c>
      <c r="C644" s="67" t="str">
        <f t="shared" ca="1" si="105"/>
        <v xml:space="preserve"> </v>
      </c>
      <c r="D644" s="1236"/>
      <c r="E644" s="1248" t="str">
        <f>VLOOKUP($B644,DG!A:D,DG!C$2,)</f>
        <v>Đầu cosse ép Cu 25mm2</v>
      </c>
      <c r="F644" s="1236" t="str">
        <f>VLOOKUP($B644,DG!A:D,DG!$D$2,)</f>
        <v>cái</v>
      </c>
      <c r="G644" s="1915">
        <v>2</v>
      </c>
      <c r="H644" s="1245">
        <f t="shared" ca="1" si="118"/>
        <v>0</v>
      </c>
      <c r="I644" s="1245">
        <f t="shared" ref="I644:N645" ca="1" si="119">I$609*$G644</f>
        <v>0</v>
      </c>
      <c r="J644" s="1245">
        <f t="shared" ca="1" si="119"/>
        <v>0</v>
      </c>
      <c r="K644" s="1245">
        <f t="shared" ca="1" si="119"/>
        <v>0</v>
      </c>
      <c r="L644" s="1245">
        <f t="shared" si="119"/>
        <v>0</v>
      </c>
      <c r="M644" s="1245">
        <f t="shared" ca="1" si="119"/>
        <v>0</v>
      </c>
      <c r="N644" s="1245">
        <f t="shared" ca="1" si="119"/>
        <v>0</v>
      </c>
      <c r="O644" s="1245"/>
      <c r="P644" s="1245"/>
      <c r="Q644" s="1245"/>
      <c r="R644" s="1245"/>
      <c r="S644" s="1245"/>
      <c r="T644" s="1671"/>
      <c r="U644" s="1664" t="str">
        <f>IFERROR(VLOOKUP(B644,ChiTietDuToan!C:H,5,0),"")</f>
        <v/>
      </c>
      <c r="V644" s="2309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59" t="s">
        <v>2072</v>
      </c>
      <c r="C645" s="67" t="str">
        <f t="shared" ca="1" si="105"/>
        <v xml:space="preserve"> </v>
      </c>
      <c r="D645" s="1236"/>
      <c r="E645" s="1248" t="str">
        <f>VLOOKUP($B645,DG!A:D,DG!C$2,)</f>
        <v>Boulon 12x40+ 2 long đền vuông D14-50x50x3/Zn</v>
      </c>
      <c r="F645" s="1236" t="str">
        <f>VLOOKUP($B645,DG!A:D,DG!$D$2,)</f>
        <v>bộ</v>
      </c>
      <c r="G645" s="1915">
        <v>1</v>
      </c>
      <c r="H645" s="1245">
        <f t="shared" ca="1" si="118"/>
        <v>0</v>
      </c>
      <c r="I645" s="1245">
        <f t="shared" ca="1" si="119"/>
        <v>0</v>
      </c>
      <c r="J645" s="1245">
        <f t="shared" ca="1" si="119"/>
        <v>0</v>
      </c>
      <c r="K645" s="1245">
        <f t="shared" ca="1" si="119"/>
        <v>0</v>
      </c>
      <c r="L645" s="1245">
        <f t="shared" si="119"/>
        <v>0</v>
      </c>
      <c r="M645" s="1245">
        <f t="shared" ca="1" si="119"/>
        <v>0</v>
      </c>
      <c r="N645" s="1245">
        <f t="shared" ca="1" si="119"/>
        <v>0</v>
      </c>
      <c r="O645" s="1245"/>
      <c r="P645" s="1245"/>
      <c r="Q645" s="1245"/>
      <c r="R645" s="1245"/>
      <c r="S645" s="1245"/>
      <c r="T645" s="1671"/>
      <c r="U645" s="1664" t="str">
        <f>IFERROR(VLOOKUP(B645,ChiTietDuToan!C:H,5,0),"")</f>
        <v/>
      </c>
      <c r="V645" s="2309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59" t="s">
        <v>1569</v>
      </c>
      <c r="C646" s="67" t="str">
        <f t="shared" ca="1" si="105"/>
        <v xml:space="preserve"> </v>
      </c>
      <c r="D646" s="1236" t="str">
        <f>VLOOKUP($B646,DG!A:D,DG!$B$2,)</f>
        <v>05.7001</v>
      </c>
      <c r="E646" s="1241" t="str">
        <f>VLOOKUP($B646,DG!A:D,DG!C$2,)</f>
        <v xml:space="preserve">Kéo dây tiếp địa </v>
      </c>
      <c r="F646" s="1236" t="str">
        <f>VLOOKUP($B646,DG!A:D,DG!$D$2,)</f>
        <v>mét</v>
      </c>
      <c r="G646" s="1914">
        <f>G641</f>
        <v>3.1360000000000001</v>
      </c>
      <c r="H646" s="1245">
        <f t="shared" ca="1" si="118"/>
        <v>0</v>
      </c>
      <c r="I646" s="1250"/>
      <c r="J646" s="1250"/>
      <c r="K646" s="1250"/>
      <c r="L646" s="1250"/>
      <c r="M646" s="1250"/>
      <c r="N646" s="1250"/>
      <c r="O646" s="1250"/>
      <c r="P646" s="1250"/>
      <c r="Q646" s="1250"/>
      <c r="R646" s="1250"/>
      <c r="S646" s="1250"/>
      <c r="T646" s="1671"/>
      <c r="U646" s="1664" t="str">
        <f>IFERROR(VLOOKUP(B646,ChiTietDuToan!C:H,5,0),"")</f>
        <v>kg</v>
      </c>
      <c r="V646" s="2309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59" t="s">
        <v>1134</v>
      </c>
      <c r="C647" s="67" t="str">
        <f t="shared" ca="1" si="105"/>
        <v xml:space="preserve"> </v>
      </c>
      <c r="D647" s="1236" t="str">
        <f>VLOOKUP($B647,DG!A:D,DG!$B$2,)</f>
        <v>05.8103</v>
      </c>
      <c r="E647" s="1241" t="str">
        <f>VLOOKUP($B647,DG!A:D,DG!C$2,)</f>
        <v>Đóng cọc tiếp địa đất cấp 3</v>
      </c>
      <c r="F647" s="1236" t="str">
        <f>VLOOKUP($B647,DG!A:D,DG!$D$2,)</f>
        <v>cọc</v>
      </c>
      <c r="G647" s="1915">
        <v>1</v>
      </c>
      <c r="H647" s="1245">
        <f t="shared" ca="1" si="118"/>
        <v>0</v>
      </c>
      <c r="I647" s="1245"/>
      <c r="J647" s="1245"/>
      <c r="K647" s="1245"/>
      <c r="L647" s="1245"/>
      <c r="M647" s="1245"/>
      <c r="N647" s="1245"/>
      <c r="O647" s="1245"/>
      <c r="P647" s="1245"/>
      <c r="Q647" s="1245"/>
      <c r="R647" s="1245"/>
      <c r="S647" s="1245"/>
      <c r="T647" s="1671"/>
      <c r="U647" s="1664" t="str">
        <f>IFERROR(VLOOKUP(B647,ChiTietDuToan!C:H,5,0),"")</f>
        <v>cọc</v>
      </c>
      <c r="V647" s="2309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59" t="s">
        <v>1955</v>
      </c>
      <c r="C648" s="67" t="str">
        <f t="shared" ca="1" si="105"/>
        <v xml:space="preserve"> </v>
      </c>
      <c r="D648" s="1236" t="str">
        <f>VLOOKUP($B648,DG!A:D,DG!$B$2,)</f>
        <v>02.1120</v>
      </c>
      <c r="E648" s="1241" t="str">
        <f>VLOOKUP($B648,DG!A:D,DG!C$2,)</f>
        <v>Bốc dỡ phụ kiện</v>
      </c>
      <c r="F648" s="1236" t="str">
        <f>VLOOKUP($B648,DG!A:D,DG!$D$2,)</f>
        <v>tấn</v>
      </c>
      <c r="G648" s="1913"/>
      <c r="H648" s="1245">
        <f t="shared" ca="1" si="118"/>
        <v>0</v>
      </c>
      <c r="I648" s="1245"/>
      <c r="J648" s="1245"/>
      <c r="K648" s="1245"/>
      <c r="L648" s="1245"/>
      <c r="M648" s="1245"/>
      <c r="N648" s="1245"/>
      <c r="O648" s="1245"/>
      <c r="P648" s="1245"/>
      <c r="Q648" s="1245"/>
      <c r="R648" s="1245"/>
      <c r="S648" s="1245"/>
      <c r="T648" s="1671"/>
      <c r="U648" s="1664" t="str">
        <f>IFERROR(VLOOKUP(B648,ChiTietDuToan!C:H,5,0),"")</f>
        <v/>
      </c>
      <c r="V648" s="2309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74" t="s">
        <v>1956</v>
      </c>
      <c r="C649" s="67" t="str">
        <f t="shared" ca="1" si="105"/>
        <v xml:space="preserve"> </v>
      </c>
      <c r="D649" s="1236" t="str">
        <f>VLOOKUP($B649,DG!A:C,2,)</f>
        <v>02.1351</v>
      </c>
      <c r="E649" s="1241" t="str">
        <f>VLOOKUP($B649,DG!A:C,3,)</f>
        <v>V/c tiếp địa vào vị trí ( cự ly &lt;=100m)</v>
      </c>
      <c r="F649" s="1236" t="str">
        <f>VLOOKUP($B649,DG!A:D,4,0)</f>
        <v>tấn</v>
      </c>
      <c r="G649" s="1913"/>
      <c r="H649" s="1245">
        <f t="shared" ca="1" si="118"/>
        <v>0</v>
      </c>
      <c r="I649" s="1250"/>
      <c r="J649" s="1250"/>
      <c r="K649" s="1250"/>
      <c r="L649" s="1250"/>
      <c r="M649" s="1250"/>
      <c r="N649" s="1250"/>
      <c r="O649" s="1250"/>
      <c r="P649" s="1250"/>
      <c r="Q649" s="1250"/>
      <c r="R649" s="1250"/>
      <c r="S649" s="1250"/>
      <c r="T649" s="1671"/>
      <c r="U649" s="1664" t="str">
        <f>IFERROR(VLOOKUP(B649,ChiTietDuToan!C:H,5,0),"")</f>
        <v/>
      </c>
      <c r="V649" s="2309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56"/>
      <c r="C650" s="65" t="str">
        <f t="shared" ca="1" si="105"/>
        <v xml:space="preserve"> </v>
      </c>
      <c r="D650" s="1237"/>
      <c r="E650" s="1666" t="s">
        <v>2459</v>
      </c>
      <c r="F650" s="1238" t="s">
        <v>2449</v>
      </c>
      <c r="G650" s="1926"/>
      <c r="H650" s="1523">
        <f ca="1">SUM(I650:O650)+T650</f>
        <v>0</v>
      </c>
      <c r="I650" s="1239">
        <f ca="1">SUMIF(tdll3pm,chitiet!$E650,sltdll3pm)</f>
        <v>0</v>
      </c>
      <c r="J650" s="1239">
        <f ca="1">SUMIF(tdllct,chitiet!$E650,sltdllct)</f>
        <v>0</v>
      </c>
      <c r="K650" s="1239"/>
      <c r="L650" s="1239">
        <f>IFERROR(HLOOKUP(A650,pp1p!$6:$90,85,0),0)</f>
        <v>0</v>
      </c>
      <c r="M650" s="1239"/>
      <c r="N650" s="1239"/>
      <c r="O650" s="1239"/>
      <c r="P650" s="1239"/>
      <c r="Q650" s="1239"/>
      <c r="R650" s="1239"/>
      <c r="S650" s="1239"/>
      <c r="T650" s="1671"/>
      <c r="U650" s="1664">
        <f>IFERROR(VLOOKUP(B650,ChiTietDuToan!C:H,5,0),"")</f>
        <v>0</v>
      </c>
      <c r="V650" s="2309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59" t="s">
        <v>103</v>
      </c>
      <c r="C651" s="67" t="str">
        <f t="shared" ca="1" si="105"/>
        <v xml:space="preserve"> </v>
      </c>
      <c r="D651" s="1236"/>
      <c r="E651" s="1248" t="str">
        <f>VLOOKUP($B651,DG!A:D,DG!C$2,)&amp;" (22m)"</f>
        <v>Cáp đồng trần M25mm2 (22m)</v>
      </c>
      <c r="F651" s="1236" t="str">
        <f>VLOOKUP($B651,DG!A:D,DG!$D$2,)</f>
        <v>kg</v>
      </c>
      <c r="G651" s="1914">
        <f>22*0.224</f>
        <v>4.9279999999999999</v>
      </c>
      <c r="H651" s="1245">
        <f t="shared" ref="H651:I653" ca="1" si="121">H$650*$G651</f>
        <v>0</v>
      </c>
      <c r="I651" s="1245">
        <f t="shared" ca="1" si="121"/>
        <v>0</v>
      </c>
      <c r="J651" s="1245">
        <f t="shared" ref="J651:N653" ca="1" si="122">J$650*$G651</f>
        <v>0</v>
      </c>
      <c r="K651" s="1245">
        <f t="shared" si="122"/>
        <v>0</v>
      </c>
      <c r="L651" s="1245">
        <f t="shared" si="122"/>
        <v>0</v>
      </c>
      <c r="M651" s="1245">
        <f t="shared" si="122"/>
        <v>0</v>
      </c>
      <c r="N651" s="1245">
        <f t="shared" si="122"/>
        <v>0</v>
      </c>
      <c r="O651" s="1245"/>
      <c r="P651" s="1245"/>
      <c r="Q651" s="1245"/>
      <c r="R651" s="1245"/>
      <c r="S651" s="1245"/>
      <c r="T651" s="1671"/>
      <c r="U651" s="1664" t="str">
        <f>IFERROR(VLOOKUP(B651,ChiTietDuToan!C:H,5,0),"")</f>
        <v>kg</v>
      </c>
      <c r="V651" s="2309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59" t="s">
        <v>1560</v>
      </c>
      <c r="C652" s="67" t="str">
        <f t="shared" ca="1" si="105"/>
        <v xml:space="preserve"> </v>
      </c>
      <c r="D652" s="1236"/>
      <c r="E652" s="1248" t="str">
        <f>VLOOKUP($B652,DG!A:D,DG!C$2,)</f>
        <v>Cọc tiếp đất Ø 16- 2,4m + kẹp cọc</v>
      </c>
      <c r="F652" s="1236" t="str">
        <f>VLOOKUP($B652,DG!A:D,DG!$D$2,)</f>
        <v>bộ</v>
      </c>
      <c r="G652" s="1915">
        <v>1</v>
      </c>
      <c r="H652" s="1245">
        <f t="shared" ca="1" si="121"/>
        <v>0</v>
      </c>
      <c r="I652" s="1245">
        <f t="shared" ca="1" si="121"/>
        <v>0</v>
      </c>
      <c r="J652" s="1245">
        <f t="shared" ca="1" si="122"/>
        <v>0</v>
      </c>
      <c r="K652" s="1245">
        <f t="shared" si="122"/>
        <v>0</v>
      </c>
      <c r="L652" s="1245">
        <f t="shared" si="122"/>
        <v>0</v>
      </c>
      <c r="M652" s="1245">
        <f t="shared" si="122"/>
        <v>0</v>
      </c>
      <c r="N652" s="1245">
        <f t="shared" si="122"/>
        <v>0</v>
      </c>
      <c r="O652" s="1245"/>
      <c r="P652" s="1245"/>
      <c r="Q652" s="1245"/>
      <c r="R652" s="1245"/>
      <c r="S652" s="1245"/>
      <c r="T652" s="1671"/>
      <c r="U652" s="1664" t="str">
        <f>IFERROR(VLOOKUP(B652,ChiTietDuToan!C:H,5,0),"")</f>
        <v>bộ</v>
      </c>
      <c r="V652" s="2309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59" t="s">
        <v>1530</v>
      </c>
      <c r="C653" s="67" t="str">
        <f t="shared" ca="1" si="105"/>
        <v xml:space="preserve"> </v>
      </c>
      <c r="D653" s="1236"/>
      <c r="E653" s="1248" t="str">
        <f>VLOOKUP($B653,DG!A:D,DG!C$2,)</f>
        <v>Kẹp nối đồng-nhôm</v>
      </c>
      <c r="F653" s="1236" t="str">
        <f>VLOOKUP($B653,DG!A:D,DG!$D$2,)</f>
        <v>cái</v>
      </c>
      <c r="G653" s="1915">
        <v>2</v>
      </c>
      <c r="H653" s="1245">
        <f t="shared" ca="1" si="121"/>
        <v>0</v>
      </c>
      <c r="I653" s="1245">
        <f t="shared" ca="1" si="121"/>
        <v>0</v>
      </c>
      <c r="J653" s="1245">
        <f t="shared" ca="1" si="122"/>
        <v>0</v>
      </c>
      <c r="K653" s="1245">
        <f t="shared" si="122"/>
        <v>0</v>
      </c>
      <c r="L653" s="1245">
        <f t="shared" si="122"/>
        <v>0</v>
      </c>
      <c r="M653" s="1245">
        <f t="shared" si="122"/>
        <v>0</v>
      </c>
      <c r="N653" s="1245">
        <f t="shared" si="122"/>
        <v>0</v>
      </c>
      <c r="O653" s="1245"/>
      <c r="P653" s="1245"/>
      <c r="Q653" s="1245"/>
      <c r="R653" s="1245"/>
      <c r="S653" s="1245"/>
      <c r="T653" s="1671"/>
      <c r="U653" s="1664" t="str">
        <f>IFERROR(VLOOKUP(B653,ChiTietDuToan!C:H,5,0),"")</f>
        <v/>
      </c>
      <c r="V653" s="2309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59" t="s">
        <v>1569</v>
      </c>
      <c r="C654" s="67" t="str">
        <f t="shared" si="105"/>
        <v xml:space="preserve"> </v>
      </c>
      <c r="D654" s="1236" t="str">
        <f>VLOOKUP($B654,DG!A:D,DG!$B$2,)</f>
        <v>05.7001</v>
      </c>
      <c r="E654" s="1241" t="str">
        <f>VLOOKUP($B654,DG!A:D,DG!C$2,)</f>
        <v xml:space="preserve">Kéo dây tiếp địa </v>
      </c>
      <c r="F654" s="1236" t="str">
        <f>VLOOKUP($B654,DG!A:D,DG!$D$2,)</f>
        <v>mét</v>
      </c>
      <c r="G654" s="1914">
        <f>G651</f>
        <v>4.9279999999999999</v>
      </c>
      <c r="H654" s="1250"/>
      <c r="I654" s="1250"/>
      <c r="J654" s="1250"/>
      <c r="K654" s="1250"/>
      <c r="L654" s="1250"/>
      <c r="M654" s="1250"/>
      <c r="N654" s="1250"/>
      <c r="O654" s="1250"/>
      <c r="P654" s="1250"/>
      <c r="Q654" s="1250"/>
      <c r="R654" s="1250"/>
      <c r="S654" s="1250"/>
      <c r="T654" s="1671"/>
      <c r="U654" s="1664" t="str">
        <f>IFERROR(VLOOKUP(B654,ChiTietDuToan!C:H,5,0),"")</f>
        <v>kg</v>
      </c>
      <c r="V654" s="2309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59" t="s">
        <v>1134</v>
      </c>
      <c r="C655" s="67" t="str">
        <f t="shared" ref="C655:C718" si="123">IF(OR(P655&lt;&gt;0,H655&lt;&gt;0),"x"," ")</f>
        <v xml:space="preserve"> </v>
      </c>
      <c r="D655" s="1236" t="str">
        <f>VLOOKUP($B655,DG!A:D,DG!$B$2,)</f>
        <v>05.8103</v>
      </c>
      <c r="E655" s="1241" t="str">
        <f>VLOOKUP($B655,DG!A:D,DG!C$2,)</f>
        <v>Đóng cọc tiếp địa đất cấp 3</v>
      </c>
      <c r="F655" s="1236" t="str">
        <f>VLOOKUP($B655,DG!A:D,DG!$D$2,)</f>
        <v>cọc</v>
      </c>
      <c r="G655" s="1915">
        <v>1</v>
      </c>
      <c r="H655" s="1245"/>
      <c r="I655" s="1245"/>
      <c r="J655" s="1245"/>
      <c r="K655" s="1245"/>
      <c r="L655" s="1245"/>
      <c r="M655" s="1245"/>
      <c r="N655" s="1245"/>
      <c r="O655" s="1245"/>
      <c r="P655" s="1245"/>
      <c r="Q655" s="1245"/>
      <c r="R655" s="1245"/>
      <c r="S655" s="1245"/>
      <c r="T655" s="1671"/>
      <c r="U655" s="1664" t="str">
        <f>IFERROR(VLOOKUP(B655,ChiTietDuToan!C:H,5,0),"")</f>
        <v>cọc</v>
      </c>
      <c r="V655" s="2309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59" t="s">
        <v>1955</v>
      </c>
      <c r="C656" s="67" t="str">
        <f t="shared" si="123"/>
        <v xml:space="preserve"> </v>
      </c>
      <c r="D656" s="1236" t="str">
        <f>VLOOKUP($B656,DG!A:D,DG!$B$2,)</f>
        <v>02.1120</v>
      </c>
      <c r="E656" s="1241" t="str">
        <f>VLOOKUP($B656,DG!A:D,DG!C$2,)</f>
        <v>Bốc dỡ phụ kiện</v>
      </c>
      <c r="F656" s="1236" t="str">
        <f>VLOOKUP($B656,DG!A:D,DG!$D$2,)</f>
        <v>tấn</v>
      </c>
      <c r="G656" s="1913">
        <v>8.0000000000000002E-3</v>
      </c>
      <c r="H656" s="1245"/>
      <c r="I656" s="1245"/>
      <c r="J656" s="1245"/>
      <c r="K656" s="1245"/>
      <c r="L656" s="1245"/>
      <c r="M656" s="1245"/>
      <c r="N656" s="1245"/>
      <c r="O656" s="1245"/>
      <c r="P656" s="1245"/>
      <c r="Q656" s="1245"/>
      <c r="R656" s="1245"/>
      <c r="S656" s="1245"/>
      <c r="T656" s="1671"/>
      <c r="U656" s="1664" t="str">
        <f>IFERROR(VLOOKUP(B656,ChiTietDuToan!C:H,5,0),"")</f>
        <v/>
      </c>
      <c r="V656" s="2309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74" t="s">
        <v>1956</v>
      </c>
      <c r="C657" s="67" t="str">
        <f t="shared" si="123"/>
        <v xml:space="preserve"> </v>
      </c>
      <c r="D657" s="1236" t="str">
        <f>VLOOKUP($B657,DG!A:C,2,)</f>
        <v>02.1351</v>
      </c>
      <c r="E657" s="1241" t="str">
        <f>VLOOKUP($B657,DG!A:C,3,)</f>
        <v>V/c tiếp địa vào vị trí ( cự ly &lt;=100m)</v>
      </c>
      <c r="F657" s="1236" t="str">
        <f>VLOOKUP($B657,DG!A:D,4,0)</f>
        <v>tấn</v>
      </c>
      <c r="G657" s="1913">
        <v>8.0000000000000002E-3</v>
      </c>
      <c r="H657" s="1250"/>
      <c r="I657" s="1250"/>
      <c r="J657" s="1250"/>
      <c r="K657" s="1250"/>
      <c r="L657" s="1250"/>
      <c r="M657" s="1250"/>
      <c r="N657" s="1250"/>
      <c r="O657" s="1250"/>
      <c r="P657" s="1250"/>
      <c r="Q657" s="1250"/>
      <c r="R657" s="1250"/>
      <c r="S657" s="1250"/>
      <c r="T657" s="1671"/>
      <c r="U657" s="1664" t="str">
        <f>IFERROR(VLOOKUP(B657,ChiTietDuToan!C:H,5,0),"")</f>
        <v/>
      </c>
      <c r="V657" s="2309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56"/>
      <c r="C658" s="65" t="str">
        <f t="shared" ca="1" si="123"/>
        <v xml:space="preserve"> </v>
      </c>
      <c r="D658" s="1237"/>
      <c r="E658" s="1666" t="s">
        <v>2460</v>
      </c>
      <c r="F658" s="1238" t="s">
        <v>2449</v>
      </c>
      <c r="G658" s="1926"/>
      <c r="H658" s="1523">
        <f ca="1">SUM(I658:O658)+T658</f>
        <v>0</v>
      </c>
      <c r="I658" s="1239">
        <f ca="1">SUMIF(tdll3pm,chitiet!$E658,sltdll3pm)</f>
        <v>0</v>
      </c>
      <c r="J658" s="1239">
        <f ca="1">SUMIF(tdllct,chitiet!$E658,sltdllct)</f>
        <v>0</v>
      </c>
      <c r="K658" s="1239">
        <f ca="1">SUMIF(tdll3p1m,chitiet!$E658,sltdll3p1m)</f>
        <v>0</v>
      </c>
      <c r="L658" s="1239">
        <f>IFERROR(HLOOKUP(A658,pp1p!$6:$90,85,0),0)</f>
        <v>0</v>
      </c>
      <c r="M658" s="1239"/>
      <c r="N658" s="1239"/>
      <c r="O658" s="1239"/>
      <c r="P658" s="1239"/>
      <c r="Q658" s="1239"/>
      <c r="R658" s="1239"/>
      <c r="S658" s="1239"/>
      <c r="T658" s="1671"/>
      <c r="U658" s="1664">
        <f>IFERROR(VLOOKUP(B658,ChiTietDuToan!C:H,5,0),"")</f>
        <v>0</v>
      </c>
      <c r="V658" s="2309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59" t="s">
        <v>1063</v>
      </c>
      <c r="C659" s="67" t="str">
        <f t="shared" ca="1" si="123"/>
        <v xml:space="preserve"> </v>
      </c>
      <c r="D659" s="1236"/>
      <c r="E659" s="1248" t="str">
        <f>VLOOKUP($B659,DG!A:D,DG!C$2,)&amp;" (6m)"</f>
        <v>Cáp đồng trần M25mm2 (6m)</v>
      </c>
      <c r="F659" s="1236" t="str">
        <f>VLOOKUP($B659,DG!A:D,DG!$D$2,)</f>
        <v>kg</v>
      </c>
      <c r="G659" s="1914">
        <f>6*0.224</f>
        <v>1.3440000000000001</v>
      </c>
      <c r="H659" s="1245">
        <f t="shared" ref="H659:N664" ca="1" si="124">H$650*$G659</f>
        <v>0</v>
      </c>
      <c r="I659" s="1245">
        <f t="shared" ca="1" si="124"/>
        <v>0</v>
      </c>
      <c r="J659" s="1245">
        <f t="shared" ca="1" si="124"/>
        <v>0</v>
      </c>
      <c r="K659" s="1245">
        <f t="shared" si="124"/>
        <v>0</v>
      </c>
      <c r="L659" s="1245">
        <f t="shared" si="124"/>
        <v>0</v>
      </c>
      <c r="M659" s="1245">
        <f t="shared" si="124"/>
        <v>0</v>
      </c>
      <c r="N659" s="1245">
        <f t="shared" si="124"/>
        <v>0</v>
      </c>
      <c r="O659" s="1245"/>
      <c r="P659" s="1245"/>
      <c r="Q659" s="1245"/>
      <c r="R659" s="1245"/>
      <c r="S659" s="1245"/>
      <c r="T659" s="1671"/>
      <c r="U659" s="1664" t="str">
        <f>IFERROR(VLOOKUP(B659,ChiTietDuToan!C:H,5,0),"")</f>
        <v>kg</v>
      </c>
      <c r="V659" s="2309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59" t="s">
        <v>802</v>
      </c>
      <c r="C660" s="67" t="str">
        <f t="shared" ca="1" si="123"/>
        <v xml:space="preserve"> </v>
      </c>
      <c r="D660" s="1236"/>
      <c r="E660" s="1241" t="str">
        <f>VLOOKUP($B660,DG!A:D,DG!C$2,)&amp;": 0,3x0,3x1"</f>
        <v>Đào rãnh tiếp địa đất cấp 3: 0,3x0,3x1</v>
      </c>
      <c r="F660" s="1236" t="str">
        <f>VLOOKUP($B660,DG!A:D,DG!$D$2,)</f>
        <v>m3</v>
      </c>
      <c r="G660" s="1925">
        <f>0.3*1*0.3</f>
        <v>0.09</v>
      </c>
      <c r="H660" s="1245">
        <f t="shared" ca="1" si="124"/>
        <v>0</v>
      </c>
      <c r="I660" s="1245">
        <f t="shared" ca="1" si="124"/>
        <v>0</v>
      </c>
      <c r="J660" s="1245">
        <f t="shared" ca="1" si="124"/>
        <v>0</v>
      </c>
      <c r="K660" s="1245">
        <f t="shared" si="124"/>
        <v>0</v>
      </c>
      <c r="L660" s="1245">
        <f t="shared" si="124"/>
        <v>0</v>
      </c>
      <c r="M660" s="1245">
        <f t="shared" si="124"/>
        <v>0</v>
      </c>
      <c r="N660" s="1245">
        <f t="shared" si="124"/>
        <v>0</v>
      </c>
      <c r="O660" s="1245"/>
      <c r="P660" s="1245"/>
      <c r="Q660" s="1245"/>
      <c r="R660" s="1245"/>
      <c r="S660" s="1245"/>
      <c r="T660" s="1671"/>
      <c r="U660" s="1664" t="str">
        <f>IFERROR(VLOOKUP(B660,ChiTietDuToan!C:H,5,0),"")</f>
        <v>m3</v>
      </c>
      <c r="V660" s="2309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59" t="s">
        <v>806</v>
      </c>
      <c r="C661" s="67" t="str">
        <f t="shared" ca="1" si="123"/>
        <v xml:space="preserve"> </v>
      </c>
      <c r="D661" s="1236"/>
      <c r="E661" s="1241" t="str">
        <f>VLOOKUP($B661,DG!A:D,DG!C$2,)&amp;": 0,3x0,3x1"</f>
        <v>Đắp đất rãnh tiếp độ chặt k=0,95: 0,3x0,3x1</v>
      </c>
      <c r="F661" s="1236" t="str">
        <f>VLOOKUP($B661,DG!A:D,DG!$D$2,)</f>
        <v>m3</v>
      </c>
      <c r="G661" s="1925">
        <f>G660</f>
        <v>0.09</v>
      </c>
      <c r="H661" s="1245">
        <f t="shared" ca="1" si="124"/>
        <v>0</v>
      </c>
      <c r="I661" s="1245">
        <f t="shared" ca="1" si="124"/>
        <v>0</v>
      </c>
      <c r="J661" s="1245">
        <f t="shared" ca="1" si="124"/>
        <v>0</v>
      </c>
      <c r="K661" s="1245">
        <f t="shared" si="124"/>
        <v>0</v>
      </c>
      <c r="L661" s="1245">
        <f t="shared" si="124"/>
        <v>0</v>
      </c>
      <c r="M661" s="1245">
        <f t="shared" si="124"/>
        <v>0</v>
      </c>
      <c r="N661" s="1245">
        <f t="shared" si="124"/>
        <v>0</v>
      </c>
      <c r="O661" s="1245"/>
      <c r="P661" s="1245"/>
      <c r="Q661" s="1245"/>
      <c r="R661" s="1245"/>
      <c r="S661" s="1245"/>
      <c r="T661" s="1671"/>
      <c r="U661" s="1664" t="str">
        <f>IFERROR(VLOOKUP(B661,ChiTietDuToan!C:H,5,0),"")</f>
        <v>m3</v>
      </c>
      <c r="V661" s="2309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59" t="s">
        <v>104</v>
      </c>
      <c r="C662" s="67" t="str">
        <f t="shared" ca="1" si="123"/>
        <v xml:space="preserve"> </v>
      </c>
      <c r="D662" s="1236"/>
      <c r="E662" s="1248" t="str">
        <f>VLOOKUP($B662,DG!A:D,DG!C$2,)</f>
        <v>Đầu cosse ép Cu 25mm2</v>
      </c>
      <c r="F662" s="1236" t="str">
        <f>VLOOKUP($B662,DG!A:D,DG!$D$2,)</f>
        <v>cái</v>
      </c>
      <c r="G662" s="1915">
        <v>1</v>
      </c>
      <c r="H662" s="1245">
        <f t="shared" ca="1" si="124"/>
        <v>0</v>
      </c>
      <c r="I662" s="1245">
        <f t="shared" ca="1" si="124"/>
        <v>0</v>
      </c>
      <c r="J662" s="1245">
        <f t="shared" ca="1" si="124"/>
        <v>0</v>
      </c>
      <c r="K662" s="1245">
        <f t="shared" si="124"/>
        <v>0</v>
      </c>
      <c r="L662" s="1245">
        <f t="shared" si="124"/>
        <v>0</v>
      </c>
      <c r="M662" s="1245">
        <f t="shared" si="124"/>
        <v>0</v>
      </c>
      <c r="N662" s="1245">
        <f t="shared" si="124"/>
        <v>0</v>
      </c>
      <c r="O662" s="1245"/>
      <c r="P662" s="1245"/>
      <c r="Q662" s="1245"/>
      <c r="R662" s="1245"/>
      <c r="S662" s="1245"/>
      <c r="T662" s="1671"/>
      <c r="U662" s="1664" t="str">
        <f>IFERROR(VLOOKUP(B662,ChiTietDuToan!C:H,5,0),"")</f>
        <v/>
      </c>
      <c r="V662" s="2309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59" t="s">
        <v>139</v>
      </c>
      <c r="C663" s="67" t="str">
        <f t="shared" ca="1" si="123"/>
        <v xml:space="preserve"> </v>
      </c>
      <c r="D663" s="1236"/>
      <c r="E663" s="1248" t="str">
        <f>VLOOKUP($B663,DG!A:D,DG!C$2,)</f>
        <v>Boulon 12x40+ 2 long đền vuông D14-50x50x3/Zn</v>
      </c>
      <c r="F663" s="1236" t="str">
        <f>VLOOKUP($B663,DG!A:D,DG!$D$2,)</f>
        <v>bộ</v>
      </c>
      <c r="G663" s="1915">
        <v>1</v>
      </c>
      <c r="H663" s="1245">
        <f t="shared" ca="1" si="124"/>
        <v>0</v>
      </c>
      <c r="I663" s="1245">
        <f t="shared" ca="1" si="124"/>
        <v>0</v>
      </c>
      <c r="J663" s="1245">
        <f t="shared" ca="1" si="124"/>
        <v>0</v>
      </c>
      <c r="K663" s="1245">
        <f t="shared" si="124"/>
        <v>0</v>
      </c>
      <c r="L663" s="1245">
        <f t="shared" si="124"/>
        <v>0</v>
      </c>
      <c r="M663" s="1245">
        <f t="shared" si="124"/>
        <v>0</v>
      </c>
      <c r="N663" s="1245">
        <f t="shared" si="124"/>
        <v>0</v>
      </c>
      <c r="O663" s="1245"/>
      <c r="P663" s="1245"/>
      <c r="Q663" s="1245"/>
      <c r="R663" s="1245"/>
      <c r="S663" s="1245"/>
      <c r="T663" s="1671"/>
      <c r="U663" s="1664" t="str">
        <f>IFERROR(VLOOKUP(B663,ChiTietDuToan!C:H,5,0),"")</f>
        <v/>
      </c>
      <c r="V663" s="2309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59" t="s">
        <v>580</v>
      </c>
      <c r="C664" s="67" t="str">
        <f t="shared" ca="1" si="123"/>
        <v xml:space="preserve"> </v>
      </c>
      <c r="D664" s="1236"/>
      <c r="E664" s="1248" t="str">
        <f>VLOOKUP($B664,DG!A:D,DG!C$2,)</f>
        <v xml:space="preserve">Ống PVC D21x1,6mm </v>
      </c>
      <c r="F664" s="1236" t="str">
        <f>VLOOKUP($B664,DG!A:D,DG!$D$2,)</f>
        <v>m</v>
      </c>
      <c r="G664" s="1915">
        <v>3</v>
      </c>
      <c r="H664" s="1245">
        <f t="shared" ca="1" si="124"/>
        <v>0</v>
      </c>
      <c r="I664" s="1245">
        <f t="shared" ca="1" si="124"/>
        <v>0</v>
      </c>
      <c r="J664" s="1245">
        <f t="shared" ca="1" si="124"/>
        <v>0</v>
      </c>
      <c r="K664" s="1245">
        <f t="shared" si="124"/>
        <v>0</v>
      </c>
      <c r="L664" s="1245">
        <f t="shared" si="124"/>
        <v>0</v>
      </c>
      <c r="M664" s="1245">
        <f t="shared" si="124"/>
        <v>0</v>
      </c>
      <c r="N664" s="1245">
        <f t="shared" si="124"/>
        <v>0</v>
      </c>
      <c r="O664" s="1245"/>
      <c r="P664" s="1245"/>
      <c r="Q664" s="1245"/>
      <c r="R664" s="1245"/>
      <c r="S664" s="1245"/>
      <c r="T664" s="1671"/>
      <c r="U664" s="1664" t="str">
        <f>IFERROR(VLOOKUP(B664,ChiTietDuToan!C:H,5,0),"")</f>
        <v>m</v>
      </c>
      <c r="V664" s="2309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59" t="s">
        <v>1569</v>
      </c>
      <c r="C665" s="67" t="str">
        <f t="shared" si="123"/>
        <v xml:space="preserve"> </v>
      </c>
      <c r="D665" s="1236" t="str">
        <f>VLOOKUP($B665,DG!A:D,DG!$B$2,)</f>
        <v>05.7001</v>
      </c>
      <c r="E665" s="1241" t="str">
        <f>VLOOKUP($B665,DG!A:D,DG!C$2,)</f>
        <v xml:space="preserve">Kéo dây tiếp địa </v>
      </c>
      <c r="F665" s="1236" t="str">
        <f>VLOOKUP($B665,DG!A:D,DG!$D$2,)</f>
        <v>mét</v>
      </c>
      <c r="G665" s="1915">
        <v>1</v>
      </c>
      <c r="H665" s="1250"/>
      <c r="I665" s="1250"/>
      <c r="J665" s="1250"/>
      <c r="K665" s="1250"/>
      <c r="L665" s="1250"/>
      <c r="M665" s="1250"/>
      <c r="N665" s="1250"/>
      <c r="O665" s="1250"/>
      <c r="P665" s="1250"/>
      <c r="Q665" s="1250"/>
      <c r="R665" s="1250"/>
      <c r="S665" s="1250"/>
      <c r="T665" s="1671"/>
      <c r="U665" s="1664" t="str">
        <f>IFERROR(VLOOKUP(B665,ChiTietDuToan!C:H,5,0),"")</f>
        <v>kg</v>
      </c>
      <c r="V665" s="2309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59" t="s">
        <v>1145</v>
      </c>
      <c r="C666" s="67" t="str">
        <f t="shared" si="123"/>
        <v xml:space="preserve"> </v>
      </c>
      <c r="D666" s="1236">
        <f>VLOOKUP($B666,DG!A:D,DG!$B$2,)</f>
        <v>0</v>
      </c>
      <c r="E666" s="1248" t="str">
        <f>VLOOKUP($B666,DG!A:D,DG!C$2,)</f>
        <v>Kẹp ép cỡ dây 25mm2</v>
      </c>
      <c r="F666" s="1236" t="str">
        <f>VLOOKUP($B666,DG!A:D,DG!$D$2,)</f>
        <v>cái</v>
      </c>
      <c r="G666" s="1915">
        <v>1</v>
      </c>
      <c r="H666" s="1245"/>
      <c r="I666" s="1245"/>
      <c r="J666" s="1245"/>
      <c r="K666" s="1245"/>
      <c r="L666" s="1245"/>
      <c r="M666" s="1245"/>
      <c r="N666" s="1245"/>
      <c r="O666" s="1245"/>
      <c r="P666" s="1245"/>
      <c r="Q666" s="1245"/>
      <c r="R666" s="1245"/>
      <c r="S666" s="1245"/>
      <c r="T666" s="1671"/>
      <c r="U666" s="1664" t="str">
        <f>IFERROR(VLOOKUP(B666,ChiTietDuToan!C:H,5,0),"")</f>
        <v/>
      </c>
      <c r="V666" s="2309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56"/>
      <c r="C667" s="65" t="str">
        <f t="shared" ca="1" si="123"/>
        <v xml:space="preserve"> </v>
      </c>
      <c r="D667" s="1237"/>
      <c r="E667" s="1666" t="s">
        <v>2461</v>
      </c>
      <c r="F667" s="1238" t="s">
        <v>2449</v>
      </c>
      <c r="G667" s="1926"/>
      <c r="H667" s="1523">
        <f ca="1">SUM(I667:O667)+T667</f>
        <v>0</v>
      </c>
      <c r="I667" s="1239">
        <f ca="1">SUMIF(tdll3pm,chitiet!$E667,sltdll3pm)</f>
        <v>0</v>
      </c>
      <c r="J667" s="1239">
        <f ca="1">SUMIF(tdllct,chitiet!$E667,sltdllct)</f>
        <v>0</v>
      </c>
      <c r="K667" s="1239">
        <f ca="1">SUMIF(tdll3p1m,chitiet!$E667,sltdll3p1m)</f>
        <v>0</v>
      </c>
      <c r="L667" s="1239">
        <f>IFERROR(HLOOKUP(A667,pp1p!$6:$90,85,0),0)</f>
        <v>0</v>
      </c>
      <c r="M667" s="1239"/>
      <c r="N667" s="1239"/>
      <c r="O667" s="1239"/>
      <c r="P667" s="1239"/>
      <c r="Q667" s="1239"/>
      <c r="R667" s="1239"/>
      <c r="S667" s="1239"/>
      <c r="T667" s="1671"/>
      <c r="U667" s="1664">
        <f>IFERROR(VLOOKUP(B667,ChiTietDuToan!C:H,5,0),"")</f>
        <v>0</v>
      </c>
      <c r="V667" s="2309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59" t="s">
        <v>103</v>
      </c>
      <c r="C668" s="67" t="str">
        <f t="shared" ca="1" si="123"/>
        <v xml:space="preserve"> </v>
      </c>
      <c r="D668" s="1236"/>
      <c r="E668" s="1248" t="str">
        <f>VLOOKUP($B668,DG!A:D,DG!C$2,)&amp;" (53m)"</f>
        <v>Cáp đồng trần M25mm2 (53m)</v>
      </c>
      <c r="F668" s="1236" t="str">
        <f>VLOOKUP($B668,DG!A:D,DG!$D$2,)</f>
        <v>kg</v>
      </c>
      <c r="G668" s="1914">
        <f>53*0.224</f>
        <v>11.872</v>
      </c>
      <c r="H668" s="1245">
        <f t="shared" ref="H668:N675" ca="1" si="125">H$650*$G668</f>
        <v>0</v>
      </c>
      <c r="I668" s="1245">
        <f t="shared" ca="1" si="125"/>
        <v>0</v>
      </c>
      <c r="J668" s="1245">
        <f t="shared" ca="1" si="125"/>
        <v>0</v>
      </c>
      <c r="K668" s="1245">
        <f t="shared" si="125"/>
        <v>0</v>
      </c>
      <c r="L668" s="1245">
        <f t="shared" si="125"/>
        <v>0</v>
      </c>
      <c r="M668" s="1245">
        <f t="shared" si="125"/>
        <v>0</v>
      </c>
      <c r="N668" s="1245">
        <f t="shared" si="125"/>
        <v>0</v>
      </c>
      <c r="O668" s="1245"/>
      <c r="P668" s="1245"/>
      <c r="Q668" s="1245"/>
      <c r="R668" s="1245"/>
      <c r="S668" s="1245"/>
      <c r="T668" s="1671"/>
      <c r="U668" s="1664" t="str">
        <f>IFERROR(VLOOKUP(B668,ChiTietDuToan!C:H,5,0),"")</f>
        <v>kg</v>
      </c>
      <c r="V668" s="2309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59" t="s">
        <v>1560</v>
      </c>
      <c r="C669" s="67" t="str">
        <f t="shared" ca="1" si="123"/>
        <v xml:space="preserve"> </v>
      </c>
      <c r="D669" s="1236"/>
      <c r="E669" s="1248" t="str">
        <f>VLOOKUP($B669,DG!A:D,DG!C$2,)</f>
        <v>Cọc tiếp đất Ø 16- 2,4m + kẹp cọc</v>
      </c>
      <c r="F669" s="1236" t="str">
        <f>VLOOKUP($B669,DG!A:D,DG!$D$2,)</f>
        <v>bộ</v>
      </c>
      <c r="G669" s="1915">
        <v>9</v>
      </c>
      <c r="H669" s="1245">
        <f t="shared" ca="1" si="125"/>
        <v>0</v>
      </c>
      <c r="I669" s="1245">
        <f t="shared" ca="1" si="125"/>
        <v>0</v>
      </c>
      <c r="J669" s="1245">
        <f t="shared" ca="1" si="125"/>
        <v>0</v>
      </c>
      <c r="K669" s="1245">
        <f t="shared" si="125"/>
        <v>0</v>
      </c>
      <c r="L669" s="1245">
        <f t="shared" si="125"/>
        <v>0</v>
      </c>
      <c r="M669" s="1245">
        <f t="shared" si="125"/>
        <v>0</v>
      </c>
      <c r="N669" s="1245">
        <f t="shared" si="125"/>
        <v>0</v>
      </c>
      <c r="O669" s="1245"/>
      <c r="P669" s="1245"/>
      <c r="Q669" s="1245"/>
      <c r="R669" s="1245"/>
      <c r="S669" s="1245"/>
      <c r="T669" s="1671"/>
      <c r="U669" s="1664" t="str">
        <f>IFERROR(VLOOKUP(B669,ChiTietDuToan!C:H,5,0),"")</f>
        <v>bộ</v>
      </c>
      <c r="V669" s="2309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59" t="s">
        <v>922</v>
      </c>
      <c r="C670" s="67" t="str">
        <f t="shared" ca="1" si="123"/>
        <v xml:space="preserve"> </v>
      </c>
      <c r="D670" s="1236"/>
      <c r="E670" s="1248" t="str">
        <f>VLOOKUP($B670,DG!A:D,DG!C$2,)</f>
        <v>Kẹp ép WR cỡ dây 50mm2</v>
      </c>
      <c r="F670" s="1236" t="str">
        <f>VLOOKUP($B670,DG!A:D,DG!$D$2,)</f>
        <v>cái</v>
      </c>
      <c r="G670" s="1915">
        <v>2</v>
      </c>
      <c r="H670" s="1245">
        <f t="shared" ca="1" si="125"/>
        <v>0</v>
      </c>
      <c r="I670" s="1245">
        <f t="shared" ca="1" si="125"/>
        <v>0</v>
      </c>
      <c r="J670" s="1245">
        <f t="shared" ca="1" si="125"/>
        <v>0</v>
      </c>
      <c r="K670" s="1245">
        <f t="shared" si="125"/>
        <v>0</v>
      </c>
      <c r="L670" s="1245">
        <f t="shared" si="125"/>
        <v>0</v>
      </c>
      <c r="M670" s="1245">
        <f t="shared" si="125"/>
        <v>0</v>
      </c>
      <c r="N670" s="1245">
        <f t="shared" si="125"/>
        <v>0</v>
      </c>
      <c r="O670" s="1245"/>
      <c r="P670" s="1245"/>
      <c r="Q670" s="1245"/>
      <c r="R670" s="1245"/>
      <c r="S670" s="1245"/>
      <c r="T670" s="1671"/>
      <c r="U670" s="1664" t="str">
        <f>IFERROR(VLOOKUP(B670,ChiTietDuToan!C:H,5,0),"")</f>
        <v/>
      </c>
      <c r="V670" s="2309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59" t="s">
        <v>1144</v>
      </c>
      <c r="C671" s="67" t="str">
        <f t="shared" ca="1" si="123"/>
        <v xml:space="preserve"> </v>
      </c>
      <c r="D671" s="1236"/>
      <c r="E671" s="1248" t="str">
        <f>VLOOKUP($B671,DG!A:D,DG!C$2,)</f>
        <v>Kẹp ép cỡ dây 25mm2</v>
      </c>
      <c r="F671" s="1236" t="str">
        <f>VLOOKUP($B671,DG!A:D,DG!$D$2,)</f>
        <v>cái</v>
      </c>
      <c r="G671" s="1915">
        <v>11</v>
      </c>
      <c r="H671" s="1245">
        <f t="shared" ca="1" si="125"/>
        <v>0</v>
      </c>
      <c r="I671" s="1245">
        <f t="shared" ca="1" si="125"/>
        <v>0</v>
      </c>
      <c r="J671" s="1245">
        <f t="shared" ca="1" si="125"/>
        <v>0</v>
      </c>
      <c r="K671" s="1245">
        <f t="shared" si="125"/>
        <v>0</v>
      </c>
      <c r="L671" s="1245">
        <f t="shared" si="125"/>
        <v>0</v>
      </c>
      <c r="M671" s="1245">
        <f t="shared" si="125"/>
        <v>0</v>
      </c>
      <c r="N671" s="1245">
        <f t="shared" si="125"/>
        <v>0</v>
      </c>
      <c r="O671" s="1245"/>
      <c r="P671" s="1245"/>
      <c r="Q671" s="1245"/>
      <c r="R671" s="1245"/>
      <c r="S671" s="1245"/>
      <c r="T671" s="1671"/>
      <c r="U671" s="1664" t="str">
        <f>IFERROR(VLOOKUP(B671,ChiTietDuToan!C:H,5,0),"")</f>
        <v/>
      </c>
      <c r="V671" s="2309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59" t="s">
        <v>1542</v>
      </c>
      <c r="C672" s="67" t="str">
        <f t="shared" ca="1" si="123"/>
        <v xml:space="preserve"> </v>
      </c>
      <c r="D672" s="1236"/>
      <c r="E672" s="1248" t="str">
        <f>VLOOKUP($B672,DG!A:D,DG!C$2,)</f>
        <v xml:space="preserve">Ống PVC D21x1,6mm </v>
      </c>
      <c r="F672" s="1236" t="str">
        <f>VLOOKUP($B672,DG!A:D,DG!$D$2,)</f>
        <v>m</v>
      </c>
      <c r="G672" s="1915">
        <v>6</v>
      </c>
      <c r="H672" s="1245">
        <f t="shared" ca="1" si="125"/>
        <v>0</v>
      </c>
      <c r="I672" s="1245">
        <f t="shared" ca="1" si="125"/>
        <v>0</v>
      </c>
      <c r="J672" s="1245">
        <f t="shared" ca="1" si="125"/>
        <v>0</v>
      </c>
      <c r="K672" s="1245">
        <f t="shared" si="125"/>
        <v>0</v>
      </c>
      <c r="L672" s="1245">
        <f t="shared" si="125"/>
        <v>0</v>
      </c>
      <c r="M672" s="1245">
        <f t="shared" si="125"/>
        <v>0</v>
      </c>
      <c r="N672" s="1245">
        <f t="shared" si="125"/>
        <v>0</v>
      </c>
      <c r="O672" s="1245"/>
      <c r="P672" s="1245"/>
      <c r="Q672" s="1245"/>
      <c r="R672" s="1245"/>
      <c r="S672" s="1245"/>
      <c r="T672" s="1671"/>
      <c r="U672" s="1664" t="str">
        <f>IFERROR(VLOOKUP(B672,ChiTietDuToan!C:H,5,0),"")</f>
        <v>m</v>
      </c>
      <c r="V672" s="2309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59" t="s">
        <v>528</v>
      </c>
      <c r="C673" s="67" t="str">
        <f t="shared" ca="1" si="123"/>
        <v xml:space="preserve"> </v>
      </c>
      <c r="D673" s="1236"/>
      <c r="E673" s="1248" t="str">
        <f>VLOOKUP($B673,DG!A:D,DG!C$2,)</f>
        <v>Cổ dê kẹp ống PVC  21</v>
      </c>
      <c r="F673" s="1236" t="str">
        <f>VLOOKUP($B673,DG!A:D,DG!$D$2,)</f>
        <v>bộ</v>
      </c>
      <c r="G673" s="1915">
        <v>3</v>
      </c>
      <c r="H673" s="1245">
        <f t="shared" ca="1" si="125"/>
        <v>0</v>
      </c>
      <c r="I673" s="1245">
        <f t="shared" ca="1" si="125"/>
        <v>0</v>
      </c>
      <c r="J673" s="1245">
        <f t="shared" ca="1" si="125"/>
        <v>0</v>
      </c>
      <c r="K673" s="1245">
        <f t="shared" si="125"/>
        <v>0</v>
      </c>
      <c r="L673" s="1245">
        <f t="shared" si="125"/>
        <v>0</v>
      </c>
      <c r="M673" s="1245">
        <f t="shared" si="125"/>
        <v>0</v>
      </c>
      <c r="N673" s="1245">
        <f t="shared" si="125"/>
        <v>0</v>
      </c>
      <c r="O673" s="1245"/>
      <c r="P673" s="1245"/>
      <c r="Q673" s="1245"/>
      <c r="R673" s="1245"/>
      <c r="S673" s="1245"/>
      <c r="T673" s="1671"/>
      <c r="U673" s="1664" t="str">
        <f>IFERROR(VLOOKUP(B673,ChiTietDuToan!C:H,5,0),"")</f>
        <v>bộ</v>
      </c>
      <c r="V673" s="2309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59" t="s">
        <v>1082</v>
      </c>
      <c r="C674" s="67" t="str">
        <f t="shared" ca="1" si="123"/>
        <v xml:space="preserve"> </v>
      </c>
      <c r="D674" s="1236"/>
      <c r="E674" s="1248" t="str">
        <f>VLOOKUP($B674,DG!A:D,DG!C$2,)</f>
        <v>Đầu cosse ép Cu 25mm2</v>
      </c>
      <c r="F674" s="1236" t="str">
        <f>VLOOKUP($B674,DG!A:D,DG!$D$2,)</f>
        <v>cái</v>
      </c>
      <c r="G674" s="1915">
        <v>2</v>
      </c>
      <c r="H674" s="1245">
        <f t="shared" ca="1" si="125"/>
        <v>0</v>
      </c>
      <c r="I674" s="1245">
        <f t="shared" ca="1" si="125"/>
        <v>0</v>
      </c>
      <c r="J674" s="1245">
        <f t="shared" ca="1" si="125"/>
        <v>0</v>
      </c>
      <c r="K674" s="1245">
        <f t="shared" si="125"/>
        <v>0</v>
      </c>
      <c r="L674" s="1245">
        <f t="shared" si="125"/>
        <v>0</v>
      </c>
      <c r="M674" s="1245">
        <f t="shared" si="125"/>
        <v>0</v>
      </c>
      <c r="N674" s="1245">
        <f t="shared" si="125"/>
        <v>0</v>
      </c>
      <c r="O674" s="1245"/>
      <c r="P674" s="1245"/>
      <c r="Q674" s="1245"/>
      <c r="R674" s="1245"/>
      <c r="S674" s="1245"/>
      <c r="T674" s="1671"/>
      <c r="U674" s="1664" t="str">
        <f>IFERROR(VLOOKUP(B674,ChiTietDuToan!C:H,5,0),"")</f>
        <v/>
      </c>
      <c r="V674" s="2309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59" t="s">
        <v>2072</v>
      </c>
      <c r="C675" s="67" t="str">
        <f t="shared" ca="1" si="123"/>
        <v xml:space="preserve"> </v>
      </c>
      <c r="D675" s="1236"/>
      <c r="E675" s="1248" t="str">
        <f>VLOOKUP($B675,DG!A:D,DG!C$2,)</f>
        <v>Boulon 12x40+ 2 long đền vuông D14-50x50x3/Zn</v>
      </c>
      <c r="F675" s="1236" t="str">
        <f>VLOOKUP($B675,DG!A:D,DG!$D$2,)</f>
        <v>bộ</v>
      </c>
      <c r="G675" s="1915">
        <v>1</v>
      </c>
      <c r="H675" s="1245">
        <f t="shared" ca="1" si="125"/>
        <v>0</v>
      </c>
      <c r="I675" s="1245">
        <f t="shared" ca="1" si="125"/>
        <v>0</v>
      </c>
      <c r="J675" s="1245">
        <f t="shared" ca="1" si="125"/>
        <v>0</v>
      </c>
      <c r="K675" s="1245">
        <f t="shared" si="125"/>
        <v>0</v>
      </c>
      <c r="L675" s="1245">
        <f t="shared" si="125"/>
        <v>0</v>
      </c>
      <c r="M675" s="1245">
        <f t="shared" si="125"/>
        <v>0</v>
      </c>
      <c r="N675" s="1245">
        <f t="shared" si="125"/>
        <v>0</v>
      </c>
      <c r="O675" s="1245"/>
      <c r="P675" s="1245"/>
      <c r="Q675" s="1245"/>
      <c r="R675" s="1245"/>
      <c r="S675" s="1245"/>
      <c r="T675" s="1671"/>
      <c r="U675" s="1664" t="str">
        <f>IFERROR(VLOOKUP(B675,ChiTietDuToan!C:H,5,0),"")</f>
        <v/>
      </c>
      <c r="V675" s="2309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59" t="s">
        <v>1569</v>
      </c>
      <c r="C676" s="67" t="str">
        <f t="shared" si="123"/>
        <v xml:space="preserve"> </v>
      </c>
      <c r="D676" s="1236" t="str">
        <f>VLOOKUP($B676,DG!A:D,DG!$B$2,)</f>
        <v>05.7001</v>
      </c>
      <c r="E676" s="1241" t="str">
        <f>VLOOKUP($B676,DG!A:D,DG!C$2,)</f>
        <v xml:space="preserve">Kéo dây tiếp địa </v>
      </c>
      <c r="F676" s="1236" t="str">
        <f>VLOOKUP($B676,DG!A:D,DG!$D$2,)</f>
        <v>mét</v>
      </c>
      <c r="G676" s="1925">
        <f>G668</f>
        <v>11.872</v>
      </c>
      <c r="H676" s="1250"/>
      <c r="I676" s="1250"/>
      <c r="J676" s="1250"/>
      <c r="K676" s="1250"/>
      <c r="L676" s="1250"/>
      <c r="M676" s="1250"/>
      <c r="N676" s="1250"/>
      <c r="O676" s="1250"/>
      <c r="P676" s="1250"/>
      <c r="Q676" s="1250"/>
      <c r="R676" s="1250"/>
      <c r="S676" s="1250"/>
      <c r="T676" s="1671"/>
      <c r="U676" s="1664" t="str">
        <f>IFERROR(VLOOKUP(B676,ChiTietDuToan!C:H,5,0),"")</f>
        <v>kg</v>
      </c>
      <c r="V676" s="2309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59" t="s">
        <v>1134</v>
      </c>
      <c r="C677" s="67" t="str">
        <f t="shared" si="123"/>
        <v xml:space="preserve"> </v>
      </c>
      <c r="D677" s="1236" t="str">
        <f>VLOOKUP($B677,DG!A:D,DG!$B$2,)</f>
        <v>05.8103</v>
      </c>
      <c r="E677" s="1241" t="str">
        <f>VLOOKUP($B677,DG!A:D,DG!C$2,)</f>
        <v>Đóng cọc tiếp địa đất cấp 3</v>
      </c>
      <c r="F677" s="1236" t="str">
        <f>VLOOKUP($B677,DG!A:D,DG!$D$2,)</f>
        <v>cọc</v>
      </c>
      <c r="G677" s="1915">
        <f>G669</f>
        <v>9</v>
      </c>
      <c r="H677" s="1245"/>
      <c r="I677" s="1245"/>
      <c r="J677" s="1245"/>
      <c r="K677" s="1245"/>
      <c r="L677" s="1245"/>
      <c r="M677" s="1245"/>
      <c r="N677" s="1245"/>
      <c r="O677" s="1245"/>
      <c r="P677" s="1245"/>
      <c r="Q677" s="1245"/>
      <c r="R677" s="1245"/>
      <c r="S677" s="1245"/>
      <c r="T677" s="1671"/>
      <c r="U677" s="1664" t="str">
        <f>IFERROR(VLOOKUP(B677,ChiTietDuToan!C:H,5,0),"")</f>
        <v>cọc</v>
      </c>
      <c r="V677" s="2309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59" t="s">
        <v>1085</v>
      </c>
      <c r="C678" s="67" t="str">
        <f t="shared" si="123"/>
        <v xml:space="preserve"> </v>
      </c>
      <c r="D678" s="1236" t="str">
        <f>VLOOKUP($B678,DG!A:D,DG!$B$2,)</f>
        <v>03.3123</v>
      </c>
      <c r="E678" s="1241" t="str">
        <f>VLOOKUP($B678,DG!A:D,DG!C$2,)</f>
        <v>Đào rãnh tiếp địa đất cấp 3</v>
      </c>
      <c r="F678" s="1236" t="str">
        <f>VLOOKUP($B678,DG!A:D,DG!$D$2,)</f>
        <v>m3</v>
      </c>
      <c r="G678" s="1925">
        <v>13.2</v>
      </c>
      <c r="H678" s="1250"/>
      <c r="I678" s="1250"/>
      <c r="J678" s="1250"/>
      <c r="K678" s="1250"/>
      <c r="L678" s="1250"/>
      <c r="M678" s="1250"/>
      <c r="N678" s="1250"/>
      <c r="O678" s="1250"/>
      <c r="P678" s="1250"/>
      <c r="Q678" s="1250"/>
      <c r="R678" s="1250"/>
      <c r="S678" s="1250"/>
      <c r="T678" s="1671"/>
      <c r="U678" s="1664" t="str">
        <f>IFERROR(VLOOKUP(B678,ChiTietDuToan!C:H,5,0),"")</f>
        <v>m3</v>
      </c>
      <c r="V678" s="2309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59" t="s">
        <v>1086</v>
      </c>
      <c r="C679" s="67" t="str">
        <f t="shared" si="123"/>
        <v xml:space="preserve"> </v>
      </c>
      <c r="D679" s="1236" t="str">
        <f>VLOOKUP($B679,DG!A:D,DG!$B$2,)</f>
        <v>03.4123</v>
      </c>
      <c r="E679" s="1241" t="str">
        <f>VLOOKUP($B679,DG!A:D,DG!C$2,)</f>
        <v>Đắp đất rãnh tiếp độ chặt k=0,95</v>
      </c>
      <c r="F679" s="1236" t="str">
        <f>VLOOKUP($B679,DG!A:D,DG!$D$2,)</f>
        <v>m3</v>
      </c>
      <c r="G679" s="1925">
        <f>G678</f>
        <v>13.2</v>
      </c>
      <c r="H679" s="1245"/>
      <c r="I679" s="1245"/>
      <c r="J679" s="1245"/>
      <c r="K679" s="1245"/>
      <c r="L679" s="1245"/>
      <c r="M679" s="1245"/>
      <c r="N679" s="1245"/>
      <c r="O679" s="1245"/>
      <c r="P679" s="1245"/>
      <c r="Q679" s="1245"/>
      <c r="R679" s="1245"/>
      <c r="S679" s="1245"/>
      <c r="T679" s="1671"/>
      <c r="U679" s="1664" t="str">
        <f>IFERROR(VLOOKUP(B679,ChiTietDuToan!C:H,5,0),"")</f>
        <v>m3</v>
      </c>
      <c r="V679" s="2309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59" t="s">
        <v>1955</v>
      </c>
      <c r="C680" s="67" t="str">
        <f t="shared" si="123"/>
        <v xml:space="preserve"> </v>
      </c>
      <c r="D680" s="1236" t="str">
        <f>VLOOKUP($B680,DG!A:D,DG!$B$2,)</f>
        <v>02.1120</v>
      </c>
      <c r="E680" s="1241" t="str">
        <f>VLOOKUP($B680,DG!A:D,DG!C$2,)</f>
        <v>Bốc dỡ phụ kiện</v>
      </c>
      <c r="F680" s="1236" t="str">
        <f>VLOOKUP($B680,DG!A:D,DG!$D$2,)</f>
        <v>tấn</v>
      </c>
      <c r="G680" s="1913"/>
      <c r="H680" s="1245"/>
      <c r="I680" s="1245"/>
      <c r="J680" s="1245"/>
      <c r="K680" s="1245"/>
      <c r="L680" s="1245"/>
      <c r="M680" s="1245"/>
      <c r="N680" s="1245"/>
      <c r="O680" s="1245"/>
      <c r="P680" s="1245"/>
      <c r="Q680" s="1245"/>
      <c r="R680" s="1245"/>
      <c r="S680" s="1245"/>
      <c r="T680" s="1671"/>
      <c r="U680" s="1664" t="str">
        <f>IFERROR(VLOOKUP(B680,ChiTietDuToan!C:H,5,0),"")</f>
        <v/>
      </c>
      <c r="V680" s="2309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74" t="s">
        <v>1956</v>
      </c>
      <c r="C681" s="67" t="str">
        <f t="shared" si="123"/>
        <v xml:space="preserve"> </v>
      </c>
      <c r="D681" s="1236" t="str">
        <f>VLOOKUP($B681,DG!A:C,2,)</f>
        <v>02.1351</v>
      </c>
      <c r="E681" s="1241" t="str">
        <f>VLOOKUP($B681,DG!A:C,3,)</f>
        <v>V/c tiếp địa vào vị trí ( cự ly &lt;=100m)</v>
      </c>
      <c r="F681" s="1236" t="str">
        <f>VLOOKUP($B681,DG!A:D,4,0)</f>
        <v>tấn</v>
      </c>
      <c r="G681" s="1913"/>
      <c r="H681" s="1250"/>
      <c r="I681" s="1250"/>
      <c r="J681" s="1250"/>
      <c r="K681" s="1250"/>
      <c r="L681" s="1250"/>
      <c r="M681" s="1250"/>
      <c r="N681" s="1250"/>
      <c r="O681" s="1250"/>
      <c r="P681" s="1250"/>
      <c r="Q681" s="1250"/>
      <c r="R681" s="1250"/>
      <c r="S681" s="1250"/>
      <c r="T681" s="1671"/>
      <c r="U681" s="1664" t="str">
        <f>IFERROR(VLOOKUP(B681,ChiTietDuToan!C:H,5,0),"")</f>
        <v/>
      </c>
      <c r="V681" s="2309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55"/>
      <c r="B682" s="1960"/>
      <c r="C682" s="1189" t="str">
        <f>IF(OR(H682&lt;&gt;0,P682&lt;&gt;0),"x"," ")</f>
        <v>x</v>
      </c>
      <c r="D682" s="1238" t="s">
        <v>961</v>
      </c>
      <c r="E682" s="1235" t="s">
        <v>2352</v>
      </c>
      <c r="F682" s="1237"/>
      <c r="G682" s="1927">
        <f>SUM(H682:N682)+S682</f>
        <v>0</v>
      </c>
      <c r="H682" s="1523">
        <f>SUM(I682:O682)+T682</f>
        <v>0</v>
      </c>
      <c r="I682" s="1237"/>
      <c r="J682" s="1237"/>
      <c r="K682" s="1237"/>
      <c r="L682" s="1239">
        <f>IFERROR(HLOOKUP(A682,pp1p!$6:$90,85,0),0)</f>
        <v>0</v>
      </c>
      <c r="M682" s="1237"/>
      <c r="N682" s="1237"/>
      <c r="O682" s="1237"/>
      <c r="P682" s="1946" t="s">
        <v>1046</v>
      </c>
      <c r="Q682" s="1237"/>
      <c r="R682" s="1237"/>
      <c r="S682" s="1237"/>
      <c r="T682" s="1664"/>
      <c r="U682" s="1664">
        <f>IFERROR(VLOOKUP(B682,ChiTietDuToan!C:H,5,0),"")</f>
        <v>0</v>
      </c>
      <c r="V682" s="2309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62"/>
      <c r="C683" s="1189" t="str">
        <f t="shared" ca="1" si="123"/>
        <v xml:space="preserve"> </v>
      </c>
      <c r="D683" s="1237"/>
      <c r="E683" s="1666" t="s">
        <v>2462</v>
      </c>
      <c r="F683" s="1238" t="s">
        <v>2340</v>
      </c>
      <c r="G683" s="1912"/>
      <c r="H683" s="1523">
        <f ca="1">SUM(I683:O683)+T683</f>
        <v>0</v>
      </c>
      <c r="I683" s="1239">
        <f ca="1">SUMIF(BTLT3pm,$A683,slBTLT3pm)</f>
        <v>0</v>
      </c>
      <c r="J683" s="1239">
        <f ca="1">SUMIF(BTLTct,$A683,slBTLTct)</f>
        <v>0</v>
      </c>
      <c r="K683" s="1239">
        <f ca="1">SUMIF(BTLT3p1m,$A683,slBTLT3p1m)</f>
        <v>0</v>
      </c>
      <c r="L683" s="1239">
        <f>IFERROR(HLOOKUP(A683,pp1p!$6:$90,85,0),0)</f>
        <v>0</v>
      </c>
      <c r="M683" s="1239">
        <f ca="1">SUMIF(BTLTHTHH,$A683,slBTLTHTHH)</f>
        <v>0</v>
      </c>
      <c r="N683" s="1239">
        <f ca="1">SUMIF(BTLTHTDL,$A683,slBTLTHTDL)</f>
        <v>0</v>
      </c>
      <c r="O683" s="1239"/>
      <c r="P683" s="1239"/>
      <c r="Q683" s="1239"/>
      <c r="R683" s="1239"/>
      <c r="S683" s="1239"/>
      <c r="T683" s="1671"/>
      <c r="U683" s="1664">
        <f>IFERROR(VLOOKUP(B683,ChiTietDuToan!C:H,5,0),"")</f>
        <v>0</v>
      </c>
      <c r="V683" s="2309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59" t="s">
        <v>444</v>
      </c>
      <c r="C684" s="1189" t="str">
        <f t="shared" ca="1" si="123"/>
        <v xml:space="preserve"> </v>
      </c>
      <c r="D684" s="1236"/>
      <c r="E684" s="1248" t="str">
        <f>VLOOKUP($B684,DG!A:D,DG!$C$2,)</f>
        <v>Trụ thép tròn cao 6 mét</v>
      </c>
      <c r="F684" s="1236" t="str">
        <f>VLOOKUP($B684,DG!A:D,DG!$D$2,)</f>
        <v>trụ</v>
      </c>
      <c r="G684" s="1915">
        <v>1</v>
      </c>
      <c r="H684" s="1245">
        <f ca="1">H$690*$G684</f>
        <v>0</v>
      </c>
      <c r="I684" s="1245">
        <f t="shared" ref="I684:N685" ca="1" si="126">I$690*$G684</f>
        <v>0</v>
      </c>
      <c r="J684" s="1245">
        <f t="shared" ca="1" si="126"/>
        <v>0</v>
      </c>
      <c r="K684" s="1245">
        <f t="shared" ca="1" si="126"/>
        <v>0</v>
      </c>
      <c r="L684" s="1245">
        <f t="shared" si="126"/>
        <v>0</v>
      </c>
      <c r="M684" s="1245">
        <f t="shared" ca="1" si="126"/>
        <v>0</v>
      </c>
      <c r="N684" s="1245">
        <f t="shared" ca="1" si="126"/>
        <v>0</v>
      </c>
      <c r="O684" s="1245"/>
      <c r="P684" s="1245"/>
      <c r="Q684" s="1245"/>
      <c r="R684" s="1245"/>
      <c r="S684" s="1245"/>
      <c r="T684" s="1671"/>
      <c r="U684" s="1664" t="str">
        <f>IFERROR(VLOOKUP(B684,ChiTietDuToan!C:H,5,0),"")</f>
        <v/>
      </c>
      <c r="V684" s="2309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59" t="s">
        <v>1867</v>
      </c>
      <c r="C685" s="1189" t="str">
        <f t="shared" ca="1" si="123"/>
        <v xml:space="preserve"> </v>
      </c>
      <c r="D685" s="1236"/>
      <c r="E685" s="1248" t="str">
        <f>VLOOKUP($B685,DG!A:D,DG!$C$2,)</f>
        <v>Vật liệu dựng trụ</v>
      </c>
      <c r="F685" s="1236" t="str">
        <f>VLOOKUP($B685,DG!A:D,DG!$D$2,)</f>
        <v>trụ</v>
      </c>
      <c r="G685" s="1915">
        <v>1</v>
      </c>
      <c r="H685" s="1245">
        <f ca="1">H$690*$G685</f>
        <v>0</v>
      </c>
      <c r="I685" s="1245">
        <f t="shared" ca="1" si="126"/>
        <v>0</v>
      </c>
      <c r="J685" s="1245">
        <f t="shared" ca="1" si="126"/>
        <v>0</v>
      </c>
      <c r="K685" s="1245">
        <f t="shared" ca="1" si="126"/>
        <v>0</v>
      </c>
      <c r="L685" s="1245">
        <f t="shared" si="126"/>
        <v>0</v>
      </c>
      <c r="M685" s="1245">
        <f t="shared" ca="1" si="126"/>
        <v>0</v>
      </c>
      <c r="N685" s="1245">
        <f t="shared" ca="1" si="126"/>
        <v>0</v>
      </c>
      <c r="O685" s="1245"/>
      <c r="P685" s="1245"/>
      <c r="Q685" s="1245"/>
      <c r="R685" s="1245"/>
      <c r="S685" s="1245"/>
      <c r="T685" s="1671"/>
      <c r="U685" s="1664" t="str">
        <f>IFERROR(VLOOKUP(B685,ChiTietDuToan!C:H,5,0),"")</f>
        <v/>
      </c>
      <c r="V685" s="2309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59" t="s">
        <v>1469</v>
      </c>
      <c r="C686" s="1189" t="str">
        <f t="shared" si="123"/>
        <v xml:space="preserve"> </v>
      </c>
      <c r="D686" s="1236" t="str">
        <f>VLOOKUP($B686,DG!A:D,DG!$B$2,)</f>
        <v>CS3.01.013</v>
      </c>
      <c r="E686" s="1241" t="str">
        <f>VLOOKUP($B686,DG!A:D,DG!$C$2,)</f>
        <v>Lắp trụ thép ≤ 8m bằng thủ công</v>
      </c>
      <c r="F686" s="1236" t="str">
        <f>VLOOKUP($B686,DG!A:D,DG!$D$2,)</f>
        <v>trụ</v>
      </c>
      <c r="G686" s="1915">
        <v>1</v>
      </c>
      <c r="H686" s="1250"/>
      <c r="I686" s="1250"/>
      <c r="J686" s="1250"/>
      <c r="K686" s="1250"/>
      <c r="L686" s="1250"/>
      <c r="M686" s="1250"/>
      <c r="N686" s="1250"/>
      <c r="O686" s="1250"/>
      <c r="P686" s="1250"/>
      <c r="Q686" s="1250"/>
      <c r="R686" s="1250"/>
      <c r="S686" s="1250"/>
      <c r="T686" s="1671"/>
      <c r="U686" s="1664" t="str">
        <f>IFERROR(VLOOKUP(B686,ChiTietDuToan!C:H,5,0),"")</f>
        <v/>
      </c>
      <c r="V686" s="2309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59" t="s">
        <v>1228</v>
      </c>
      <c r="C687" s="1189" t="str">
        <f t="shared" si="123"/>
        <v xml:space="preserve"> </v>
      </c>
      <c r="D687" s="1236" t="str">
        <f>VLOOKUP($B687,DG!A:D,DG!$B$2,)</f>
        <v>02.1124</v>
      </c>
      <c r="E687" s="1241" t="str">
        <f>VLOOKUP($B687,DG!A:D,DG!$C$2,)</f>
        <v xml:space="preserve">Bốc dỡ trụ </v>
      </c>
      <c r="F687" s="1236" t="str">
        <f>VLOOKUP($B687,DG!A:D,DG!$D$2,)</f>
        <v>tấn</v>
      </c>
      <c r="G687" s="1914">
        <v>0.2</v>
      </c>
      <c r="H687" s="1250"/>
      <c r="I687" s="1250"/>
      <c r="J687" s="1250"/>
      <c r="K687" s="1250"/>
      <c r="L687" s="1250"/>
      <c r="M687" s="1250"/>
      <c r="N687" s="1250"/>
      <c r="O687" s="1250"/>
      <c r="P687" s="1250"/>
      <c r="Q687" s="1250"/>
      <c r="R687" s="1250"/>
      <c r="S687" s="1250"/>
      <c r="T687" s="1671"/>
      <c r="U687" s="1664" t="str">
        <f>IFERROR(VLOOKUP(B687,ChiTietDuToan!C:H,5,0),"")</f>
        <v/>
      </c>
      <c r="V687" s="2309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74" t="s">
        <v>1229</v>
      </c>
      <c r="C688" s="1189" t="str">
        <f t="shared" si="123"/>
        <v xml:space="preserve"> </v>
      </c>
      <c r="D688" s="1236" t="str">
        <f>VLOOKUP($B688,DG!A:C,2,)</f>
        <v>02.1461</v>
      </c>
      <c r="E688" s="1241" t="str">
        <f>VLOOKUP($B688,DG!A:C,3,)</f>
        <v>V/c cột vào vị trí (cự ly &lt;=100m)</v>
      </c>
      <c r="F688" s="1236" t="str">
        <f>VLOOKUP($B688,DG!A:D,4,0)</f>
        <v>tấn</v>
      </c>
      <c r="G688" s="1914">
        <f>G687</f>
        <v>0.2</v>
      </c>
      <c r="H688" s="1250"/>
      <c r="I688" s="1250"/>
      <c r="J688" s="1250"/>
      <c r="K688" s="1250"/>
      <c r="L688" s="1250"/>
      <c r="M688" s="1250"/>
      <c r="N688" s="1250"/>
      <c r="O688" s="1250"/>
      <c r="P688" s="1250"/>
      <c r="Q688" s="1250"/>
      <c r="R688" s="1250"/>
      <c r="S688" s="1250"/>
      <c r="T688" s="1671"/>
      <c r="U688" s="1664" t="str">
        <f>IFERROR(VLOOKUP(B688,ChiTietDuToan!C:H,5,0),"")</f>
        <v/>
      </c>
      <c r="V688" s="2309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74" t="s">
        <v>640</v>
      </c>
      <c r="C689" s="1189" t="str">
        <f t="shared" si="123"/>
        <v xml:space="preserve"> </v>
      </c>
      <c r="D689" s="1236" t="str">
        <f>VLOOKUP($B689,DG!A:C,2,)</f>
        <v>02.1482</v>
      </c>
      <c r="E689" s="1241" t="str">
        <f>VLOOKUP($B689,DG!A:C,3,)</f>
        <v>V/c dụng cụ thi công vào vị trí (cự ly &lt;=100m)</v>
      </c>
      <c r="F689" s="1236" t="str">
        <f>VLOOKUP($B689,DG!A:D,4,0)</f>
        <v>tấn</v>
      </c>
      <c r="G689" s="1914">
        <v>0.25</v>
      </c>
      <c r="H689" s="1250"/>
      <c r="I689" s="1250"/>
      <c r="J689" s="1250"/>
      <c r="K689" s="1250"/>
      <c r="L689" s="1250"/>
      <c r="M689" s="1250"/>
      <c r="N689" s="1250"/>
      <c r="O689" s="1250"/>
      <c r="P689" s="1250"/>
      <c r="Q689" s="1250"/>
      <c r="R689" s="1250"/>
      <c r="S689" s="1250"/>
      <c r="T689" s="1671"/>
      <c r="U689" s="1664" t="str">
        <f>IFERROR(VLOOKUP(B689,ChiTietDuToan!C:H,5,0),"")</f>
        <v/>
      </c>
      <c r="V689" s="2309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105" t="s">
        <v>234</v>
      </c>
      <c r="B690" s="1962"/>
      <c r="C690" s="1189" t="str">
        <f t="shared" ca="1" si="123"/>
        <v xml:space="preserve"> </v>
      </c>
      <c r="D690" s="1237"/>
      <c r="E690" s="1666" t="s">
        <v>2463</v>
      </c>
      <c r="F690" s="1238" t="s">
        <v>2340</v>
      </c>
      <c r="G690" s="1912"/>
      <c r="H690" s="1523">
        <f ca="1">SUM(I690:O690)+T690</f>
        <v>0</v>
      </c>
      <c r="I690" s="1239">
        <f ca="1">SUMIF(BTLT3pm,$A690,slBTLT3pm)</f>
        <v>0</v>
      </c>
      <c r="J690" s="1239">
        <f ca="1">SUMIF(BTLTct,$A690,slBTLTct)</f>
        <v>0</v>
      </c>
      <c r="K690" s="1239">
        <f ca="1">SUMIF(BTLT3p1m,$A690,slBTLT3p1m)</f>
        <v>0</v>
      </c>
      <c r="L690" s="1239">
        <f>IFERROR(HLOOKUP(A690,pp1p!$6:$90,85,0),0)</f>
        <v>0</v>
      </c>
      <c r="M690" s="1239">
        <f ca="1">SUMIF(BTLTHTHH,$A690,slBTLTHTHH)</f>
        <v>0</v>
      </c>
      <c r="N690" s="1239">
        <f ca="1">SUMIF(BTLTHTDL,$A690,slBTLTHTDL)</f>
        <v>0</v>
      </c>
      <c r="O690" s="1239">
        <f ca="1">SUMIF(BTLTHTCS,$A690,slBTLTHTCS)</f>
        <v>0</v>
      </c>
      <c r="P690" s="1239">
        <f ca="1">H690+Q690-R690</f>
        <v>0</v>
      </c>
      <c r="Q690" s="1239"/>
      <c r="R690" s="1239"/>
      <c r="S690" s="1239"/>
      <c r="T690" s="1671"/>
      <c r="U690" s="1664">
        <f>IFERROR(VLOOKUP(B690,ChiTietDuToan!C:H,5,0),"")</f>
        <v>0</v>
      </c>
      <c r="V690" s="2309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59" t="s">
        <v>1585</v>
      </c>
      <c r="C691" s="1189" t="str">
        <f t="shared" ca="1" si="123"/>
        <v xml:space="preserve"> </v>
      </c>
      <c r="D691" s="1236"/>
      <c r="E691" s="1248" t="str">
        <f>VLOOKUP($B691,DG!A:D,DG!$C$2,)</f>
        <v>Trụ BTLT 7,5m F200 dự ứng lực</v>
      </c>
      <c r="F691" s="1236" t="str">
        <f>VLOOKUP($B691,DG!A:D,DG!$D$2,)</f>
        <v>trụ</v>
      </c>
      <c r="G691" s="1915">
        <v>1</v>
      </c>
      <c r="H691" s="1245">
        <f ca="1">H$690*$G691</f>
        <v>0</v>
      </c>
      <c r="I691" s="1245">
        <f t="shared" ref="I691:O692" ca="1" si="127">I$690*$G691</f>
        <v>0</v>
      </c>
      <c r="J691" s="1245">
        <f t="shared" ca="1" si="127"/>
        <v>0</v>
      </c>
      <c r="K691" s="1245">
        <f t="shared" ca="1" si="127"/>
        <v>0</v>
      </c>
      <c r="L691" s="1245">
        <f t="shared" si="127"/>
        <v>0</v>
      </c>
      <c r="M691" s="1245">
        <f t="shared" ca="1" si="127"/>
        <v>0</v>
      </c>
      <c r="N691" s="1245">
        <f t="shared" ca="1" si="127"/>
        <v>0</v>
      </c>
      <c r="O691" s="1245">
        <f t="shared" ca="1" si="127"/>
        <v>0</v>
      </c>
      <c r="P691" s="1244">
        <f ca="1">$P$690*G691</f>
        <v>0</v>
      </c>
      <c r="Q691" s="1245"/>
      <c r="R691" s="1245"/>
      <c r="S691" s="1245"/>
      <c r="T691" s="1671"/>
      <c r="U691" s="1664" t="str">
        <f>IFERROR(VLOOKUP(B691,ChiTietDuToan!C:H,5,0),"")</f>
        <v/>
      </c>
      <c r="V691" s="2309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59" t="s">
        <v>1867</v>
      </c>
      <c r="C692" s="1189" t="str">
        <f t="shared" ca="1" si="123"/>
        <v xml:space="preserve"> </v>
      </c>
      <c r="D692" s="1236"/>
      <c r="E692" s="1248" t="str">
        <f>VLOOKUP($B692,DG!A:D,DG!$C$2,)</f>
        <v>Vật liệu dựng trụ</v>
      </c>
      <c r="F692" s="1236" t="str">
        <f>VLOOKUP($B692,DG!A:D,DG!$D$2,)</f>
        <v>trụ</v>
      </c>
      <c r="G692" s="1915">
        <v>1</v>
      </c>
      <c r="H692" s="1245">
        <f ca="1">H$690*$G692</f>
        <v>0</v>
      </c>
      <c r="I692" s="1245">
        <f t="shared" ca="1" si="127"/>
        <v>0</v>
      </c>
      <c r="J692" s="1245">
        <f t="shared" ca="1" si="127"/>
        <v>0</v>
      </c>
      <c r="K692" s="1245">
        <f t="shared" ca="1" si="127"/>
        <v>0</v>
      </c>
      <c r="L692" s="1245">
        <f t="shared" si="127"/>
        <v>0</v>
      </c>
      <c r="M692" s="1245">
        <f t="shared" ca="1" si="127"/>
        <v>0</v>
      </c>
      <c r="N692" s="1245">
        <f t="shared" ca="1" si="127"/>
        <v>0</v>
      </c>
      <c r="O692" s="1245">
        <f t="shared" ca="1" si="127"/>
        <v>0</v>
      </c>
      <c r="P692" s="1244">
        <f ca="1">$P$690*G692</f>
        <v>0</v>
      </c>
      <c r="Q692" s="1245"/>
      <c r="R692" s="1245"/>
      <c r="S692" s="1245"/>
      <c r="T692" s="1671"/>
      <c r="U692" s="1664" t="str">
        <f>IFERROR(VLOOKUP(B692,ChiTietDuToan!C:H,5,0),"")</f>
        <v/>
      </c>
      <c r="V692" s="2309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59" t="s">
        <v>1651</v>
      </c>
      <c r="C693" s="1189" t="str">
        <f t="shared" ca="1" si="123"/>
        <v xml:space="preserve"> </v>
      </c>
      <c r="D693" s="1236" t="str">
        <f>VLOOKUP($B693,DG!A:D,DG!$B$2,)</f>
        <v>05.5202</v>
      </c>
      <c r="E693" s="1248" t="str">
        <f>VLOOKUP($B693,DG!A:D,DG!$C$2,)</f>
        <v>Dựng trụ BTLT &lt;8m thủ công +cơ giới</v>
      </c>
      <c r="F693" s="1236" t="str">
        <f>VLOOKUP($B693,DG!A:D,DG!$D$2,)</f>
        <v>trụ</v>
      </c>
      <c r="G693" s="1915">
        <v>1</v>
      </c>
      <c r="H693" s="1245">
        <f ca="1">H$690*$G693</f>
        <v>0</v>
      </c>
      <c r="I693" s="1250"/>
      <c r="J693" s="1250"/>
      <c r="K693" s="1250"/>
      <c r="L693" s="1250"/>
      <c r="M693" s="1250"/>
      <c r="N693" s="1250"/>
      <c r="O693" s="1250"/>
      <c r="P693" s="1244">
        <f ca="1">$P$690*G693</f>
        <v>0</v>
      </c>
      <c r="Q693" s="1245"/>
      <c r="R693" s="1245"/>
      <c r="S693" s="1245"/>
      <c r="T693" s="1671"/>
      <c r="U693" s="1664" t="str">
        <f>IFERROR(VLOOKUP(B693,ChiTietDuToan!C:H,5,0),"")</f>
        <v/>
      </c>
      <c r="V693" s="2309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59" t="s">
        <v>1228</v>
      </c>
      <c r="C694" s="1189" t="str">
        <f t="shared" si="123"/>
        <v xml:space="preserve"> </v>
      </c>
      <c r="D694" s="1236" t="str">
        <f>VLOOKUP($B694,DG!A:D,DG!$B$2,)</f>
        <v>02.1124</v>
      </c>
      <c r="E694" s="1241" t="str">
        <f>VLOOKUP($B694,DG!A:D,DG!$C$2,)</f>
        <v xml:space="preserve">Bốc dỡ trụ </v>
      </c>
      <c r="F694" s="1236" t="str">
        <f>VLOOKUP($B694,DG!A:D,DG!$D$2,)</f>
        <v>tấn</v>
      </c>
      <c r="G694" s="1914"/>
      <c r="H694" s="1250"/>
      <c r="I694" s="1250"/>
      <c r="J694" s="1250"/>
      <c r="K694" s="1250"/>
      <c r="L694" s="1250"/>
      <c r="M694" s="1250"/>
      <c r="N694" s="1250"/>
      <c r="O694" s="1250"/>
      <c r="P694" s="1250"/>
      <c r="Q694" s="1250"/>
      <c r="R694" s="1250"/>
      <c r="S694" s="1250"/>
      <c r="T694" s="1671"/>
      <c r="U694" s="1664" t="str">
        <f>IFERROR(VLOOKUP(B694,ChiTietDuToan!C:H,5,0),"")</f>
        <v/>
      </c>
      <c r="V694" s="2309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74" t="s">
        <v>1229</v>
      </c>
      <c r="C695" s="1189" t="str">
        <f t="shared" si="123"/>
        <v xml:space="preserve"> </v>
      </c>
      <c r="D695" s="1236" t="str">
        <f>VLOOKUP($B695,DG!A:C,2,)</f>
        <v>02.1461</v>
      </c>
      <c r="E695" s="1241" t="str">
        <f>VLOOKUP($B695,DG!A:C,3,)</f>
        <v>V/c cột vào vị trí (cự ly &lt;=100m)</v>
      </c>
      <c r="F695" s="1236" t="str">
        <f>VLOOKUP($B695,DG!A:D,4,0)</f>
        <v>tấn</v>
      </c>
      <c r="G695" s="1914"/>
      <c r="H695" s="1250"/>
      <c r="I695" s="1250"/>
      <c r="J695" s="1250"/>
      <c r="K695" s="1250"/>
      <c r="L695" s="1250"/>
      <c r="M695" s="1250"/>
      <c r="N695" s="1250"/>
      <c r="O695" s="1250"/>
      <c r="P695" s="1250"/>
      <c r="Q695" s="1250"/>
      <c r="R695" s="1250"/>
      <c r="S695" s="1250"/>
      <c r="T695" s="1671"/>
      <c r="U695" s="1664" t="str">
        <f>IFERROR(VLOOKUP(B695,ChiTietDuToan!C:H,5,0),"")</f>
        <v/>
      </c>
      <c r="V695" s="2309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74" t="s">
        <v>640</v>
      </c>
      <c r="C696" s="1189" t="str">
        <f t="shared" si="123"/>
        <v xml:space="preserve"> </v>
      </c>
      <c r="D696" s="1236" t="str">
        <f>VLOOKUP($B696,DG!A:C,2,)</f>
        <v>02.1482</v>
      </c>
      <c r="E696" s="1241" t="str">
        <f>VLOOKUP($B696,DG!A:C,3,)</f>
        <v>V/c dụng cụ thi công vào vị trí (cự ly &lt;=100m)</v>
      </c>
      <c r="F696" s="1236" t="str">
        <f>VLOOKUP($B696,DG!A:D,4,0)</f>
        <v>tấn</v>
      </c>
      <c r="G696" s="1914"/>
      <c r="H696" s="1250"/>
      <c r="I696" s="1250"/>
      <c r="J696" s="1250"/>
      <c r="K696" s="1250"/>
      <c r="L696" s="1250"/>
      <c r="M696" s="1250"/>
      <c r="N696" s="1250"/>
      <c r="O696" s="1250"/>
      <c r="P696" s="1250"/>
      <c r="Q696" s="1250"/>
      <c r="R696" s="1250"/>
      <c r="S696" s="1250"/>
      <c r="T696" s="1671"/>
      <c r="U696" s="1664" t="str">
        <f>IFERROR(VLOOKUP(B696,ChiTietDuToan!C:H,5,0),"")</f>
        <v/>
      </c>
      <c r="V696" s="2309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105" t="s">
        <v>233</v>
      </c>
      <c r="B697" s="1962"/>
      <c r="C697" s="1189" t="str">
        <f t="shared" ca="1" si="123"/>
        <v xml:space="preserve"> </v>
      </c>
      <c r="D697" s="1237"/>
      <c r="E697" s="1666" t="s">
        <v>4870</v>
      </c>
      <c r="F697" s="1238" t="s">
        <v>2340</v>
      </c>
      <c r="G697" s="1912"/>
      <c r="H697" s="1523">
        <f ca="1">SUM(I697:O697)+T697</f>
        <v>0</v>
      </c>
      <c r="I697" s="1239">
        <f ca="1">SUMIF(BTLT3pm,$A697,slBTLT3pm)</f>
        <v>0</v>
      </c>
      <c r="J697" s="1239">
        <f ca="1">SUMIF(BTLTct,$A697,slBTLTct)</f>
        <v>0</v>
      </c>
      <c r="K697" s="1239">
        <f ca="1">SUMIF(BTLT3p1m,$A697,slBTLT3p1m)</f>
        <v>0</v>
      </c>
      <c r="L697" s="1239">
        <f>IFERROR(HLOOKUP(A697,pp1p!$6:$90,85,0),0)</f>
        <v>0</v>
      </c>
      <c r="M697" s="1239">
        <f>pp_NC!S184</f>
        <v>0</v>
      </c>
      <c r="N697" s="1239">
        <f ca="1">SUMIF(BTLTHTDL,$A697,slBTLTHTDL)</f>
        <v>0</v>
      </c>
      <c r="O697" s="1239">
        <f ca="1">SUMIF(BTLTHTCS,$A697,slBTLTHTCS)</f>
        <v>0</v>
      </c>
      <c r="P697" s="1239">
        <f ca="1">H697+Q697-R697</f>
        <v>0</v>
      </c>
      <c r="Q697" s="1239"/>
      <c r="R697" s="1239"/>
      <c r="S697" s="1239"/>
      <c r="T697" s="1671"/>
      <c r="U697" s="1664">
        <f>IFERROR(VLOOKUP(B697,ChiTietDuToan!C:H,5,0),"")</f>
        <v>0</v>
      </c>
      <c r="V697" s="2309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59" t="s">
        <v>891</v>
      </c>
      <c r="C698" s="1189" t="str">
        <f t="shared" ca="1" si="123"/>
        <v xml:space="preserve"> </v>
      </c>
      <c r="D698" s="1236"/>
      <c r="E698" s="1248" t="str">
        <f>VLOOKUP($B698,DG!A:D,DG!$C$2,)</f>
        <v>Trụ BTLT 8,4m F200 dự ứng lực</v>
      </c>
      <c r="F698" s="1236" t="str">
        <f>VLOOKUP($B698,DG!A:D,DG!$D$2,)</f>
        <v>trụ</v>
      </c>
      <c r="G698" s="1915">
        <v>1</v>
      </c>
      <c r="H698" s="1245">
        <f ca="1">H$697*$G698</f>
        <v>0</v>
      </c>
      <c r="I698" s="1245">
        <f t="shared" ref="I698:O699" ca="1" si="128">I$697*$G698</f>
        <v>0</v>
      </c>
      <c r="J698" s="1245">
        <f t="shared" ca="1" si="128"/>
        <v>0</v>
      </c>
      <c r="K698" s="1245">
        <f t="shared" ca="1" si="128"/>
        <v>0</v>
      </c>
      <c r="L698" s="1245">
        <f t="shared" si="128"/>
        <v>0</v>
      </c>
      <c r="M698" s="1245">
        <f t="shared" si="128"/>
        <v>0</v>
      </c>
      <c r="N698" s="1245">
        <f t="shared" ca="1" si="128"/>
        <v>0</v>
      </c>
      <c r="O698" s="1245">
        <f t="shared" ca="1" si="128"/>
        <v>0</v>
      </c>
      <c r="P698" s="1245">
        <f ca="1">$P$697*G698</f>
        <v>0</v>
      </c>
      <c r="Q698" s="1245"/>
      <c r="R698" s="1245"/>
      <c r="S698" s="1245"/>
      <c r="T698" s="1671"/>
      <c r="U698" s="1664" t="str">
        <f>IFERROR(VLOOKUP(B698,ChiTietDuToan!C:H,5,0),"")</f>
        <v/>
      </c>
      <c r="V698" s="2309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59" t="s">
        <v>1867</v>
      </c>
      <c r="C699" s="1189" t="str">
        <f t="shared" ca="1" si="123"/>
        <v xml:space="preserve"> </v>
      </c>
      <c r="D699" s="1236"/>
      <c r="E699" s="1248" t="str">
        <f>VLOOKUP($B699,DG!A:D,DG!$C$2,)</f>
        <v>Vật liệu dựng trụ</v>
      </c>
      <c r="F699" s="1236" t="str">
        <f>VLOOKUP($B699,DG!A:D,DG!$D$2,)</f>
        <v>trụ</v>
      </c>
      <c r="G699" s="1915">
        <v>1</v>
      </c>
      <c r="H699" s="1245">
        <f ca="1">H$697*$G699</f>
        <v>0</v>
      </c>
      <c r="I699" s="1245">
        <f t="shared" ca="1" si="128"/>
        <v>0</v>
      </c>
      <c r="J699" s="1245">
        <f t="shared" ca="1" si="128"/>
        <v>0</v>
      </c>
      <c r="K699" s="1245">
        <f t="shared" ca="1" si="128"/>
        <v>0</v>
      </c>
      <c r="L699" s="1245">
        <f t="shared" si="128"/>
        <v>0</v>
      </c>
      <c r="M699" s="1245">
        <f t="shared" si="128"/>
        <v>0</v>
      </c>
      <c r="N699" s="1245">
        <f t="shared" ca="1" si="128"/>
        <v>0</v>
      </c>
      <c r="O699" s="1245">
        <f t="shared" ca="1" si="128"/>
        <v>0</v>
      </c>
      <c r="P699" s="1245">
        <f ca="1">$P$697*G699</f>
        <v>0</v>
      </c>
      <c r="Q699" s="1245"/>
      <c r="R699" s="1245"/>
      <c r="S699" s="1245"/>
      <c r="T699" s="1671"/>
      <c r="U699" s="1664" t="str">
        <f>IFERROR(VLOOKUP(B699,ChiTietDuToan!C:H,5,0),"")</f>
        <v/>
      </c>
      <c r="V699" s="2309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59" t="s">
        <v>2314</v>
      </c>
      <c r="C700" s="1189" t="str">
        <f t="shared" ca="1" si="123"/>
        <v xml:space="preserve"> </v>
      </c>
      <c r="D700" s="1236" t="str">
        <f>VLOOKUP($B700,DG!A:D,DG!$B$2,)</f>
        <v>05.5302</v>
      </c>
      <c r="E700" s="1248" t="str">
        <f>VLOOKUP($B700,DG!A:D,DG!$C$2,)</f>
        <v>Dựng trụ BTLT &lt;10m thủ công +cơ giới</v>
      </c>
      <c r="F700" s="1236" t="str">
        <f>VLOOKUP($B700,DG!A:D,DG!$D$2,)</f>
        <v>trụ</v>
      </c>
      <c r="G700" s="1915">
        <v>1</v>
      </c>
      <c r="H700" s="1245">
        <f ca="1">H$697*$G700</f>
        <v>0</v>
      </c>
      <c r="I700" s="1250"/>
      <c r="J700" s="1250"/>
      <c r="K700" s="1250"/>
      <c r="L700" s="1250"/>
      <c r="M700" s="1250"/>
      <c r="N700" s="1250"/>
      <c r="O700" s="1250"/>
      <c r="P700" s="1245">
        <f ca="1">$P$697*G700</f>
        <v>0</v>
      </c>
      <c r="Q700" s="1250"/>
      <c r="R700" s="1250"/>
      <c r="S700" s="1250"/>
      <c r="T700" s="1671"/>
      <c r="U700" s="1664" t="str">
        <f>IFERROR(VLOOKUP(B700,ChiTietDuToan!C:H,5,0),"")</f>
        <v/>
      </c>
      <c r="V700" s="2309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59" t="s">
        <v>1228</v>
      </c>
      <c r="C701" s="1189" t="str">
        <f t="shared" si="123"/>
        <v xml:space="preserve"> </v>
      </c>
      <c r="D701" s="1236" t="str">
        <f>VLOOKUP($B701,DG!A:D,DG!$B$2,)</f>
        <v>02.1124</v>
      </c>
      <c r="E701" s="1241" t="str">
        <f>VLOOKUP($B701,DG!A:D,DG!$C$2,)</f>
        <v xml:space="preserve">Bốc dỡ trụ </v>
      </c>
      <c r="F701" s="1236" t="str">
        <f>VLOOKUP($B701,DG!A:D,DG!$D$2,)</f>
        <v>tấn</v>
      </c>
      <c r="G701" s="1914"/>
      <c r="H701" s="1250"/>
      <c r="I701" s="1250"/>
      <c r="J701" s="1250"/>
      <c r="K701" s="1250"/>
      <c r="L701" s="1250"/>
      <c r="M701" s="1250"/>
      <c r="N701" s="1250"/>
      <c r="O701" s="1250"/>
      <c r="P701" s="1250"/>
      <c r="Q701" s="1250"/>
      <c r="R701" s="1250"/>
      <c r="S701" s="1250"/>
      <c r="T701" s="1671"/>
      <c r="U701" s="1664" t="str">
        <f>IFERROR(VLOOKUP(B701,ChiTietDuToan!C:H,5,0),"")</f>
        <v/>
      </c>
      <c r="V701" s="2309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74" t="s">
        <v>1229</v>
      </c>
      <c r="C702" s="1189" t="str">
        <f t="shared" si="123"/>
        <v xml:space="preserve"> </v>
      </c>
      <c r="D702" s="1236" t="str">
        <f>VLOOKUP($B702,DG!A:C,2,)</f>
        <v>02.1461</v>
      </c>
      <c r="E702" s="1241" t="str">
        <f>VLOOKUP($B702,DG!A:C,3,)</f>
        <v>V/c cột vào vị trí (cự ly &lt;=100m)</v>
      </c>
      <c r="F702" s="1236" t="str">
        <f>VLOOKUP($B702,DG!A:D,4,0)</f>
        <v>tấn</v>
      </c>
      <c r="G702" s="1914"/>
      <c r="H702" s="1250"/>
      <c r="I702" s="1250"/>
      <c r="J702" s="1250"/>
      <c r="K702" s="1250"/>
      <c r="L702" s="1250"/>
      <c r="M702" s="1250"/>
      <c r="N702" s="1250"/>
      <c r="O702" s="1250"/>
      <c r="P702" s="1250"/>
      <c r="Q702" s="1250"/>
      <c r="R702" s="1250"/>
      <c r="S702" s="1250"/>
      <c r="T702" s="1671"/>
      <c r="U702" s="1664" t="str">
        <f>IFERROR(VLOOKUP(B702,ChiTietDuToan!C:H,5,0),"")</f>
        <v/>
      </c>
      <c r="V702" s="2309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74" t="s">
        <v>640</v>
      </c>
      <c r="C703" s="1189" t="str">
        <f t="shared" si="123"/>
        <v xml:space="preserve"> </v>
      </c>
      <c r="D703" s="1236" t="str">
        <f>VLOOKUP($B703,DG!A:C,2,)</f>
        <v>02.1482</v>
      </c>
      <c r="E703" s="1241" t="str">
        <f>VLOOKUP($B703,DG!A:C,3,)</f>
        <v>V/c dụng cụ thi công vào vị trí (cự ly &lt;=100m)</v>
      </c>
      <c r="F703" s="1236" t="str">
        <f>VLOOKUP($B703,DG!A:D,4,0)</f>
        <v>tấn</v>
      </c>
      <c r="G703" s="1914"/>
      <c r="H703" s="1250"/>
      <c r="I703" s="1250"/>
      <c r="J703" s="1250"/>
      <c r="K703" s="1250"/>
      <c r="L703" s="1250"/>
      <c r="M703" s="1250"/>
      <c r="N703" s="1250"/>
      <c r="O703" s="1250"/>
      <c r="P703" s="1250"/>
      <c r="Q703" s="1250"/>
      <c r="R703" s="1250"/>
      <c r="S703" s="1250"/>
      <c r="T703" s="1671"/>
      <c r="U703" s="1664" t="str">
        <f>IFERROR(VLOOKUP(B703,ChiTietDuToan!C:H,5,0),"")</f>
        <v/>
      </c>
      <c r="V703" s="2309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105" t="s">
        <v>186</v>
      </c>
      <c r="B704" s="1962"/>
      <c r="C704" s="1189" t="str">
        <f t="shared" ca="1" si="123"/>
        <v xml:space="preserve"> </v>
      </c>
      <c r="D704" s="1237"/>
      <c r="E704" s="1666" t="s">
        <v>2465</v>
      </c>
      <c r="F704" s="1238" t="s">
        <v>2340</v>
      </c>
      <c r="G704" s="1912"/>
      <c r="H704" s="1523">
        <f ca="1">SUM(I704:O704)+T704</f>
        <v>0</v>
      </c>
      <c r="I704" s="1239">
        <f ca="1">SUMIF(BTLT3pm,$A704,slBTLT3pm)</f>
        <v>0</v>
      </c>
      <c r="J704" s="1239">
        <f ca="1">SUMIF(BTLTct,$A704,slBTLTct)</f>
        <v>0</v>
      </c>
      <c r="K704" s="1239">
        <f ca="1">SUMIF(BTLT3p1m,$A704,slBTLT3p1m)</f>
        <v>0</v>
      </c>
      <c r="L704" s="1239">
        <f>IFERROR(HLOOKUP(A704,pp1p!$6:$90,85,0),0)</f>
        <v>0</v>
      </c>
      <c r="M704" s="1239">
        <f>pp_NC!S191</f>
        <v>0</v>
      </c>
      <c r="N704" s="1239">
        <f ca="1">SUMIF(BTLTHTDL,$A704,slBTLTHTDL)</f>
        <v>0</v>
      </c>
      <c r="O704" s="1239">
        <f ca="1">SUMIF(BTLTHTCS,$A704,slBTLTHTCS)</f>
        <v>0</v>
      </c>
      <c r="P704" s="1239"/>
      <c r="Q704" s="1239"/>
      <c r="R704" s="1239"/>
      <c r="S704" s="1239"/>
      <c r="T704" s="1671"/>
      <c r="U704" s="1664">
        <f>IFERROR(VLOOKUP(B704,ChiTietDuToan!C:H,5,0),"")</f>
        <v>0</v>
      </c>
      <c r="V704" s="2309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59" t="s">
        <v>187</v>
      </c>
      <c r="C705" s="1189" t="str">
        <f t="shared" ca="1" si="123"/>
        <v xml:space="preserve"> </v>
      </c>
      <c r="D705" s="1236"/>
      <c r="E705" s="1248" t="str">
        <f>VLOOKUP($B705,DG!A:D,DG!$C$2,)</f>
        <v>Trụ BTLT 8,4m F200 dự ứng lực có dây tiếp địa</v>
      </c>
      <c r="F705" s="1236" t="str">
        <f>VLOOKUP($B705,DG!A:D,DG!$D$2,)</f>
        <v>trụ</v>
      </c>
      <c r="G705" s="1915">
        <v>1</v>
      </c>
      <c r="H705" s="1245">
        <f ca="1">H704*$G705</f>
        <v>0</v>
      </c>
      <c r="I705" s="1245">
        <f t="shared" ref="I705:O706" ca="1" si="129">I$697*$G705</f>
        <v>0</v>
      </c>
      <c r="J705" s="1245">
        <f t="shared" ca="1" si="129"/>
        <v>0</v>
      </c>
      <c r="K705" s="1245">
        <f t="shared" ca="1" si="129"/>
        <v>0</v>
      </c>
      <c r="L705" s="1245">
        <f t="shared" si="129"/>
        <v>0</v>
      </c>
      <c r="M705" s="1245">
        <f t="shared" si="129"/>
        <v>0</v>
      </c>
      <c r="N705" s="1245">
        <f t="shared" ca="1" si="129"/>
        <v>0</v>
      </c>
      <c r="O705" s="1245">
        <f t="shared" ca="1" si="129"/>
        <v>0</v>
      </c>
      <c r="P705" s="1245"/>
      <c r="Q705" s="1245"/>
      <c r="R705" s="1245"/>
      <c r="S705" s="1245"/>
      <c r="T705" s="1671"/>
      <c r="U705" s="1664" t="str">
        <f>IFERROR(VLOOKUP(B705,ChiTietDuToan!C:H,5,0),"")</f>
        <v/>
      </c>
      <c r="V705" s="2309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59" t="s">
        <v>1867</v>
      </c>
      <c r="C706" s="1189" t="str">
        <f t="shared" ca="1" si="123"/>
        <v xml:space="preserve"> </v>
      </c>
      <c r="D706" s="1236"/>
      <c r="E706" s="1248" t="str">
        <f>VLOOKUP($B706,DG!A:D,DG!$C$2,)</f>
        <v>Vật liệu dựng trụ</v>
      </c>
      <c r="F706" s="1236" t="str">
        <f>VLOOKUP($B706,DG!A:D,DG!$D$2,)</f>
        <v>trụ</v>
      </c>
      <c r="G706" s="1915">
        <v>1</v>
      </c>
      <c r="H706" s="1245">
        <f ca="1">H705*$G706</f>
        <v>0</v>
      </c>
      <c r="I706" s="1245">
        <f t="shared" ca="1" si="129"/>
        <v>0</v>
      </c>
      <c r="J706" s="1245">
        <f t="shared" ca="1" si="129"/>
        <v>0</v>
      </c>
      <c r="K706" s="1245">
        <f t="shared" ca="1" si="129"/>
        <v>0</v>
      </c>
      <c r="L706" s="1245">
        <f t="shared" si="129"/>
        <v>0</v>
      </c>
      <c r="M706" s="1245">
        <f t="shared" si="129"/>
        <v>0</v>
      </c>
      <c r="N706" s="1245">
        <f t="shared" ca="1" si="129"/>
        <v>0</v>
      </c>
      <c r="O706" s="1245">
        <f t="shared" ca="1" si="129"/>
        <v>0</v>
      </c>
      <c r="P706" s="1245"/>
      <c r="Q706" s="1245"/>
      <c r="R706" s="1245"/>
      <c r="S706" s="1245"/>
      <c r="T706" s="1671"/>
      <c r="U706" s="1664" t="str">
        <f>IFERROR(VLOOKUP(B706,ChiTietDuToan!C:H,5,0),"")</f>
        <v/>
      </c>
      <c r="V706" s="2309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59" t="s">
        <v>2314</v>
      </c>
      <c r="C707" s="1189" t="str">
        <f t="shared" ca="1" si="123"/>
        <v xml:space="preserve"> </v>
      </c>
      <c r="D707" s="1236" t="str">
        <f>VLOOKUP($B707,DG!A:D,DG!$B$2,)</f>
        <v>05.5302</v>
      </c>
      <c r="E707" s="1248" t="str">
        <f>VLOOKUP($B707,DG!A:D,DG!$C$2,)</f>
        <v>Dựng trụ BTLT &lt;10m thủ công +cơ giới</v>
      </c>
      <c r="F707" s="1236" t="str">
        <f>VLOOKUP($B707,DG!A:D,DG!$D$2,)</f>
        <v>trụ</v>
      </c>
      <c r="G707" s="1915">
        <v>1</v>
      </c>
      <c r="H707" s="1245">
        <f ca="1">H706*$G707</f>
        <v>0</v>
      </c>
      <c r="I707" s="1250"/>
      <c r="J707" s="1250"/>
      <c r="K707" s="1250"/>
      <c r="L707" s="1250"/>
      <c r="M707" s="1250"/>
      <c r="N707" s="1250"/>
      <c r="O707" s="1250"/>
      <c r="P707" s="1250"/>
      <c r="Q707" s="1250"/>
      <c r="R707" s="1250"/>
      <c r="S707" s="1250"/>
      <c r="T707" s="1671"/>
      <c r="U707" s="1664" t="str">
        <f>IFERROR(VLOOKUP(B707,ChiTietDuToan!C:H,5,0),"")</f>
        <v/>
      </c>
      <c r="V707" s="2309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59" t="s">
        <v>1228</v>
      </c>
      <c r="C708" s="1189" t="str">
        <f t="shared" si="123"/>
        <v xml:space="preserve"> </v>
      </c>
      <c r="D708" s="1236" t="str">
        <f>VLOOKUP($B708,DG!A:D,DG!$B$2,)</f>
        <v>02.1124</v>
      </c>
      <c r="E708" s="1241" t="str">
        <f>VLOOKUP($B708,DG!A:D,DG!$C$2,)</f>
        <v xml:space="preserve">Bốc dỡ trụ </v>
      </c>
      <c r="F708" s="1236" t="str">
        <f>VLOOKUP($B708,DG!A:D,DG!$D$2,)</f>
        <v>tấn</v>
      </c>
      <c r="G708" s="1914"/>
      <c r="H708" s="1250"/>
      <c r="I708" s="1250"/>
      <c r="J708" s="1250"/>
      <c r="K708" s="1250"/>
      <c r="L708" s="1250"/>
      <c r="M708" s="1250"/>
      <c r="N708" s="1250"/>
      <c r="O708" s="1250"/>
      <c r="P708" s="1250"/>
      <c r="Q708" s="1250"/>
      <c r="R708" s="1250"/>
      <c r="S708" s="1250"/>
      <c r="T708" s="1671"/>
      <c r="U708" s="1664" t="str">
        <f>IFERROR(VLOOKUP(B708,ChiTietDuToan!C:H,5,0),"")</f>
        <v/>
      </c>
      <c r="V708" s="2309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74" t="s">
        <v>1229</v>
      </c>
      <c r="C709" s="1189" t="str">
        <f t="shared" si="123"/>
        <v xml:space="preserve"> </v>
      </c>
      <c r="D709" s="1236" t="str">
        <f>VLOOKUP($B709,DG!A:C,2,)</f>
        <v>02.1461</v>
      </c>
      <c r="E709" s="1241" t="str">
        <f>VLOOKUP($B709,DG!A:C,3,)</f>
        <v>V/c cột vào vị trí (cự ly &lt;=100m)</v>
      </c>
      <c r="F709" s="1236" t="str">
        <f>VLOOKUP($B709,DG!A:D,4,0)</f>
        <v>tấn</v>
      </c>
      <c r="G709" s="1914"/>
      <c r="H709" s="1250"/>
      <c r="I709" s="1250"/>
      <c r="J709" s="1250"/>
      <c r="K709" s="1250"/>
      <c r="L709" s="1250"/>
      <c r="M709" s="1250"/>
      <c r="N709" s="1250"/>
      <c r="O709" s="1250"/>
      <c r="P709" s="1250"/>
      <c r="Q709" s="1250"/>
      <c r="R709" s="1250"/>
      <c r="S709" s="1250"/>
      <c r="T709" s="1671"/>
      <c r="U709" s="1664" t="str">
        <f>IFERROR(VLOOKUP(B709,ChiTietDuToan!C:H,5,0),"")</f>
        <v/>
      </c>
      <c r="V709" s="2309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74" t="s">
        <v>640</v>
      </c>
      <c r="C710" s="1189" t="str">
        <f t="shared" si="123"/>
        <v xml:space="preserve"> </v>
      </c>
      <c r="D710" s="1236" t="str">
        <f>VLOOKUP($B710,DG!A:C,2,)</f>
        <v>02.1482</v>
      </c>
      <c r="E710" s="1241" t="str">
        <f>VLOOKUP($B710,DG!A:C,3,)</f>
        <v>V/c dụng cụ thi công vào vị trí (cự ly &lt;=100m)</v>
      </c>
      <c r="F710" s="1236" t="str">
        <f>VLOOKUP($B710,DG!A:D,4,0)</f>
        <v>tấn</v>
      </c>
      <c r="G710" s="1914"/>
      <c r="H710" s="1250"/>
      <c r="I710" s="1250"/>
      <c r="J710" s="1250"/>
      <c r="K710" s="1250"/>
      <c r="L710" s="1250"/>
      <c r="M710" s="1250"/>
      <c r="N710" s="1250"/>
      <c r="O710" s="1250"/>
      <c r="P710" s="1250"/>
      <c r="Q710" s="1250"/>
      <c r="R710" s="1250"/>
      <c r="S710" s="1250"/>
      <c r="T710" s="1671"/>
      <c r="U710" s="1664" t="str">
        <f>IFERROR(VLOOKUP(B710,ChiTietDuToan!C:H,5,0),"")</f>
        <v/>
      </c>
      <c r="V710" s="2309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105" t="s">
        <v>1682</v>
      </c>
      <c r="B711" s="1962" t="s">
        <v>233</v>
      </c>
      <c r="C711" s="1189" t="str">
        <f t="shared" ca="1" si="123"/>
        <v xml:space="preserve"> </v>
      </c>
      <c r="D711" s="1237"/>
      <c r="E711" s="1666" t="s">
        <v>2466</v>
      </c>
      <c r="F711" s="1238" t="s">
        <v>2340</v>
      </c>
      <c r="G711" s="1912"/>
      <c r="H711" s="1523">
        <f ca="1">SUM(I711:O711)+T711</f>
        <v>0</v>
      </c>
      <c r="I711" s="1239">
        <f ca="1">SUMIF(BTLT3pm,$A711,slBTLT3pm)</f>
        <v>0</v>
      </c>
      <c r="J711" s="1239">
        <f ca="1">SUMIF(BTLTct,$A711,slBTLTct)</f>
        <v>0</v>
      </c>
      <c r="K711" s="1239"/>
      <c r="L711" s="1239">
        <f>IFERROR(HLOOKUP(A711,pp1p!$6:$90,85,0),0)</f>
        <v>0</v>
      </c>
      <c r="M711" s="1239">
        <f>pp_NC!S191</f>
        <v>0</v>
      </c>
      <c r="N711" s="1239">
        <f ca="1">SUMIF(BTLTHTDL,$A711,slBTLTHTDL)</f>
        <v>0</v>
      </c>
      <c r="O711" s="1239">
        <f ca="1">SUMIF(BTLTHTCS,$A711,slBTLTHTCS)</f>
        <v>0</v>
      </c>
      <c r="P711" s="1239"/>
      <c r="Q711" s="1239"/>
      <c r="R711" s="1239"/>
      <c r="S711" s="1239"/>
      <c r="T711" s="1671"/>
      <c r="U711" s="1664" t="str">
        <f>IFERROR(VLOOKUP(B711,ChiTietDuToan!C:H,5,0),"")</f>
        <v/>
      </c>
      <c r="V711" s="2309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59" t="s">
        <v>1867</v>
      </c>
      <c r="C712" s="1189" t="str">
        <f t="shared" ca="1" si="123"/>
        <v xml:space="preserve"> </v>
      </c>
      <c r="D712" s="1236"/>
      <c r="E712" s="1248" t="s">
        <v>2467</v>
      </c>
      <c r="F712" s="1236" t="str">
        <f>VLOOKUP($B712,DG!A:D,DG!$D$2,)</f>
        <v>trụ</v>
      </c>
      <c r="G712" s="1915">
        <v>1</v>
      </c>
      <c r="H712" s="1245">
        <f ca="1">H$711*$G712</f>
        <v>0</v>
      </c>
      <c r="I712" s="1245">
        <f t="shared" ref="I712:O712" ca="1" si="131">I$711*$G712</f>
        <v>0</v>
      </c>
      <c r="J712" s="1245">
        <f t="shared" ca="1" si="131"/>
        <v>0</v>
      </c>
      <c r="K712" s="1245">
        <f t="shared" si="131"/>
        <v>0</v>
      </c>
      <c r="L712" s="1245">
        <f t="shared" si="131"/>
        <v>0</v>
      </c>
      <c r="M712" s="1245">
        <f t="shared" si="131"/>
        <v>0</v>
      </c>
      <c r="N712" s="1245">
        <f t="shared" ca="1" si="131"/>
        <v>0</v>
      </c>
      <c r="O712" s="1245">
        <f t="shared" ca="1" si="131"/>
        <v>0</v>
      </c>
      <c r="P712" s="1245"/>
      <c r="Q712" s="1245"/>
      <c r="R712" s="1245"/>
      <c r="S712" s="1245"/>
      <c r="T712" s="1671"/>
      <c r="U712" s="1664" t="str">
        <f>IFERROR(VLOOKUP(B712,ChiTietDuToan!C:H,5,0),"")</f>
        <v/>
      </c>
      <c r="V712" s="2309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59" t="s">
        <v>2314</v>
      </c>
      <c r="C713" s="1189" t="str">
        <f t="shared" si="123"/>
        <v xml:space="preserve"> </v>
      </c>
      <c r="D713" s="1236" t="str">
        <f>VLOOKUP($B713,DG!A:D,DG!$B$2,)</f>
        <v>05.5302</v>
      </c>
      <c r="E713" s="1248" t="s">
        <v>2468</v>
      </c>
      <c r="F713" s="1236" t="str">
        <f>VLOOKUP($B713,DG!A:D,DG!$D$2,)</f>
        <v>trụ</v>
      </c>
      <c r="G713" s="1915">
        <v>1</v>
      </c>
      <c r="H713" s="1250"/>
      <c r="I713" s="1250"/>
      <c r="J713" s="1250"/>
      <c r="K713" s="1250"/>
      <c r="L713" s="1250"/>
      <c r="M713" s="1250"/>
      <c r="N713" s="1250"/>
      <c r="O713" s="1250"/>
      <c r="P713" s="1250"/>
      <c r="Q713" s="1250"/>
      <c r="R713" s="1250"/>
      <c r="S713" s="1250"/>
      <c r="T713" s="1671"/>
      <c r="U713" s="1664" t="str">
        <f>IFERROR(VLOOKUP(B713,ChiTietDuToan!C:H,5,0),"")</f>
        <v/>
      </c>
      <c r="V713" s="2309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74" t="s">
        <v>640</v>
      </c>
      <c r="C714" s="1189" t="str">
        <f t="shared" si="123"/>
        <v xml:space="preserve"> </v>
      </c>
      <c r="D714" s="1236" t="str">
        <f>VLOOKUP($B714,DG!A:C,2,)</f>
        <v>02.1482</v>
      </c>
      <c r="E714" s="1241" t="str">
        <f>VLOOKUP($B714,DG!A:C,3,)</f>
        <v>V/c dụng cụ thi công vào vị trí (cự ly &lt;=100m)</v>
      </c>
      <c r="F714" s="1236" t="str">
        <f>VLOOKUP($B714,DG!A:D,4,0)</f>
        <v>tấn</v>
      </c>
      <c r="G714" s="1914">
        <v>0.25</v>
      </c>
      <c r="H714" s="1250"/>
      <c r="I714" s="1250"/>
      <c r="J714" s="1250"/>
      <c r="K714" s="1250"/>
      <c r="L714" s="1250"/>
      <c r="M714" s="1250"/>
      <c r="N714" s="1250"/>
      <c r="O714" s="1250"/>
      <c r="P714" s="1250"/>
      <c r="Q714" s="1250"/>
      <c r="R714" s="1250"/>
      <c r="S714" s="1250"/>
      <c r="T714" s="1671"/>
      <c r="U714" s="1664" t="str">
        <f>IFERROR(VLOOKUP(B714,ChiTietDuToan!C:H,5,0),"")</f>
        <v/>
      </c>
      <c r="V714" s="2309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62"/>
      <c r="C715" s="1189" t="str">
        <f t="shared" ca="1" si="123"/>
        <v xml:space="preserve"> </v>
      </c>
      <c r="D715" s="1237"/>
      <c r="E715" s="1666" t="s">
        <v>2469</v>
      </c>
      <c r="F715" s="1238" t="s">
        <v>2340</v>
      </c>
      <c r="G715" s="1912"/>
      <c r="H715" s="1523">
        <f ca="1">SUM(I715:O715)+T715</f>
        <v>0</v>
      </c>
      <c r="I715" s="1239">
        <f ca="1">SUMIF(BTLT3pm,$A715,slBTLT3pm)</f>
        <v>0</v>
      </c>
      <c r="J715" s="1239">
        <f ca="1">SUMIF(BTLTct,$A715,slBTLTct)</f>
        <v>0</v>
      </c>
      <c r="K715" s="1239"/>
      <c r="L715" s="1239">
        <f>IFERROR(HLOOKUP(A715,pp1p!$6:$90,85,0),0)</f>
        <v>0</v>
      </c>
      <c r="M715" s="1239">
        <f>pp_NC!S195</f>
        <v>0</v>
      </c>
      <c r="N715" s="1239">
        <f ca="1">SUMIF(BTLTHTDL,$A715,slBTLTHTDL)</f>
        <v>0</v>
      </c>
      <c r="O715" s="1239">
        <f ca="1">SUMIF(BTLTHTCS,$A715,slBTLTHTCS)</f>
        <v>0</v>
      </c>
      <c r="P715" s="1239"/>
      <c r="Q715" s="1239"/>
      <c r="R715" s="1239"/>
      <c r="S715" s="1239"/>
      <c r="T715" s="1671"/>
      <c r="U715" s="1664">
        <f>IFERROR(VLOOKUP(B715,ChiTietDuToan!C:H,5,0),"")</f>
        <v>0</v>
      </c>
      <c r="V715" s="2309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59" t="s">
        <v>1867</v>
      </c>
      <c r="C716" s="1189" t="str">
        <f t="shared" ca="1" si="123"/>
        <v xml:space="preserve"> </v>
      </c>
      <c r="D716" s="1236"/>
      <c r="E716" s="1248" t="s">
        <v>2467</v>
      </c>
      <c r="F716" s="1236" t="str">
        <f>VLOOKUP($B716,DG!A:D,DG!$D$2,)</f>
        <v>trụ</v>
      </c>
      <c r="G716" s="1915">
        <v>1</v>
      </c>
      <c r="H716" s="1245">
        <f ca="1">H$715*$G716</f>
        <v>0</v>
      </c>
      <c r="I716" s="1245">
        <f t="shared" ref="I716:O716" ca="1" si="132">I$715*$G716</f>
        <v>0</v>
      </c>
      <c r="J716" s="1245">
        <f t="shared" ca="1" si="132"/>
        <v>0</v>
      </c>
      <c r="K716" s="1245">
        <f t="shared" si="132"/>
        <v>0</v>
      </c>
      <c r="L716" s="1245">
        <f t="shared" si="132"/>
        <v>0</v>
      </c>
      <c r="M716" s="1245">
        <f t="shared" si="132"/>
        <v>0</v>
      </c>
      <c r="N716" s="1245">
        <f t="shared" ca="1" si="132"/>
        <v>0</v>
      </c>
      <c r="O716" s="1245">
        <f t="shared" ca="1" si="132"/>
        <v>0</v>
      </c>
      <c r="P716" s="1245"/>
      <c r="Q716" s="1245"/>
      <c r="R716" s="1245"/>
      <c r="S716" s="1245"/>
      <c r="T716" s="1671"/>
      <c r="U716" s="1664" t="str">
        <f>IFERROR(VLOOKUP(B716,ChiTietDuToan!C:H,5,0),"")</f>
        <v/>
      </c>
      <c r="V716" s="2309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59" t="s">
        <v>2314</v>
      </c>
      <c r="C717" s="1189" t="str">
        <f t="shared" ca="1" si="123"/>
        <v xml:space="preserve"> </v>
      </c>
      <c r="D717" s="1236" t="str">
        <f>VLOOKUP($B717,DG!A:D,DG!$B$2,)</f>
        <v>05.5302</v>
      </c>
      <c r="E717" s="1248" t="s">
        <v>2468</v>
      </c>
      <c r="F717" s="1236" t="str">
        <f>VLOOKUP($B717,DG!A:D,DG!$D$2,)</f>
        <v>trụ</v>
      </c>
      <c r="G717" s="1915">
        <v>1</v>
      </c>
      <c r="H717" s="1245">
        <f t="shared" ref="H717:O719" ca="1" si="133">H$715*$G717</f>
        <v>0</v>
      </c>
      <c r="I717" s="1245">
        <f t="shared" ca="1" si="133"/>
        <v>0</v>
      </c>
      <c r="J717" s="1245">
        <f t="shared" ca="1" si="133"/>
        <v>0</v>
      </c>
      <c r="K717" s="1245">
        <f t="shared" si="133"/>
        <v>0</v>
      </c>
      <c r="L717" s="1245">
        <f t="shared" si="133"/>
        <v>0</v>
      </c>
      <c r="M717" s="1245">
        <f t="shared" si="133"/>
        <v>0</v>
      </c>
      <c r="N717" s="1245">
        <f t="shared" ca="1" si="133"/>
        <v>0</v>
      </c>
      <c r="O717" s="1245">
        <f t="shared" ca="1" si="133"/>
        <v>0</v>
      </c>
      <c r="P717" s="1245"/>
      <c r="Q717" s="1245"/>
      <c r="R717" s="1245"/>
      <c r="S717" s="1245"/>
      <c r="T717" s="1671"/>
      <c r="U717" s="1664" t="str">
        <f>IFERROR(VLOOKUP(B717,ChiTietDuToan!C:H,5,0),"")</f>
        <v/>
      </c>
      <c r="V717" s="2309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59" t="s">
        <v>1867</v>
      </c>
      <c r="C718" s="1189" t="str">
        <f t="shared" ca="1" si="123"/>
        <v xml:space="preserve"> </v>
      </c>
      <c r="D718" s="1236">
        <f>VLOOKUP($B718,DG!A:D,DG!$B$2,)</f>
        <v>0</v>
      </c>
      <c r="E718" s="1248" t="str">
        <f>VLOOKUP($B718,DG!A:D,DG!$C$2,)</f>
        <v>Vật liệu dựng trụ</v>
      </c>
      <c r="F718" s="1236" t="str">
        <f>VLOOKUP($B718,DG!A:D,DG!$D$2,)</f>
        <v>trụ</v>
      </c>
      <c r="G718" s="1915">
        <v>1</v>
      </c>
      <c r="H718" s="1245">
        <f t="shared" ca="1" si="133"/>
        <v>0</v>
      </c>
      <c r="I718" s="1245">
        <f t="shared" ca="1" si="133"/>
        <v>0</v>
      </c>
      <c r="J718" s="1245">
        <f t="shared" ca="1" si="133"/>
        <v>0</v>
      </c>
      <c r="K718" s="1245">
        <f t="shared" si="133"/>
        <v>0</v>
      </c>
      <c r="L718" s="1245">
        <f t="shared" si="133"/>
        <v>0</v>
      </c>
      <c r="M718" s="1245">
        <f t="shared" si="133"/>
        <v>0</v>
      </c>
      <c r="N718" s="1245">
        <f t="shared" ca="1" si="133"/>
        <v>0</v>
      </c>
      <c r="O718" s="1245">
        <f t="shared" ca="1" si="133"/>
        <v>0</v>
      </c>
      <c r="P718" s="1245"/>
      <c r="Q718" s="1245"/>
      <c r="R718" s="1245"/>
      <c r="S718" s="1245"/>
      <c r="T718" s="1671"/>
      <c r="U718" s="1664" t="str">
        <f>IFERROR(VLOOKUP(B718,ChiTietDuToan!C:H,5,0),"")</f>
        <v/>
      </c>
      <c r="V718" s="2309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59" t="s">
        <v>2314</v>
      </c>
      <c r="C719" s="1189" t="str">
        <f t="shared" ref="C719:C775" ca="1" si="134">IF(OR(P719&lt;&gt;0,H719&lt;&gt;0),"x"," ")</f>
        <v xml:space="preserve"> </v>
      </c>
      <c r="D719" s="1236" t="str">
        <f>VLOOKUP($B719,DG!A:D,DG!$B$2,)</f>
        <v>05.5302</v>
      </c>
      <c r="E719" s="1248" t="str">
        <f>VLOOKUP($B719,DG!A:D,DG!$C$2,)</f>
        <v>Dựng trụ BTLT &lt;10m thủ công +cơ giới</v>
      </c>
      <c r="F719" s="1236" t="str">
        <f>VLOOKUP($B719,DG!A:D,DG!$D$2,)</f>
        <v>trụ</v>
      </c>
      <c r="G719" s="1915">
        <v>1</v>
      </c>
      <c r="H719" s="1245">
        <f t="shared" ca="1" si="133"/>
        <v>0</v>
      </c>
      <c r="I719" s="1245">
        <f t="shared" ca="1" si="133"/>
        <v>0</v>
      </c>
      <c r="J719" s="1245">
        <f t="shared" ca="1" si="133"/>
        <v>0</v>
      </c>
      <c r="K719" s="1245">
        <f t="shared" si="133"/>
        <v>0</v>
      </c>
      <c r="L719" s="1245">
        <f t="shared" si="133"/>
        <v>0</v>
      </c>
      <c r="M719" s="1245">
        <f t="shared" si="133"/>
        <v>0</v>
      </c>
      <c r="N719" s="1245">
        <f t="shared" ca="1" si="133"/>
        <v>0</v>
      </c>
      <c r="O719" s="1245">
        <f t="shared" ca="1" si="133"/>
        <v>0</v>
      </c>
      <c r="P719" s="1245"/>
      <c r="Q719" s="1245"/>
      <c r="R719" s="1245"/>
      <c r="S719" s="1245"/>
      <c r="T719" s="1671"/>
      <c r="U719" s="1664" t="str">
        <f>IFERROR(VLOOKUP(B719,ChiTietDuToan!C:H,5,0),"")</f>
        <v/>
      </c>
      <c r="V719" s="2309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74" t="s">
        <v>640</v>
      </c>
      <c r="C720" s="1189" t="str">
        <f t="shared" si="134"/>
        <v xml:space="preserve"> </v>
      </c>
      <c r="D720" s="1236" t="str">
        <f>VLOOKUP($B720,DG!A:C,2,)</f>
        <v>02.1482</v>
      </c>
      <c r="E720" s="1241" t="str">
        <f>VLOOKUP($B720,DG!A:C,3,)</f>
        <v>V/c dụng cụ thi công vào vị trí (cự ly &lt;=100m)</v>
      </c>
      <c r="F720" s="1236" t="str">
        <f>VLOOKUP($B720,DG!A:D,4,0)</f>
        <v>tấn</v>
      </c>
      <c r="G720" s="1914"/>
      <c r="H720" s="1250"/>
      <c r="I720" s="1250"/>
      <c r="J720" s="1250"/>
      <c r="K720" s="1250"/>
      <c r="L720" s="1250"/>
      <c r="M720" s="1250"/>
      <c r="N720" s="1250"/>
      <c r="O720" s="1250"/>
      <c r="P720" s="1250"/>
      <c r="Q720" s="1250"/>
      <c r="R720" s="1250"/>
      <c r="S720" s="1250"/>
      <c r="T720" s="1671"/>
      <c r="U720" s="1664" t="str">
        <f>IFERROR(VLOOKUP(B720,ChiTietDuToan!C:H,5,0),"")</f>
        <v/>
      </c>
      <c r="V720" s="2309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62"/>
      <c r="C721" s="1189" t="str">
        <f t="shared" ca="1" si="134"/>
        <v xml:space="preserve"> </v>
      </c>
      <c r="D721" s="1237"/>
      <c r="E721" s="1666" t="s">
        <v>2470</v>
      </c>
      <c r="F721" s="1238" t="s">
        <v>2340</v>
      </c>
      <c r="G721" s="1912"/>
      <c r="H721" s="1523">
        <f ca="1">SUM(I721:O721)+T721</f>
        <v>0</v>
      </c>
      <c r="I721" s="1239">
        <f ca="1">SUMIF(BTLT3pm,$A721,slBTLT3pm)</f>
        <v>0</v>
      </c>
      <c r="J721" s="1239">
        <f ca="1">SUMIF(BTLTct,$A721,slBTLTct)</f>
        <v>0</v>
      </c>
      <c r="K721" s="1239">
        <f ca="1">SUMIF(BTLT3p1m,$A721,slBTLT3p1m)</f>
        <v>0</v>
      </c>
      <c r="L721" s="1239">
        <f>IFERROR(HLOOKUP(A721,pp1p!$6:$90,85,0),0)</f>
        <v>0</v>
      </c>
      <c r="M721" s="1239">
        <f ca="1">SUMIF(BTLTHTHH,$A721,slBTLTHTHH)</f>
        <v>0</v>
      </c>
      <c r="N721" s="1239">
        <f ca="1">SUMIF(BTLTHTDL,$A721,slBTLTHTDL)</f>
        <v>0</v>
      </c>
      <c r="O721" s="1239">
        <f ca="1">SUMIF(BTLTHTCS,$A721,slBTLTHTCS)</f>
        <v>0</v>
      </c>
      <c r="P721" s="1239">
        <f ca="1">H721+Q721-R721</f>
        <v>0</v>
      </c>
      <c r="Q721" s="1239"/>
      <c r="R721" s="1239"/>
      <c r="S721" s="1239"/>
      <c r="T721" s="1671"/>
      <c r="U721" s="1664">
        <f>IFERROR(VLOOKUP(B721,ChiTietDuToan!C:H,5,0),"")</f>
        <v>0</v>
      </c>
      <c r="V721" s="2309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59" t="s">
        <v>115</v>
      </c>
      <c r="C722" s="1189" t="str">
        <f t="shared" ca="1" si="134"/>
        <v xml:space="preserve"> </v>
      </c>
      <c r="D722" s="1236"/>
      <c r="E722" s="1248" t="str">
        <f>VLOOKUP($B722,DG!A:D,DG!$C$2,)</f>
        <v>Trụ BTLT 10,5m F350 dự ứng lực</v>
      </c>
      <c r="F722" s="1236" t="str">
        <f>VLOOKUP($B722,DG!A:D,DG!$D$2,)</f>
        <v>trụ</v>
      </c>
      <c r="G722" s="1915">
        <v>1</v>
      </c>
      <c r="H722" s="1245">
        <f ca="1">H$721*$G722</f>
        <v>0</v>
      </c>
      <c r="I722" s="1245">
        <f t="shared" ref="I722:O723" ca="1" si="135">I$721*$G722</f>
        <v>0</v>
      </c>
      <c r="J722" s="1245">
        <f t="shared" ca="1" si="135"/>
        <v>0</v>
      </c>
      <c r="K722" s="1245">
        <f t="shared" ca="1" si="135"/>
        <v>0</v>
      </c>
      <c r="L722" s="1245">
        <f t="shared" si="135"/>
        <v>0</v>
      </c>
      <c r="M722" s="1245">
        <f t="shared" ca="1" si="135"/>
        <v>0</v>
      </c>
      <c r="N722" s="1245">
        <f t="shared" ca="1" si="135"/>
        <v>0</v>
      </c>
      <c r="O722" s="1245">
        <f t="shared" ca="1" si="135"/>
        <v>0</v>
      </c>
      <c r="P722" s="1245">
        <f ca="1">$P$721*G722</f>
        <v>0</v>
      </c>
      <c r="Q722" s="1245"/>
      <c r="R722" s="1245"/>
      <c r="S722" s="1245"/>
      <c r="T722" s="1671"/>
      <c r="U722" s="1664" t="str">
        <f>IFERROR(VLOOKUP(B722,ChiTietDuToan!C:H,5,0),"")</f>
        <v/>
      </c>
      <c r="V722" s="2309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59" t="s">
        <v>1867</v>
      </c>
      <c r="C723" s="1189" t="str">
        <f t="shared" ca="1" si="134"/>
        <v xml:space="preserve"> </v>
      </c>
      <c r="D723" s="1236"/>
      <c r="E723" s="1248" t="str">
        <f>VLOOKUP($B723,DG!A:D,DG!$C$2,)</f>
        <v>Vật liệu dựng trụ</v>
      </c>
      <c r="F723" s="1236" t="str">
        <f>VLOOKUP($B723,DG!A:D,DG!$D$2,)</f>
        <v>trụ</v>
      </c>
      <c r="G723" s="1915">
        <v>1</v>
      </c>
      <c r="H723" s="1245">
        <f ca="1">H$721*$G723</f>
        <v>0</v>
      </c>
      <c r="I723" s="1245">
        <f t="shared" ca="1" si="135"/>
        <v>0</v>
      </c>
      <c r="J723" s="1245">
        <f t="shared" ca="1" si="135"/>
        <v>0</v>
      </c>
      <c r="K723" s="1245">
        <f t="shared" ca="1" si="135"/>
        <v>0</v>
      </c>
      <c r="L723" s="1245">
        <f t="shared" si="135"/>
        <v>0</v>
      </c>
      <c r="M723" s="1245">
        <f t="shared" ca="1" si="135"/>
        <v>0</v>
      </c>
      <c r="N723" s="1245">
        <f t="shared" ca="1" si="135"/>
        <v>0</v>
      </c>
      <c r="O723" s="1245">
        <f t="shared" ca="1" si="135"/>
        <v>0</v>
      </c>
      <c r="P723" s="1245">
        <f ca="1">$P$721*G723</f>
        <v>0</v>
      </c>
      <c r="Q723" s="1245"/>
      <c r="R723" s="1245"/>
      <c r="S723" s="1245"/>
      <c r="T723" s="1671"/>
      <c r="U723" s="1664" t="str">
        <f>IFERROR(VLOOKUP(B723,ChiTietDuToan!C:H,5,0),"")</f>
        <v/>
      </c>
      <c r="V723" s="2309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59" t="s">
        <v>1664</v>
      </c>
      <c r="C724" s="1189" t="str">
        <f t="shared" ca="1" si="134"/>
        <v xml:space="preserve"> </v>
      </c>
      <c r="D724" s="1236" t="str">
        <f>VLOOKUP($B724,DG!A:D,DG!$B$2,)</f>
        <v>05.5402</v>
      </c>
      <c r="E724" s="1248" t="str">
        <f>VLOOKUP($B724,DG!A:D,DG!$C$2,)</f>
        <v>Dựng trụ BTLT 10,5m thủ công + cơ giới</v>
      </c>
      <c r="F724" s="1236" t="str">
        <f>VLOOKUP($B724,DG!A:D,DG!$D$2,)</f>
        <v>trụ</v>
      </c>
      <c r="G724" s="1915">
        <v>1</v>
      </c>
      <c r="H724" s="1245">
        <f ca="1">H$721*$G724</f>
        <v>0</v>
      </c>
      <c r="I724" s="1250"/>
      <c r="J724" s="1250"/>
      <c r="K724" s="1250"/>
      <c r="L724" s="1250"/>
      <c r="M724" s="1250"/>
      <c r="N724" s="1250"/>
      <c r="O724" s="1250"/>
      <c r="P724" s="1245">
        <f ca="1">$P$721*G724</f>
        <v>0</v>
      </c>
      <c r="Q724" s="1250"/>
      <c r="R724" s="1250"/>
      <c r="S724" s="1250"/>
      <c r="T724" s="1671"/>
      <c r="U724" s="1664" t="str">
        <f>IFERROR(VLOOKUP(B724,ChiTietDuToan!C:H,5,0),"")</f>
        <v/>
      </c>
      <c r="V724" s="2309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59" t="s">
        <v>1228</v>
      </c>
      <c r="C725" s="1189" t="str">
        <f t="shared" si="134"/>
        <v xml:space="preserve"> </v>
      </c>
      <c r="D725" s="1236" t="str">
        <f>VLOOKUP($B725,DG!A:D,DG!$B$2,)</f>
        <v>02.1124</v>
      </c>
      <c r="E725" s="1241" t="str">
        <f>VLOOKUP($B725,DG!A:D,DG!$C$2,)</f>
        <v xml:space="preserve">Bốc dỡ trụ </v>
      </c>
      <c r="F725" s="1236" t="str">
        <f>VLOOKUP($B725,DG!A:D,DG!$D$2,)</f>
        <v>tấn</v>
      </c>
      <c r="G725" s="1914"/>
      <c r="H725" s="1250"/>
      <c r="I725" s="1250"/>
      <c r="J725" s="1250"/>
      <c r="K725" s="1250"/>
      <c r="L725" s="1250"/>
      <c r="M725" s="1250"/>
      <c r="N725" s="1250"/>
      <c r="O725" s="1250"/>
      <c r="P725" s="1250"/>
      <c r="Q725" s="1250"/>
      <c r="R725" s="1250"/>
      <c r="S725" s="1250"/>
      <c r="T725" s="1671"/>
      <c r="U725" s="1664" t="str">
        <f>IFERROR(VLOOKUP(B725,ChiTietDuToan!C:H,5,0),"")</f>
        <v/>
      </c>
      <c r="V725" s="2309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74" t="s">
        <v>1229</v>
      </c>
      <c r="C726" s="1189" t="str">
        <f t="shared" si="134"/>
        <v xml:space="preserve"> </v>
      </c>
      <c r="D726" s="1236" t="str">
        <f>VLOOKUP($B726,DG!A:C,2,)</f>
        <v>02.1461</v>
      </c>
      <c r="E726" s="1241" t="str">
        <f>VLOOKUP($B726,DG!A:C,3,)</f>
        <v>V/c cột vào vị trí (cự ly &lt;=100m)</v>
      </c>
      <c r="F726" s="1236" t="str">
        <f>VLOOKUP($B726,DG!A:D,4,0)</f>
        <v>tấn</v>
      </c>
      <c r="G726" s="1914"/>
      <c r="H726" s="1250"/>
      <c r="I726" s="1250"/>
      <c r="J726" s="1250"/>
      <c r="K726" s="1250"/>
      <c r="L726" s="1250"/>
      <c r="M726" s="1250"/>
      <c r="N726" s="1250"/>
      <c r="O726" s="1250"/>
      <c r="P726" s="1250"/>
      <c r="Q726" s="1250"/>
      <c r="R726" s="1250"/>
      <c r="S726" s="1250"/>
      <c r="T726" s="1671"/>
      <c r="U726" s="1664" t="str">
        <f>IFERROR(VLOOKUP(B726,ChiTietDuToan!C:H,5,0),"")</f>
        <v/>
      </c>
      <c r="V726" s="2309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74" t="s">
        <v>640</v>
      </c>
      <c r="C727" s="1189" t="str">
        <f t="shared" si="134"/>
        <v xml:space="preserve"> </v>
      </c>
      <c r="D727" s="1236" t="str">
        <f>VLOOKUP($B727,DG!A:C,2,)</f>
        <v>02.1482</v>
      </c>
      <c r="E727" s="1241" t="str">
        <f>VLOOKUP($B727,DG!A:C,3,)</f>
        <v>V/c dụng cụ thi công vào vị trí (cự ly &lt;=100m)</v>
      </c>
      <c r="F727" s="1236" t="str">
        <f>VLOOKUP($B727,DG!A:D,4,0)</f>
        <v>tấn</v>
      </c>
      <c r="G727" s="1914"/>
      <c r="H727" s="1250"/>
      <c r="I727" s="1250"/>
      <c r="J727" s="1250"/>
      <c r="K727" s="1250"/>
      <c r="L727" s="1250"/>
      <c r="M727" s="1250"/>
      <c r="N727" s="1250"/>
      <c r="O727" s="1250"/>
      <c r="P727" s="1250"/>
      <c r="Q727" s="1250"/>
      <c r="R727" s="1250"/>
      <c r="S727" s="1250"/>
      <c r="T727" s="1671"/>
      <c r="U727" s="1664" t="str">
        <f>IFERROR(VLOOKUP(B727,ChiTietDuToan!C:H,5,0),"")</f>
        <v/>
      </c>
      <c r="V727" s="2309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62"/>
      <c r="C728" s="1189" t="str">
        <f t="shared" ca="1" si="134"/>
        <v xml:space="preserve"> </v>
      </c>
      <c r="D728" s="1237"/>
      <c r="E728" s="1666" t="s">
        <v>2471</v>
      </c>
      <c r="F728" s="1238" t="s">
        <v>2340</v>
      </c>
      <c r="G728" s="1912"/>
      <c r="H728" s="1523">
        <f ca="1">SUM(I728:O728)+T728</f>
        <v>0</v>
      </c>
      <c r="I728" s="1239">
        <f ca="1">SUMIF(BTLT3pm,$A728,slBTLT3pm)</f>
        <v>0</v>
      </c>
      <c r="J728" s="1239">
        <f ca="1">SUMIF(BTLTct,$A728,slBTLTct)</f>
        <v>0</v>
      </c>
      <c r="K728" s="1239"/>
      <c r="L728" s="1239">
        <f>IFERROR(HLOOKUP(A728,pp1p!$6:$90,85,0),0)</f>
        <v>0</v>
      </c>
      <c r="M728" s="1239">
        <f ca="1">SUMIF(BTLTHTHH,$A728,slBTLTHTHH)</f>
        <v>0</v>
      </c>
      <c r="N728" s="1239">
        <f ca="1">SUMIF(BTLTHTDL,$A728,slBTLTHTDL)</f>
        <v>0</v>
      </c>
      <c r="O728" s="1239">
        <f ca="1">SUMIF(BTLTHTCS,$A728,slBTLTHTCS)</f>
        <v>0</v>
      </c>
      <c r="P728" s="1239"/>
      <c r="Q728" s="1239"/>
      <c r="R728" s="1239"/>
      <c r="S728" s="1239"/>
      <c r="T728" s="1671"/>
      <c r="U728" s="1664">
        <f>IFERROR(VLOOKUP(B728,ChiTietDuToan!C:H,5,0),"")</f>
        <v>0</v>
      </c>
      <c r="V728" s="2309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59" t="s">
        <v>1664</v>
      </c>
      <c r="C729" s="1189" t="str">
        <f t="shared" si="134"/>
        <v xml:space="preserve"> </v>
      </c>
      <c r="D729" s="1236" t="str">
        <f>VLOOKUP($B729,DG!A:D,DG!$B$2,)</f>
        <v>05.5402</v>
      </c>
      <c r="E729" s="1248" t="s">
        <v>2472</v>
      </c>
      <c r="F729" s="1236" t="str">
        <f>VLOOKUP($B729,DG!A:D,DG!$D$2,)</f>
        <v>trụ</v>
      </c>
      <c r="G729" s="1915">
        <v>1</v>
      </c>
      <c r="H729" s="1250"/>
      <c r="I729" s="1250"/>
      <c r="J729" s="1250"/>
      <c r="K729" s="1250"/>
      <c r="L729" s="1250"/>
      <c r="M729" s="1250"/>
      <c r="N729" s="1250"/>
      <c r="O729" s="1250"/>
      <c r="P729" s="1250"/>
      <c r="Q729" s="1250"/>
      <c r="R729" s="1250"/>
      <c r="S729" s="1250"/>
      <c r="T729" s="1671"/>
      <c r="U729" s="1664" t="str">
        <f>IFERROR(VLOOKUP(B729,ChiTietDuToan!C:H,5,0),"")</f>
        <v/>
      </c>
      <c r="V729" s="2309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62"/>
      <c r="C730" s="1189" t="str">
        <f t="shared" ca="1" si="134"/>
        <v xml:space="preserve"> </v>
      </c>
      <c r="D730" s="1237"/>
      <c r="E730" s="1666" t="s">
        <v>2473</v>
      </c>
      <c r="F730" s="1238" t="s">
        <v>2340</v>
      </c>
      <c r="G730" s="1912"/>
      <c r="H730" s="1523">
        <f ca="1">SUM(I730:O730)+T730</f>
        <v>0</v>
      </c>
      <c r="I730" s="1239">
        <f ca="1">SUMIF(BTLT3pm,$A730,slBTLT3pm)</f>
        <v>0</v>
      </c>
      <c r="J730" s="1239">
        <f ca="1">SUMIF(BTLTct,$A730,slBTLTct)</f>
        <v>0</v>
      </c>
      <c r="K730" s="1239">
        <f ca="1">SUMIF(BTLT3p1m,$A730,slBTLT3p1m)</f>
        <v>0</v>
      </c>
      <c r="L730" s="1239">
        <f>IFERROR(HLOOKUP(A730,pp1p!$6:$90,85,0),0)</f>
        <v>0</v>
      </c>
      <c r="M730" s="1239">
        <f ca="1">SUMIF(BTLTHTHH,$A730,slBTLTHTHH)</f>
        <v>0</v>
      </c>
      <c r="N730" s="1239">
        <f ca="1">SUMIF(BTLTHTDL,$A730,slBTLTHTDL)</f>
        <v>0</v>
      </c>
      <c r="O730" s="1239">
        <f ca="1">SUMIF(BTLTHTCS,$A730,slBTLTHTCS)</f>
        <v>0</v>
      </c>
      <c r="P730" s="1239"/>
      <c r="Q730" s="1239"/>
      <c r="R730" s="1239"/>
      <c r="S730" s="1239"/>
      <c r="T730" s="1671"/>
      <c r="U730" s="1664">
        <f>IFERROR(VLOOKUP(B730,ChiTietDuToan!C:H,5,0),"")</f>
        <v>0</v>
      </c>
      <c r="V730" s="2309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59" t="s">
        <v>116</v>
      </c>
      <c r="C731" s="1189" t="str">
        <f t="shared" ca="1" si="134"/>
        <v xml:space="preserve"> </v>
      </c>
      <c r="D731" s="1236"/>
      <c r="E731" s="1248" t="str">
        <f>VLOOKUP($B731,DG!A:D,DG!$C$2,)</f>
        <v>Trụ BTLT 12m F350 dự ứng lực</v>
      </c>
      <c r="F731" s="1236" t="str">
        <f>VLOOKUP($B731,DG!A:D,DG!$D$2,)</f>
        <v>trụ</v>
      </c>
      <c r="G731" s="1915">
        <v>1</v>
      </c>
      <c r="H731" s="1245">
        <f ca="1">H$730*$G731</f>
        <v>0</v>
      </c>
      <c r="I731" s="1245">
        <f t="shared" ref="I731:O732" ca="1" si="136">I$730*$G731</f>
        <v>0</v>
      </c>
      <c r="J731" s="1245">
        <f t="shared" ca="1" si="136"/>
        <v>0</v>
      </c>
      <c r="K731" s="1245">
        <f t="shared" ca="1" si="136"/>
        <v>0</v>
      </c>
      <c r="L731" s="1245">
        <f t="shared" si="136"/>
        <v>0</v>
      </c>
      <c r="M731" s="1245">
        <f t="shared" ca="1" si="136"/>
        <v>0</v>
      </c>
      <c r="N731" s="1245">
        <f t="shared" ca="1" si="136"/>
        <v>0</v>
      </c>
      <c r="O731" s="1245">
        <f t="shared" ca="1" si="136"/>
        <v>0</v>
      </c>
      <c r="P731" s="1245"/>
      <c r="Q731" s="1245"/>
      <c r="R731" s="1245"/>
      <c r="S731" s="1245"/>
      <c r="T731" s="1671"/>
      <c r="U731" s="1664" t="str">
        <f>IFERROR(VLOOKUP(B731,ChiTietDuToan!C:H,5,0),"")</f>
        <v/>
      </c>
      <c r="V731" s="2309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59" t="s">
        <v>1867</v>
      </c>
      <c r="C732" s="1189" t="str">
        <f t="shared" ca="1" si="134"/>
        <v xml:space="preserve"> </v>
      </c>
      <c r="D732" s="1236"/>
      <c r="E732" s="1248" t="str">
        <f>VLOOKUP($B732,DG!A:D,DG!$C$2,)</f>
        <v>Vật liệu dựng trụ</v>
      </c>
      <c r="F732" s="1236" t="str">
        <f>VLOOKUP($B732,DG!A:D,DG!$D$2,)</f>
        <v>trụ</v>
      </c>
      <c r="G732" s="1915">
        <v>1</v>
      </c>
      <c r="H732" s="1245">
        <f ca="1">H$730*$G732</f>
        <v>0</v>
      </c>
      <c r="I732" s="1245">
        <f t="shared" ca="1" si="136"/>
        <v>0</v>
      </c>
      <c r="J732" s="1245">
        <f t="shared" ca="1" si="136"/>
        <v>0</v>
      </c>
      <c r="K732" s="1245">
        <f t="shared" ca="1" si="136"/>
        <v>0</v>
      </c>
      <c r="L732" s="1245">
        <f t="shared" si="136"/>
        <v>0</v>
      </c>
      <c r="M732" s="1245">
        <f t="shared" ca="1" si="136"/>
        <v>0</v>
      </c>
      <c r="N732" s="1245">
        <f t="shared" ca="1" si="136"/>
        <v>0</v>
      </c>
      <c r="O732" s="1245">
        <f t="shared" ca="1" si="136"/>
        <v>0</v>
      </c>
      <c r="P732" s="1245"/>
      <c r="Q732" s="1245"/>
      <c r="R732" s="1245"/>
      <c r="S732" s="1245"/>
      <c r="T732" s="1671"/>
      <c r="U732" s="1664" t="str">
        <f>IFERROR(VLOOKUP(B732,ChiTietDuToan!C:H,5,0),"")</f>
        <v/>
      </c>
      <c r="V732" s="2309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59" t="s">
        <v>1666</v>
      </c>
      <c r="C733" s="1189" t="str">
        <f t="shared" si="134"/>
        <v xml:space="preserve"> </v>
      </c>
      <c r="D733" s="1236" t="str">
        <f>VLOOKUP($B733,DG!A:D,DG!$B$2,)</f>
        <v>05.5213</v>
      </c>
      <c r="E733" s="1248" t="str">
        <f>VLOOKUP($B733,DG!A:D,DG!$C$2,)</f>
        <v>Dựng trụ BTLT 12m bằng thủ công</v>
      </c>
      <c r="F733" s="1236" t="str">
        <f>VLOOKUP($B733,DG!A:D,DG!$D$2,)</f>
        <v>trụ</v>
      </c>
      <c r="G733" s="1915">
        <v>1</v>
      </c>
      <c r="H733" s="1250"/>
      <c r="I733" s="1250"/>
      <c r="J733" s="1250"/>
      <c r="K733" s="1250"/>
      <c r="L733" s="1250"/>
      <c r="M733" s="1250"/>
      <c r="N733" s="1250"/>
      <c r="O733" s="1250"/>
      <c r="P733" s="1250"/>
      <c r="Q733" s="1250"/>
      <c r="R733" s="1250"/>
      <c r="S733" s="1250"/>
      <c r="T733" s="1671"/>
      <c r="U733" s="1664" t="str">
        <f>IFERROR(VLOOKUP(B733,ChiTietDuToan!C:H,5,0),"")</f>
        <v/>
      </c>
      <c r="V733" s="2309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59" t="s">
        <v>1228</v>
      </c>
      <c r="C734" s="1189" t="str">
        <f t="shared" si="134"/>
        <v xml:space="preserve"> </v>
      </c>
      <c r="D734" s="1236" t="str">
        <f>VLOOKUP($B734,DG!A:D,DG!$B$2,)</f>
        <v>02.1124</v>
      </c>
      <c r="E734" s="1241" t="str">
        <f>VLOOKUP($B734,DG!A:D,DG!$C$2,)</f>
        <v xml:space="preserve">Bốc dỡ trụ </v>
      </c>
      <c r="F734" s="1236" t="str">
        <f>VLOOKUP($B734,DG!A:D,DG!$D$2,)</f>
        <v>tấn</v>
      </c>
      <c r="G734" s="1914">
        <f>1.2*0</f>
        <v>0</v>
      </c>
      <c r="H734" s="1250"/>
      <c r="I734" s="1250"/>
      <c r="J734" s="1250"/>
      <c r="K734" s="1250"/>
      <c r="L734" s="1250"/>
      <c r="M734" s="1250"/>
      <c r="N734" s="1250"/>
      <c r="O734" s="1250"/>
      <c r="P734" s="1250"/>
      <c r="Q734" s="1250"/>
      <c r="R734" s="1250"/>
      <c r="S734" s="1250"/>
      <c r="T734" s="1671"/>
      <c r="U734" s="1664" t="str">
        <f>IFERROR(VLOOKUP(B734,ChiTietDuToan!C:H,5,0),"")</f>
        <v/>
      </c>
      <c r="V734" s="2309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74" t="s">
        <v>1229</v>
      </c>
      <c r="C735" s="1189" t="str">
        <f t="shared" si="134"/>
        <v xml:space="preserve"> </v>
      </c>
      <c r="D735" s="1236" t="str">
        <f>VLOOKUP($B735,DG!A:C,2,)</f>
        <v>02.1461</v>
      </c>
      <c r="E735" s="1241" t="str">
        <f>VLOOKUP($B735,DG!A:C,3,)</f>
        <v>V/c cột vào vị trí (cự ly &lt;=100m)</v>
      </c>
      <c r="F735" s="1236" t="str">
        <f>VLOOKUP($B735,DG!A:D,4,0)</f>
        <v>tấn</v>
      </c>
      <c r="G735" s="1914">
        <f>1.2*0</f>
        <v>0</v>
      </c>
      <c r="H735" s="1250"/>
      <c r="I735" s="1250"/>
      <c r="J735" s="1250"/>
      <c r="K735" s="1250"/>
      <c r="L735" s="1250"/>
      <c r="M735" s="1250"/>
      <c r="N735" s="1250"/>
      <c r="O735" s="1250"/>
      <c r="P735" s="1250"/>
      <c r="Q735" s="1250"/>
      <c r="R735" s="1250"/>
      <c r="S735" s="1250"/>
      <c r="T735" s="1671"/>
      <c r="U735" s="1664" t="str">
        <f>IFERROR(VLOOKUP(B735,ChiTietDuToan!C:H,5,0),"")</f>
        <v/>
      </c>
      <c r="V735" s="2309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74" t="s">
        <v>640</v>
      </c>
      <c r="C736" s="1189" t="str">
        <f t="shared" si="134"/>
        <v xml:space="preserve"> </v>
      </c>
      <c r="D736" s="1236" t="str">
        <f>VLOOKUP($B736,DG!A:C,2,)</f>
        <v>02.1482</v>
      </c>
      <c r="E736" s="1241" t="str">
        <f>VLOOKUP($B736,DG!A:C,3,)</f>
        <v>V/c dụng cụ thi công vào vị trí (cự ly &lt;=100m)</v>
      </c>
      <c r="F736" s="1236" t="str">
        <f>VLOOKUP($B736,DG!A:D,4,0)</f>
        <v>tấn</v>
      </c>
      <c r="G736" s="1914">
        <f>0.25*0</f>
        <v>0</v>
      </c>
      <c r="H736" s="1250"/>
      <c r="I736" s="1250"/>
      <c r="J736" s="1250"/>
      <c r="K736" s="1250"/>
      <c r="L736" s="1250"/>
      <c r="M736" s="1250"/>
      <c r="N736" s="1250"/>
      <c r="O736" s="1250"/>
      <c r="P736" s="1250"/>
      <c r="Q736" s="1250"/>
      <c r="R736" s="1250"/>
      <c r="S736" s="1250"/>
      <c r="T736" s="1671"/>
      <c r="U736" s="1664" t="str">
        <f>IFERROR(VLOOKUP(B736,ChiTietDuToan!C:H,5,0),"")</f>
        <v/>
      </c>
      <c r="V736" s="2309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61" t="s">
        <v>707</v>
      </c>
      <c r="B737" s="1962"/>
      <c r="C737" s="1189" t="str">
        <f t="shared" si="134"/>
        <v xml:space="preserve"> </v>
      </c>
      <c r="D737" s="1237"/>
      <c r="E737" s="1666" t="s">
        <v>2474</v>
      </c>
      <c r="F737" s="1238" t="s">
        <v>2340</v>
      </c>
      <c r="G737" s="1912"/>
      <c r="H737" s="1523">
        <f>W737</f>
        <v>0</v>
      </c>
      <c r="I737" s="1239">
        <f ca="1">SUMIF(BTLT3pm,$A737,slBTLT3pm)</f>
        <v>0</v>
      </c>
      <c r="J737" s="1239">
        <f ca="1">SUMIF(BTLTct,$A737,slBTLTct)</f>
        <v>0</v>
      </c>
      <c r="K737" s="1239">
        <f ca="1">SUMIF(BTLT3p1m,$A737,slBTLT3p1m)</f>
        <v>0</v>
      </c>
      <c r="L737" s="1239">
        <f>IFERROR(HLOOKUP(A737,pp1p!$6:$90,85,0),0)</f>
        <v>0</v>
      </c>
      <c r="M737" s="1239">
        <f ca="1">SUMIF(BTLTHTHH,$A737,slBTLTHTHH)</f>
        <v>0</v>
      </c>
      <c r="N737" s="1239">
        <f ca="1">SUMIF(BTLTHTDL,$A737,slBTLTHTDL)</f>
        <v>0</v>
      </c>
      <c r="O737" s="1239">
        <f ca="1">SUMIF(BTLTHTCS,$A737,slBTLTHTCS)</f>
        <v>0</v>
      </c>
      <c r="P737" s="1523">
        <f>H737+Q737-R737</f>
        <v>0</v>
      </c>
      <c r="Q737" s="1239"/>
      <c r="R737" s="1239"/>
      <c r="S737" s="1239"/>
      <c r="T737" s="1664"/>
      <c r="U737" s="1664">
        <f>IFERROR(VLOOKUP(B737,ChiTietDuToan!C:H,5,0),"")</f>
        <v>0</v>
      </c>
      <c r="V737" s="2309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52" t="s">
        <v>116</v>
      </c>
      <c r="C738" s="1189" t="str">
        <f t="shared" si="134"/>
        <v xml:space="preserve"> </v>
      </c>
      <c r="D738" s="1236"/>
      <c r="E738" s="1248" t="str">
        <f>VLOOKUP($B738,DG!A:D,DG!$C$2,)</f>
        <v>Trụ BTLT 12m F350 dự ứng lực</v>
      </c>
      <c r="F738" s="1236" t="str">
        <f>VLOOKUP($B738,DG!A:D,DG!$D$2,)</f>
        <v>trụ</v>
      </c>
      <c r="G738" s="1915">
        <v>1</v>
      </c>
      <c r="H738" s="1245">
        <f>H$737*$G738</f>
        <v>0</v>
      </c>
      <c r="I738" s="1245">
        <f t="shared" ref="I738:O739" ca="1" si="138">I$730*$G738</f>
        <v>0</v>
      </c>
      <c r="J738" s="1245">
        <f t="shared" ca="1" si="138"/>
        <v>0</v>
      </c>
      <c r="K738" s="1245">
        <f ca="1">K$737*$G738</f>
        <v>0</v>
      </c>
      <c r="L738" s="1245">
        <f>L$737*$G738</f>
        <v>0</v>
      </c>
      <c r="M738" s="1245">
        <f t="shared" ca="1" si="138"/>
        <v>0</v>
      </c>
      <c r="N738" s="1245">
        <f t="shared" ca="1" si="138"/>
        <v>0</v>
      </c>
      <c r="O738" s="1245">
        <f t="shared" ca="1" si="138"/>
        <v>0</v>
      </c>
      <c r="P738" s="1245">
        <f>$P$737*G738</f>
        <v>0</v>
      </c>
      <c r="Q738" s="1245">
        <f>$Q$737*G738</f>
        <v>0</v>
      </c>
      <c r="R738" s="1245"/>
      <c r="S738" s="1245"/>
      <c r="T738" s="1663"/>
      <c r="U738" s="1664" t="str">
        <f>IFERROR(VLOOKUP(B738,ChiTietDuToan!C:H,5,0),"")</f>
        <v/>
      </c>
      <c r="V738" s="2309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52" t="s">
        <v>1867</v>
      </c>
      <c r="C739" s="1189" t="str">
        <f t="shared" si="134"/>
        <v xml:space="preserve"> </v>
      </c>
      <c r="D739" s="1236"/>
      <c r="E739" s="1241" t="str">
        <f>VLOOKUP($B739,DG!A:D,DG!$C$2,)</f>
        <v>Vật liệu dựng trụ</v>
      </c>
      <c r="F739" s="1236" t="str">
        <f>VLOOKUP($B739,DG!A:D,DG!$D$2,)</f>
        <v>trụ</v>
      </c>
      <c r="G739" s="1915">
        <v>1</v>
      </c>
      <c r="H739" s="1245">
        <f>H$737*$G739</f>
        <v>0</v>
      </c>
      <c r="I739" s="1245">
        <f t="shared" ca="1" si="138"/>
        <v>0</v>
      </c>
      <c r="J739" s="1245">
        <f t="shared" ca="1" si="138"/>
        <v>0</v>
      </c>
      <c r="K739" s="1245">
        <f ca="1">K$737*$G739</f>
        <v>0</v>
      </c>
      <c r="L739" s="1245">
        <f>L$737*$G739</f>
        <v>0</v>
      </c>
      <c r="M739" s="1245">
        <f t="shared" ca="1" si="138"/>
        <v>0</v>
      </c>
      <c r="N739" s="1245">
        <f t="shared" ca="1" si="138"/>
        <v>0</v>
      </c>
      <c r="O739" s="1245">
        <f t="shared" ca="1" si="138"/>
        <v>0</v>
      </c>
      <c r="P739" s="1245">
        <f>$P$737*G739</f>
        <v>0</v>
      </c>
      <c r="Q739" s="1245">
        <f>$Q$737*G739</f>
        <v>0</v>
      </c>
      <c r="R739" s="1245"/>
      <c r="S739" s="1245"/>
      <c r="T739" s="1663"/>
      <c r="U739" s="1664" t="str">
        <f>IFERROR(VLOOKUP(B739,ChiTietDuToan!C:H,5,0),"")</f>
        <v/>
      </c>
      <c r="V739" s="2309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52" t="s">
        <v>2231</v>
      </c>
      <c r="C740" s="1189" t="str">
        <f t="shared" si="134"/>
        <v xml:space="preserve"> </v>
      </c>
      <c r="D740" s="1236" t="str">
        <f>VLOOKUP($B740,DG!A:D,DG!$B$2,)</f>
        <v>05.5402</v>
      </c>
      <c r="E740" s="1241" t="str">
        <f>VLOOKUP($B740,DG!A:D,DG!$C$2,)</f>
        <v>Dựng trụ BTLT 12m thủ công + cơ giới</v>
      </c>
      <c r="F740" s="1236" t="str">
        <f>VLOOKUP($B740,DG!A:D,DG!$D$2,)</f>
        <v>trụ</v>
      </c>
      <c r="G740" s="1915">
        <v>1</v>
      </c>
      <c r="H740" s="1245">
        <f>H$737*$G740</f>
        <v>0</v>
      </c>
      <c r="I740" s="1250"/>
      <c r="J740" s="1250"/>
      <c r="K740" s="1250"/>
      <c r="L740" s="1250"/>
      <c r="M740" s="1250"/>
      <c r="N740" s="1250"/>
      <c r="O740" s="1250"/>
      <c r="P740" s="1245">
        <f>$P$737*G740</f>
        <v>0</v>
      </c>
      <c r="Q740" s="1245">
        <f>$Q$737*G740</f>
        <v>0</v>
      </c>
      <c r="R740" s="1250"/>
      <c r="S740" s="1250"/>
      <c r="T740" s="1663"/>
      <c r="U740" s="1664" t="str">
        <f>IFERROR(VLOOKUP(B740,ChiTietDuToan!C:H,5,0),"")</f>
        <v>trụ</v>
      </c>
      <c r="V740" s="2309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59" t="s">
        <v>1228</v>
      </c>
      <c r="C741" s="1189" t="str">
        <f t="shared" si="134"/>
        <v xml:space="preserve"> </v>
      </c>
      <c r="D741" s="1236" t="str">
        <f>VLOOKUP($B741,DG!A:D,DG!$B$2,)</f>
        <v>02.1124</v>
      </c>
      <c r="E741" s="1241" t="str">
        <f>VLOOKUP($B741,DG!A:D,DG!$C$2,)</f>
        <v xml:space="preserve">Bốc dỡ trụ </v>
      </c>
      <c r="F741" s="1236" t="str">
        <f>VLOOKUP($B741,DG!A:D,DG!$D$2,)</f>
        <v>tấn</v>
      </c>
      <c r="G741" s="1914">
        <f>1.2*0</f>
        <v>0</v>
      </c>
      <c r="H741" s="1250"/>
      <c r="I741" s="1250"/>
      <c r="J741" s="1250"/>
      <c r="K741" s="1250"/>
      <c r="L741" s="1250"/>
      <c r="M741" s="1250"/>
      <c r="N741" s="1250"/>
      <c r="O741" s="1250"/>
      <c r="P741" s="1250"/>
      <c r="Q741" s="1250"/>
      <c r="R741" s="1250"/>
      <c r="S741" s="1250"/>
      <c r="T741" s="1671"/>
      <c r="U741" s="1664" t="str">
        <f>IFERROR(VLOOKUP(B741,ChiTietDuToan!C:H,5,0),"")</f>
        <v/>
      </c>
      <c r="V741" s="2309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74" t="s">
        <v>1229</v>
      </c>
      <c r="C742" s="1189" t="str">
        <f t="shared" si="134"/>
        <v xml:space="preserve"> </v>
      </c>
      <c r="D742" s="1236" t="str">
        <f>VLOOKUP($B742,DG!A:C,2,)</f>
        <v>02.1461</v>
      </c>
      <c r="E742" s="1241" t="str">
        <f>VLOOKUP($B742,DG!A:C,3,)</f>
        <v>V/c cột vào vị trí (cự ly &lt;=100m)</v>
      </c>
      <c r="F742" s="1236" t="str">
        <f>VLOOKUP($B742,DG!A:D,4,0)</f>
        <v>tấn</v>
      </c>
      <c r="G742" s="1914">
        <f>1.2*0</f>
        <v>0</v>
      </c>
      <c r="H742" s="1250"/>
      <c r="I742" s="1250"/>
      <c r="J742" s="1250"/>
      <c r="K742" s="1250"/>
      <c r="L742" s="1250"/>
      <c r="M742" s="1250"/>
      <c r="N742" s="1250"/>
      <c r="O742" s="1250"/>
      <c r="P742" s="1250"/>
      <c r="Q742" s="1250"/>
      <c r="R742" s="1250"/>
      <c r="S742" s="1250"/>
      <c r="T742" s="1671"/>
      <c r="U742" s="1664" t="str">
        <f>IFERROR(VLOOKUP(B742,ChiTietDuToan!C:H,5,0),"")</f>
        <v/>
      </c>
      <c r="V742" s="2309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74" t="s">
        <v>640</v>
      </c>
      <c r="C743" s="1189" t="str">
        <f t="shared" si="134"/>
        <v xml:space="preserve"> </v>
      </c>
      <c r="D743" s="1236" t="str">
        <f>VLOOKUP($B743,DG!A:C,2,)</f>
        <v>02.1482</v>
      </c>
      <c r="E743" s="1241" t="str">
        <f>VLOOKUP($B743,DG!A:C,3,)</f>
        <v>V/c dụng cụ thi công vào vị trí (cự ly &lt;=100m)</v>
      </c>
      <c r="F743" s="1236" t="str">
        <f>VLOOKUP($B743,DG!A:D,4,0)</f>
        <v>tấn</v>
      </c>
      <c r="G743" s="1914">
        <f>0.25*0</f>
        <v>0</v>
      </c>
      <c r="H743" s="1250"/>
      <c r="I743" s="1250"/>
      <c r="J743" s="1250"/>
      <c r="K743" s="1250"/>
      <c r="L743" s="1250"/>
      <c r="M743" s="1250"/>
      <c r="N743" s="1250"/>
      <c r="O743" s="1250"/>
      <c r="P743" s="1250"/>
      <c r="Q743" s="1250"/>
      <c r="R743" s="1250"/>
      <c r="S743" s="1250"/>
      <c r="T743" s="1671"/>
      <c r="U743" s="1664" t="str">
        <f>IFERROR(VLOOKUP(B743,ChiTietDuToan!C:H,5,0),"")</f>
        <v/>
      </c>
      <c r="V743" s="2309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62"/>
      <c r="C744" s="1189" t="str">
        <f t="shared" ca="1" si="134"/>
        <v xml:space="preserve"> </v>
      </c>
      <c r="D744" s="1237"/>
      <c r="E744" s="1666" t="s">
        <v>2475</v>
      </c>
      <c r="F744" s="1238" t="s">
        <v>2340</v>
      </c>
      <c r="G744" s="1912"/>
      <c r="H744" s="1523">
        <f ca="1">SUM(I744:O744)+T744</f>
        <v>0</v>
      </c>
      <c r="I744" s="1239">
        <f ca="1">SUMIF(BTLT3pm,$A744,slBTLT3pm)</f>
        <v>0</v>
      </c>
      <c r="J744" s="1239">
        <f ca="1">SUMIF(BTLTct,$A744,slBTLTct)</f>
        <v>0</v>
      </c>
      <c r="K744" s="1239">
        <f ca="1">SUMIF(BTLT3p1m,$A744,slBTLT3p1m)</f>
        <v>0</v>
      </c>
      <c r="L744" s="1239">
        <f>IFERROR(HLOOKUP(A744,pp1p!$6:$90,85,0),0)</f>
        <v>0</v>
      </c>
      <c r="M744" s="1239">
        <f ca="1">SUMIF(BTLTHTHH,$A744,slBTLTHTHH)</f>
        <v>0</v>
      </c>
      <c r="N744" s="1239">
        <f ca="1">SUMIF(BTLTHTDL,$A744,slBTLTHTDL)</f>
        <v>0</v>
      </c>
      <c r="O744" s="1239">
        <f ca="1">SUMIF(BTLTHTCS,$A744,slBTLTHTCS)</f>
        <v>0</v>
      </c>
      <c r="P744" s="1239"/>
      <c r="Q744" s="1239"/>
      <c r="R744" s="1239"/>
      <c r="S744" s="1239"/>
      <c r="T744" s="1671"/>
      <c r="U744" s="1664">
        <f>IFERROR(VLOOKUP(B744,ChiTietDuToan!C:H,5,0),"")</f>
        <v>0</v>
      </c>
      <c r="V744" s="2309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59" t="s">
        <v>2476</v>
      </c>
      <c r="C745" s="1189" t="str">
        <f t="shared" ca="1" si="134"/>
        <v xml:space="preserve"> </v>
      </c>
      <c r="D745" s="1236"/>
      <c r="E745" s="1248" t="str">
        <f>VLOOKUP($B745,DG!A:D,DG!$C$2,)</f>
        <v>Trụ BTLT 12m F350 dự ứng lực (tiếp địa có sẵn)</v>
      </c>
      <c r="F745" s="1236" t="str">
        <f>VLOOKUP($B745,DG!A:D,DG!$D$2,)</f>
        <v>trụ</v>
      </c>
      <c r="G745" s="1915">
        <v>1</v>
      </c>
      <c r="H745" s="1245">
        <f ca="1">H$744*$G745</f>
        <v>0</v>
      </c>
      <c r="I745" s="1245">
        <f t="shared" ref="I745:O746" ca="1" si="139">I$730*$G745</f>
        <v>0</v>
      </c>
      <c r="J745" s="1245">
        <f t="shared" ca="1" si="139"/>
        <v>0</v>
      </c>
      <c r="K745" s="1245">
        <f ca="1">K$744*$G745</f>
        <v>0</v>
      </c>
      <c r="L745" s="1245">
        <f>L$744*$G745</f>
        <v>0</v>
      </c>
      <c r="M745" s="1245">
        <f t="shared" ca="1" si="139"/>
        <v>0</v>
      </c>
      <c r="N745" s="1245">
        <f t="shared" ca="1" si="139"/>
        <v>0</v>
      </c>
      <c r="O745" s="1245">
        <f t="shared" ca="1" si="139"/>
        <v>0</v>
      </c>
      <c r="P745" s="1245"/>
      <c r="Q745" s="1245"/>
      <c r="R745" s="1245"/>
      <c r="S745" s="1245"/>
      <c r="T745" s="1671"/>
      <c r="U745" s="1664" t="str">
        <f>IFERROR(VLOOKUP(B745,ChiTietDuToan!C:H,5,0),"")</f>
        <v/>
      </c>
      <c r="V745" s="2309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59" t="s">
        <v>1867</v>
      </c>
      <c r="C746" s="1189" t="str">
        <f t="shared" ca="1" si="134"/>
        <v xml:space="preserve"> </v>
      </c>
      <c r="D746" s="1236"/>
      <c r="E746" s="1248" t="str">
        <f>VLOOKUP($B746,DG!A:D,DG!$C$2,)</f>
        <v>Vật liệu dựng trụ</v>
      </c>
      <c r="F746" s="1236" t="str">
        <f>VLOOKUP($B746,DG!A:D,DG!$D$2,)</f>
        <v>trụ</v>
      </c>
      <c r="G746" s="1915">
        <v>1</v>
      </c>
      <c r="H746" s="1245">
        <f ca="1">H$744*$G746</f>
        <v>0</v>
      </c>
      <c r="I746" s="1245">
        <f t="shared" ca="1" si="139"/>
        <v>0</v>
      </c>
      <c r="J746" s="1245">
        <f t="shared" ca="1" si="139"/>
        <v>0</v>
      </c>
      <c r="K746" s="1245">
        <f ca="1">K$744*$G746</f>
        <v>0</v>
      </c>
      <c r="L746" s="1245">
        <f>L$744*$G746</f>
        <v>0</v>
      </c>
      <c r="M746" s="1245">
        <f t="shared" ca="1" si="139"/>
        <v>0</v>
      </c>
      <c r="N746" s="1245">
        <f t="shared" ca="1" si="139"/>
        <v>0</v>
      </c>
      <c r="O746" s="1245">
        <f t="shared" ca="1" si="139"/>
        <v>0</v>
      </c>
      <c r="P746" s="1245"/>
      <c r="Q746" s="1245"/>
      <c r="R746" s="1245"/>
      <c r="S746" s="1245"/>
      <c r="T746" s="1671"/>
      <c r="U746" s="1664" t="str">
        <f>IFERROR(VLOOKUP(B746,ChiTietDuToan!C:H,5,0),"")</f>
        <v/>
      </c>
      <c r="V746" s="2309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59" t="s">
        <v>2231</v>
      </c>
      <c r="C747" s="1189" t="str">
        <f t="shared" si="134"/>
        <v xml:space="preserve"> </v>
      </c>
      <c r="D747" s="1236" t="str">
        <f>VLOOKUP($B747,DG!A:D,DG!$B$2,)</f>
        <v>05.5402</v>
      </c>
      <c r="E747" s="1248" t="str">
        <f>VLOOKUP($B747,DG!A:D,DG!$C$2,)</f>
        <v>Dựng trụ BTLT 12m thủ công + cơ giới</v>
      </c>
      <c r="F747" s="1236" t="str">
        <f>VLOOKUP($B747,DG!A:D,DG!$D$2,)</f>
        <v>trụ</v>
      </c>
      <c r="G747" s="1915">
        <v>1</v>
      </c>
      <c r="H747" s="1250"/>
      <c r="I747" s="1250"/>
      <c r="J747" s="1250"/>
      <c r="K747" s="1250"/>
      <c r="L747" s="1250"/>
      <c r="M747" s="1250"/>
      <c r="N747" s="1250"/>
      <c r="O747" s="1250"/>
      <c r="P747" s="1250"/>
      <c r="Q747" s="1250"/>
      <c r="R747" s="1250"/>
      <c r="S747" s="1250"/>
      <c r="T747" s="1671"/>
      <c r="U747" s="1664" t="str">
        <f>IFERROR(VLOOKUP(B747,ChiTietDuToan!C:H,5,0),"")</f>
        <v>trụ</v>
      </c>
      <c r="V747" s="2309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62"/>
      <c r="C748" s="1189" t="str">
        <f t="shared" si="134"/>
        <v xml:space="preserve"> </v>
      </c>
      <c r="D748" s="1237"/>
      <c r="E748" s="1666" t="s">
        <v>2477</v>
      </c>
      <c r="F748" s="1238" t="s">
        <v>2340</v>
      </c>
      <c r="G748" s="1912"/>
      <c r="H748" s="1523">
        <f>W748</f>
        <v>0</v>
      </c>
      <c r="I748" s="1239">
        <f ca="1">SUMIF(BTLT3pm,$A748,slBTLT3pm)</f>
        <v>0</v>
      </c>
      <c r="J748" s="1239">
        <f ca="1">SUMIF(BTLTct,$A748,slBTLTct)</f>
        <v>0</v>
      </c>
      <c r="K748" s="1239">
        <f ca="1">SUMIF(BTLT3p1m,$A748,slBTLT3p1m)</f>
        <v>0</v>
      </c>
      <c r="L748" s="1239">
        <f>IFERROR(HLOOKUP(A748,pp1p!$6:$90,85,0),0)</f>
        <v>0</v>
      </c>
      <c r="M748" s="1239">
        <f ca="1">SUMIF(BTLTHTHH,$A748,slBTLTHTHH)</f>
        <v>0</v>
      </c>
      <c r="N748" s="1239">
        <f ca="1">SUMIF(BTLTHTDL,$A748,slBTLTHTDL)</f>
        <v>0</v>
      </c>
      <c r="O748" s="1239"/>
      <c r="P748" s="1523">
        <f>H748+Q748-R748</f>
        <v>0</v>
      </c>
      <c r="Q748" s="1239"/>
      <c r="R748" s="1239"/>
      <c r="S748" s="1239"/>
      <c r="T748" s="1671"/>
      <c r="U748" s="1664">
        <f>IFERROR(VLOOKUP(B748,ChiTietDuToan!C:H,5,0),"")</f>
        <v>0</v>
      </c>
      <c r="V748" s="2309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59" t="s">
        <v>108</v>
      </c>
      <c r="C749" s="1189" t="str">
        <f t="shared" si="134"/>
        <v xml:space="preserve"> </v>
      </c>
      <c r="D749" s="1236"/>
      <c r="E749" s="1248" t="str">
        <f>VLOOKUP($B749,DG!A:D,DG!$C$2,)</f>
        <v>Trụ BTLT 14m F650 dự ứng lực</v>
      </c>
      <c r="F749" s="1236" t="str">
        <f>VLOOKUP($B749,DG!A:D,DG!$D$2,)</f>
        <v>trụ</v>
      </c>
      <c r="G749" s="1915">
        <v>1</v>
      </c>
      <c r="H749" s="1245">
        <f>H$748*$G749</f>
        <v>0</v>
      </c>
      <c r="I749" s="1245">
        <f t="shared" ref="I749:N750" ca="1" si="141">I$748*$G749</f>
        <v>0</v>
      </c>
      <c r="J749" s="1245">
        <f t="shared" ca="1" si="141"/>
        <v>0</v>
      </c>
      <c r="K749" s="1245">
        <f t="shared" ca="1" si="141"/>
        <v>0</v>
      </c>
      <c r="L749" s="1245">
        <f t="shared" si="141"/>
        <v>0</v>
      </c>
      <c r="M749" s="1245">
        <f t="shared" ca="1" si="141"/>
        <v>0</v>
      </c>
      <c r="N749" s="1245">
        <f t="shared" ca="1" si="141"/>
        <v>0</v>
      </c>
      <c r="O749" s="1245"/>
      <c r="P749" s="1245"/>
      <c r="Q749" s="1245"/>
      <c r="R749" s="1245"/>
      <c r="S749" s="1245"/>
      <c r="T749" s="1671"/>
      <c r="U749" s="1664" t="str">
        <f>IFERROR(VLOOKUP(B749,ChiTietDuToan!C:H,5,0),"")</f>
        <v>trụ</v>
      </c>
      <c r="V749" s="2309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59" t="s">
        <v>1867</v>
      </c>
      <c r="C750" s="1189" t="str">
        <f t="shared" si="134"/>
        <v xml:space="preserve"> </v>
      </c>
      <c r="D750" s="1236"/>
      <c r="E750" s="1248" t="str">
        <f>VLOOKUP($B750,DG!A:D,DG!$C$2,)</f>
        <v>Vật liệu dựng trụ</v>
      </c>
      <c r="F750" s="1236" t="str">
        <f>VLOOKUP($B750,DG!A:D,DG!$D$2,)</f>
        <v>trụ</v>
      </c>
      <c r="G750" s="1915">
        <v>1</v>
      </c>
      <c r="H750" s="1245">
        <f>H$748*$G750</f>
        <v>0</v>
      </c>
      <c r="I750" s="1245">
        <f t="shared" ca="1" si="141"/>
        <v>0</v>
      </c>
      <c r="J750" s="1245">
        <f t="shared" ca="1" si="141"/>
        <v>0</v>
      </c>
      <c r="K750" s="1245">
        <f t="shared" ca="1" si="141"/>
        <v>0</v>
      </c>
      <c r="L750" s="1245">
        <f t="shared" si="141"/>
        <v>0</v>
      </c>
      <c r="M750" s="1245">
        <f t="shared" ca="1" si="141"/>
        <v>0</v>
      </c>
      <c r="N750" s="1245">
        <f t="shared" ca="1" si="141"/>
        <v>0</v>
      </c>
      <c r="O750" s="1245"/>
      <c r="P750" s="1245"/>
      <c r="Q750" s="1245"/>
      <c r="R750" s="1245"/>
      <c r="S750" s="1245"/>
      <c r="T750" s="1671"/>
      <c r="U750" s="1664" t="str">
        <f>IFERROR(VLOOKUP(B750,ChiTietDuToan!C:H,5,0),"")</f>
        <v/>
      </c>
      <c r="V750" s="2309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59" t="s">
        <v>1712</v>
      </c>
      <c r="C751" s="1189" t="str">
        <f t="shared" si="134"/>
        <v xml:space="preserve"> </v>
      </c>
      <c r="D751" s="1236" t="str">
        <f>VLOOKUP($B751,DG!A:D,DG!$B$2,)</f>
        <v>05.5224</v>
      </c>
      <c r="E751" s="1248" t="str">
        <f>VLOOKUP($B751,DG!A:D,DG!$C$2,)</f>
        <v>Dựng trụ BTLT 14m thủ công + cơ giới</v>
      </c>
      <c r="F751" s="1236" t="str">
        <f>VLOOKUP($B751,DG!A:D,DG!$D$2,)</f>
        <v>trụ</v>
      </c>
      <c r="G751" s="1915">
        <v>1</v>
      </c>
      <c r="H751" s="1250"/>
      <c r="I751" s="1250"/>
      <c r="J751" s="1250"/>
      <c r="K751" s="1250"/>
      <c r="L751" s="1250"/>
      <c r="M751" s="1250"/>
      <c r="N751" s="1250"/>
      <c r="O751" s="1250"/>
      <c r="P751" s="1250"/>
      <c r="Q751" s="1250"/>
      <c r="R751" s="1250"/>
      <c r="S751" s="1250"/>
      <c r="T751" s="1671"/>
      <c r="U751" s="1664" t="str">
        <f>IFERROR(VLOOKUP(B751,ChiTietDuToan!C:H,5,0),"")</f>
        <v>trụ</v>
      </c>
      <c r="V751" s="2309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59" t="s">
        <v>1228</v>
      </c>
      <c r="C752" s="1189" t="str">
        <f t="shared" si="134"/>
        <v xml:space="preserve"> </v>
      </c>
      <c r="D752" s="1236" t="str">
        <f>VLOOKUP($B752,DG!A:D,DG!$B$2,)</f>
        <v>02.1124</v>
      </c>
      <c r="E752" s="1241" t="str">
        <f>VLOOKUP($B752,DG!A:D,DG!$C$2,)</f>
        <v xml:space="preserve">Bốc dỡ trụ </v>
      </c>
      <c r="F752" s="1236" t="str">
        <f>VLOOKUP($B752,DG!A:D,DG!$D$2,)</f>
        <v>tấn</v>
      </c>
      <c r="G752" s="1914"/>
      <c r="H752" s="1250"/>
      <c r="I752" s="1250"/>
      <c r="J752" s="1250"/>
      <c r="K752" s="1250"/>
      <c r="L752" s="1250"/>
      <c r="M752" s="1250"/>
      <c r="N752" s="1250"/>
      <c r="O752" s="1250"/>
      <c r="P752" s="1250"/>
      <c r="Q752" s="1250"/>
      <c r="R752" s="1250"/>
      <c r="S752" s="1250"/>
      <c r="T752" s="1671"/>
      <c r="U752" s="1664" t="str">
        <f>IFERROR(VLOOKUP(B752,ChiTietDuToan!C:H,5,0),"")</f>
        <v/>
      </c>
      <c r="V752" s="2309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74" t="s">
        <v>1229</v>
      </c>
      <c r="C753" s="1189" t="str">
        <f t="shared" si="134"/>
        <v xml:space="preserve"> </v>
      </c>
      <c r="D753" s="1236" t="str">
        <f>VLOOKUP($B753,DG!A:C,2,)</f>
        <v>02.1461</v>
      </c>
      <c r="E753" s="1241" t="str">
        <f>VLOOKUP($B753,DG!A:C,3,)</f>
        <v>V/c cột vào vị trí (cự ly &lt;=100m)</v>
      </c>
      <c r="F753" s="1236" t="str">
        <f>VLOOKUP($B753,DG!A:D,4,0)</f>
        <v>tấn</v>
      </c>
      <c r="G753" s="1914"/>
      <c r="H753" s="1250"/>
      <c r="I753" s="1250"/>
      <c r="J753" s="1250"/>
      <c r="K753" s="1250"/>
      <c r="L753" s="1250"/>
      <c r="M753" s="1250"/>
      <c r="N753" s="1250"/>
      <c r="O753" s="1250"/>
      <c r="P753" s="1250"/>
      <c r="Q753" s="1250"/>
      <c r="R753" s="1250"/>
      <c r="S753" s="1250"/>
      <c r="T753" s="1671"/>
      <c r="U753" s="1664" t="str">
        <f>IFERROR(VLOOKUP(B753,ChiTietDuToan!C:H,5,0),"")</f>
        <v/>
      </c>
      <c r="V753" s="2309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74" t="s">
        <v>640</v>
      </c>
      <c r="C754" s="1189" t="str">
        <f t="shared" si="134"/>
        <v xml:space="preserve"> </v>
      </c>
      <c r="D754" s="1236" t="str">
        <f>VLOOKUP($B754,DG!A:C,2,)</f>
        <v>02.1482</v>
      </c>
      <c r="E754" s="1241" t="str">
        <f>VLOOKUP($B754,DG!A:C,3,)</f>
        <v>V/c dụng cụ thi công vào vị trí (cự ly &lt;=100m)</v>
      </c>
      <c r="F754" s="1236" t="str">
        <f>VLOOKUP($B754,DG!A:D,4,0)</f>
        <v>tấn</v>
      </c>
      <c r="G754" s="1914"/>
      <c r="H754" s="1250"/>
      <c r="I754" s="1250"/>
      <c r="J754" s="1250"/>
      <c r="K754" s="1250"/>
      <c r="L754" s="1250"/>
      <c r="M754" s="1250"/>
      <c r="N754" s="1250"/>
      <c r="O754" s="1250"/>
      <c r="P754" s="1250"/>
      <c r="Q754" s="1250"/>
      <c r="R754" s="1250"/>
      <c r="S754" s="1250"/>
      <c r="T754" s="1671"/>
      <c r="U754" s="1664" t="str">
        <f>IFERROR(VLOOKUP(B754,ChiTietDuToan!C:H,5,0),"")</f>
        <v/>
      </c>
      <c r="V754" s="2309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62"/>
      <c r="C755" s="1189" t="str">
        <f t="shared" ca="1" si="134"/>
        <v xml:space="preserve"> </v>
      </c>
      <c r="D755" s="1237"/>
      <c r="E755" s="1666" t="s">
        <v>2478</v>
      </c>
      <c r="F755" s="1238" t="s">
        <v>2340</v>
      </c>
      <c r="G755" s="1912"/>
      <c r="H755" s="1523">
        <f ca="1">SUM(I755:O755)+T755</f>
        <v>0</v>
      </c>
      <c r="I755" s="1239">
        <f ca="1">SUMIF(BTLT3pm,$A755,slBTLT3pm)</f>
        <v>0</v>
      </c>
      <c r="J755" s="1239">
        <f ca="1">SUMIF(BTLTct,$A755,slBTLTct)</f>
        <v>0</v>
      </c>
      <c r="K755" s="1239">
        <f ca="1">SUMIF(BTLT3p1m,$A755,slBTLT3p1m)</f>
        <v>0</v>
      </c>
      <c r="L755" s="1239">
        <f>IFERROR(HLOOKUP(A755,pp1p!$6:$90,85,0),0)</f>
        <v>0</v>
      </c>
      <c r="M755" s="1239"/>
      <c r="N755" s="1239"/>
      <c r="O755" s="1239"/>
      <c r="P755" s="1239"/>
      <c r="Q755" s="1239"/>
      <c r="R755" s="1239"/>
      <c r="S755" s="1239"/>
      <c r="T755" s="1671"/>
      <c r="U755" s="1664">
        <f>IFERROR(VLOOKUP(B755,ChiTietDuToan!C:H,5,0),"")</f>
        <v>0</v>
      </c>
      <c r="V755" s="2309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59" t="s">
        <v>2153</v>
      </c>
      <c r="C756" s="1189" t="str">
        <f t="shared" ca="1" si="134"/>
        <v xml:space="preserve"> </v>
      </c>
      <c r="D756" s="1236"/>
      <c r="E756" s="1248" t="str">
        <f>VLOOKUP($B756,DG!A:D,DG!$C$2,)</f>
        <v>Trụ BTLT 20m F1000 dự ứng lực</v>
      </c>
      <c r="F756" s="1236" t="str">
        <f>VLOOKUP($B756,DG!A:D,DG!$D$2,)</f>
        <v>trụ</v>
      </c>
      <c r="G756" s="1915">
        <v>1</v>
      </c>
      <c r="H756" s="1245">
        <f t="shared" ref="H756:J757" ca="1" si="142">H$755*$G756</f>
        <v>0</v>
      </c>
      <c r="I756" s="1245">
        <f t="shared" ca="1" si="142"/>
        <v>0</v>
      </c>
      <c r="J756" s="1245">
        <f t="shared" ca="1" si="142"/>
        <v>0</v>
      </c>
      <c r="K756" s="1245">
        <f ca="1">K$748*$G756</f>
        <v>0</v>
      </c>
      <c r="L756" s="1245">
        <f>L$748*$G756</f>
        <v>0</v>
      </c>
      <c r="M756" s="1245"/>
      <c r="N756" s="1245"/>
      <c r="O756" s="1245"/>
      <c r="P756" s="1245"/>
      <c r="Q756" s="1245"/>
      <c r="R756" s="1245"/>
      <c r="S756" s="1245"/>
      <c r="T756" s="1671"/>
      <c r="U756" s="1664" t="str">
        <f>IFERROR(VLOOKUP(B756,ChiTietDuToan!C:H,5,0),"")</f>
        <v/>
      </c>
      <c r="V756" s="2309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59" t="s">
        <v>1867</v>
      </c>
      <c r="C757" s="1189" t="str">
        <f t="shared" ca="1" si="134"/>
        <v xml:space="preserve"> </v>
      </c>
      <c r="D757" s="1236"/>
      <c r="E757" s="1248" t="str">
        <f>VLOOKUP($B757,DG!A:D,DG!$C$2,)</f>
        <v>Vật liệu dựng trụ</v>
      </c>
      <c r="F757" s="1236" t="str">
        <f>VLOOKUP($B757,DG!A:D,DG!$D$2,)</f>
        <v>trụ</v>
      </c>
      <c r="G757" s="1915">
        <v>1</v>
      </c>
      <c r="H757" s="1245">
        <f t="shared" ca="1" si="142"/>
        <v>0</v>
      </c>
      <c r="I757" s="1245">
        <f t="shared" ca="1" si="142"/>
        <v>0</v>
      </c>
      <c r="J757" s="1245">
        <f t="shared" ca="1" si="142"/>
        <v>0</v>
      </c>
      <c r="K757" s="1245">
        <f ca="1">K$748*$G757</f>
        <v>0</v>
      </c>
      <c r="L757" s="1245">
        <f>L$748*$G757</f>
        <v>0</v>
      </c>
      <c r="M757" s="1245"/>
      <c r="N757" s="1245"/>
      <c r="O757" s="1245"/>
      <c r="P757" s="1245"/>
      <c r="Q757" s="1245"/>
      <c r="R757" s="1245"/>
      <c r="S757" s="1245"/>
      <c r="T757" s="1671"/>
      <c r="U757" s="1664" t="str">
        <f>IFERROR(VLOOKUP(B757,ChiTietDuToan!C:H,5,0),"")</f>
        <v/>
      </c>
      <c r="V757" s="2309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59" t="s">
        <v>1714</v>
      </c>
      <c r="C758" s="1189" t="str">
        <f t="shared" si="134"/>
        <v xml:space="preserve"> </v>
      </c>
      <c r="D758" s="1236" t="str">
        <f>VLOOKUP($B758,DG!A:D,DG!$B$2,)</f>
        <v>05.5227</v>
      </c>
      <c r="E758" s="1248" t="str">
        <f>VLOOKUP($B758,DG!A:D,DG!$C$2,)</f>
        <v>Dựng trụ BTLT 20m thủ công + cơ giới</v>
      </c>
      <c r="F758" s="1236" t="str">
        <f>VLOOKUP($B758,DG!A:D,DG!$D$2,)</f>
        <v>trụ</v>
      </c>
      <c r="G758" s="1915">
        <v>1</v>
      </c>
      <c r="H758" s="1250"/>
      <c r="I758" s="1250"/>
      <c r="J758" s="1250"/>
      <c r="K758" s="1250"/>
      <c r="L758" s="1250"/>
      <c r="M758" s="1250"/>
      <c r="N758" s="1250"/>
      <c r="O758" s="1250"/>
      <c r="P758" s="1250"/>
      <c r="Q758" s="1250"/>
      <c r="R758" s="1250"/>
      <c r="S758" s="1250"/>
      <c r="T758" s="1671"/>
      <c r="U758" s="1664" t="str">
        <f>IFERROR(VLOOKUP(B758,ChiTietDuToan!C:H,5,0),"")</f>
        <v/>
      </c>
      <c r="V758" s="2309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59" t="s">
        <v>1228</v>
      </c>
      <c r="C759" s="1189" t="str">
        <f t="shared" si="134"/>
        <v xml:space="preserve"> </v>
      </c>
      <c r="D759" s="1236" t="str">
        <f>VLOOKUP($B759,DG!A:D,DG!$B$2,)</f>
        <v>02.1124</v>
      </c>
      <c r="E759" s="1241" t="str">
        <f>VLOOKUP($B759,DG!A:D,DG!$C$2,)</f>
        <v xml:space="preserve">Bốc dỡ trụ </v>
      </c>
      <c r="F759" s="1236" t="str">
        <f>VLOOKUP($B759,DG!A:D,DG!$D$2,)</f>
        <v>tấn</v>
      </c>
      <c r="G759" s="1914">
        <v>2.72</v>
      </c>
      <c r="H759" s="1250"/>
      <c r="I759" s="1250"/>
      <c r="J759" s="1250"/>
      <c r="K759" s="1250"/>
      <c r="L759" s="1250"/>
      <c r="M759" s="1250"/>
      <c r="N759" s="1250"/>
      <c r="O759" s="1250"/>
      <c r="P759" s="1250"/>
      <c r="Q759" s="1250"/>
      <c r="R759" s="1250"/>
      <c r="S759" s="1250"/>
      <c r="T759" s="1671"/>
      <c r="U759" s="1664" t="str">
        <f>IFERROR(VLOOKUP(B759,ChiTietDuToan!C:H,5,0),"")</f>
        <v/>
      </c>
      <c r="V759" s="2309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74" t="s">
        <v>1229</v>
      </c>
      <c r="C760" s="1189" t="str">
        <f t="shared" si="134"/>
        <v xml:space="preserve"> </v>
      </c>
      <c r="D760" s="1236" t="str">
        <f>VLOOKUP($B760,DG!A:C,2,)</f>
        <v>02.1461</v>
      </c>
      <c r="E760" s="1241" t="str">
        <f>VLOOKUP($B760,DG!A:C,3,)</f>
        <v>V/c cột vào vị trí (cự ly &lt;=100m)</v>
      </c>
      <c r="F760" s="1236" t="str">
        <f>VLOOKUP($B760,DG!A:D,4,0)</f>
        <v>tấn</v>
      </c>
      <c r="G760" s="1914">
        <v>2.72</v>
      </c>
      <c r="H760" s="1250"/>
      <c r="I760" s="1250"/>
      <c r="J760" s="1250"/>
      <c r="K760" s="1250"/>
      <c r="L760" s="1250"/>
      <c r="M760" s="1250"/>
      <c r="N760" s="1250"/>
      <c r="O760" s="1250"/>
      <c r="P760" s="1250"/>
      <c r="Q760" s="1250"/>
      <c r="R760" s="1250"/>
      <c r="S760" s="1250"/>
      <c r="T760" s="1671"/>
      <c r="U760" s="1664" t="str">
        <f>IFERROR(VLOOKUP(B760,ChiTietDuToan!C:H,5,0),"")</f>
        <v/>
      </c>
      <c r="V760" s="2309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74" t="s">
        <v>640</v>
      </c>
      <c r="C761" s="1189" t="str">
        <f t="shared" si="134"/>
        <v xml:space="preserve"> </v>
      </c>
      <c r="D761" s="1236" t="str">
        <f>VLOOKUP($B761,DG!A:C,2,)</f>
        <v>02.1482</v>
      </c>
      <c r="E761" s="1241" t="str">
        <f>VLOOKUP($B761,DG!A:C,3,)</f>
        <v>V/c dụng cụ thi công vào vị trí (cự ly &lt;=100m)</v>
      </c>
      <c r="F761" s="1236" t="str">
        <f>VLOOKUP($B761,DG!A:D,4,0)</f>
        <v>tấn</v>
      </c>
      <c r="G761" s="1914">
        <v>0.25</v>
      </c>
      <c r="H761" s="1250"/>
      <c r="I761" s="1250"/>
      <c r="J761" s="1250"/>
      <c r="K761" s="1250"/>
      <c r="L761" s="1250"/>
      <c r="M761" s="1250"/>
      <c r="N761" s="1250"/>
      <c r="O761" s="1250"/>
      <c r="P761" s="1250"/>
      <c r="Q761" s="1250"/>
      <c r="R761" s="1250"/>
      <c r="S761" s="1250"/>
      <c r="T761" s="1671"/>
      <c r="U761" s="1664" t="str">
        <f>IFERROR(VLOOKUP(B761,ChiTietDuToan!C:H,5,0),"")</f>
        <v/>
      </c>
      <c r="V761" s="2309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53"/>
      <c r="B762" s="1954">
        <f>A762</f>
        <v>0</v>
      </c>
      <c r="C762" s="1189" t="str">
        <f ca="1">IF(P762&lt;&gt;0,"x"," ")</f>
        <v>x</v>
      </c>
      <c r="D762" s="1238" t="s">
        <v>1667</v>
      </c>
      <c r="E762" s="1666" t="s">
        <v>2353</v>
      </c>
      <c r="F762" s="1237"/>
      <c r="G762" s="1927">
        <f>SUM(H762:N762)+S762</f>
        <v>0</v>
      </c>
      <c r="H762" s="1523">
        <f>SUM(I762:O762)+T762</f>
        <v>0</v>
      </c>
      <c r="I762" s="1237"/>
      <c r="J762" s="1237"/>
      <c r="K762" s="1237"/>
      <c r="L762" s="1239">
        <f>IFERROR(HLOOKUP(A762,pp1p!$6:$90,85,0),0)</f>
        <v>0</v>
      </c>
      <c r="M762" s="1237"/>
      <c r="N762" s="1237"/>
      <c r="O762" s="1237"/>
      <c r="P762" s="1523" t="str">
        <f ca="1">IF(SUM(P763:P1453)&gt;0," ","")</f>
        <v/>
      </c>
      <c r="Q762" s="1237"/>
      <c r="R762" s="1237"/>
      <c r="S762" s="1237"/>
      <c r="T762" s="1664"/>
      <c r="U762" s="1664">
        <f>IFERROR(VLOOKUP(B762,ChiTietDuToan!C:H,5,0),"")</f>
        <v>0</v>
      </c>
      <c r="V762" s="2309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56"/>
      <c r="C763" s="1189" t="str">
        <f t="shared" ca="1" si="134"/>
        <v xml:space="preserve"> </v>
      </c>
      <c r="D763" s="1237"/>
      <c r="E763" s="1666" t="s">
        <v>2479</v>
      </c>
      <c r="F763" s="1238" t="s">
        <v>2449</v>
      </c>
      <c r="G763" s="1912"/>
      <c r="H763" s="1523">
        <f ca="1">SUM(I763:O763)+T763</f>
        <v>0</v>
      </c>
      <c r="I763" s="1239">
        <f ca="1">SUMIF(xa3pm,chitiet!$A763,slxa3pm)</f>
        <v>0</v>
      </c>
      <c r="J763" s="1239">
        <f ca="1">SUMIF(xact,chitiet!$A763,slxact)</f>
        <v>0</v>
      </c>
      <c r="K763" s="1239">
        <f>pp3p1m!DC111</f>
        <v>0</v>
      </c>
      <c r="L763" s="1239">
        <f>IFERROR(HLOOKUP(A763,pp1p!$6:$90,85,0),0)</f>
        <v>0</v>
      </c>
      <c r="M763" s="1239"/>
      <c r="N763" s="1239"/>
      <c r="O763" s="1239"/>
      <c r="P763" s="1239"/>
      <c r="Q763" s="1239"/>
      <c r="R763" s="1239"/>
      <c r="S763" s="1239"/>
      <c r="T763" s="1671"/>
      <c r="U763" s="1664">
        <f>IFERROR(VLOOKUP(B763,ChiTietDuToan!C:H,5,0),"")</f>
        <v>0</v>
      </c>
      <c r="V763" s="2309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59" t="s">
        <v>110</v>
      </c>
      <c r="C764" s="1189" t="str">
        <f t="shared" ca="1" si="134"/>
        <v xml:space="preserve"> </v>
      </c>
      <c r="D764" s="1236"/>
      <c r="E764" s="1248" t="str">
        <f>VLOOKUP($B764,DG!A:D,DG!$C$2,)</f>
        <v>Sắt góc L75 x75 x8</v>
      </c>
      <c r="F764" s="1236" t="str">
        <f>VLOOKUP($B764,DG!A:D,DG!$D$2,)</f>
        <v>kg</v>
      </c>
      <c r="G764" s="1914">
        <f>9.02*(1.66+0.07*2)</f>
        <v>16.235999999999997</v>
      </c>
      <c r="H764" s="1245">
        <f ca="1">H$794*$G764</f>
        <v>0</v>
      </c>
      <c r="I764" s="1245">
        <f ca="1">I$763*$G764</f>
        <v>0</v>
      </c>
      <c r="J764" s="1245">
        <f t="shared" ref="J764:O768" ca="1" si="143">J$763*$G764</f>
        <v>0</v>
      </c>
      <c r="K764" s="1245">
        <f t="shared" si="143"/>
        <v>0</v>
      </c>
      <c r="L764" s="1245">
        <f t="shared" si="143"/>
        <v>0</v>
      </c>
      <c r="M764" s="1245">
        <f t="shared" si="143"/>
        <v>0</v>
      </c>
      <c r="N764" s="1245">
        <f t="shared" si="143"/>
        <v>0</v>
      </c>
      <c r="O764" s="1245">
        <f t="shared" si="143"/>
        <v>0</v>
      </c>
      <c r="P764" s="1245"/>
      <c r="Q764" s="1245"/>
      <c r="R764" s="1245"/>
      <c r="S764" s="1245"/>
      <c r="T764" s="1671"/>
      <c r="U764" s="1664" t="str">
        <f>IFERROR(VLOOKUP(B764,ChiTietDuToan!C:H,5,0),"")</f>
        <v/>
      </c>
      <c r="V764" s="2309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59" t="s">
        <v>460</v>
      </c>
      <c r="C765" s="1189" t="str">
        <f t="shared" ca="1" si="134"/>
        <v xml:space="preserve"> </v>
      </c>
      <c r="D765" s="1236"/>
      <c r="E765" s="1248" t="str">
        <f>VLOOKUP($B765,DG!A:D,DG!$C$2,)</f>
        <v>Sắt góc L50 x50 x5</v>
      </c>
      <c r="F765" s="1236" t="str">
        <f>VLOOKUP($B765,DG!A:D,DG!$D$2,)</f>
        <v>kg</v>
      </c>
      <c r="G765" s="1914">
        <f>3.77*0.81*2</f>
        <v>6.1074000000000002</v>
      </c>
      <c r="H765" s="1245">
        <f ca="1">H$794*$G765</f>
        <v>0</v>
      </c>
      <c r="I765" s="1245">
        <f ca="1">I$763*$G765</f>
        <v>0</v>
      </c>
      <c r="J765" s="1245">
        <f t="shared" ca="1" si="143"/>
        <v>0</v>
      </c>
      <c r="K765" s="1245">
        <f t="shared" si="143"/>
        <v>0</v>
      </c>
      <c r="L765" s="1245">
        <f t="shared" si="143"/>
        <v>0</v>
      </c>
      <c r="M765" s="1245">
        <f t="shared" si="143"/>
        <v>0</v>
      </c>
      <c r="N765" s="1245">
        <f t="shared" si="143"/>
        <v>0</v>
      </c>
      <c r="O765" s="1245">
        <f t="shared" si="143"/>
        <v>0</v>
      </c>
      <c r="P765" s="1245"/>
      <c r="Q765" s="1245"/>
      <c r="R765" s="1245"/>
      <c r="S765" s="1245"/>
      <c r="T765" s="1671"/>
      <c r="U765" s="1664" t="str">
        <f>IFERROR(VLOOKUP(B765,ChiTietDuToan!C:H,5,0),"")</f>
        <v/>
      </c>
      <c r="V765" s="2309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59" t="s">
        <v>1299</v>
      </c>
      <c r="C766" s="1189" t="str">
        <f t="shared" ca="1" si="134"/>
        <v xml:space="preserve"> </v>
      </c>
      <c r="D766" s="1236"/>
      <c r="E766" s="1248" t="str">
        <f>VLOOKUP($B766,DG!A:D,DG!$C$2,)</f>
        <v>Chân sứ đỉnh thẳng dài 870mm</v>
      </c>
      <c r="F766" s="1236" t="str">
        <f>VLOOKUP($B766,DG!A:D,DG!$D$2,)</f>
        <v>cái</v>
      </c>
      <c r="G766" s="1915">
        <v>1</v>
      </c>
      <c r="H766" s="1245">
        <f ca="1">H$794*$G766</f>
        <v>0</v>
      </c>
      <c r="I766" s="1245">
        <f t="shared" ref="I766:N766" ca="1" si="144">I$794*$G766</f>
        <v>0</v>
      </c>
      <c r="J766" s="1245">
        <f t="shared" ca="1" si="144"/>
        <v>0</v>
      </c>
      <c r="K766" s="1245">
        <f>K$763*$G766</f>
        <v>0</v>
      </c>
      <c r="L766" s="1245">
        <f t="shared" si="144"/>
        <v>0</v>
      </c>
      <c r="M766" s="1245">
        <f t="shared" si="144"/>
        <v>0</v>
      </c>
      <c r="N766" s="1245">
        <f t="shared" si="144"/>
        <v>0</v>
      </c>
      <c r="O766" s="1245"/>
      <c r="P766" s="1245"/>
      <c r="Q766" s="1245"/>
      <c r="R766" s="1245"/>
      <c r="S766" s="1245"/>
      <c r="T766" s="1671"/>
      <c r="U766" s="1664" t="str">
        <f>IFERROR(VLOOKUP(B766,ChiTietDuToan!C:H,5,0),"")</f>
        <v/>
      </c>
      <c r="V766" s="2309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59" t="s">
        <v>1661</v>
      </c>
      <c r="C767" s="1189" t="str">
        <f t="shared" ca="1" si="134"/>
        <v xml:space="preserve"> </v>
      </c>
      <c r="D767" s="1236"/>
      <c r="E767" s="1248" t="str">
        <f>VLOOKUP($B767,DG!A:D,DG!$C$2,)</f>
        <v>Boulon 16x250+ 2 long đền vuông D18-50x50x3/Zn</v>
      </c>
      <c r="F767" s="1236" t="str">
        <f>VLOOKUP($B767,DG!A:D,DG!$D$2,)</f>
        <v>bộ</v>
      </c>
      <c r="G767" s="1915">
        <v>4</v>
      </c>
      <c r="H767" s="1245">
        <f ca="1">H$794*$G767</f>
        <v>0</v>
      </c>
      <c r="I767" s="1245">
        <f ca="1">I$763*$G767</f>
        <v>0</v>
      </c>
      <c r="J767" s="1245">
        <f t="shared" ca="1" si="143"/>
        <v>0</v>
      </c>
      <c r="K767" s="1245">
        <f t="shared" si="143"/>
        <v>0</v>
      </c>
      <c r="L767" s="1245">
        <f t="shared" si="143"/>
        <v>0</v>
      </c>
      <c r="M767" s="1245">
        <f t="shared" si="143"/>
        <v>0</v>
      </c>
      <c r="N767" s="1245">
        <f t="shared" si="143"/>
        <v>0</v>
      </c>
      <c r="O767" s="1245">
        <f t="shared" si="143"/>
        <v>0</v>
      </c>
      <c r="P767" s="1245"/>
      <c r="Q767" s="1245"/>
      <c r="R767" s="1245"/>
      <c r="S767" s="1245"/>
      <c r="T767" s="1671"/>
      <c r="U767" s="1664" t="str">
        <f>IFERROR(VLOOKUP(B767,ChiTietDuToan!C:H,5,0),"")</f>
        <v>bộ</v>
      </c>
      <c r="V767" s="2309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59" t="s">
        <v>1839</v>
      </c>
      <c r="C768" s="1189" t="str">
        <f t="shared" ca="1" si="134"/>
        <v xml:space="preserve"> </v>
      </c>
      <c r="D768" s="1236"/>
      <c r="E768" s="1248" t="str">
        <f>VLOOKUP($B768,DG!A:D,DG!$C$2,)</f>
        <v>Boulon 16x50+ 2 long đền vuông D18-50x50x3/Zn</v>
      </c>
      <c r="F768" s="1236" t="str">
        <f>VLOOKUP($B768,DG!A:D,DG!$D$2,)</f>
        <v>bộ</v>
      </c>
      <c r="G768" s="1915">
        <v>2</v>
      </c>
      <c r="H768" s="1245">
        <f ca="1">H$794*$G768</f>
        <v>0</v>
      </c>
      <c r="I768" s="1245">
        <f ca="1">I$763*$G768</f>
        <v>0</v>
      </c>
      <c r="J768" s="1245">
        <f t="shared" ca="1" si="143"/>
        <v>0</v>
      </c>
      <c r="K768" s="1245">
        <f t="shared" si="143"/>
        <v>0</v>
      </c>
      <c r="L768" s="1245">
        <f t="shared" si="143"/>
        <v>0</v>
      </c>
      <c r="M768" s="1245">
        <f t="shared" si="143"/>
        <v>0</v>
      </c>
      <c r="N768" s="1245">
        <f t="shared" si="143"/>
        <v>0</v>
      </c>
      <c r="O768" s="1245">
        <f t="shared" si="143"/>
        <v>0</v>
      </c>
      <c r="P768" s="1245"/>
      <c r="Q768" s="1245"/>
      <c r="R768" s="1245"/>
      <c r="S768" s="1245"/>
      <c r="T768" s="1671"/>
      <c r="U768" s="1664" t="str">
        <f>IFERROR(VLOOKUP(B768,ChiTietDuToan!C:H,5,0),"")</f>
        <v>bộ</v>
      </c>
      <c r="V768" s="2309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59" t="s">
        <v>2048</v>
      </c>
      <c r="C769" s="1189" t="str">
        <f t="shared" si="134"/>
        <v xml:space="preserve"> </v>
      </c>
      <c r="D769" s="1240" t="str">
        <f>VLOOKUP($B769,DG!A:D,DG!$B$2,)</f>
        <v>05.6401</v>
      </c>
      <c r="E769" s="1241" t="str">
        <f>VLOOKUP($B769,DG!A:D,DG!$C$2,)</f>
        <v>Lắp xà đỡ ≤ 25kg</v>
      </c>
      <c r="F769" s="1236" t="str">
        <f>VLOOKUP($B769,DG!A:D,DG!$D$2,)</f>
        <v>bộ</v>
      </c>
      <c r="G769" s="1915">
        <v>1</v>
      </c>
      <c r="H769" s="1250"/>
      <c r="I769" s="1250"/>
      <c r="J769" s="1250"/>
      <c r="K769" s="1250"/>
      <c r="L769" s="1250"/>
      <c r="M769" s="1250"/>
      <c r="N769" s="1250"/>
      <c r="O769" s="1250"/>
      <c r="P769" s="1250"/>
      <c r="Q769" s="1250"/>
      <c r="R769" s="1250"/>
      <c r="S769" s="1250"/>
      <c r="T769" s="1671"/>
      <c r="U769" s="1664" t="str">
        <f>IFERROR(VLOOKUP(B769,ChiTietDuToan!C:H,5,0),"")</f>
        <v/>
      </c>
      <c r="V769" s="2309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59" t="s">
        <v>2049</v>
      </c>
      <c r="C770" s="1189" t="str">
        <f t="shared" si="134"/>
        <v xml:space="preserve"> </v>
      </c>
      <c r="D770" s="1236" t="str">
        <f>VLOOKUP($B770,DG!A:D,DG!$B$2,)</f>
        <v>02.1115</v>
      </c>
      <c r="E770" s="1241" t="str">
        <f>VLOOKUP($B770,DG!A:D,DG!$C$2,)</f>
        <v>Bốc dỡ xà, thép thanh</v>
      </c>
      <c r="F770" s="1236" t="str">
        <f>VLOOKUP($B770,DG!A:D,DG!$D$2,)</f>
        <v>tấn</v>
      </c>
      <c r="G770" s="1913"/>
      <c r="H770" s="1250"/>
      <c r="I770" s="1250"/>
      <c r="J770" s="1250"/>
      <c r="K770" s="1250"/>
      <c r="L770" s="1250"/>
      <c r="M770" s="1250"/>
      <c r="N770" s="1250"/>
      <c r="O770" s="1250"/>
      <c r="P770" s="1250"/>
      <c r="Q770" s="1250"/>
      <c r="R770" s="1250"/>
      <c r="S770" s="1250"/>
      <c r="T770" s="1671"/>
      <c r="U770" s="1664" t="str">
        <f>IFERROR(VLOOKUP(B770,ChiTietDuToan!C:H,5,0),"")</f>
        <v/>
      </c>
      <c r="V770" s="2309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74" t="s">
        <v>2050</v>
      </c>
      <c r="C771" s="1189" t="str">
        <f t="shared" si="134"/>
        <v xml:space="preserve"> </v>
      </c>
      <c r="D771" s="1236" t="str">
        <f>VLOOKUP($B771,DG!A:C,2,)</f>
        <v>02.1361</v>
      </c>
      <c r="E771" s="1241" t="str">
        <f>VLOOKUP($B771,DG!A:C,3,)</f>
        <v>V/c xà vào vị trí (cư ly &lt;=100m)</v>
      </c>
      <c r="F771" s="1236" t="str">
        <f>VLOOKUP($B771,DG!A:D,4,0)</f>
        <v>tấn</v>
      </c>
      <c r="G771" s="1913"/>
      <c r="H771" s="1250"/>
      <c r="I771" s="1250"/>
      <c r="J771" s="1250"/>
      <c r="K771" s="1250"/>
      <c r="L771" s="1250"/>
      <c r="M771" s="1250"/>
      <c r="N771" s="1250"/>
      <c r="O771" s="1250"/>
      <c r="P771" s="1250"/>
      <c r="Q771" s="1250"/>
      <c r="R771" s="1250"/>
      <c r="S771" s="1250"/>
      <c r="T771" s="1671"/>
      <c r="U771" s="1664" t="str">
        <f>IFERROR(VLOOKUP(B771,ChiTietDuToan!C:H,5,0),"")</f>
        <v/>
      </c>
      <c r="V771" s="2309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74" t="s">
        <v>640</v>
      </c>
      <c r="C772" s="1189" t="str">
        <f t="shared" si="134"/>
        <v xml:space="preserve"> </v>
      </c>
      <c r="D772" s="1236" t="str">
        <f>VLOOKUP($B772,DG!A:C,2,)</f>
        <v>02.1482</v>
      </c>
      <c r="E772" s="1241" t="str">
        <f>VLOOKUP($B772,DG!A:C,3,)</f>
        <v>V/c dụng cụ thi công vào vị trí (cự ly &lt;=100m)</v>
      </c>
      <c r="F772" s="1236" t="str">
        <f>VLOOKUP($B772,DG!A:D,4,0)</f>
        <v>tấn</v>
      </c>
      <c r="G772" s="1914"/>
      <c r="H772" s="1250"/>
      <c r="I772" s="1250"/>
      <c r="J772" s="1250"/>
      <c r="K772" s="1250"/>
      <c r="L772" s="1250"/>
      <c r="M772" s="1250"/>
      <c r="N772" s="1250"/>
      <c r="O772" s="1250"/>
      <c r="P772" s="1250"/>
      <c r="Q772" s="1250"/>
      <c r="R772" s="1250"/>
      <c r="S772" s="1250"/>
      <c r="T772" s="1671"/>
      <c r="U772" s="1664" t="str">
        <f>IFERROR(VLOOKUP(B772,ChiTietDuToan!C:H,5,0),"")</f>
        <v/>
      </c>
      <c r="V772" s="2309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56"/>
      <c r="C773" s="1189" t="str">
        <f t="shared" ca="1" si="134"/>
        <v xml:space="preserve"> </v>
      </c>
      <c r="D773" s="1237"/>
      <c r="E773" s="1666" t="s">
        <v>2480</v>
      </c>
      <c r="F773" s="1238" t="s">
        <v>2449</v>
      </c>
      <c r="G773" s="1912"/>
      <c r="H773" s="1523">
        <f ca="1">SUM(I773:O773)+T773</f>
        <v>0</v>
      </c>
      <c r="I773" s="1239">
        <f ca="1">SUMIF(xa3pm,chitiet!$A773,slxa3pm)</f>
        <v>0</v>
      </c>
      <c r="J773" s="1239">
        <f ca="1">SUMIF(xact,chitiet!$A773,slxact)</f>
        <v>0</v>
      </c>
      <c r="K773" s="1239">
        <f ca="1">SUMIF(xa3p1m,chitiet!$A773,slxa3p1m)</f>
        <v>0</v>
      </c>
      <c r="L773" s="1239">
        <f>IFERROR(HLOOKUP(A773,pp1p!$6:$90,85,0),0)</f>
        <v>0</v>
      </c>
      <c r="M773" s="1239"/>
      <c r="N773" s="1239"/>
      <c r="O773" s="1239"/>
      <c r="P773" s="1239"/>
      <c r="Q773" s="1239"/>
      <c r="R773" s="1239"/>
      <c r="S773" s="1239"/>
      <c r="T773" s="1671"/>
      <c r="U773" s="1664">
        <f>IFERROR(VLOOKUP(B773,ChiTietDuToan!C:H,5,0),"")</f>
        <v>0</v>
      </c>
      <c r="V773" s="2309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59" t="s">
        <v>110</v>
      </c>
      <c r="C774" s="1189" t="str">
        <f t="shared" ca="1" si="134"/>
        <v xml:space="preserve"> </v>
      </c>
      <c r="D774" s="1236"/>
      <c r="E774" s="1248" t="str">
        <f>VLOOKUP($B774,DG!A:D,DG!$C$2,)</f>
        <v>Sắt góc L75 x75 x8</v>
      </c>
      <c r="F774" s="1236" t="str">
        <f>VLOOKUP($B774,DG!A:D,DG!$D$2,)</f>
        <v>kg</v>
      </c>
      <c r="G774" s="1914">
        <f>9.02*(1.66+0.07*2)*2</f>
        <v>32.471999999999994</v>
      </c>
      <c r="H774" s="1245">
        <f ca="1">H$794*$G774</f>
        <v>0</v>
      </c>
      <c r="I774" s="1245">
        <f ca="1">I$773*$G774</f>
        <v>0</v>
      </c>
      <c r="J774" s="1245">
        <f t="shared" ref="J774:O778" ca="1" si="146">J$773*$G774</f>
        <v>0</v>
      </c>
      <c r="K774" s="1245">
        <f t="shared" ca="1" si="146"/>
        <v>0</v>
      </c>
      <c r="L774" s="1245">
        <f t="shared" si="146"/>
        <v>0</v>
      </c>
      <c r="M774" s="1245">
        <f t="shared" si="146"/>
        <v>0</v>
      </c>
      <c r="N774" s="1245">
        <f t="shared" si="146"/>
        <v>0</v>
      </c>
      <c r="O774" s="1245">
        <f t="shared" si="146"/>
        <v>0</v>
      </c>
      <c r="P774" s="1245"/>
      <c r="Q774" s="1245"/>
      <c r="R774" s="1245"/>
      <c r="S774" s="1245"/>
      <c r="T774" s="1671"/>
      <c r="U774" s="1664" t="str">
        <f>IFERROR(VLOOKUP(B774,ChiTietDuToan!C:H,5,0),"")</f>
        <v/>
      </c>
      <c r="V774" s="2309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59" t="s">
        <v>460</v>
      </c>
      <c r="C775" s="1189" t="str">
        <f t="shared" ca="1" si="134"/>
        <v xml:space="preserve"> </v>
      </c>
      <c r="D775" s="1236"/>
      <c r="E775" s="1248" t="str">
        <f>VLOOKUP($B775,DG!A:D,DG!$C$2,)</f>
        <v>Sắt góc L50 x50 x5</v>
      </c>
      <c r="F775" s="1236" t="str">
        <f>VLOOKUP($B775,DG!A:D,DG!$D$2,)</f>
        <v>kg</v>
      </c>
      <c r="G775" s="1914">
        <f>3.77*0.81*4</f>
        <v>12.2148</v>
      </c>
      <c r="H775" s="1245">
        <f ca="1">H$794*$G775</f>
        <v>0</v>
      </c>
      <c r="I775" s="1245">
        <f ca="1">I$773*$G775</f>
        <v>0</v>
      </c>
      <c r="J775" s="1245">
        <f t="shared" ca="1" si="146"/>
        <v>0</v>
      </c>
      <c r="K775" s="1245">
        <f t="shared" ca="1" si="146"/>
        <v>0</v>
      </c>
      <c r="L775" s="1245">
        <f t="shared" si="146"/>
        <v>0</v>
      </c>
      <c r="M775" s="1245">
        <f t="shared" si="146"/>
        <v>0</v>
      </c>
      <c r="N775" s="1245">
        <f t="shared" si="146"/>
        <v>0</v>
      </c>
      <c r="O775" s="1245">
        <f t="shared" si="146"/>
        <v>0</v>
      </c>
      <c r="P775" s="1245"/>
      <c r="Q775" s="1245"/>
      <c r="R775" s="1245"/>
      <c r="S775" s="1245"/>
      <c r="T775" s="1671"/>
      <c r="U775" s="1664" t="str">
        <f>IFERROR(VLOOKUP(B775,ChiTietDuToan!C:H,5,0),"")</f>
        <v/>
      </c>
      <c r="V775" s="2309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59" t="s">
        <v>1661</v>
      </c>
      <c r="C776" s="1189" t="str">
        <f t="shared" ref="C776:C839" ca="1" si="147">IF(OR(P776&lt;&gt;0,H776&lt;&gt;0),"x"," ")</f>
        <v xml:space="preserve"> </v>
      </c>
      <c r="D776" s="1236"/>
      <c r="E776" s="1248" t="str">
        <f>VLOOKUP($B776,DG!A:D,DG!$C$2,)</f>
        <v>Boulon 16x250+ 2 long đền vuông D18-50x50x3/Zn</v>
      </c>
      <c r="F776" s="1236" t="str">
        <f>VLOOKUP($B776,DG!A:D,DG!$D$2,)</f>
        <v>bộ</v>
      </c>
      <c r="G776" s="1915">
        <v>4</v>
      </c>
      <c r="H776" s="1245">
        <f ca="1">H$794*$G776</f>
        <v>0</v>
      </c>
      <c r="I776" s="1245">
        <f ca="1">I$773*$G776</f>
        <v>0</v>
      </c>
      <c r="J776" s="1245">
        <f t="shared" ca="1" si="146"/>
        <v>0</v>
      </c>
      <c r="K776" s="1245">
        <f t="shared" ca="1" si="146"/>
        <v>0</v>
      </c>
      <c r="L776" s="1245">
        <f t="shared" si="146"/>
        <v>0</v>
      </c>
      <c r="M776" s="1245">
        <f t="shared" si="146"/>
        <v>0</v>
      </c>
      <c r="N776" s="1245">
        <f t="shared" si="146"/>
        <v>0</v>
      </c>
      <c r="O776" s="1245">
        <f t="shared" si="146"/>
        <v>0</v>
      </c>
      <c r="P776" s="1245"/>
      <c r="Q776" s="1245"/>
      <c r="R776" s="1245"/>
      <c r="S776" s="1245"/>
      <c r="T776" s="1671"/>
      <c r="U776" s="1664" t="str">
        <f>IFERROR(VLOOKUP(B776,ChiTietDuToan!C:H,5,0),"")</f>
        <v>bộ</v>
      </c>
      <c r="V776" s="2309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59" t="s">
        <v>1325</v>
      </c>
      <c r="C777" s="1189" t="str">
        <f t="shared" ca="1" si="147"/>
        <v xml:space="preserve"> </v>
      </c>
      <c r="D777" s="1236"/>
      <c r="E777" s="1248" t="str">
        <f>VLOOKUP($B777,DG!A:D,DG!$C$2,)</f>
        <v>Boulon 16x250VRS+ 4 long đền vuông D18-50x50x3/Zn</v>
      </c>
      <c r="F777" s="1236" t="str">
        <f>VLOOKUP($B777,DG!A:D,DG!$D$2,)</f>
        <v>bộ</v>
      </c>
      <c r="G777" s="1915">
        <v>2</v>
      </c>
      <c r="H777" s="1245">
        <f ca="1">H$794*$G777</f>
        <v>0</v>
      </c>
      <c r="I777" s="1245">
        <f ca="1">I$773*$G777</f>
        <v>0</v>
      </c>
      <c r="J777" s="1245">
        <f t="shared" ca="1" si="146"/>
        <v>0</v>
      </c>
      <c r="K777" s="1245">
        <f t="shared" ca="1" si="146"/>
        <v>0</v>
      </c>
      <c r="L777" s="1245">
        <f t="shared" si="146"/>
        <v>0</v>
      </c>
      <c r="M777" s="1245">
        <f t="shared" si="146"/>
        <v>0</v>
      </c>
      <c r="N777" s="1245">
        <f t="shared" si="146"/>
        <v>0</v>
      </c>
      <c r="O777" s="1245">
        <f t="shared" si="146"/>
        <v>0</v>
      </c>
      <c r="P777" s="1245"/>
      <c r="Q777" s="1245"/>
      <c r="R777" s="1245"/>
      <c r="S777" s="1245"/>
      <c r="T777" s="1671"/>
      <c r="U777" s="1664" t="str">
        <f>IFERROR(VLOOKUP(B777,ChiTietDuToan!C:H,5,0),"")</f>
        <v/>
      </c>
      <c r="V777" s="2309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59" t="s">
        <v>1839</v>
      </c>
      <c r="C778" s="1189" t="str">
        <f t="shared" ca="1" si="147"/>
        <v xml:space="preserve"> </v>
      </c>
      <c r="D778" s="1236"/>
      <c r="E778" s="1248" t="str">
        <f>VLOOKUP($B778,DG!A:D,DG!$C$2,)</f>
        <v>Boulon 16x50+ 2 long đền vuông D18-50x50x3/Zn</v>
      </c>
      <c r="F778" s="1236" t="str">
        <f>VLOOKUP($B778,DG!A:D,DG!$D$2,)</f>
        <v>bộ</v>
      </c>
      <c r="G778" s="1915">
        <v>4</v>
      </c>
      <c r="H778" s="1245">
        <f ca="1">H$794*$G778</f>
        <v>0</v>
      </c>
      <c r="I778" s="1245">
        <f ca="1">I$773*$G778</f>
        <v>0</v>
      </c>
      <c r="J778" s="1245">
        <f t="shared" ca="1" si="146"/>
        <v>0</v>
      </c>
      <c r="K778" s="1245">
        <f t="shared" ca="1" si="146"/>
        <v>0</v>
      </c>
      <c r="L778" s="1245">
        <f t="shared" si="146"/>
        <v>0</v>
      </c>
      <c r="M778" s="1245">
        <f t="shared" si="146"/>
        <v>0</v>
      </c>
      <c r="N778" s="1245">
        <f t="shared" si="146"/>
        <v>0</v>
      </c>
      <c r="O778" s="1245">
        <f t="shared" si="146"/>
        <v>0</v>
      </c>
      <c r="P778" s="1245"/>
      <c r="Q778" s="1245"/>
      <c r="R778" s="1245"/>
      <c r="S778" s="1245"/>
      <c r="T778" s="1671"/>
      <c r="U778" s="1664" t="str">
        <f>IFERROR(VLOOKUP(B778,ChiTietDuToan!C:H,5,0),"")</f>
        <v>bộ</v>
      </c>
      <c r="V778" s="2309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59" t="s">
        <v>1832</v>
      </c>
      <c r="C779" s="1189" t="str">
        <f t="shared" si="147"/>
        <v xml:space="preserve"> </v>
      </c>
      <c r="D779" s="1252" t="str">
        <f>VLOOKUP($B779,DG!A:D,DG!$B$2,)</f>
        <v>05.6202</v>
      </c>
      <c r="E779" s="1241" t="str">
        <f>VLOOKUP($B779,DG!A:D,DG!$C$2,)</f>
        <v>Lắp xà néo ≤ 50kg</v>
      </c>
      <c r="F779" s="1236" t="str">
        <f>VLOOKUP($B779,DG!A:D,DG!$D$2,)</f>
        <v>bộ</v>
      </c>
      <c r="G779" s="1915">
        <v>1</v>
      </c>
      <c r="H779" s="1250"/>
      <c r="I779" s="1250"/>
      <c r="J779" s="1250"/>
      <c r="K779" s="1250"/>
      <c r="L779" s="1250"/>
      <c r="M779" s="1250"/>
      <c r="N779" s="1250"/>
      <c r="O779" s="1250"/>
      <c r="P779" s="1250"/>
      <c r="Q779" s="1250"/>
      <c r="R779" s="1250"/>
      <c r="S779" s="1250"/>
      <c r="T779" s="1671"/>
      <c r="U779" s="1664" t="str">
        <f>IFERROR(VLOOKUP(B779,ChiTietDuToan!C:H,5,0),"")</f>
        <v>bộ</v>
      </c>
      <c r="V779" s="2309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59" t="s">
        <v>2049</v>
      </c>
      <c r="C780" s="1189" t="str">
        <f t="shared" si="147"/>
        <v xml:space="preserve"> </v>
      </c>
      <c r="D780" s="1236" t="str">
        <f>VLOOKUP($B780,DG!A:D,DG!$B$2,)</f>
        <v>02.1115</v>
      </c>
      <c r="E780" s="1241" t="str">
        <f>VLOOKUP($B780,DG!A:D,DG!$C$2,)</f>
        <v>Bốc dỡ xà, thép thanh</v>
      </c>
      <c r="F780" s="1236" t="str">
        <f>VLOOKUP($B780,DG!A:D,DG!$D$2,)</f>
        <v>tấn</v>
      </c>
      <c r="G780" s="1913"/>
      <c r="H780" s="1250"/>
      <c r="I780" s="1250"/>
      <c r="J780" s="1250"/>
      <c r="K780" s="1250"/>
      <c r="L780" s="1250"/>
      <c r="M780" s="1250"/>
      <c r="N780" s="1250"/>
      <c r="O780" s="1250"/>
      <c r="P780" s="1250"/>
      <c r="Q780" s="1250"/>
      <c r="R780" s="1250"/>
      <c r="S780" s="1250"/>
      <c r="T780" s="1671"/>
      <c r="U780" s="1664" t="str">
        <f>IFERROR(VLOOKUP(B780,ChiTietDuToan!C:H,5,0),"")</f>
        <v/>
      </c>
      <c r="V780" s="2309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74" t="s">
        <v>2050</v>
      </c>
      <c r="C781" s="1189" t="str">
        <f t="shared" si="147"/>
        <v xml:space="preserve"> </v>
      </c>
      <c r="D781" s="1236" t="str">
        <f>VLOOKUP($B781,DG!A:C,2,)</f>
        <v>02.1361</v>
      </c>
      <c r="E781" s="1241" t="str">
        <f>VLOOKUP($B781,DG!A:C,3,)</f>
        <v>V/c xà vào vị trí (cư ly &lt;=100m)</v>
      </c>
      <c r="F781" s="1236" t="str">
        <f>VLOOKUP($B781,DG!A:D,4,0)</f>
        <v>tấn</v>
      </c>
      <c r="G781" s="1913"/>
      <c r="H781" s="1250"/>
      <c r="I781" s="1250"/>
      <c r="J781" s="1250"/>
      <c r="K781" s="1250"/>
      <c r="L781" s="1250"/>
      <c r="M781" s="1250"/>
      <c r="N781" s="1250"/>
      <c r="O781" s="1250"/>
      <c r="P781" s="1250"/>
      <c r="Q781" s="1250"/>
      <c r="R781" s="1250"/>
      <c r="S781" s="1250"/>
      <c r="T781" s="1671"/>
      <c r="U781" s="1664" t="str">
        <f>IFERROR(VLOOKUP(B781,ChiTietDuToan!C:H,5,0),"")</f>
        <v/>
      </c>
      <c r="V781" s="2309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74" t="s">
        <v>640</v>
      </c>
      <c r="C782" s="1189" t="str">
        <f t="shared" si="147"/>
        <v xml:space="preserve"> </v>
      </c>
      <c r="D782" s="1236" t="str">
        <f>VLOOKUP($B782,DG!A:C,2,)</f>
        <v>02.1482</v>
      </c>
      <c r="E782" s="1241" t="str">
        <f>VLOOKUP($B782,DG!A:C,3,)</f>
        <v>V/c dụng cụ thi công vào vị trí (cự ly &lt;=100m)</v>
      </c>
      <c r="F782" s="1236" t="str">
        <f>VLOOKUP($B782,DG!A:D,4,0)</f>
        <v>tấn</v>
      </c>
      <c r="G782" s="1914"/>
      <c r="H782" s="1250"/>
      <c r="I782" s="1250"/>
      <c r="J782" s="1250"/>
      <c r="K782" s="1250"/>
      <c r="L782" s="1250"/>
      <c r="M782" s="1250"/>
      <c r="N782" s="1250"/>
      <c r="O782" s="1250"/>
      <c r="P782" s="1250"/>
      <c r="Q782" s="1250"/>
      <c r="R782" s="1250"/>
      <c r="S782" s="1250"/>
      <c r="T782" s="1671"/>
      <c r="U782" s="1664" t="str">
        <f>IFERROR(VLOOKUP(B782,ChiTietDuToan!C:H,5,0),"")</f>
        <v/>
      </c>
      <c r="V782" s="2309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53" t="s">
        <v>2358</v>
      </c>
      <c r="B783" s="1954" t="str">
        <f>A783</f>
        <v>X-22K-Đ</v>
      </c>
      <c r="C783" s="1189" t="str">
        <f t="shared" si="147"/>
        <v xml:space="preserve"> </v>
      </c>
      <c r="D783" s="1237"/>
      <c r="E783" s="1666" t="s">
        <v>4528</v>
      </c>
      <c r="F783" s="1238" t="s">
        <v>2449</v>
      </c>
      <c r="G783" s="1912"/>
      <c r="H783" s="1523">
        <f>W783</f>
        <v>0</v>
      </c>
      <c r="I783" s="1239">
        <f ca="1">SUMIF(xa3pm,chitiet!$A783,slxa3pm)</f>
        <v>0</v>
      </c>
      <c r="J783" s="1239">
        <f ca="1">SUMIF(xact,chitiet!$A783,slxact)</f>
        <v>0</v>
      </c>
      <c r="K783" s="1239">
        <f ca="1">SUMIF(xa3p1m,chitiet!$A783,slxa3p1m)</f>
        <v>0</v>
      </c>
      <c r="L783" s="1239">
        <f>IFERROR(HLOOKUP(A783,pp1p!$6:$90,85,0),0)</f>
        <v>0</v>
      </c>
      <c r="M783" s="1239"/>
      <c r="N783" s="1239"/>
      <c r="O783" s="1239"/>
      <c r="P783" s="1523">
        <f>H783+Q783-R783</f>
        <v>0</v>
      </c>
      <c r="Q783" s="1239"/>
      <c r="R783" s="1239"/>
      <c r="S783" s="1239"/>
      <c r="T783" s="1664"/>
      <c r="U783" s="1664" t="str">
        <f>IFERROR(VLOOKUP(B783,ChiTietDuToan!C:H,5,0),"")</f>
        <v/>
      </c>
      <c r="V783" s="2309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52" t="s">
        <v>110</v>
      </c>
      <c r="C784" s="1189" t="str">
        <f t="shared" si="147"/>
        <v xml:space="preserve"> </v>
      </c>
      <c r="D784" s="1236"/>
      <c r="E784" s="1248" t="str">
        <f>VLOOKUP($B784,DG!A:D,DG!$C$2,)</f>
        <v>Sắt góc L75 x75 x8</v>
      </c>
      <c r="F784" s="1236" t="str">
        <f>VLOOKUP($B784,DG!A:D,DG!$D$2,)</f>
        <v>kg</v>
      </c>
      <c r="G784" s="1914">
        <f>9.02*(2.2+4*0.07)*2</f>
        <v>44.739200000000004</v>
      </c>
      <c r="H784" s="1251">
        <f t="shared" ref="H784:N789" si="149">H$783*$G784</f>
        <v>0</v>
      </c>
      <c r="I784" s="1245">
        <f t="shared" ca="1" si="149"/>
        <v>0</v>
      </c>
      <c r="J784" s="1245">
        <f t="shared" ca="1" si="149"/>
        <v>0</v>
      </c>
      <c r="K784" s="1245">
        <f t="shared" ca="1" si="149"/>
        <v>0</v>
      </c>
      <c r="L784" s="1245">
        <f t="shared" si="149"/>
        <v>0</v>
      </c>
      <c r="M784" s="1245">
        <f t="shared" si="149"/>
        <v>0</v>
      </c>
      <c r="N784" s="1245">
        <f t="shared" si="149"/>
        <v>0</v>
      </c>
      <c r="O784" s="1245"/>
      <c r="P784" s="1251">
        <f>$P$783*G784</f>
        <v>0</v>
      </c>
      <c r="Q784" s="1251">
        <f>$Q$783*G784</f>
        <v>0</v>
      </c>
      <c r="R784" s="1251">
        <f>$R$783*G784</f>
        <v>0</v>
      </c>
      <c r="S784" s="1245"/>
      <c r="T784" s="1664"/>
      <c r="U784" s="1664" t="str">
        <f>IFERROR(VLOOKUP(B784,ChiTietDuToan!C:H,5,0),"")</f>
        <v/>
      </c>
      <c r="V784" s="2309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52" t="s">
        <v>460</v>
      </c>
      <c r="C785" s="1189" t="str">
        <f t="shared" si="147"/>
        <v xml:space="preserve"> </v>
      </c>
      <c r="D785" s="1236"/>
      <c r="E785" s="1248" t="str">
        <f>VLOOKUP($B785,DG!A:D,DG!$C$2,)&amp;": thanh chống 810"</f>
        <v>Sắt góc L50 x50 x5: thanh chống 810</v>
      </c>
      <c r="F785" s="1236" t="str">
        <f>VLOOKUP($B785,DG!A:D,DG!$D$2,)</f>
        <v>kg</v>
      </c>
      <c r="G785" s="1914">
        <f>3.77*0.81*4</f>
        <v>12.2148</v>
      </c>
      <c r="H785" s="1251">
        <f t="shared" si="149"/>
        <v>0</v>
      </c>
      <c r="I785" s="1245">
        <f t="shared" ca="1" si="149"/>
        <v>0</v>
      </c>
      <c r="J785" s="1245">
        <f t="shared" ca="1" si="149"/>
        <v>0</v>
      </c>
      <c r="K785" s="1245">
        <f t="shared" ca="1" si="149"/>
        <v>0</v>
      </c>
      <c r="L785" s="1245">
        <f t="shared" si="149"/>
        <v>0</v>
      </c>
      <c r="M785" s="1245">
        <f t="shared" si="149"/>
        <v>0</v>
      </c>
      <c r="N785" s="1245">
        <f t="shared" si="149"/>
        <v>0</v>
      </c>
      <c r="O785" s="1245"/>
      <c r="P785" s="1251">
        <f t="shared" ref="P785:P790" si="150">$P$783*G785</f>
        <v>0</v>
      </c>
      <c r="Q785" s="1251">
        <f t="shared" ref="Q785:Q790" si="151">$Q$783*G785</f>
        <v>0</v>
      </c>
      <c r="R785" s="1251">
        <f t="shared" ref="R785:R793" si="152">$R$783*G785</f>
        <v>0</v>
      </c>
      <c r="S785" s="1245"/>
      <c r="T785" s="1664"/>
      <c r="U785" s="1664" t="str">
        <f>IFERROR(VLOOKUP(B785,ChiTietDuToan!C:H,5,0),"")</f>
        <v/>
      </c>
      <c r="V785" s="2309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52" t="s">
        <v>1661</v>
      </c>
      <c r="C786" s="1189" t="str">
        <f t="shared" si="147"/>
        <v xml:space="preserve"> </v>
      </c>
      <c r="D786" s="1236"/>
      <c r="E786" s="1248" t="str">
        <f>VLOOKUP($B786,DG!A:D,DG!$C$2,)</f>
        <v>Boulon 16x250+ 2 long đền vuông D18-50x50x3/Zn</v>
      </c>
      <c r="F786" s="1236" t="str">
        <f>VLOOKUP($B786,DG!A:D,DG!$D$2,)</f>
        <v>bộ</v>
      </c>
      <c r="G786" s="1915">
        <v>1</v>
      </c>
      <c r="H786" s="1245">
        <f t="shared" si="149"/>
        <v>0</v>
      </c>
      <c r="I786" s="1245">
        <f t="shared" ca="1" si="149"/>
        <v>0</v>
      </c>
      <c r="J786" s="1245">
        <f t="shared" ca="1" si="149"/>
        <v>0</v>
      </c>
      <c r="K786" s="1245">
        <f t="shared" ca="1" si="149"/>
        <v>0</v>
      </c>
      <c r="L786" s="1245">
        <f t="shared" si="149"/>
        <v>0</v>
      </c>
      <c r="M786" s="1245">
        <f t="shared" si="149"/>
        <v>0</v>
      </c>
      <c r="N786" s="1245">
        <f t="shared" si="149"/>
        <v>0</v>
      </c>
      <c r="O786" s="1245"/>
      <c r="P786" s="1245">
        <f t="shared" si="150"/>
        <v>0</v>
      </c>
      <c r="Q786" s="1245">
        <f t="shared" si="151"/>
        <v>0</v>
      </c>
      <c r="R786" s="1245">
        <f t="shared" si="152"/>
        <v>0</v>
      </c>
      <c r="S786" s="1245"/>
      <c r="T786" s="1664"/>
      <c r="U786" s="1664" t="str">
        <f>IFERROR(VLOOKUP(B786,ChiTietDuToan!C:H,5,0),"")</f>
        <v>bộ</v>
      </c>
      <c r="V786" s="2309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52" t="s">
        <v>1662</v>
      </c>
      <c r="C787" s="1189" t="str">
        <f t="shared" si="147"/>
        <v xml:space="preserve"> </v>
      </c>
      <c r="D787" s="1236"/>
      <c r="E787" s="1248" t="str">
        <f>VLOOKUP($B787,DG!A:D,DG!$C$2,)</f>
        <v>Boulon 16x300+ 2 long đền vuông D18-50x50x3/Zn</v>
      </c>
      <c r="F787" s="1236" t="str">
        <f>VLOOKUP($B787,DG!A:D,DG!$D$2,)</f>
        <v>bộ</v>
      </c>
      <c r="G787" s="1915">
        <v>1</v>
      </c>
      <c r="H787" s="1245">
        <f t="shared" si="149"/>
        <v>0</v>
      </c>
      <c r="I787" s="1245">
        <f t="shared" ca="1" si="149"/>
        <v>0</v>
      </c>
      <c r="J787" s="1245">
        <f t="shared" ca="1" si="149"/>
        <v>0</v>
      </c>
      <c r="K787" s="1245">
        <f t="shared" ca="1" si="149"/>
        <v>0</v>
      </c>
      <c r="L787" s="1245">
        <f t="shared" si="149"/>
        <v>0</v>
      </c>
      <c r="M787" s="1245">
        <f t="shared" si="149"/>
        <v>0</v>
      </c>
      <c r="N787" s="1245">
        <f t="shared" si="149"/>
        <v>0</v>
      </c>
      <c r="O787" s="1245"/>
      <c r="P787" s="1245">
        <f t="shared" si="150"/>
        <v>0</v>
      </c>
      <c r="Q787" s="1245">
        <f t="shared" si="151"/>
        <v>0</v>
      </c>
      <c r="R787" s="1245">
        <f t="shared" si="152"/>
        <v>0</v>
      </c>
      <c r="S787" s="1245"/>
      <c r="T787" s="1664"/>
      <c r="U787" s="1664" t="str">
        <f>IFERROR(VLOOKUP(B787,ChiTietDuToan!C:H,5,0),"")</f>
        <v>bộ</v>
      </c>
      <c r="V787" s="2309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52" t="s">
        <v>418</v>
      </c>
      <c r="C788" s="1189" t="str">
        <f t="shared" si="147"/>
        <v xml:space="preserve"> </v>
      </c>
      <c r="D788" s="1236"/>
      <c r="E788" s="1248" t="str">
        <f>VLOOKUP($B788,DG!A:D,DG!$C$2,)</f>
        <v>Boulon 16x300VRS+ 4 long đền vuông D18-50x50x3/Zn</v>
      </c>
      <c r="F788" s="1236" t="str">
        <f>VLOOKUP($B788,DG!A:D,DG!$D$2,)</f>
        <v>bộ</v>
      </c>
      <c r="G788" s="1915">
        <v>2</v>
      </c>
      <c r="H788" s="1245">
        <f t="shared" si="149"/>
        <v>0</v>
      </c>
      <c r="I788" s="1245">
        <f t="shared" ca="1" si="149"/>
        <v>0</v>
      </c>
      <c r="J788" s="1245">
        <f t="shared" ca="1" si="149"/>
        <v>0</v>
      </c>
      <c r="K788" s="1245">
        <f t="shared" ca="1" si="149"/>
        <v>0</v>
      </c>
      <c r="L788" s="1245">
        <f t="shared" si="149"/>
        <v>0</v>
      </c>
      <c r="M788" s="1245">
        <f t="shared" si="149"/>
        <v>0</v>
      </c>
      <c r="N788" s="1245">
        <f t="shared" si="149"/>
        <v>0</v>
      </c>
      <c r="O788" s="1245"/>
      <c r="P788" s="1245">
        <f t="shared" si="150"/>
        <v>0</v>
      </c>
      <c r="Q788" s="1245">
        <f t="shared" si="151"/>
        <v>0</v>
      </c>
      <c r="R788" s="1245">
        <f t="shared" si="152"/>
        <v>0</v>
      </c>
      <c r="S788" s="1245"/>
      <c r="T788" s="1664"/>
      <c r="U788" s="1664" t="str">
        <f>IFERROR(VLOOKUP(B788,ChiTietDuToan!C:H,5,0),"")</f>
        <v>bộ</v>
      </c>
      <c r="V788" s="2309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52" t="s">
        <v>1839</v>
      </c>
      <c r="C789" s="1189" t="str">
        <f t="shared" si="147"/>
        <v xml:space="preserve"> </v>
      </c>
      <c r="D789" s="1236"/>
      <c r="E789" s="1248" t="str">
        <f>VLOOKUP($B789,DG!A:D,DG!$C$2,)</f>
        <v>Boulon 16x50+ 2 long đền vuông D18-50x50x3/Zn</v>
      </c>
      <c r="F789" s="1236" t="str">
        <f>VLOOKUP($B789,DG!A:D,DG!$D$2,)</f>
        <v>bộ</v>
      </c>
      <c r="G789" s="1915">
        <v>4</v>
      </c>
      <c r="H789" s="1245">
        <f t="shared" si="149"/>
        <v>0</v>
      </c>
      <c r="I789" s="1245">
        <f t="shared" ca="1" si="149"/>
        <v>0</v>
      </c>
      <c r="J789" s="1245">
        <f t="shared" ca="1" si="149"/>
        <v>0</v>
      </c>
      <c r="K789" s="1245">
        <f t="shared" ca="1" si="149"/>
        <v>0</v>
      </c>
      <c r="L789" s="1245">
        <f t="shared" si="149"/>
        <v>0</v>
      </c>
      <c r="M789" s="1245">
        <f t="shared" si="149"/>
        <v>0</v>
      </c>
      <c r="N789" s="1245">
        <f t="shared" si="149"/>
        <v>0</v>
      </c>
      <c r="O789" s="1245"/>
      <c r="P789" s="1245">
        <f t="shared" si="150"/>
        <v>0</v>
      </c>
      <c r="Q789" s="1245">
        <f t="shared" si="151"/>
        <v>0</v>
      </c>
      <c r="R789" s="1245">
        <f t="shared" si="152"/>
        <v>0</v>
      </c>
      <c r="S789" s="1245"/>
      <c r="T789" s="1664"/>
      <c r="U789" s="1664" t="str">
        <f>IFERROR(VLOOKUP(B789,ChiTietDuToan!C:H,5,0),"")</f>
        <v>bộ</v>
      </c>
      <c r="V789" s="2309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52" t="s">
        <v>520</v>
      </c>
      <c r="C790" s="1189" t="str">
        <f t="shared" si="147"/>
        <v xml:space="preserve"> </v>
      </c>
      <c r="D790" s="1240" t="str">
        <f>VLOOKUP($B790,DG!A:D,DG!$B$2,)</f>
        <v>05.6203</v>
      </c>
      <c r="E790" s="1241" t="str">
        <f>VLOOKUP($B790,DG!A:D,DG!$C$2,)</f>
        <v>Lắp xà néo ≤ 100kg</v>
      </c>
      <c r="F790" s="1236" t="str">
        <f>VLOOKUP($B790,DG!A:D,DG!$D$2,)</f>
        <v>bộ</v>
      </c>
      <c r="G790" s="1915">
        <v>1</v>
      </c>
      <c r="H790" s="1245">
        <f>H$783*$G790</f>
        <v>0</v>
      </c>
      <c r="I790" s="1250"/>
      <c r="J790" s="1250"/>
      <c r="K790" s="1250"/>
      <c r="L790" s="1250"/>
      <c r="M790" s="1250"/>
      <c r="N790" s="1250"/>
      <c r="O790" s="1250"/>
      <c r="P790" s="1245">
        <f t="shared" si="150"/>
        <v>0</v>
      </c>
      <c r="Q790" s="1245">
        <f t="shared" si="151"/>
        <v>0</v>
      </c>
      <c r="R790" s="1245">
        <f t="shared" si="152"/>
        <v>0</v>
      </c>
      <c r="S790" s="1250"/>
      <c r="T790" s="1664"/>
      <c r="U790" s="1664" t="str">
        <f>IFERROR(VLOOKUP(B790,ChiTietDuToan!C:H,5,0),"")</f>
        <v/>
      </c>
      <c r="V790" s="2309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59" t="s">
        <v>2049</v>
      </c>
      <c r="C791" s="1189" t="str">
        <f t="shared" si="147"/>
        <v xml:space="preserve"> </v>
      </c>
      <c r="D791" s="1236" t="str">
        <f>VLOOKUP($B791,DG!A:D,DG!$B$2,)</f>
        <v>02.1115</v>
      </c>
      <c r="E791" s="1241" t="str">
        <f>VLOOKUP($B791,DG!A:D,DG!$C$2,)</f>
        <v>Bốc dỡ xà, thép thanh</v>
      </c>
      <c r="F791" s="1236" t="str">
        <f>VLOOKUP($B791,DG!A:D,DG!$D$2,)</f>
        <v>tấn</v>
      </c>
      <c r="G791" s="1913">
        <f>G792</f>
        <v>0</v>
      </c>
      <c r="H791" s="1250"/>
      <c r="I791" s="1250"/>
      <c r="J791" s="1250"/>
      <c r="K791" s="1250"/>
      <c r="L791" s="1250"/>
      <c r="M791" s="1250"/>
      <c r="N791" s="1250"/>
      <c r="O791" s="1250"/>
      <c r="P791" s="1250"/>
      <c r="Q791" s="1250"/>
      <c r="R791" s="1245">
        <f t="shared" si="152"/>
        <v>0</v>
      </c>
      <c r="S791" s="1250"/>
      <c r="T791" s="1671"/>
      <c r="U791" s="1664" t="str">
        <f>IFERROR(VLOOKUP(B791,ChiTietDuToan!C:H,5,0),"")</f>
        <v/>
      </c>
      <c r="V791" s="2309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74" t="s">
        <v>2050</v>
      </c>
      <c r="C792" s="1189" t="str">
        <f t="shared" si="147"/>
        <v xml:space="preserve"> </v>
      </c>
      <c r="D792" s="1236" t="str">
        <f>VLOOKUP($B792,DG!A:C,2,)</f>
        <v>02.1361</v>
      </c>
      <c r="E792" s="1241" t="str">
        <f>VLOOKUP($B792,DG!A:C,3,)</f>
        <v>V/c xà vào vị trí (cư ly &lt;=100m)</v>
      </c>
      <c r="F792" s="1236" t="str">
        <f>VLOOKUP($B792,DG!A:D,4,0)</f>
        <v>tấn</v>
      </c>
      <c r="G792" s="1913">
        <f>ROUND(SUM(G784:G785)*1.05/1000,3)*0</f>
        <v>0</v>
      </c>
      <c r="H792" s="1250"/>
      <c r="I792" s="1250"/>
      <c r="J792" s="1250"/>
      <c r="K792" s="1250"/>
      <c r="L792" s="1250"/>
      <c r="M792" s="1250"/>
      <c r="N792" s="1250"/>
      <c r="O792" s="1250"/>
      <c r="P792" s="1250"/>
      <c r="Q792" s="1250"/>
      <c r="R792" s="1245">
        <f t="shared" si="152"/>
        <v>0</v>
      </c>
      <c r="S792" s="1250"/>
      <c r="T792" s="1671"/>
      <c r="U792" s="1664" t="str">
        <f>IFERROR(VLOOKUP(B792,ChiTietDuToan!C:H,5,0),"")</f>
        <v/>
      </c>
      <c r="V792" s="2309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74" t="s">
        <v>640</v>
      </c>
      <c r="C793" s="1189" t="str">
        <f t="shared" si="147"/>
        <v xml:space="preserve"> </v>
      </c>
      <c r="D793" s="1236" t="str">
        <f>VLOOKUP($B793,DG!A:C,2,)</f>
        <v>02.1482</v>
      </c>
      <c r="E793" s="1241" t="str">
        <f>VLOOKUP($B793,DG!A:C,3,)</f>
        <v>V/c dụng cụ thi công vào vị trí (cự ly &lt;=100m)</v>
      </c>
      <c r="F793" s="1236" t="str">
        <f>VLOOKUP($B793,DG!A:D,4,0)</f>
        <v>tấn</v>
      </c>
      <c r="G793" s="1914">
        <f>0.05*0</f>
        <v>0</v>
      </c>
      <c r="H793" s="1250"/>
      <c r="I793" s="1250"/>
      <c r="J793" s="1250"/>
      <c r="K793" s="1250"/>
      <c r="L793" s="1250"/>
      <c r="M793" s="1250"/>
      <c r="N793" s="1250"/>
      <c r="O793" s="1250"/>
      <c r="P793" s="1250"/>
      <c r="Q793" s="1250"/>
      <c r="R793" s="1245">
        <f t="shared" si="152"/>
        <v>0</v>
      </c>
      <c r="S793" s="1250"/>
      <c r="T793" s="1671"/>
      <c r="U793" s="1664" t="str">
        <f>IFERROR(VLOOKUP(B793,ChiTietDuToan!C:H,5,0),"")</f>
        <v/>
      </c>
      <c r="V793" s="2309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56"/>
      <c r="C794" s="1189" t="str">
        <f t="shared" ca="1" si="147"/>
        <v xml:space="preserve"> </v>
      </c>
      <c r="D794" s="1237"/>
      <c r="E794" s="1666" t="s">
        <v>2481</v>
      </c>
      <c r="F794" s="1238" t="s">
        <v>2449</v>
      </c>
      <c r="G794" s="1912"/>
      <c r="H794" s="1523">
        <f ca="1">SUM(I794:O794)+T794</f>
        <v>0</v>
      </c>
      <c r="I794" s="1239">
        <f ca="1">SUMIF(xa3pm,chitiet!$A794,slxa3pm)</f>
        <v>0</v>
      </c>
      <c r="J794" s="1239">
        <f ca="1">SUMIF(xact,chitiet!$A794,slxact)</f>
        <v>0</v>
      </c>
      <c r="K794" s="1239"/>
      <c r="L794" s="1239">
        <f>IFERROR(HLOOKUP(A794,pp1p!$6:$90,85,0),0)</f>
        <v>0</v>
      </c>
      <c r="M794" s="1239"/>
      <c r="N794" s="1239"/>
      <c r="O794" s="1239"/>
      <c r="P794" s="1239">
        <f ca="1">H794+Q794-R794</f>
        <v>0</v>
      </c>
      <c r="Q794" s="1239"/>
      <c r="R794" s="1239"/>
      <c r="S794" s="1239"/>
      <c r="T794" s="1671"/>
      <c r="U794" s="1664">
        <f>IFERROR(VLOOKUP(B794,ChiTietDuToan!C:H,5,0),"")</f>
        <v>0</v>
      </c>
      <c r="V794" s="2309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59" t="s">
        <v>110</v>
      </c>
      <c r="C795" s="1189" t="str">
        <f t="shared" ca="1" si="147"/>
        <v xml:space="preserve"> </v>
      </c>
      <c r="D795" s="1236"/>
      <c r="E795" s="1248" t="str">
        <f>VLOOKUP($B795,DG!A:D,DG!$C$2,)</f>
        <v>Sắt góc L75 x75 x8</v>
      </c>
      <c r="F795" s="1236" t="str">
        <f>VLOOKUP($B795,DG!A:D,DG!$D$2,)</f>
        <v>kg</v>
      </c>
      <c r="G795" s="1914">
        <f>9.02*2.2</f>
        <v>19.844000000000001</v>
      </c>
      <c r="H795" s="1245">
        <f ca="1">H$794*$G795</f>
        <v>0</v>
      </c>
      <c r="I795" s="1245">
        <f t="shared" ref="I795:N798" ca="1" si="153">I$794*$G795</f>
        <v>0</v>
      </c>
      <c r="J795" s="1245">
        <f t="shared" ca="1" si="153"/>
        <v>0</v>
      </c>
      <c r="K795" s="1245">
        <f t="shared" si="153"/>
        <v>0</v>
      </c>
      <c r="L795" s="1245">
        <f t="shared" si="153"/>
        <v>0</v>
      </c>
      <c r="M795" s="1245">
        <f t="shared" si="153"/>
        <v>0</v>
      </c>
      <c r="N795" s="1245">
        <f t="shared" si="153"/>
        <v>0</v>
      </c>
      <c r="O795" s="1245"/>
      <c r="P795" s="1245"/>
      <c r="Q795" s="1245"/>
      <c r="R795" s="1245"/>
      <c r="S795" s="1245"/>
      <c r="T795" s="1671"/>
      <c r="U795" s="1664" t="str">
        <f>IFERROR(VLOOKUP(B795,ChiTietDuToan!C:H,5,0),"")</f>
        <v/>
      </c>
      <c r="V795" s="2309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59" t="s">
        <v>460</v>
      </c>
      <c r="C796" s="1189" t="str">
        <f t="shared" ca="1" si="147"/>
        <v xml:space="preserve"> </v>
      </c>
      <c r="D796" s="1236"/>
      <c r="E796" s="1248" t="str">
        <f>VLOOKUP($B796,DG!A:D,DG!$C$2,)</f>
        <v>Sắt góc L50 x50 x5</v>
      </c>
      <c r="F796" s="1236" t="str">
        <f>VLOOKUP($B796,DG!A:D,DG!$D$2,)</f>
        <v>kg</v>
      </c>
      <c r="G796" s="1914">
        <f>3.77*0.72*2</f>
        <v>5.4287999999999998</v>
      </c>
      <c r="H796" s="1245">
        <f ca="1">H$794*$G796</f>
        <v>0</v>
      </c>
      <c r="I796" s="1245">
        <f t="shared" ca="1" si="153"/>
        <v>0</v>
      </c>
      <c r="J796" s="1245">
        <f t="shared" ca="1" si="153"/>
        <v>0</v>
      </c>
      <c r="K796" s="1245">
        <f t="shared" si="153"/>
        <v>0</v>
      </c>
      <c r="L796" s="1245">
        <f t="shared" si="153"/>
        <v>0</v>
      </c>
      <c r="M796" s="1245">
        <f t="shared" si="153"/>
        <v>0</v>
      </c>
      <c r="N796" s="1245">
        <f t="shared" si="153"/>
        <v>0</v>
      </c>
      <c r="O796" s="1245"/>
      <c r="P796" s="1245"/>
      <c r="Q796" s="1245"/>
      <c r="R796" s="1245"/>
      <c r="S796" s="1245"/>
      <c r="T796" s="1671"/>
      <c r="U796" s="1664" t="str">
        <f>IFERROR(VLOOKUP(B796,ChiTietDuToan!C:H,5,0),"")</f>
        <v/>
      </c>
      <c r="V796" s="2309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59" t="s">
        <v>1661</v>
      </c>
      <c r="C797" s="1189" t="str">
        <f t="shared" ca="1" si="147"/>
        <v xml:space="preserve"> </v>
      </c>
      <c r="D797" s="1236"/>
      <c r="E797" s="1248" t="str">
        <f>VLOOKUP($B797,DG!A:D,DG!$C$2,)</f>
        <v>Boulon 16x250+ 2 long đền vuông D18-50x50x3/Zn</v>
      </c>
      <c r="F797" s="1236" t="str">
        <f>VLOOKUP($B797,DG!A:D,DG!$D$2,)</f>
        <v>bộ</v>
      </c>
      <c r="G797" s="1915">
        <v>2</v>
      </c>
      <c r="H797" s="1245">
        <f ca="1">H$794*$G797</f>
        <v>0</v>
      </c>
      <c r="I797" s="1245">
        <f t="shared" ca="1" si="153"/>
        <v>0</v>
      </c>
      <c r="J797" s="1245">
        <f t="shared" ca="1" si="153"/>
        <v>0</v>
      </c>
      <c r="K797" s="1245">
        <f t="shared" si="153"/>
        <v>0</v>
      </c>
      <c r="L797" s="1245">
        <f t="shared" si="153"/>
        <v>0</v>
      </c>
      <c r="M797" s="1245">
        <f t="shared" si="153"/>
        <v>0</v>
      </c>
      <c r="N797" s="1245">
        <f t="shared" si="153"/>
        <v>0</v>
      </c>
      <c r="O797" s="1245"/>
      <c r="P797" s="1245"/>
      <c r="Q797" s="1245"/>
      <c r="R797" s="1245"/>
      <c r="S797" s="1245"/>
      <c r="T797" s="1671"/>
      <c r="U797" s="1664" t="str">
        <f>IFERROR(VLOOKUP(B797,ChiTietDuToan!C:H,5,0),"")</f>
        <v>bộ</v>
      </c>
      <c r="V797" s="2309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59" t="s">
        <v>1839</v>
      </c>
      <c r="C798" s="1189" t="str">
        <f t="shared" ca="1" si="147"/>
        <v xml:space="preserve"> </v>
      </c>
      <c r="D798" s="1236"/>
      <c r="E798" s="1248" t="str">
        <f>VLOOKUP($B798,DG!A:D,DG!$C$2,)</f>
        <v>Boulon 16x50+ 2 long đền vuông D18-50x50x3/Zn</v>
      </c>
      <c r="F798" s="1236" t="str">
        <f>VLOOKUP($B798,DG!A:D,DG!$D$2,)</f>
        <v>bộ</v>
      </c>
      <c r="G798" s="1915">
        <v>1</v>
      </c>
      <c r="H798" s="1245">
        <f ca="1">H$794*$G798</f>
        <v>0</v>
      </c>
      <c r="I798" s="1245">
        <f t="shared" ca="1" si="153"/>
        <v>0</v>
      </c>
      <c r="J798" s="1245">
        <f t="shared" ca="1" si="153"/>
        <v>0</v>
      </c>
      <c r="K798" s="1245">
        <f t="shared" si="153"/>
        <v>0</v>
      </c>
      <c r="L798" s="1245">
        <f t="shared" si="153"/>
        <v>0</v>
      </c>
      <c r="M798" s="1245">
        <f t="shared" si="153"/>
        <v>0</v>
      </c>
      <c r="N798" s="1245">
        <f t="shared" si="153"/>
        <v>0</v>
      </c>
      <c r="O798" s="1245"/>
      <c r="P798" s="1245"/>
      <c r="Q798" s="1245"/>
      <c r="R798" s="1245"/>
      <c r="S798" s="1245"/>
      <c r="T798" s="1671"/>
      <c r="U798" s="1664" t="str">
        <f>IFERROR(VLOOKUP(B798,ChiTietDuToan!C:H,5,0),"")</f>
        <v>bộ</v>
      </c>
      <c r="V798" s="2309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59" t="s">
        <v>2048</v>
      </c>
      <c r="C799" s="1189" t="str">
        <f t="shared" si="147"/>
        <v xml:space="preserve"> </v>
      </c>
      <c r="D799" s="1236" t="str">
        <f>VLOOKUP($B799,DG!A:D,DG!$B$2,)</f>
        <v>05.6401</v>
      </c>
      <c r="E799" s="1241" t="str">
        <f>VLOOKUP($B799,DG!A:D,DG!$C$2,)</f>
        <v>Lắp xà đỡ ≤ 25kg</v>
      </c>
      <c r="F799" s="1236" t="str">
        <f>VLOOKUP($B799,DG!A:D,DG!$D$2,)</f>
        <v>bộ</v>
      </c>
      <c r="G799" s="1915">
        <v>1</v>
      </c>
      <c r="H799" s="1250"/>
      <c r="I799" s="1250"/>
      <c r="J799" s="1250"/>
      <c r="K799" s="1250"/>
      <c r="L799" s="1250"/>
      <c r="M799" s="1250"/>
      <c r="N799" s="1250"/>
      <c r="O799" s="1250"/>
      <c r="P799" s="1250"/>
      <c r="Q799" s="1250"/>
      <c r="R799" s="1250"/>
      <c r="S799" s="1250"/>
      <c r="T799" s="1671"/>
      <c r="U799" s="1664" t="str">
        <f>IFERROR(VLOOKUP(B799,ChiTietDuToan!C:H,5,0),"")</f>
        <v/>
      </c>
      <c r="V799" s="2309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59" t="s">
        <v>2049</v>
      </c>
      <c r="C800" s="1189" t="str">
        <f t="shared" si="147"/>
        <v xml:space="preserve"> </v>
      </c>
      <c r="D800" s="1236" t="str">
        <f>VLOOKUP($B800,DG!A:D,DG!$B$2,)</f>
        <v>02.1115</v>
      </c>
      <c r="E800" s="1241" t="str">
        <f>VLOOKUP($B800,DG!A:D,DG!$C$2,)</f>
        <v>Bốc dỡ xà, thép thanh</v>
      </c>
      <c r="F800" s="1236" t="str">
        <f>VLOOKUP($B800,DG!A:D,DG!$D$2,)</f>
        <v>tấn</v>
      </c>
      <c r="G800" s="1913"/>
      <c r="H800" s="1250"/>
      <c r="I800" s="1250"/>
      <c r="J800" s="1250"/>
      <c r="K800" s="1250"/>
      <c r="L800" s="1250"/>
      <c r="M800" s="1250"/>
      <c r="N800" s="1250"/>
      <c r="O800" s="1250"/>
      <c r="P800" s="1250"/>
      <c r="Q800" s="1250"/>
      <c r="R800" s="1250"/>
      <c r="S800" s="1250"/>
      <c r="T800" s="1671"/>
      <c r="U800" s="1664" t="str">
        <f>IFERROR(VLOOKUP(B800,ChiTietDuToan!C:H,5,0),"")</f>
        <v/>
      </c>
      <c r="V800" s="2309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74" t="s">
        <v>2050</v>
      </c>
      <c r="C801" s="1189" t="str">
        <f t="shared" si="147"/>
        <v xml:space="preserve"> </v>
      </c>
      <c r="D801" s="1236" t="str">
        <f>VLOOKUP($B801,DG!A:C,2,)</f>
        <v>02.1361</v>
      </c>
      <c r="E801" s="1241" t="str">
        <f>VLOOKUP($B801,DG!A:C,3,)</f>
        <v>V/c xà vào vị trí (cư ly &lt;=100m)</v>
      </c>
      <c r="F801" s="1236" t="str">
        <f>VLOOKUP($B801,DG!A:D,4,0)</f>
        <v>tấn</v>
      </c>
      <c r="G801" s="1913"/>
      <c r="H801" s="1250"/>
      <c r="I801" s="1250"/>
      <c r="J801" s="1250"/>
      <c r="K801" s="1250"/>
      <c r="L801" s="1250"/>
      <c r="M801" s="1250"/>
      <c r="N801" s="1250"/>
      <c r="O801" s="1250"/>
      <c r="P801" s="1250"/>
      <c r="Q801" s="1250"/>
      <c r="R801" s="1250"/>
      <c r="S801" s="1250"/>
      <c r="T801" s="1671"/>
      <c r="U801" s="1664" t="str">
        <f>IFERROR(VLOOKUP(B801,ChiTietDuToan!C:H,5,0),"")</f>
        <v/>
      </c>
      <c r="V801" s="2309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74" t="s">
        <v>640</v>
      </c>
      <c r="C802" s="1189" t="str">
        <f t="shared" si="147"/>
        <v xml:space="preserve"> </v>
      </c>
      <c r="D802" s="1236" t="str">
        <f>VLOOKUP($B802,DG!A:C,2,)</f>
        <v>02.1482</v>
      </c>
      <c r="E802" s="1241" t="str">
        <f>VLOOKUP($B802,DG!A:C,3,)</f>
        <v>V/c dụng cụ thi công vào vị trí (cự ly &lt;=100m)</v>
      </c>
      <c r="F802" s="1236" t="str">
        <f>VLOOKUP($B802,DG!A:D,4,0)</f>
        <v>tấn</v>
      </c>
      <c r="G802" s="1914"/>
      <c r="H802" s="1250"/>
      <c r="I802" s="1250"/>
      <c r="J802" s="1250"/>
      <c r="K802" s="1250"/>
      <c r="L802" s="1250"/>
      <c r="M802" s="1250"/>
      <c r="N802" s="1250"/>
      <c r="O802" s="1250"/>
      <c r="P802" s="1250"/>
      <c r="Q802" s="1250"/>
      <c r="R802" s="1250"/>
      <c r="S802" s="1250"/>
      <c r="T802" s="1671"/>
      <c r="U802" s="1664" t="str">
        <f>IFERROR(VLOOKUP(B802,ChiTietDuToan!C:H,5,0),"")</f>
        <v/>
      </c>
      <c r="V802" s="2309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56"/>
      <c r="C803" s="1189" t="str">
        <f t="shared" ca="1" si="147"/>
        <v xml:space="preserve"> </v>
      </c>
      <c r="D803" s="1237"/>
      <c r="E803" s="1666" t="s">
        <v>2482</v>
      </c>
      <c r="F803" s="1238" t="s">
        <v>2449</v>
      </c>
      <c r="G803" s="1912"/>
      <c r="H803" s="1523">
        <f ca="1">SUM(I803:O803)+T803</f>
        <v>0</v>
      </c>
      <c r="I803" s="1239">
        <f ca="1">SUMIF(xa3pm,chitiet!$A803,slxa3pm)</f>
        <v>0</v>
      </c>
      <c r="J803" s="1239">
        <f ca="1">SUMIF(xact,chitiet!$A803,slxact)</f>
        <v>0</v>
      </c>
      <c r="K803" s="1239"/>
      <c r="L803" s="1239">
        <f>IFERROR(HLOOKUP(A803,pp1p!$6:$90,85,0),0)</f>
        <v>0</v>
      </c>
      <c r="M803" s="1239"/>
      <c r="N803" s="1239"/>
      <c r="O803" s="1239"/>
      <c r="P803" s="1239">
        <f ca="1">H803+Q803-R803</f>
        <v>0</v>
      </c>
      <c r="Q803" s="1239"/>
      <c r="R803" s="1239"/>
      <c r="S803" s="1239"/>
      <c r="T803" s="1671"/>
      <c r="U803" s="1664">
        <f>IFERROR(VLOOKUP(B803,ChiTietDuToan!C:H,5,0),"")</f>
        <v>0</v>
      </c>
      <c r="V803" s="2309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59" t="s">
        <v>110</v>
      </c>
      <c r="C804" s="1189" t="str">
        <f t="shared" ca="1" si="147"/>
        <v xml:space="preserve"> </v>
      </c>
      <c r="D804" s="1236"/>
      <c r="E804" s="1248" t="str">
        <f>VLOOKUP($B804,DG!A:D,DG!$C$2,)</f>
        <v>Sắt góc L75 x75 x8</v>
      </c>
      <c r="F804" s="1236" t="str">
        <f>VLOOKUP($B804,DG!A:D,DG!$D$2,)</f>
        <v>kg</v>
      </c>
      <c r="G804" s="1914">
        <f>9.02*2.2*2</f>
        <v>39.688000000000002</v>
      </c>
      <c r="H804" s="1245">
        <f t="shared" ref="H804:H809" ca="1" si="154">H$803*$G804</f>
        <v>0</v>
      </c>
      <c r="I804" s="1245">
        <f t="shared" ref="I804:K807" ca="1" si="155">I$794*$G804</f>
        <v>0</v>
      </c>
      <c r="J804" s="1245">
        <f t="shared" ca="1" si="155"/>
        <v>0</v>
      </c>
      <c r="K804" s="1245">
        <f t="shared" si="155"/>
        <v>0</v>
      </c>
      <c r="L804" s="1245">
        <f>L$803*$G804</f>
        <v>0</v>
      </c>
      <c r="M804" s="1245">
        <f t="shared" ref="I804:N809" si="156">M$803*$G804</f>
        <v>0</v>
      </c>
      <c r="N804" s="1245">
        <f t="shared" si="156"/>
        <v>0</v>
      </c>
      <c r="O804" s="1245"/>
      <c r="P804" s="1245"/>
      <c r="Q804" s="1245"/>
      <c r="R804" s="1245"/>
      <c r="S804" s="1245"/>
      <c r="T804" s="1671"/>
      <c r="U804" s="1664" t="str">
        <f>IFERROR(VLOOKUP(B804,ChiTietDuToan!C:H,5,0),"")</f>
        <v/>
      </c>
      <c r="V804" s="2309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59" t="s">
        <v>460</v>
      </c>
      <c r="C805" s="1189" t="str">
        <f t="shared" ca="1" si="147"/>
        <v xml:space="preserve"> </v>
      </c>
      <c r="D805" s="1236"/>
      <c r="E805" s="1248" t="str">
        <f>VLOOKUP($B805,DG!A:D,DG!$C$2,)</f>
        <v>Sắt góc L50 x50 x5</v>
      </c>
      <c r="F805" s="1236" t="str">
        <f>VLOOKUP($B805,DG!A:D,DG!$D$2,)</f>
        <v>kg</v>
      </c>
      <c r="G805" s="1914">
        <f>3.77*0.72*4</f>
        <v>10.8576</v>
      </c>
      <c r="H805" s="1245">
        <f t="shared" ca="1" si="154"/>
        <v>0</v>
      </c>
      <c r="I805" s="1245">
        <f t="shared" ca="1" si="155"/>
        <v>0</v>
      </c>
      <c r="J805" s="1245">
        <f t="shared" ca="1" si="155"/>
        <v>0</v>
      </c>
      <c r="K805" s="1245">
        <f t="shared" si="155"/>
        <v>0</v>
      </c>
      <c r="L805" s="1245">
        <f>L$803*$G805</f>
        <v>0</v>
      </c>
      <c r="M805" s="1245">
        <f t="shared" si="156"/>
        <v>0</v>
      </c>
      <c r="N805" s="1245">
        <f t="shared" si="156"/>
        <v>0</v>
      </c>
      <c r="O805" s="1245"/>
      <c r="P805" s="1245"/>
      <c r="Q805" s="1245"/>
      <c r="R805" s="1245"/>
      <c r="S805" s="1245"/>
      <c r="T805" s="1671"/>
      <c r="U805" s="1664" t="str">
        <f>IFERROR(VLOOKUP(B805,ChiTietDuToan!C:H,5,0),"")</f>
        <v/>
      </c>
      <c r="V805" s="2309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59" t="s">
        <v>1839</v>
      </c>
      <c r="C806" s="1189" t="str">
        <f t="shared" ca="1" si="147"/>
        <v xml:space="preserve"> </v>
      </c>
      <c r="D806" s="1236"/>
      <c r="E806" s="1248" t="str">
        <f>VLOOKUP($B806,DG!A:D,DG!$C$2,)</f>
        <v>Boulon 16x50+ 2 long đền vuông D18-50x50x3/Zn</v>
      </c>
      <c r="F806" s="1236" t="str">
        <f>VLOOKUP($B806,DG!A:D,DG!$D$2,)</f>
        <v>bộ</v>
      </c>
      <c r="G806" s="1915">
        <v>4</v>
      </c>
      <c r="H806" s="1245">
        <f t="shared" ca="1" si="154"/>
        <v>0</v>
      </c>
      <c r="I806" s="1245">
        <f t="shared" ca="1" si="155"/>
        <v>0</v>
      </c>
      <c r="J806" s="1245">
        <f t="shared" ca="1" si="155"/>
        <v>0</v>
      </c>
      <c r="K806" s="1245">
        <f t="shared" si="155"/>
        <v>0</v>
      </c>
      <c r="L806" s="1245">
        <f>L$803*$G806</f>
        <v>0</v>
      </c>
      <c r="M806" s="1245">
        <f t="shared" si="156"/>
        <v>0</v>
      </c>
      <c r="N806" s="1245">
        <f t="shared" si="156"/>
        <v>0</v>
      </c>
      <c r="O806" s="1245"/>
      <c r="P806" s="1245"/>
      <c r="Q806" s="1245"/>
      <c r="R806" s="1245"/>
      <c r="S806" s="1245"/>
      <c r="T806" s="1671"/>
      <c r="U806" s="1664" t="str">
        <f>IFERROR(VLOOKUP(B806,ChiTietDuToan!C:H,5,0),"")</f>
        <v>bộ</v>
      </c>
      <c r="V806" s="2309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59" t="s">
        <v>1661</v>
      </c>
      <c r="C807" s="1189" t="str">
        <f t="shared" ca="1" si="147"/>
        <v xml:space="preserve"> </v>
      </c>
      <c r="D807" s="1236"/>
      <c r="E807" s="1248" t="str">
        <f>VLOOKUP($B807,DG!A:D,DG!$C$2,)</f>
        <v>Boulon 16x250+ 2 long đền vuông D18-50x50x3/Zn</v>
      </c>
      <c r="F807" s="1236" t="str">
        <f>VLOOKUP($B807,DG!A:D,DG!$D$2,)</f>
        <v>bộ</v>
      </c>
      <c r="G807" s="1915">
        <v>1</v>
      </c>
      <c r="H807" s="1245">
        <f t="shared" ca="1" si="154"/>
        <v>0</v>
      </c>
      <c r="I807" s="1245">
        <f t="shared" ca="1" si="155"/>
        <v>0</v>
      </c>
      <c r="J807" s="1245">
        <f t="shared" ca="1" si="155"/>
        <v>0</v>
      </c>
      <c r="K807" s="1245">
        <f t="shared" si="155"/>
        <v>0</v>
      </c>
      <c r="L807" s="1245">
        <f>L$803*$G807</f>
        <v>0</v>
      </c>
      <c r="M807" s="1245">
        <f t="shared" si="156"/>
        <v>0</v>
      </c>
      <c r="N807" s="1245">
        <f t="shared" si="156"/>
        <v>0</v>
      </c>
      <c r="O807" s="1245"/>
      <c r="P807" s="1245"/>
      <c r="Q807" s="1245"/>
      <c r="R807" s="1245"/>
      <c r="S807" s="1245"/>
      <c r="T807" s="1671"/>
      <c r="U807" s="1664" t="str">
        <f>IFERROR(VLOOKUP(B807,ChiTietDuToan!C:H,5,0),"")</f>
        <v>bộ</v>
      </c>
      <c r="V807" s="2309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59" t="s">
        <v>1662</v>
      </c>
      <c r="C808" s="1189" t="str">
        <f t="shared" ca="1" si="147"/>
        <v xml:space="preserve"> </v>
      </c>
      <c r="D808" s="1236"/>
      <c r="E808" s="1248" t="str">
        <f>VLOOKUP($B808,DG!A:D,DG!$C$2,)</f>
        <v>Boulon 16x300+ 2 long đền vuông D18-50x50x3/Zn</v>
      </c>
      <c r="F808" s="1236" t="str">
        <f>VLOOKUP($B808,DG!A:D,DG!$D$2,)</f>
        <v>bộ</v>
      </c>
      <c r="G808" s="1915">
        <v>1</v>
      </c>
      <c r="H808" s="1245">
        <f t="shared" ca="1" si="154"/>
        <v>0</v>
      </c>
      <c r="I808" s="1245">
        <f t="shared" ca="1" si="156"/>
        <v>0</v>
      </c>
      <c r="J808" s="1245">
        <f t="shared" ca="1" si="156"/>
        <v>0</v>
      </c>
      <c r="K808" s="1245">
        <f t="shared" si="156"/>
        <v>0</v>
      </c>
      <c r="L808" s="1245">
        <f t="shared" si="156"/>
        <v>0</v>
      </c>
      <c r="M808" s="1245">
        <f t="shared" si="156"/>
        <v>0</v>
      </c>
      <c r="N808" s="1245">
        <f t="shared" si="156"/>
        <v>0</v>
      </c>
      <c r="O808" s="1245"/>
      <c r="P808" s="1245"/>
      <c r="Q808" s="1245"/>
      <c r="R808" s="1245"/>
      <c r="S808" s="1245"/>
      <c r="T808" s="1671"/>
      <c r="U808" s="1664" t="str">
        <f>IFERROR(VLOOKUP(B808,ChiTietDuToan!C:H,5,0),"")</f>
        <v>bộ</v>
      </c>
      <c r="V808" s="2309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59" t="s">
        <v>418</v>
      </c>
      <c r="C809" s="1189" t="str">
        <f t="shared" ca="1" si="147"/>
        <v xml:space="preserve"> </v>
      </c>
      <c r="D809" s="1236"/>
      <c r="E809" s="1248" t="str">
        <f>VLOOKUP($B809,DG!A:D,DG!$C$2,)</f>
        <v>Boulon 16x300VRS+ 4 long đền vuông D18-50x50x3/Zn</v>
      </c>
      <c r="F809" s="1236" t="str">
        <f>VLOOKUP($B809,DG!A:D,DG!$D$2,)</f>
        <v>bộ</v>
      </c>
      <c r="G809" s="1915">
        <v>2</v>
      </c>
      <c r="H809" s="1245">
        <f t="shared" ca="1" si="154"/>
        <v>0</v>
      </c>
      <c r="I809" s="1245">
        <f t="shared" ca="1" si="156"/>
        <v>0</v>
      </c>
      <c r="J809" s="1245">
        <f t="shared" ca="1" si="156"/>
        <v>0</v>
      </c>
      <c r="K809" s="1245">
        <f t="shared" si="156"/>
        <v>0</v>
      </c>
      <c r="L809" s="1245">
        <f t="shared" si="156"/>
        <v>0</v>
      </c>
      <c r="M809" s="1245">
        <f t="shared" si="156"/>
        <v>0</v>
      </c>
      <c r="N809" s="1245">
        <f t="shared" si="156"/>
        <v>0</v>
      </c>
      <c r="O809" s="1245"/>
      <c r="P809" s="1245"/>
      <c r="Q809" s="1245"/>
      <c r="R809" s="1245"/>
      <c r="S809" s="1245"/>
      <c r="T809" s="1671"/>
      <c r="U809" s="1664" t="str">
        <f>IFERROR(VLOOKUP(B809,ChiTietDuToan!C:H,5,0),"")</f>
        <v>bộ</v>
      </c>
      <c r="V809" s="2309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59" t="s">
        <v>2051</v>
      </c>
      <c r="C810" s="1189" t="str">
        <f t="shared" si="147"/>
        <v xml:space="preserve"> </v>
      </c>
      <c r="D810" s="1236" t="str">
        <f>VLOOKUP($B810,DG!A:D,DG!$B$2,)</f>
        <v>05.6202</v>
      </c>
      <c r="E810" s="1241" t="str">
        <f>VLOOKUP($B810,DG!A:D,DG!$C$2,)</f>
        <v>Lắp xà néo ≤ 50kg</v>
      </c>
      <c r="F810" s="1236" t="str">
        <f>VLOOKUP($B810,DG!A:D,DG!$D$2,)</f>
        <v>bộ</v>
      </c>
      <c r="G810" s="1915">
        <v>1</v>
      </c>
      <c r="H810" s="1250"/>
      <c r="I810" s="1250"/>
      <c r="J810" s="1250"/>
      <c r="K810" s="1250"/>
      <c r="L810" s="1250"/>
      <c r="M810" s="1250"/>
      <c r="N810" s="1250"/>
      <c r="O810" s="1250"/>
      <c r="P810" s="1250"/>
      <c r="Q810" s="1250"/>
      <c r="R810" s="1250"/>
      <c r="S810" s="1250"/>
      <c r="T810" s="1671"/>
      <c r="U810" s="1664" t="str">
        <f>IFERROR(VLOOKUP(B810,ChiTietDuToan!C:H,5,0),"")</f>
        <v>bộ</v>
      </c>
      <c r="V810" s="2309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59" t="s">
        <v>2049</v>
      </c>
      <c r="C811" s="1189" t="str">
        <f t="shared" si="147"/>
        <v xml:space="preserve"> </v>
      </c>
      <c r="D811" s="1236" t="str">
        <f>VLOOKUP($B811,DG!A:D,DG!$B$2,)</f>
        <v>02.1115</v>
      </c>
      <c r="E811" s="1241" t="str">
        <f>VLOOKUP($B811,DG!A:D,DG!$C$2,)</f>
        <v>Bốc dỡ xà, thép thanh</v>
      </c>
      <c r="F811" s="1236" t="str">
        <f>VLOOKUP($B811,DG!A:D,DG!$D$2,)</f>
        <v>tấn</v>
      </c>
      <c r="G811" s="1913"/>
      <c r="H811" s="1250"/>
      <c r="I811" s="1250"/>
      <c r="J811" s="1250"/>
      <c r="K811" s="1250"/>
      <c r="L811" s="1250"/>
      <c r="M811" s="1250"/>
      <c r="N811" s="1250"/>
      <c r="O811" s="1250"/>
      <c r="P811" s="1250"/>
      <c r="Q811" s="1250"/>
      <c r="R811" s="1250"/>
      <c r="S811" s="1250"/>
      <c r="T811" s="1671"/>
      <c r="U811" s="1664" t="str">
        <f>IFERROR(VLOOKUP(B811,ChiTietDuToan!C:H,5,0),"")</f>
        <v/>
      </c>
      <c r="V811" s="2309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74" t="s">
        <v>2050</v>
      </c>
      <c r="C812" s="1189" t="str">
        <f t="shared" si="147"/>
        <v xml:space="preserve"> </v>
      </c>
      <c r="D812" s="1236" t="str">
        <f>VLOOKUP($B812,DG!A:C,2,)</f>
        <v>02.1361</v>
      </c>
      <c r="E812" s="1241" t="str">
        <f>VLOOKUP($B812,DG!A:C,3,)</f>
        <v>V/c xà vào vị trí (cư ly &lt;=100m)</v>
      </c>
      <c r="F812" s="1236" t="str">
        <f>VLOOKUP($B812,DG!A:D,4,0)</f>
        <v>tấn</v>
      </c>
      <c r="G812" s="1913"/>
      <c r="H812" s="1250"/>
      <c r="I812" s="1250"/>
      <c r="J812" s="1250"/>
      <c r="K812" s="1250"/>
      <c r="L812" s="1250"/>
      <c r="M812" s="1250"/>
      <c r="N812" s="1250"/>
      <c r="O812" s="1250"/>
      <c r="P812" s="1250"/>
      <c r="Q812" s="1250"/>
      <c r="R812" s="1250"/>
      <c r="S812" s="1250"/>
      <c r="T812" s="1671"/>
      <c r="U812" s="1664" t="str">
        <f>IFERROR(VLOOKUP(B812,ChiTietDuToan!C:H,5,0),"")</f>
        <v/>
      </c>
      <c r="V812" s="2309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74" t="s">
        <v>640</v>
      </c>
      <c r="C813" s="1189" t="str">
        <f t="shared" si="147"/>
        <v xml:space="preserve"> </v>
      </c>
      <c r="D813" s="1236" t="str">
        <f>VLOOKUP($B813,DG!A:C,2,)</f>
        <v>02.1482</v>
      </c>
      <c r="E813" s="1241" t="str">
        <f>VLOOKUP($B813,DG!A:C,3,)</f>
        <v>V/c dụng cụ thi công vào vị trí (cự ly &lt;=100m)</v>
      </c>
      <c r="F813" s="1236" t="str">
        <f>VLOOKUP($B813,DG!A:D,4,0)</f>
        <v>tấn</v>
      </c>
      <c r="G813" s="1914"/>
      <c r="H813" s="1250"/>
      <c r="I813" s="1250"/>
      <c r="J813" s="1250"/>
      <c r="K813" s="1250"/>
      <c r="L813" s="1250"/>
      <c r="M813" s="1250"/>
      <c r="N813" s="1250"/>
      <c r="O813" s="1250"/>
      <c r="P813" s="1250"/>
      <c r="Q813" s="1250"/>
      <c r="R813" s="1250"/>
      <c r="S813" s="1250"/>
      <c r="T813" s="1671"/>
      <c r="U813" s="1664" t="str">
        <f>IFERROR(VLOOKUP(B813,ChiTietDuToan!C:H,5,0),"")</f>
        <v/>
      </c>
      <c r="V813" s="2309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53" t="s">
        <v>2357</v>
      </c>
      <c r="B814" s="1954" t="str">
        <f>A814</f>
        <v>X-22Đ</v>
      </c>
      <c r="C814" s="1189" t="str">
        <f t="shared" ca="1" si="147"/>
        <v xml:space="preserve"> </v>
      </c>
      <c r="D814" s="1237"/>
      <c r="E814" s="1666" t="s">
        <v>2483</v>
      </c>
      <c r="F814" s="1238" t="s">
        <v>2449</v>
      </c>
      <c r="G814" s="1912"/>
      <c r="H814" s="1523">
        <f ca="1">SUM(I814:O814)+T814</f>
        <v>0</v>
      </c>
      <c r="I814" s="1239">
        <f ca="1">SUMIF(xa3pm,chitiet!$A814,slxa3pm)</f>
        <v>0</v>
      </c>
      <c r="J814" s="1239">
        <f ca="1">SUMIF(xact,chitiet!$A814,slxact)</f>
        <v>0</v>
      </c>
      <c r="K814" s="1239">
        <f ca="1">SUMIF(xa3p1m,chitiet!$A814,slxa3p1m)</f>
        <v>0</v>
      </c>
      <c r="L814" s="1239">
        <f>IFERROR(HLOOKUP(A814,pp1p!$6:$90,85,0),0)</f>
        <v>0</v>
      </c>
      <c r="M814" s="1239"/>
      <c r="N814" s="1239"/>
      <c r="O814" s="1239"/>
      <c r="P814" s="1523">
        <f ca="1">H814+Q814-R814</f>
        <v>0</v>
      </c>
      <c r="Q814" s="1239"/>
      <c r="R814" s="1239"/>
      <c r="S814" s="1239"/>
      <c r="T814" s="1664"/>
      <c r="U814" s="1664" t="str">
        <f>IFERROR(VLOOKUP(B814,ChiTietDuToan!C:H,5,0),"")</f>
        <v/>
      </c>
      <c r="V814" s="2309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59" t="s">
        <v>110</v>
      </c>
      <c r="C815" s="1189" t="str">
        <f t="shared" ca="1" si="147"/>
        <v xml:space="preserve"> </v>
      </c>
      <c r="D815" s="1236"/>
      <c r="E815" s="1248" t="str">
        <f>VLOOKUP($B815,DG!A:D,DG!$C$2,)</f>
        <v>Sắt góc L75 x75 x8</v>
      </c>
      <c r="F815" s="1236" t="str">
        <f>VLOOKUP($B815,DG!A:D,DG!$D$2,)</f>
        <v>kg</v>
      </c>
      <c r="G815" s="1914">
        <f>9.02*(2.2+4*0.07)</f>
        <v>22.369600000000002</v>
      </c>
      <c r="H815" s="1249">
        <f ca="1">H$814*$G815</f>
        <v>0</v>
      </c>
      <c r="I815" s="1245">
        <f t="shared" ref="I815:N820" ca="1" si="157">I$814*$G815</f>
        <v>0</v>
      </c>
      <c r="J815" s="1245">
        <f t="shared" ca="1" si="157"/>
        <v>0</v>
      </c>
      <c r="K815" s="1245">
        <f t="shared" ca="1" si="157"/>
        <v>0</v>
      </c>
      <c r="L815" s="1245">
        <f t="shared" si="157"/>
        <v>0</v>
      </c>
      <c r="M815" s="1245">
        <f t="shared" si="157"/>
        <v>0</v>
      </c>
      <c r="N815" s="1245">
        <f t="shared" si="157"/>
        <v>0</v>
      </c>
      <c r="O815" s="1245"/>
      <c r="P815" s="1249">
        <f ca="1">$P$814*G815</f>
        <v>0</v>
      </c>
      <c r="Q815" s="1249">
        <f>$Q$814*G815</f>
        <v>0</v>
      </c>
      <c r="R815" s="1245"/>
      <c r="S815" s="1245"/>
      <c r="T815" s="1664"/>
      <c r="U815" s="1664" t="str">
        <f>IFERROR(VLOOKUP(B815,ChiTietDuToan!C:H,5,0),"")</f>
        <v/>
      </c>
      <c r="V815" s="2309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59" t="s">
        <v>460</v>
      </c>
      <c r="C816" s="1189" t="str">
        <f t="shared" ca="1" si="147"/>
        <v xml:space="preserve"> </v>
      </c>
      <c r="D816" s="1236"/>
      <c r="E816" s="1248" t="str">
        <f>VLOOKUP($B816,DG!A:D,DG!$C$2,)&amp;": thanh chống 810"</f>
        <v>Sắt góc L50 x50 x5: thanh chống 810</v>
      </c>
      <c r="F816" s="1236" t="str">
        <f>VLOOKUP($B816,DG!A:D,DG!$D$2,)</f>
        <v>kg</v>
      </c>
      <c r="G816" s="1914">
        <f>3.77*0.81*2</f>
        <v>6.1074000000000002</v>
      </c>
      <c r="H816" s="1245">
        <f ca="1">H$814*$G816</f>
        <v>0</v>
      </c>
      <c r="I816" s="1245">
        <f t="shared" ca="1" si="157"/>
        <v>0</v>
      </c>
      <c r="J816" s="1245">
        <f t="shared" ca="1" si="157"/>
        <v>0</v>
      </c>
      <c r="K816" s="1245">
        <f t="shared" ca="1" si="157"/>
        <v>0</v>
      </c>
      <c r="L816" s="1245">
        <f t="shared" si="157"/>
        <v>0</v>
      </c>
      <c r="M816" s="1245">
        <f t="shared" si="157"/>
        <v>0</v>
      </c>
      <c r="N816" s="1245">
        <f t="shared" si="157"/>
        <v>0</v>
      </c>
      <c r="O816" s="1245"/>
      <c r="P816" s="1245">
        <f ca="1">$P$814*G816</f>
        <v>0</v>
      </c>
      <c r="Q816" s="1245">
        <f>$Q$814*G816</f>
        <v>0</v>
      </c>
      <c r="R816" s="1245"/>
      <c r="S816" s="1245"/>
      <c r="T816" s="1664"/>
      <c r="U816" s="1664" t="str">
        <f>IFERROR(VLOOKUP(B816,ChiTietDuToan!C:H,5,0),"")</f>
        <v/>
      </c>
      <c r="V816" s="2309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59" t="s">
        <v>2484</v>
      </c>
      <c r="C817" s="1189" t="str">
        <f t="shared" si="147"/>
        <v xml:space="preserve"> </v>
      </c>
      <c r="D817" s="1236"/>
      <c r="E817" s="1248" t="str">
        <f>VLOOKUP($B817,DG!A:D,DG!$C$2,)&amp;": thanh chống 810"</f>
        <v>Cổ dê bắt xà + bulon: thanh chống 810</v>
      </c>
      <c r="F817" s="1236" t="str">
        <f>VLOOKUP($B817,DG!A:D,DG!$D$2,)</f>
        <v>bộ</v>
      </c>
      <c r="G817" s="1914"/>
      <c r="H817" s="1245"/>
      <c r="I817" s="1245"/>
      <c r="J817" s="1245"/>
      <c r="K817" s="1245"/>
      <c r="L817" s="1245"/>
      <c r="M817" s="1245"/>
      <c r="N817" s="1245"/>
      <c r="O817" s="1245"/>
      <c r="P817" s="1245"/>
      <c r="Q817" s="1245"/>
      <c r="R817" s="1245"/>
      <c r="S817" s="1245"/>
      <c r="T817" s="1671"/>
      <c r="U817" s="1664" t="str">
        <f>IFERROR(VLOOKUP(B817,ChiTietDuToan!C:H,5,0),"")</f>
        <v/>
      </c>
      <c r="V817" s="2309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59" t="s">
        <v>573</v>
      </c>
      <c r="C818" s="1189" t="str">
        <f t="shared" si="147"/>
        <v xml:space="preserve"> </v>
      </c>
      <c r="D818" s="1236"/>
      <c r="E818" s="1248" t="str">
        <f>VLOOKUP($B818,DG!A:D,DG!$C$2,)&amp;": thanh chống 810"</f>
        <v>Cổ dê chống lắc 8x80x800 : thanh chống 810</v>
      </c>
      <c r="F818" s="1236" t="str">
        <f>VLOOKUP($B818,DG!A:D,DG!$D$2,)</f>
        <v>bộ</v>
      </c>
      <c r="G818" s="1914"/>
      <c r="H818" s="1245"/>
      <c r="I818" s="1245"/>
      <c r="J818" s="1245"/>
      <c r="K818" s="1245"/>
      <c r="L818" s="1245"/>
      <c r="M818" s="1245"/>
      <c r="N818" s="1245"/>
      <c r="O818" s="1245"/>
      <c r="P818" s="1245"/>
      <c r="Q818" s="1245"/>
      <c r="R818" s="1245"/>
      <c r="S818" s="1245"/>
      <c r="T818" s="1671"/>
      <c r="U818" s="1664" t="str">
        <f>IFERROR(VLOOKUP(B818,ChiTietDuToan!C:H,5,0),"")</f>
        <v/>
      </c>
      <c r="V818" s="2309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59" t="s">
        <v>1661</v>
      </c>
      <c r="C819" s="1189" t="str">
        <f t="shared" ca="1" si="147"/>
        <v xml:space="preserve"> </v>
      </c>
      <c r="D819" s="1236"/>
      <c r="E819" s="1248" t="str">
        <f>VLOOKUP($B819,DG!A:D,DG!$C$2,)</f>
        <v>Boulon 16x250+ 2 long đền vuông D18-50x50x3/Zn</v>
      </c>
      <c r="F819" s="1236" t="str">
        <f>VLOOKUP($B819,DG!A:D,DG!$D$2,)</f>
        <v>bộ</v>
      </c>
      <c r="G819" s="1915">
        <v>2</v>
      </c>
      <c r="H819" s="1245">
        <f ca="1">H$814*$G819</f>
        <v>0</v>
      </c>
      <c r="I819" s="1245">
        <f t="shared" ca="1" si="157"/>
        <v>0</v>
      </c>
      <c r="J819" s="1245">
        <f t="shared" ca="1" si="157"/>
        <v>0</v>
      </c>
      <c r="K819" s="1245">
        <f t="shared" ca="1" si="157"/>
        <v>0</v>
      </c>
      <c r="L819" s="1245">
        <f t="shared" si="157"/>
        <v>0</v>
      </c>
      <c r="M819" s="1245">
        <f t="shared" si="157"/>
        <v>0</v>
      </c>
      <c r="N819" s="1245">
        <f t="shared" si="157"/>
        <v>0</v>
      </c>
      <c r="O819" s="1245"/>
      <c r="P819" s="1245">
        <f ca="1">$P$814*G819</f>
        <v>0</v>
      </c>
      <c r="Q819" s="1245">
        <f>$Q$814*G819</f>
        <v>0</v>
      </c>
      <c r="R819" s="1245"/>
      <c r="S819" s="1245"/>
      <c r="T819" s="1664"/>
      <c r="U819" s="1664" t="str">
        <f>IFERROR(VLOOKUP(B819,ChiTietDuToan!C:H,5,0),"")</f>
        <v>bộ</v>
      </c>
      <c r="V819" s="2309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59" t="s">
        <v>1839</v>
      </c>
      <c r="C820" s="1189" t="str">
        <f t="shared" ca="1" si="147"/>
        <v xml:space="preserve"> </v>
      </c>
      <c r="D820" s="1236"/>
      <c r="E820" s="1248" t="str">
        <f>VLOOKUP($B820,DG!A:D,DG!$C$2,)</f>
        <v>Boulon 16x50+ 2 long đền vuông D18-50x50x3/Zn</v>
      </c>
      <c r="F820" s="1236" t="str">
        <f>VLOOKUP($B820,DG!A:D,DG!$D$2,)</f>
        <v>bộ</v>
      </c>
      <c r="G820" s="1915">
        <v>2</v>
      </c>
      <c r="H820" s="1245">
        <f ca="1">H$814*$G820</f>
        <v>0</v>
      </c>
      <c r="I820" s="1245">
        <f t="shared" ca="1" si="157"/>
        <v>0</v>
      </c>
      <c r="J820" s="1245">
        <f t="shared" ca="1" si="157"/>
        <v>0</v>
      </c>
      <c r="K820" s="1245">
        <f t="shared" ca="1" si="157"/>
        <v>0</v>
      </c>
      <c r="L820" s="1245">
        <f t="shared" si="157"/>
        <v>0</v>
      </c>
      <c r="M820" s="1245">
        <f t="shared" si="157"/>
        <v>0</v>
      </c>
      <c r="N820" s="1245">
        <f t="shared" si="157"/>
        <v>0</v>
      </c>
      <c r="O820" s="1245"/>
      <c r="P820" s="1245">
        <f ca="1">$P$814*G820</f>
        <v>0</v>
      </c>
      <c r="Q820" s="1245">
        <f>$Q$814*G820</f>
        <v>0</v>
      </c>
      <c r="R820" s="1245"/>
      <c r="S820" s="1245"/>
      <c r="T820" s="1664"/>
      <c r="U820" s="1664" t="str">
        <f>IFERROR(VLOOKUP(B820,ChiTietDuToan!C:H,5,0),"")</f>
        <v>bộ</v>
      </c>
      <c r="V820" s="2309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59" t="s">
        <v>519</v>
      </c>
      <c r="C821" s="1189" t="str">
        <f t="shared" ca="1" si="147"/>
        <v xml:space="preserve"> </v>
      </c>
      <c r="D821" s="1252" t="str">
        <f>VLOOKUP($B821,DG!A:D,DG!$B$2,)</f>
        <v>05.6102</v>
      </c>
      <c r="E821" s="1241" t="str">
        <f>VLOOKUP($B821,DG!A:D,DG!$C$2,)</f>
        <v>Lắp xà đỡ ≤ 50kg</v>
      </c>
      <c r="F821" s="1236" t="str">
        <f>VLOOKUP($B821,DG!A:D,DG!$D$2,)</f>
        <v>bộ</v>
      </c>
      <c r="G821" s="1915">
        <v>1</v>
      </c>
      <c r="H821" s="1245">
        <f ca="1">H$814*$G821</f>
        <v>0</v>
      </c>
      <c r="I821" s="1250"/>
      <c r="J821" s="1250"/>
      <c r="K821" s="1250"/>
      <c r="L821" s="1250"/>
      <c r="M821" s="1250"/>
      <c r="N821" s="1250"/>
      <c r="O821" s="1250"/>
      <c r="P821" s="1245">
        <f ca="1">$P$814*G821</f>
        <v>0</v>
      </c>
      <c r="Q821" s="1245">
        <f>$Q$814*G821</f>
        <v>0</v>
      </c>
      <c r="R821" s="1250"/>
      <c r="S821" s="1250"/>
      <c r="T821" s="1664"/>
      <c r="U821" s="1664" t="str">
        <f>IFERROR(VLOOKUP(B821,ChiTietDuToan!C:H,5,0),"")</f>
        <v/>
      </c>
      <c r="V821" s="2309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59" t="s">
        <v>2049</v>
      </c>
      <c r="C822" s="1189" t="str">
        <f t="shared" si="147"/>
        <v xml:space="preserve"> </v>
      </c>
      <c r="D822" s="1236" t="str">
        <f>VLOOKUP($B822,DG!A:D,DG!$B$2,)</f>
        <v>02.1115</v>
      </c>
      <c r="E822" s="1241" t="str">
        <f>VLOOKUP($B822,DG!A:D,DG!$C$2,)</f>
        <v>Bốc dỡ xà, thép thanh</v>
      </c>
      <c r="F822" s="1236" t="str">
        <f>VLOOKUP($B822,DG!A:D,DG!$D$2,)</f>
        <v>tấn</v>
      </c>
      <c r="G822" s="1913">
        <f>G823</f>
        <v>0</v>
      </c>
      <c r="H822" s="1250"/>
      <c r="I822" s="1250"/>
      <c r="J822" s="1250"/>
      <c r="K822" s="1250"/>
      <c r="L822" s="1250"/>
      <c r="M822" s="1250"/>
      <c r="N822" s="1250"/>
      <c r="O822" s="1250"/>
      <c r="P822" s="1250"/>
      <c r="Q822" s="1250"/>
      <c r="R822" s="1250"/>
      <c r="S822" s="1250"/>
      <c r="T822" s="1671"/>
      <c r="U822" s="1664" t="str">
        <f>IFERROR(VLOOKUP(B822,ChiTietDuToan!C:H,5,0),"")</f>
        <v/>
      </c>
      <c r="V822" s="2309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74" t="s">
        <v>2050</v>
      </c>
      <c r="C823" s="1189" t="str">
        <f t="shared" si="147"/>
        <v xml:space="preserve"> </v>
      </c>
      <c r="D823" s="1236" t="str">
        <f>VLOOKUP($B823,DG!A:C,2,)</f>
        <v>02.1361</v>
      </c>
      <c r="E823" s="1241" t="str">
        <f>VLOOKUP($B823,DG!A:C,3,)</f>
        <v>V/c xà vào vị trí (cư ly &lt;=100m)</v>
      </c>
      <c r="F823" s="1236" t="str">
        <f>VLOOKUP($B823,DG!A:D,4,0)</f>
        <v>tấn</v>
      </c>
      <c r="G823" s="1913">
        <f>ROUND(SUM(G815:G816)*1.05/1000,3)*0</f>
        <v>0</v>
      </c>
      <c r="H823" s="1250"/>
      <c r="I823" s="1250"/>
      <c r="J823" s="1250"/>
      <c r="K823" s="1250"/>
      <c r="L823" s="1250"/>
      <c r="M823" s="1250"/>
      <c r="N823" s="1250"/>
      <c r="O823" s="1250"/>
      <c r="P823" s="1250"/>
      <c r="Q823" s="1250"/>
      <c r="R823" s="1250"/>
      <c r="S823" s="1250"/>
      <c r="T823" s="1671"/>
      <c r="U823" s="1664" t="str">
        <f>IFERROR(VLOOKUP(B823,ChiTietDuToan!C:H,5,0),"")</f>
        <v/>
      </c>
      <c r="V823" s="2309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74" t="s">
        <v>640</v>
      </c>
      <c r="C824" s="1189" t="str">
        <f t="shared" si="147"/>
        <v xml:space="preserve"> </v>
      </c>
      <c r="D824" s="1236" t="str">
        <f>VLOOKUP($B824,DG!A:C,2,)</f>
        <v>02.1482</v>
      </c>
      <c r="E824" s="1241" t="str">
        <f>VLOOKUP($B824,DG!A:C,3,)</f>
        <v>V/c dụng cụ thi công vào vị trí (cự ly &lt;=100m)</v>
      </c>
      <c r="F824" s="1236" t="str">
        <f>VLOOKUP($B824,DG!A:D,4,0)</f>
        <v>tấn</v>
      </c>
      <c r="G824" s="1914">
        <f>0.05*0</f>
        <v>0</v>
      </c>
      <c r="H824" s="1250"/>
      <c r="I824" s="1250"/>
      <c r="J824" s="1250"/>
      <c r="K824" s="1250"/>
      <c r="L824" s="1250"/>
      <c r="M824" s="1250"/>
      <c r="N824" s="1250"/>
      <c r="O824" s="1250"/>
      <c r="P824" s="1250"/>
      <c r="Q824" s="1250"/>
      <c r="R824" s="1250"/>
      <c r="S824" s="1250"/>
      <c r="T824" s="1671"/>
      <c r="U824" s="1664" t="str">
        <f>IFERROR(VLOOKUP(B824,ChiTietDuToan!C:H,5,0),"")</f>
        <v/>
      </c>
      <c r="V824" s="2309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56"/>
      <c r="C825" s="1189" t="str">
        <f t="shared" ca="1" si="147"/>
        <v xml:space="preserve"> </v>
      </c>
      <c r="D825" s="1237"/>
      <c r="E825" s="1666" t="s">
        <v>2485</v>
      </c>
      <c r="F825" s="1238" t="s">
        <v>2449</v>
      </c>
      <c r="G825" s="1912"/>
      <c r="H825" s="1523">
        <f ca="1">SUM(I825:O825)+T825</f>
        <v>0</v>
      </c>
      <c r="I825" s="1239">
        <f ca="1">SUMIF(xa3pm,chitiet!$A825,slxa3pm)</f>
        <v>0</v>
      </c>
      <c r="J825" s="1239">
        <f ca="1">SUMIF(xact,chitiet!$A825,slxact)</f>
        <v>0</v>
      </c>
      <c r="K825" s="1239">
        <f ca="1">SUMIF(xa3p1m,chitiet!$A825,slxa3p1m)*0</f>
        <v>0</v>
      </c>
      <c r="L825" s="1239">
        <f>IFERROR(HLOOKUP(A825,pp1p!$6:$90,85,0),0)</f>
        <v>0</v>
      </c>
      <c r="M825" s="1239"/>
      <c r="N825" s="1239"/>
      <c r="O825" s="1239"/>
      <c r="P825" s="1239">
        <f ca="1">H825+Q825-R825</f>
        <v>0</v>
      </c>
      <c r="Q825" s="1239"/>
      <c r="R825" s="1239"/>
      <c r="S825" s="1239"/>
      <c r="T825" s="1671"/>
      <c r="U825" s="1664">
        <f>IFERROR(VLOOKUP(B825,ChiTietDuToan!C:H,5,0),"")</f>
        <v>0</v>
      </c>
      <c r="V825" s="2309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59" t="s">
        <v>110</v>
      </c>
      <c r="C826" s="1189" t="str">
        <f t="shared" ca="1" si="147"/>
        <v xml:space="preserve"> </v>
      </c>
      <c r="D826" s="1236"/>
      <c r="E826" s="1248" t="str">
        <f>VLOOKUP($B826,DG!A:D,DG!$C$2,)</f>
        <v>Sắt góc L75 x75 x8</v>
      </c>
      <c r="F826" s="1236" t="str">
        <f>VLOOKUP($B826,DG!A:D,DG!$D$2,)</f>
        <v>kg</v>
      </c>
      <c r="G826" s="1914">
        <f>9.02*(2.2+4*0.07)</f>
        <v>22.369600000000002</v>
      </c>
      <c r="H826" s="1245">
        <f ca="1">$H$825*$G826</f>
        <v>0</v>
      </c>
      <c r="I826" s="1245">
        <f ca="1">$I$825*$G826</f>
        <v>0</v>
      </c>
      <c r="J826" s="1245">
        <f t="shared" ref="J826:N829" ca="1" si="158">J$814*$G826</f>
        <v>0</v>
      </c>
      <c r="K826" s="1245">
        <f t="shared" ca="1" si="158"/>
        <v>0</v>
      </c>
      <c r="L826" s="1245">
        <f t="shared" si="158"/>
        <v>0</v>
      </c>
      <c r="M826" s="1245">
        <f t="shared" si="158"/>
        <v>0</v>
      </c>
      <c r="N826" s="1245">
        <f t="shared" si="158"/>
        <v>0</v>
      </c>
      <c r="O826" s="1245"/>
      <c r="P826" s="1245"/>
      <c r="Q826" s="1245"/>
      <c r="R826" s="1245"/>
      <c r="S826" s="1245"/>
      <c r="T826" s="1671"/>
      <c r="U826" s="1664" t="str">
        <f>IFERROR(VLOOKUP(B826,ChiTietDuToan!C:H,5,0),"")</f>
        <v/>
      </c>
      <c r="V826" s="2309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59" t="s">
        <v>460</v>
      </c>
      <c r="C827" s="1189" t="str">
        <f t="shared" ca="1" si="147"/>
        <v xml:space="preserve"> </v>
      </c>
      <c r="D827" s="1236"/>
      <c r="E827" s="1248" t="str">
        <f>VLOOKUP($B827,DG!A:D,DG!$C$2,)&amp;" thanh chống 920"</f>
        <v>Sắt góc L50 x50 x5 thanh chống 920</v>
      </c>
      <c r="F827" s="1236" t="str">
        <f>VLOOKUP($B827,DG!A:D,DG!$D$2,)</f>
        <v>kg</v>
      </c>
      <c r="G827" s="1914">
        <f>3.77*0.92*2</f>
        <v>6.9368000000000007</v>
      </c>
      <c r="H827" s="1245">
        <f t="shared" ref="H827:H833" ca="1" si="159">$H$825*$G827</f>
        <v>0</v>
      </c>
      <c r="I827" s="1245">
        <f t="shared" ref="I827:I833" ca="1" si="160">$I$825*$G827</f>
        <v>0</v>
      </c>
      <c r="J827" s="1245">
        <f t="shared" ca="1" si="158"/>
        <v>0</v>
      </c>
      <c r="K827" s="1245">
        <f t="shared" ca="1" si="158"/>
        <v>0</v>
      </c>
      <c r="L827" s="1245">
        <f t="shared" si="158"/>
        <v>0</v>
      </c>
      <c r="M827" s="1245">
        <f t="shared" si="158"/>
        <v>0</v>
      </c>
      <c r="N827" s="1245">
        <f t="shared" si="158"/>
        <v>0</v>
      </c>
      <c r="O827" s="1245"/>
      <c r="P827" s="1245"/>
      <c r="Q827" s="1245"/>
      <c r="R827" s="1245"/>
      <c r="S827" s="1245"/>
      <c r="T827" s="1671"/>
      <c r="U827" s="1664" t="str">
        <f>IFERROR(VLOOKUP(B827,ChiTietDuToan!C:H,5,0),"")</f>
        <v/>
      </c>
      <c r="V827" s="2309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59" t="s">
        <v>1661</v>
      </c>
      <c r="C828" s="1189" t="str">
        <f t="shared" ca="1" si="147"/>
        <v xml:space="preserve"> </v>
      </c>
      <c r="D828" s="1236"/>
      <c r="E828" s="1248" t="str">
        <f>VLOOKUP($B828,DG!A:D,DG!$C$2,)</f>
        <v>Boulon 16x250+ 2 long đền vuông D18-50x50x3/Zn</v>
      </c>
      <c r="F828" s="1236" t="str">
        <f>VLOOKUP($B828,DG!A:D,DG!$D$2,)</f>
        <v>bộ</v>
      </c>
      <c r="G828" s="1915">
        <v>2</v>
      </c>
      <c r="H828" s="1245">
        <f t="shared" ca="1" si="159"/>
        <v>0</v>
      </c>
      <c r="I828" s="1245">
        <f t="shared" ca="1" si="160"/>
        <v>0</v>
      </c>
      <c r="J828" s="1245">
        <f t="shared" ca="1" si="158"/>
        <v>0</v>
      </c>
      <c r="K828" s="1245">
        <f t="shared" ca="1" si="158"/>
        <v>0</v>
      </c>
      <c r="L828" s="1245">
        <f t="shared" si="158"/>
        <v>0</v>
      </c>
      <c r="M828" s="1245">
        <f t="shared" si="158"/>
        <v>0</v>
      </c>
      <c r="N828" s="1245">
        <f t="shared" si="158"/>
        <v>0</v>
      </c>
      <c r="O828" s="1245"/>
      <c r="P828" s="1245"/>
      <c r="Q828" s="1245"/>
      <c r="R828" s="1245"/>
      <c r="S828" s="1245"/>
      <c r="T828" s="1671"/>
      <c r="U828" s="1664" t="str">
        <f>IFERROR(VLOOKUP(B828,ChiTietDuToan!C:H,5,0),"")</f>
        <v>bộ</v>
      </c>
      <c r="V828" s="2309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59" t="s">
        <v>1839</v>
      </c>
      <c r="C829" s="1189" t="str">
        <f t="shared" ca="1" si="147"/>
        <v xml:space="preserve"> </v>
      </c>
      <c r="D829" s="1236"/>
      <c r="E829" s="1248" t="str">
        <f>VLOOKUP($B829,DG!A:D,DG!$C$2,)</f>
        <v>Boulon 16x50+ 2 long đền vuông D18-50x50x3/Zn</v>
      </c>
      <c r="F829" s="1236" t="str">
        <f>VLOOKUP($B829,DG!A:D,DG!$D$2,)</f>
        <v>bộ</v>
      </c>
      <c r="G829" s="1915">
        <v>2</v>
      </c>
      <c r="H829" s="1245">
        <f t="shared" ca="1" si="159"/>
        <v>0</v>
      </c>
      <c r="I829" s="1245">
        <f t="shared" ca="1" si="160"/>
        <v>0</v>
      </c>
      <c r="J829" s="1245">
        <f t="shared" ca="1" si="158"/>
        <v>0</v>
      </c>
      <c r="K829" s="1245">
        <f t="shared" ca="1" si="158"/>
        <v>0</v>
      </c>
      <c r="L829" s="1245">
        <f t="shared" si="158"/>
        <v>0</v>
      </c>
      <c r="M829" s="1245">
        <f t="shared" si="158"/>
        <v>0</v>
      </c>
      <c r="N829" s="1245">
        <f t="shared" si="158"/>
        <v>0</v>
      </c>
      <c r="O829" s="1245"/>
      <c r="P829" s="1245"/>
      <c r="Q829" s="1245"/>
      <c r="R829" s="1245"/>
      <c r="S829" s="1245"/>
      <c r="T829" s="1671"/>
      <c r="U829" s="1664" t="str">
        <f>IFERROR(VLOOKUP(B829,ChiTietDuToan!C:H,5,0),"")</f>
        <v>bộ</v>
      </c>
      <c r="V829" s="2309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59" t="s">
        <v>519</v>
      </c>
      <c r="C830" s="1189" t="str">
        <f t="shared" ca="1" si="147"/>
        <v xml:space="preserve"> </v>
      </c>
      <c r="D830" s="1236" t="str">
        <f>VLOOKUP($B830,DG!A:D,DG!$B$2,)</f>
        <v>05.6102</v>
      </c>
      <c r="E830" s="1241" t="str">
        <f>VLOOKUP($B830,DG!A:D,DG!$C$2,)</f>
        <v>Lắp xà đỡ ≤ 50kg</v>
      </c>
      <c r="F830" s="1236" t="str">
        <f>VLOOKUP($B830,DG!A:D,DG!$D$2,)</f>
        <v>bộ</v>
      </c>
      <c r="G830" s="1915">
        <v>1</v>
      </c>
      <c r="H830" s="1245">
        <f t="shared" ca="1" si="159"/>
        <v>0</v>
      </c>
      <c r="I830" s="1245">
        <f t="shared" ca="1" si="160"/>
        <v>0</v>
      </c>
      <c r="J830" s="1250"/>
      <c r="K830" s="1250"/>
      <c r="L830" s="1250"/>
      <c r="M830" s="1250"/>
      <c r="N830" s="1250"/>
      <c r="O830" s="1250"/>
      <c r="P830" s="1250"/>
      <c r="Q830" s="1250"/>
      <c r="R830" s="1250"/>
      <c r="S830" s="1250"/>
      <c r="T830" s="1671"/>
      <c r="U830" s="1664" t="str">
        <f>IFERROR(VLOOKUP(B830,ChiTietDuToan!C:H,5,0),"")</f>
        <v/>
      </c>
      <c r="V830" s="2309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59" t="s">
        <v>2049</v>
      </c>
      <c r="C831" s="1189" t="str">
        <f t="shared" ca="1" si="147"/>
        <v xml:space="preserve"> </v>
      </c>
      <c r="D831" s="1236" t="str">
        <f>VLOOKUP($B831,DG!A:D,DG!$B$2,)</f>
        <v>02.1115</v>
      </c>
      <c r="E831" s="1241" t="str">
        <f>VLOOKUP($B831,DG!A:D,DG!$C$2,)</f>
        <v>Bốc dỡ xà, thép thanh</v>
      </c>
      <c r="F831" s="1236" t="str">
        <f>VLOOKUP($B831,DG!A:D,DG!$D$2,)</f>
        <v>tấn</v>
      </c>
      <c r="G831" s="1913">
        <f>G832</f>
        <v>0</v>
      </c>
      <c r="H831" s="1245">
        <f ca="1">$H$825*$G831</f>
        <v>0</v>
      </c>
      <c r="I831" s="1245">
        <f t="shared" ca="1" si="160"/>
        <v>0</v>
      </c>
      <c r="J831" s="1250"/>
      <c r="K831" s="1250"/>
      <c r="L831" s="1250"/>
      <c r="M831" s="1250"/>
      <c r="N831" s="1250"/>
      <c r="O831" s="1250"/>
      <c r="P831" s="1250"/>
      <c r="Q831" s="1250"/>
      <c r="R831" s="1250"/>
      <c r="S831" s="1250"/>
      <c r="T831" s="1671"/>
      <c r="U831" s="1664" t="str">
        <f>IFERROR(VLOOKUP(B831,ChiTietDuToan!C:H,5,0),"")</f>
        <v/>
      </c>
      <c r="V831" s="2309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74" t="s">
        <v>2050</v>
      </c>
      <c r="C832" s="1189" t="str">
        <f t="shared" ca="1" si="147"/>
        <v xml:space="preserve"> </v>
      </c>
      <c r="D832" s="1236" t="str">
        <f>VLOOKUP($B832,DG!A:C,2,)</f>
        <v>02.1361</v>
      </c>
      <c r="E832" s="1241" t="str">
        <f>VLOOKUP($B832,DG!A:C,3,)</f>
        <v>V/c xà vào vị trí (cư ly &lt;=100m)</v>
      </c>
      <c r="F832" s="1236" t="str">
        <f>VLOOKUP($B832,DG!A:D,4,0)</f>
        <v>tấn</v>
      </c>
      <c r="G832" s="1913">
        <f>ROUND(SUM(G826:G827)*1.05/1000,3)*0</f>
        <v>0</v>
      </c>
      <c r="H832" s="1245">
        <f t="shared" ca="1" si="159"/>
        <v>0</v>
      </c>
      <c r="I832" s="1245">
        <f t="shared" ca="1" si="160"/>
        <v>0</v>
      </c>
      <c r="J832" s="1250"/>
      <c r="K832" s="1250"/>
      <c r="L832" s="1250"/>
      <c r="M832" s="1250"/>
      <c r="N832" s="1250"/>
      <c r="O832" s="1250"/>
      <c r="P832" s="1250"/>
      <c r="Q832" s="1250"/>
      <c r="R832" s="1250"/>
      <c r="S832" s="1250"/>
      <c r="T832" s="1671"/>
      <c r="U832" s="1664" t="str">
        <f>IFERROR(VLOOKUP(B832,ChiTietDuToan!C:H,5,0),"")</f>
        <v/>
      </c>
      <c r="V832" s="2309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74" t="s">
        <v>640</v>
      </c>
      <c r="C833" s="1189" t="str">
        <f t="shared" ca="1" si="147"/>
        <v xml:space="preserve"> </v>
      </c>
      <c r="D833" s="1236" t="str">
        <f>VLOOKUP($B833,DG!A:C,2,)</f>
        <v>02.1482</v>
      </c>
      <c r="E833" s="1241" t="str">
        <f>VLOOKUP($B833,DG!A:C,3,)</f>
        <v>V/c dụng cụ thi công vào vị trí (cự ly &lt;=100m)</v>
      </c>
      <c r="F833" s="1236" t="str">
        <f>VLOOKUP($B833,DG!A:D,4,0)</f>
        <v>tấn</v>
      </c>
      <c r="G833" s="1914">
        <f>0.05*0</f>
        <v>0</v>
      </c>
      <c r="H833" s="1245">
        <f t="shared" ca="1" si="159"/>
        <v>0</v>
      </c>
      <c r="I833" s="1245">
        <f t="shared" ca="1" si="160"/>
        <v>0</v>
      </c>
      <c r="J833" s="1250"/>
      <c r="K833" s="1250"/>
      <c r="L833" s="1250"/>
      <c r="M833" s="1250"/>
      <c r="N833" s="1250"/>
      <c r="O833" s="1250"/>
      <c r="P833" s="1250"/>
      <c r="Q833" s="1250"/>
      <c r="R833" s="1250"/>
      <c r="S833" s="1250"/>
      <c r="T833" s="1671"/>
      <c r="U833" s="1664" t="str">
        <f>IFERROR(VLOOKUP(B833,ChiTietDuToan!C:H,5,0),"")</f>
        <v/>
      </c>
      <c r="V833" s="2309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56"/>
      <c r="C834" s="1189" t="str">
        <f t="shared" ca="1" si="147"/>
        <v xml:space="preserve"> </v>
      </c>
      <c r="D834" s="1237"/>
      <c r="E834" s="1666" t="s">
        <v>2486</v>
      </c>
      <c r="F834" s="1238" t="s">
        <v>2449</v>
      </c>
      <c r="G834" s="1912"/>
      <c r="H834" s="1523">
        <f ca="1">SUM(I834:O834)+T834</f>
        <v>0</v>
      </c>
      <c r="I834" s="1239">
        <f ca="1">SUMIF(xa3pm,chitiet!$A834,slxa3pm)</f>
        <v>0</v>
      </c>
      <c r="J834" s="1239">
        <f ca="1">SUMIF(xact,chitiet!$A834,slxact)</f>
        <v>0</v>
      </c>
      <c r="K834" s="1239"/>
      <c r="L834" s="1239">
        <f>IFERROR(HLOOKUP(A834,pp1p!$6:$90,85,0),0)</f>
        <v>0</v>
      </c>
      <c r="M834" s="1239"/>
      <c r="N834" s="1239"/>
      <c r="O834" s="1239"/>
      <c r="P834" s="1239">
        <f ca="1">H834+Q834-R834</f>
        <v>0</v>
      </c>
      <c r="Q834" s="1239"/>
      <c r="R834" s="1239"/>
      <c r="S834" s="1239"/>
      <c r="T834" s="1671"/>
      <c r="U834" s="1664">
        <f>IFERROR(VLOOKUP(B834,ChiTietDuToan!C:H,5,0),"")</f>
        <v>0</v>
      </c>
      <c r="V834" s="2309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78" t="s">
        <v>1932</v>
      </c>
      <c r="C835" s="1189" t="str">
        <f t="shared" si="147"/>
        <v xml:space="preserve"> </v>
      </c>
      <c r="D835" s="1236"/>
      <c r="E835" s="1241" t="str">
        <f>VLOOKUP($B835,DG!A:D,DG!$C$2,)</f>
        <v>Lắp xà trụ ghép ≤ 140kg</v>
      </c>
      <c r="F835" s="1236" t="str">
        <f>VLOOKUP($B835,DG!A:D,DG!$D$2,)</f>
        <v>bộ</v>
      </c>
      <c r="G835" s="1914">
        <v>1</v>
      </c>
      <c r="H835" s="1245">
        <f>$H$8352*$G835</f>
        <v>0</v>
      </c>
      <c r="I835" s="1245">
        <f t="shared" ref="I835:K836" ca="1" si="161">I$834*$G835</f>
        <v>0</v>
      </c>
      <c r="J835" s="1245">
        <f t="shared" ca="1" si="161"/>
        <v>0</v>
      </c>
      <c r="K835" s="1245">
        <f t="shared" si="161"/>
        <v>0</v>
      </c>
      <c r="L835" s="1245">
        <f t="shared" ref="L835:N836" si="162">L$834*$G835</f>
        <v>0</v>
      </c>
      <c r="M835" s="1245">
        <f t="shared" si="162"/>
        <v>0</v>
      </c>
      <c r="N835" s="1245">
        <f t="shared" si="162"/>
        <v>0</v>
      </c>
      <c r="O835" s="1245"/>
      <c r="P835" s="1245"/>
      <c r="Q835" s="1245"/>
      <c r="R835" s="1245"/>
      <c r="S835" s="1245"/>
      <c r="T835" s="1671"/>
      <c r="U835" s="1664" t="str">
        <f>IFERROR(VLOOKUP(B835,ChiTietDuToan!C:H,5,0),"")</f>
        <v/>
      </c>
      <c r="V835" s="2309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59" t="s">
        <v>2049</v>
      </c>
      <c r="C836" s="1189" t="str">
        <f t="shared" si="147"/>
        <v xml:space="preserve"> </v>
      </c>
      <c r="D836" s="1236"/>
      <c r="E836" s="1241" t="str">
        <f>VLOOKUP($B836,DG!A:D,DG!$C$2,)</f>
        <v>Bốc dỡ xà, thép thanh</v>
      </c>
      <c r="F836" s="1236" t="str">
        <f>VLOOKUP($B836,DG!A:D,DG!$D$2,)</f>
        <v>tấn</v>
      </c>
      <c r="G836" s="1914">
        <f>G837</f>
        <v>0.06</v>
      </c>
      <c r="H836" s="1245">
        <f>$H$8352*$G836</f>
        <v>0</v>
      </c>
      <c r="I836" s="1245">
        <f t="shared" ca="1" si="161"/>
        <v>0</v>
      </c>
      <c r="J836" s="1245">
        <f t="shared" ca="1" si="161"/>
        <v>0</v>
      </c>
      <c r="K836" s="1245">
        <f t="shared" si="161"/>
        <v>0</v>
      </c>
      <c r="L836" s="1245">
        <f t="shared" si="162"/>
        <v>0</v>
      </c>
      <c r="M836" s="1245">
        <f t="shared" si="162"/>
        <v>0</v>
      </c>
      <c r="N836" s="1245">
        <f t="shared" si="162"/>
        <v>0</v>
      </c>
      <c r="O836" s="1245"/>
      <c r="P836" s="1245"/>
      <c r="Q836" s="1245"/>
      <c r="R836" s="1245"/>
      <c r="S836" s="1245"/>
      <c r="T836" s="1671"/>
      <c r="U836" s="1664" t="str">
        <f>IFERROR(VLOOKUP(B836,ChiTietDuToan!C:H,5,0),"")</f>
        <v/>
      </c>
      <c r="V836" s="2309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74" t="s">
        <v>2050</v>
      </c>
      <c r="C837" s="1189" t="str">
        <f t="shared" si="147"/>
        <v xml:space="preserve"> </v>
      </c>
      <c r="D837" s="1236" t="str">
        <f>VLOOKUP($B837,DG!A:C,2,)</f>
        <v>02.1361</v>
      </c>
      <c r="E837" s="1241" t="str">
        <f>VLOOKUP($B837,DG!A:C,3,)</f>
        <v>V/c xà vào vị trí (cư ly &lt;=100m)</v>
      </c>
      <c r="F837" s="1236" t="str">
        <f>VLOOKUP($B837,DG!A:D,4,0)</f>
        <v>tấn</v>
      </c>
      <c r="G837" s="1913">
        <v>0.06</v>
      </c>
      <c r="H837" s="1245">
        <f>$H$8352*$G837</f>
        <v>0</v>
      </c>
      <c r="I837" s="1250"/>
      <c r="J837" s="1250"/>
      <c r="K837" s="1250"/>
      <c r="L837" s="1250"/>
      <c r="M837" s="1250"/>
      <c r="N837" s="1250"/>
      <c r="O837" s="1250"/>
      <c r="P837" s="1250"/>
      <c r="Q837" s="1250"/>
      <c r="R837" s="1250"/>
      <c r="S837" s="1250"/>
      <c r="T837" s="1671"/>
      <c r="U837" s="1664" t="str">
        <f>IFERROR(VLOOKUP(B837,ChiTietDuToan!C:H,5,0),"")</f>
        <v/>
      </c>
      <c r="V837" s="2309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74" t="s">
        <v>640</v>
      </c>
      <c r="C838" s="1189" t="str">
        <f t="shared" si="147"/>
        <v xml:space="preserve"> </v>
      </c>
      <c r="D838" s="1236" t="str">
        <f>VLOOKUP($B838,DG!A:C,2,)</f>
        <v>02.1482</v>
      </c>
      <c r="E838" s="1241" t="str">
        <f>VLOOKUP($B838,DG!A:C,3,)</f>
        <v>V/c dụng cụ thi công vào vị trí (cự ly &lt;=100m)</v>
      </c>
      <c r="F838" s="1236" t="str">
        <f>VLOOKUP($B838,DG!A:D,4,0)</f>
        <v>tấn</v>
      </c>
      <c r="G838" s="1914">
        <v>0.05</v>
      </c>
      <c r="H838" s="1245">
        <f>$H$8352*$G838</f>
        <v>0</v>
      </c>
      <c r="I838" s="1250"/>
      <c r="J838" s="1250"/>
      <c r="K838" s="1250"/>
      <c r="L838" s="1250"/>
      <c r="M838" s="1250"/>
      <c r="N838" s="1250"/>
      <c r="O838" s="1250"/>
      <c r="P838" s="1250"/>
      <c r="Q838" s="1250"/>
      <c r="R838" s="1250"/>
      <c r="S838" s="1250"/>
      <c r="T838" s="1671"/>
      <c r="U838" s="1664" t="str">
        <f>IFERROR(VLOOKUP(B838,ChiTietDuToan!C:H,5,0),"")</f>
        <v/>
      </c>
      <c r="V838" s="2309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92" t="s">
        <v>536</v>
      </c>
      <c r="B839" s="1954" t="str">
        <f>A839</f>
        <v>X-22K-K</v>
      </c>
      <c r="C839" s="1189" t="str">
        <f t="shared" si="147"/>
        <v xml:space="preserve"> </v>
      </c>
      <c r="D839" s="1237"/>
      <c r="E839" s="1857" t="s">
        <v>2487</v>
      </c>
      <c r="F839" s="1238" t="s">
        <v>2449</v>
      </c>
      <c r="G839" s="1912"/>
      <c r="H839" s="1523">
        <f>W839</f>
        <v>0</v>
      </c>
      <c r="I839" s="1239">
        <f ca="1">SUMIF(xa3pm,chitiet!$A839,slxa3pm)</f>
        <v>0</v>
      </c>
      <c r="J839" s="1239">
        <f ca="1">SUMIF(xact,chitiet!$A839,slxact)</f>
        <v>0</v>
      </c>
      <c r="K839" s="1239">
        <f ca="1">SUMIF(xa3p1m,chitiet!$A839,slxa3p1m)</f>
        <v>0</v>
      </c>
      <c r="L839" s="1239">
        <f>IFERROR(HLOOKUP(A839,pp1p!$6:$90,85,0),0)</f>
        <v>0</v>
      </c>
      <c r="M839" s="1239"/>
      <c r="N839" s="1239"/>
      <c r="O839" s="1239"/>
      <c r="P839" s="2297">
        <f>H839+Q839-R839</f>
        <v>0</v>
      </c>
      <c r="Q839" s="1239"/>
      <c r="R839" s="1239"/>
      <c r="S839" s="1239"/>
      <c r="T839" s="1664"/>
      <c r="U839" s="1664" t="str">
        <f>IFERROR(VLOOKUP(B839,ChiTietDuToan!C:H,5,0),"")</f>
        <v/>
      </c>
      <c r="V839" s="2309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91"/>
      <c r="B840" s="1952" t="s">
        <v>110</v>
      </c>
      <c r="C840" s="1189" t="str">
        <f t="shared" ref="C840:C903" si="165">IF(OR(P840&lt;&gt;0,H840&lt;&gt;0),"x"," ")</f>
        <v xml:space="preserve"> </v>
      </c>
      <c r="D840" s="1236"/>
      <c r="E840" s="1248" t="str">
        <f>VLOOKUP($B840,DG!A:D,DG!$C$2,)</f>
        <v>Sắt góc L75 x75 x8</v>
      </c>
      <c r="F840" s="1236" t="str">
        <f>VLOOKUP($B840,DG!A:D,DG!$D$2,)</f>
        <v>kg</v>
      </c>
      <c r="G840" s="1914">
        <f>9.02*(2.2+4*0.07)*2</f>
        <v>44.739200000000004</v>
      </c>
      <c r="H840" s="1245">
        <f t="shared" ref="H840:H845" si="166">$H$839*$G840</f>
        <v>0</v>
      </c>
      <c r="I840" s="1245">
        <f t="shared" ref="I840:J845" ca="1" si="167">I$783*$G840</f>
        <v>0</v>
      </c>
      <c r="J840" s="1245">
        <f t="shared" ca="1" si="167"/>
        <v>0</v>
      </c>
      <c r="K840" s="1245">
        <f t="shared" ref="K840:K845" ca="1" si="168">K$839*$G840</f>
        <v>0</v>
      </c>
      <c r="L840" s="1245">
        <f t="shared" ref="L840:N845" si="169">L$783*$G840</f>
        <v>0</v>
      </c>
      <c r="M840" s="1245">
        <f t="shared" si="169"/>
        <v>0</v>
      </c>
      <c r="N840" s="1245">
        <f t="shared" si="169"/>
        <v>0</v>
      </c>
      <c r="O840" s="1245"/>
      <c r="P840" s="1245">
        <f>$P$839*G840</f>
        <v>0</v>
      </c>
      <c r="Q840" s="1245">
        <f>$Q$839*G840</f>
        <v>0</v>
      </c>
      <c r="R840" s="1245"/>
      <c r="S840" s="1245"/>
      <c r="T840" s="1663"/>
      <c r="U840" s="1664" t="str">
        <f>IFERROR(VLOOKUP(B840,ChiTietDuToan!C:H,5,0),"")</f>
        <v/>
      </c>
      <c r="V840" s="2309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91"/>
      <c r="B841" s="1952" t="s">
        <v>460</v>
      </c>
      <c r="C841" s="1189" t="str">
        <f t="shared" si="165"/>
        <v xml:space="preserve"> </v>
      </c>
      <c r="D841" s="1236"/>
      <c r="E841" s="1248" t="str">
        <f>VLOOKUP($B841,DG!A:D,DG!$C$2,)&amp;": thanh chống 810"</f>
        <v>Sắt góc L50 x50 x5: thanh chống 810</v>
      </c>
      <c r="F841" s="1236" t="str">
        <f>VLOOKUP($B841,DG!A:D,DG!$D$2,)</f>
        <v>kg</v>
      </c>
      <c r="G841" s="1914">
        <f>3.77*0.81*4</f>
        <v>12.2148</v>
      </c>
      <c r="H841" s="1245">
        <f t="shared" si="166"/>
        <v>0</v>
      </c>
      <c r="I841" s="1245">
        <f t="shared" ca="1" si="167"/>
        <v>0</v>
      </c>
      <c r="J841" s="1245">
        <f t="shared" ca="1" si="167"/>
        <v>0</v>
      </c>
      <c r="K841" s="1245">
        <f t="shared" ca="1" si="168"/>
        <v>0</v>
      </c>
      <c r="L841" s="1245">
        <f t="shared" si="169"/>
        <v>0</v>
      </c>
      <c r="M841" s="1245">
        <f t="shared" si="169"/>
        <v>0</v>
      </c>
      <c r="N841" s="1245">
        <f t="shared" si="169"/>
        <v>0</v>
      </c>
      <c r="O841" s="1245"/>
      <c r="P841" s="1245">
        <f t="shared" ref="P841:P846" si="170">$P$839*G841</f>
        <v>0</v>
      </c>
      <c r="Q841" s="1245">
        <f t="shared" ref="Q841:Q846" si="171">$Q$839*G841</f>
        <v>0</v>
      </c>
      <c r="R841" s="1245"/>
      <c r="S841" s="1245"/>
      <c r="T841" s="1663"/>
      <c r="U841" s="1664" t="str">
        <f>IFERROR(VLOOKUP(B841,ChiTietDuToan!C:H,5,0),"")</f>
        <v/>
      </c>
      <c r="V841" s="2309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91"/>
      <c r="B842" s="1952" t="s">
        <v>1591</v>
      </c>
      <c r="C842" s="1189" t="str">
        <f t="shared" si="165"/>
        <v xml:space="preserve"> </v>
      </c>
      <c r="D842" s="1236"/>
      <c r="E842" s="1248" t="str">
        <f>VLOOKUP($B842,DG!A:D,DG!$C$2,)</f>
        <v>Boulon 16x500+ 2 long đền vuông D18-50x50x3/Zn</v>
      </c>
      <c r="F842" s="1236" t="str">
        <f>VLOOKUP($B842,DG!A:D,DG!$D$2,)</f>
        <v>bộ</v>
      </c>
      <c r="G842" s="1915">
        <v>1</v>
      </c>
      <c r="H842" s="1245">
        <f t="shared" si="166"/>
        <v>0</v>
      </c>
      <c r="I842" s="1245">
        <f t="shared" ca="1" si="167"/>
        <v>0</v>
      </c>
      <c r="J842" s="1245">
        <f t="shared" ca="1" si="167"/>
        <v>0</v>
      </c>
      <c r="K842" s="1245">
        <f t="shared" ca="1" si="168"/>
        <v>0</v>
      </c>
      <c r="L842" s="1245">
        <f t="shared" si="169"/>
        <v>0</v>
      </c>
      <c r="M842" s="1245">
        <f t="shared" si="169"/>
        <v>0</v>
      </c>
      <c r="N842" s="1245">
        <f t="shared" si="169"/>
        <v>0</v>
      </c>
      <c r="O842" s="1245"/>
      <c r="P842" s="1245">
        <f t="shared" si="170"/>
        <v>0</v>
      </c>
      <c r="Q842" s="1245">
        <f t="shared" si="171"/>
        <v>0</v>
      </c>
      <c r="R842" s="1245"/>
      <c r="S842" s="1245"/>
      <c r="T842" s="1663"/>
      <c r="U842" s="1664" t="str">
        <f>IFERROR(VLOOKUP(B842,ChiTietDuToan!C:H,5,0),"")</f>
        <v>bộ</v>
      </c>
      <c r="V842" s="2309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91"/>
      <c r="B843" s="1952" t="s">
        <v>1835</v>
      </c>
      <c r="C843" s="1189" t="str">
        <f t="shared" si="165"/>
        <v xml:space="preserve"> </v>
      </c>
      <c r="D843" s="1236"/>
      <c r="E843" s="1248" t="str">
        <f>VLOOKUP($B843,DG!A:D,DG!$C$2,)</f>
        <v>Boulon 16x600+ 2 long đền vuông D18-50x50x3/Zn</v>
      </c>
      <c r="F843" s="1236" t="str">
        <f>VLOOKUP($B843,DG!A:D,DG!$D$2,)</f>
        <v>bộ</v>
      </c>
      <c r="G843" s="1915">
        <v>1</v>
      </c>
      <c r="H843" s="1245">
        <f t="shared" si="166"/>
        <v>0</v>
      </c>
      <c r="I843" s="1245">
        <f t="shared" ca="1" si="167"/>
        <v>0</v>
      </c>
      <c r="J843" s="1245">
        <f t="shared" ca="1" si="167"/>
        <v>0</v>
      </c>
      <c r="K843" s="1245">
        <f t="shared" ca="1" si="168"/>
        <v>0</v>
      </c>
      <c r="L843" s="1245">
        <f t="shared" si="169"/>
        <v>0</v>
      </c>
      <c r="M843" s="1245">
        <f t="shared" si="169"/>
        <v>0</v>
      </c>
      <c r="N843" s="1245">
        <f t="shared" si="169"/>
        <v>0</v>
      </c>
      <c r="O843" s="1245"/>
      <c r="P843" s="1245">
        <f t="shared" si="170"/>
        <v>0</v>
      </c>
      <c r="Q843" s="1245">
        <f t="shared" si="171"/>
        <v>0</v>
      </c>
      <c r="R843" s="1245"/>
      <c r="S843" s="1245"/>
      <c r="T843" s="1663"/>
      <c r="U843" s="1664" t="str">
        <f>IFERROR(VLOOKUP(B843,ChiTietDuToan!C:H,5,0),"")</f>
        <v/>
      </c>
      <c r="V843" s="2309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91"/>
      <c r="B844" s="1952" t="s">
        <v>535</v>
      </c>
      <c r="C844" s="1189" t="str">
        <f t="shared" si="165"/>
        <v xml:space="preserve"> </v>
      </c>
      <c r="D844" s="1236"/>
      <c r="E844" s="1248" t="str">
        <f>VLOOKUP($B844,DG!A:D,DG!$C$2,)</f>
        <v>Boulon 16x550VRS+ 4 long đền vuông D18-50x50x3/Zn</v>
      </c>
      <c r="F844" s="1236" t="str">
        <f>VLOOKUP($B844,DG!A:D,DG!$D$2,)</f>
        <v>bộ</v>
      </c>
      <c r="G844" s="1915">
        <v>4</v>
      </c>
      <c r="H844" s="1245">
        <f t="shared" si="166"/>
        <v>0</v>
      </c>
      <c r="I844" s="1245">
        <f t="shared" ca="1" si="167"/>
        <v>0</v>
      </c>
      <c r="J844" s="1245">
        <f t="shared" ca="1" si="167"/>
        <v>0</v>
      </c>
      <c r="K844" s="1245">
        <f t="shared" ca="1" si="168"/>
        <v>0</v>
      </c>
      <c r="L844" s="1245">
        <f t="shared" si="169"/>
        <v>0</v>
      </c>
      <c r="M844" s="1245">
        <f t="shared" si="169"/>
        <v>0</v>
      </c>
      <c r="N844" s="1245">
        <f t="shared" si="169"/>
        <v>0</v>
      </c>
      <c r="O844" s="1245"/>
      <c r="P844" s="1245">
        <f t="shared" si="170"/>
        <v>0</v>
      </c>
      <c r="Q844" s="1245">
        <f t="shared" si="171"/>
        <v>0</v>
      </c>
      <c r="R844" s="1245"/>
      <c r="S844" s="1245"/>
      <c r="T844" s="1663"/>
      <c r="U844" s="1664" t="str">
        <f>IFERROR(VLOOKUP(B844,ChiTietDuToan!C:H,5,0),"")</f>
        <v>bộ</v>
      </c>
      <c r="V844" s="2309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91"/>
      <c r="B845" s="1952" t="s">
        <v>1839</v>
      </c>
      <c r="C845" s="1189" t="str">
        <f t="shared" si="165"/>
        <v xml:space="preserve"> </v>
      </c>
      <c r="D845" s="1236"/>
      <c r="E845" s="1248" t="str">
        <f>VLOOKUP($B845,DG!A:D,DG!$C$2,)</f>
        <v>Boulon 16x50+ 2 long đền vuông D18-50x50x3/Zn</v>
      </c>
      <c r="F845" s="1236" t="str">
        <f>VLOOKUP($B845,DG!A:D,DG!$D$2,)</f>
        <v>bộ</v>
      </c>
      <c r="G845" s="1915">
        <v>4</v>
      </c>
      <c r="H845" s="1245">
        <f t="shared" si="166"/>
        <v>0</v>
      </c>
      <c r="I845" s="1245">
        <f t="shared" ca="1" si="167"/>
        <v>0</v>
      </c>
      <c r="J845" s="1245">
        <f t="shared" ca="1" si="167"/>
        <v>0</v>
      </c>
      <c r="K845" s="1245">
        <f t="shared" ca="1" si="168"/>
        <v>0</v>
      </c>
      <c r="L845" s="1245">
        <f t="shared" si="169"/>
        <v>0</v>
      </c>
      <c r="M845" s="1245">
        <f t="shared" si="169"/>
        <v>0</v>
      </c>
      <c r="N845" s="1245">
        <f t="shared" si="169"/>
        <v>0</v>
      </c>
      <c r="O845" s="1245"/>
      <c r="P845" s="1245">
        <f t="shared" si="170"/>
        <v>0</v>
      </c>
      <c r="Q845" s="1245">
        <f t="shared" si="171"/>
        <v>0</v>
      </c>
      <c r="R845" s="1245"/>
      <c r="S845" s="1245"/>
      <c r="T845" s="1663"/>
      <c r="U845" s="1664" t="str">
        <f>IFERROR(VLOOKUP(B845,ChiTietDuToan!C:H,5,0),"")</f>
        <v>bộ</v>
      </c>
      <c r="V845" s="2309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91"/>
      <c r="B846" s="1952" t="s">
        <v>520</v>
      </c>
      <c r="C846" s="1189" t="str">
        <f t="shared" si="165"/>
        <v xml:space="preserve"> </v>
      </c>
      <c r="D846" s="1252" t="str">
        <f>VLOOKUP($B846,DG!A:D,DG!$B$2,)</f>
        <v>05.6203</v>
      </c>
      <c r="E846" s="1241" t="str">
        <f>VLOOKUP($B846,DG!A:D,DG!$C$2,)</f>
        <v>Lắp xà néo ≤ 100kg</v>
      </c>
      <c r="F846" s="1236" t="str">
        <f>VLOOKUP($B846,DG!A:D,DG!$D$2,)</f>
        <v>bộ</v>
      </c>
      <c r="G846" s="1915">
        <v>1</v>
      </c>
      <c r="H846" s="1250"/>
      <c r="I846" s="1250"/>
      <c r="J846" s="1250"/>
      <c r="K846" s="1250"/>
      <c r="L846" s="1250"/>
      <c r="M846" s="1250"/>
      <c r="N846" s="1250"/>
      <c r="O846" s="1250"/>
      <c r="P846" s="1245">
        <f t="shared" si="170"/>
        <v>0</v>
      </c>
      <c r="Q846" s="1245">
        <f t="shared" si="171"/>
        <v>0</v>
      </c>
      <c r="R846" s="1250"/>
      <c r="S846" s="1250"/>
      <c r="T846" s="1663"/>
      <c r="U846" s="1664" t="str">
        <f>IFERROR(VLOOKUP(B846,ChiTietDuToan!C:H,5,0),"")</f>
        <v/>
      </c>
      <c r="V846" s="2309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59" t="s">
        <v>2049</v>
      </c>
      <c r="C847" s="1189" t="str">
        <f t="shared" si="165"/>
        <v xml:space="preserve"> </v>
      </c>
      <c r="D847" s="1236" t="str">
        <f>VLOOKUP($B847,DG!A:D,DG!$B$2,)</f>
        <v>02.1115</v>
      </c>
      <c r="E847" s="1241" t="str">
        <f>VLOOKUP($B847,DG!A:D,DG!$C$2,)</f>
        <v>Bốc dỡ xà, thép thanh</v>
      </c>
      <c r="F847" s="1236" t="str">
        <f>VLOOKUP($B847,DG!A:D,DG!$D$2,)</f>
        <v>tấn</v>
      </c>
      <c r="G847" s="1913">
        <f>G848</f>
        <v>0</v>
      </c>
      <c r="H847" s="1250"/>
      <c r="I847" s="1250"/>
      <c r="J847" s="1250"/>
      <c r="K847" s="1250"/>
      <c r="L847" s="1250"/>
      <c r="M847" s="1250"/>
      <c r="N847" s="1250"/>
      <c r="O847" s="1250"/>
      <c r="P847" s="1250"/>
      <c r="Q847" s="1250"/>
      <c r="R847" s="1250"/>
      <c r="S847" s="1250"/>
      <c r="T847" s="1671"/>
      <c r="U847" s="1664" t="str">
        <f>IFERROR(VLOOKUP(B847,ChiTietDuToan!C:H,5,0),"")</f>
        <v/>
      </c>
      <c r="V847" s="2309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74" t="s">
        <v>2050</v>
      </c>
      <c r="C848" s="1189" t="str">
        <f t="shared" si="165"/>
        <v xml:space="preserve"> </v>
      </c>
      <c r="D848" s="1236" t="str">
        <f>VLOOKUP($B848,DG!A:C,2,)</f>
        <v>02.1361</v>
      </c>
      <c r="E848" s="1241" t="str">
        <f>VLOOKUP($B848,DG!A:C,3,)</f>
        <v>V/c xà vào vị trí (cư ly &lt;=100m)</v>
      </c>
      <c r="F848" s="1236" t="str">
        <f>VLOOKUP($B848,DG!A:D,4,0)</f>
        <v>tấn</v>
      </c>
      <c r="G848" s="1913">
        <f>ROUND(SUM(G840:G841)*1.05/1000,3)*0</f>
        <v>0</v>
      </c>
      <c r="H848" s="1250"/>
      <c r="I848" s="1250"/>
      <c r="J848" s="1250"/>
      <c r="K848" s="1250"/>
      <c r="L848" s="1250"/>
      <c r="M848" s="1250"/>
      <c r="N848" s="1250"/>
      <c r="O848" s="1250"/>
      <c r="P848" s="1250"/>
      <c r="Q848" s="1250"/>
      <c r="R848" s="1250"/>
      <c r="S848" s="1250"/>
      <c r="T848" s="1671"/>
      <c r="U848" s="1664" t="str">
        <f>IFERROR(VLOOKUP(B848,ChiTietDuToan!C:H,5,0),"")</f>
        <v/>
      </c>
      <c r="V848" s="2309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74" t="s">
        <v>640</v>
      </c>
      <c r="C849" s="1189" t="str">
        <f t="shared" si="165"/>
        <v xml:space="preserve"> </v>
      </c>
      <c r="D849" s="1236" t="str">
        <f>VLOOKUP($B849,DG!A:C,2,)</f>
        <v>02.1482</v>
      </c>
      <c r="E849" s="1241" t="str">
        <f>VLOOKUP($B849,DG!A:C,3,)</f>
        <v>V/c dụng cụ thi công vào vị trí (cự ly &lt;=100m)</v>
      </c>
      <c r="F849" s="1236" t="str">
        <f>VLOOKUP($B849,DG!A:D,4,0)</f>
        <v>tấn</v>
      </c>
      <c r="G849" s="1914">
        <f>0.05*0</f>
        <v>0</v>
      </c>
      <c r="H849" s="1250"/>
      <c r="I849" s="1250"/>
      <c r="J849" s="1250"/>
      <c r="K849" s="1250"/>
      <c r="L849" s="1250"/>
      <c r="M849" s="1250"/>
      <c r="N849" s="1250"/>
      <c r="O849" s="1250"/>
      <c r="P849" s="1250"/>
      <c r="Q849" s="1250"/>
      <c r="R849" s="1250"/>
      <c r="S849" s="1250"/>
      <c r="T849" s="1671"/>
      <c r="U849" s="1664" t="str">
        <f>IFERROR(VLOOKUP(B849,ChiTietDuToan!C:H,5,0),"")</f>
        <v/>
      </c>
      <c r="V849" s="2309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74"/>
      <c r="C850" s="1189" t="str">
        <f t="shared" si="165"/>
        <v xml:space="preserve"> </v>
      </c>
      <c r="D850" s="1236"/>
      <c r="E850" s="1248"/>
      <c r="F850" s="1236"/>
      <c r="G850" s="1914"/>
      <c r="H850" s="1250"/>
      <c r="I850" s="1250"/>
      <c r="J850" s="1250"/>
      <c r="K850" s="1250"/>
      <c r="L850" s="1250"/>
      <c r="M850" s="1250"/>
      <c r="N850" s="1250"/>
      <c r="O850" s="1250"/>
      <c r="P850" s="1250"/>
      <c r="Q850" s="1250"/>
      <c r="R850" s="1250"/>
      <c r="S850" s="1250"/>
      <c r="T850" s="1671"/>
      <c r="U850" s="1664">
        <f>IFERROR(VLOOKUP(B850,ChiTietDuToan!C:H,5,0),"")</f>
        <v>0</v>
      </c>
      <c r="V850" s="2309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74"/>
      <c r="C851" s="1189" t="str">
        <f t="shared" si="165"/>
        <v xml:space="preserve"> </v>
      </c>
      <c r="D851" s="1236"/>
      <c r="E851" s="1248"/>
      <c r="F851" s="1236"/>
      <c r="G851" s="1914"/>
      <c r="H851" s="1250"/>
      <c r="I851" s="1250"/>
      <c r="J851" s="1250"/>
      <c r="K851" s="1250"/>
      <c r="L851" s="1250"/>
      <c r="M851" s="1250"/>
      <c r="N851" s="1250"/>
      <c r="O851" s="1250"/>
      <c r="P851" s="1250"/>
      <c r="Q851" s="1250"/>
      <c r="R851" s="1250"/>
      <c r="S851" s="1250"/>
      <c r="T851" s="1671"/>
      <c r="U851" s="1664">
        <f>IFERROR(VLOOKUP(B851,ChiTietDuToan!C:H,5,0),"")</f>
        <v>0</v>
      </c>
      <c r="V851" s="2309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56"/>
      <c r="C852" s="1189" t="str">
        <f t="shared" ca="1" si="165"/>
        <v xml:space="preserve"> </v>
      </c>
      <c r="D852" s="1237"/>
      <c r="E852" s="1666" t="s">
        <v>2488</v>
      </c>
      <c r="F852" s="1238" t="s">
        <v>2449</v>
      </c>
      <c r="G852" s="1912"/>
      <c r="H852" s="1523">
        <f ca="1">SUM(I852:O852)+T852</f>
        <v>0</v>
      </c>
      <c r="I852" s="1239">
        <f ca="1">SUMIF(xa3pm,chitiet!$A852,slxa3pm)</f>
        <v>0</v>
      </c>
      <c r="J852" s="1239">
        <f ca="1">SUMIF(xact,chitiet!$A852,slxact)</f>
        <v>0</v>
      </c>
      <c r="K852" s="1239">
        <f ca="1">SUMIF(xa3p1m,chitiet!$A852,slxa3p1m)</f>
        <v>0</v>
      </c>
      <c r="L852" s="1239">
        <f>IFERROR(HLOOKUP(A852,pp1p!$6:$90,85,0),0)</f>
        <v>0</v>
      </c>
      <c r="M852" s="1239"/>
      <c r="N852" s="1239"/>
      <c r="O852" s="1239"/>
      <c r="P852" s="1239">
        <f ca="1">H852+Q852-R852</f>
        <v>0</v>
      </c>
      <c r="Q852" s="1239"/>
      <c r="R852" s="1239"/>
      <c r="S852" s="1239"/>
      <c r="T852" s="1671"/>
      <c r="U852" s="1664">
        <f>IFERROR(VLOOKUP(B852,ChiTietDuToan!C:H,5,0),"")</f>
        <v>0</v>
      </c>
      <c r="V852" s="2309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59" t="s">
        <v>110</v>
      </c>
      <c r="C853" s="1189" t="str">
        <f t="shared" ca="1" si="165"/>
        <v xml:space="preserve"> </v>
      </c>
      <c r="D853" s="1236"/>
      <c r="E853" s="1248" t="str">
        <f>VLOOKUP($B853,DG!A:D,DG!$C$2,)</f>
        <v>Sắt góc L75 x75 x8</v>
      </c>
      <c r="F853" s="1236" t="str">
        <f>VLOOKUP($B853,DG!A:D,DG!$D$2,)</f>
        <v>kg</v>
      </c>
      <c r="G853" s="1914">
        <f>9.02*(2.2+4*0.07)*2</f>
        <v>44.739200000000004</v>
      </c>
      <c r="H853" s="1245">
        <f t="shared" ref="H853:H858" ca="1" si="172">H$852*$G853</f>
        <v>0</v>
      </c>
      <c r="I853" s="1245">
        <f t="shared" ref="I853:J858" ca="1" si="173">I$783*$G853</f>
        <v>0</v>
      </c>
      <c r="J853" s="1245">
        <f t="shared" ca="1" si="173"/>
        <v>0</v>
      </c>
      <c r="K853" s="1245">
        <f t="shared" ref="K853:K858" ca="1" si="174">K$852*$G853</f>
        <v>0</v>
      </c>
      <c r="L853" s="1245">
        <f t="shared" ref="L853:N858" si="175">L$783*$G853</f>
        <v>0</v>
      </c>
      <c r="M853" s="1245">
        <f t="shared" si="175"/>
        <v>0</v>
      </c>
      <c r="N853" s="1245">
        <f t="shared" si="175"/>
        <v>0</v>
      </c>
      <c r="O853" s="1245"/>
      <c r="P853" s="1245"/>
      <c r="Q853" s="1245"/>
      <c r="R853" s="1245"/>
      <c r="S853" s="1245"/>
      <c r="T853" s="1671"/>
      <c r="U853" s="1664" t="str">
        <f>IFERROR(VLOOKUP(B853,ChiTietDuToan!C:H,5,0),"")</f>
        <v/>
      </c>
      <c r="V853" s="2309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59" t="s">
        <v>460</v>
      </c>
      <c r="C854" s="1189" t="str">
        <f t="shared" ca="1" si="165"/>
        <v xml:space="preserve"> </v>
      </c>
      <c r="D854" s="1236"/>
      <c r="E854" s="1248" t="str">
        <f>VLOOKUP($B854,DG!A:D,DG!$C$2,)&amp;": thanh chống 920"</f>
        <v>Sắt góc L50 x50 x5: thanh chống 920</v>
      </c>
      <c r="F854" s="1236" t="str">
        <f>VLOOKUP($B854,DG!A:D,DG!$D$2,)</f>
        <v>kg</v>
      </c>
      <c r="G854" s="1914">
        <f>3.77*0.92*4</f>
        <v>13.873600000000001</v>
      </c>
      <c r="H854" s="1245">
        <f t="shared" ca="1" si="172"/>
        <v>0</v>
      </c>
      <c r="I854" s="1245">
        <f t="shared" ca="1" si="173"/>
        <v>0</v>
      </c>
      <c r="J854" s="1245">
        <f t="shared" ca="1" si="173"/>
        <v>0</v>
      </c>
      <c r="K854" s="1245">
        <f t="shared" ca="1" si="174"/>
        <v>0</v>
      </c>
      <c r="L854" s="1245">
        <f t="shared" si="175"/>
        <v>0</v>
      </c>
      <c r="M854" s="1245">
        <f t="shared" si="175"/>
        <v>0</v>
      </c>
      <c r="N854" s="1245">
        <f t="shared" si="175"/>
        <v>0</v>
      </c>
      <c r="O854" s="1245"/>
      <c r="P854" s="1245"/>
      <c r="Q854" s="1245"/>
      <c r="R854" s="1245"/>
      <c r="S854" s="1245"/>
      <c r="T854" s="1671"/>
      <c r="U854" s="1664" t="str">
        <f>IFERROR(VLOOKUP(B854,ChiTietDuToan!C:H,5,0),"")</f>
        <v/>
      </c>
      <c r="V854" s="2309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59" t="s">
        <v>1661</v>
      </c>
      <c r="C855" s="1189" t="str">
        <f t="shared" ca="1" si="165"/>
        <v xml:space="preserve"> </v>
      </c>
      <c r="D855" s="1236"/>
      <c r="E855" s="1248" t="str">
        <f>VLOOKUP($B855,DG!A:D,DG!$C$2,)</f>
        <v>Boulon 16x250+ 2 long đền vuông D18-50x50x3/Zn</v>
      </c>
      <c r="F855" s="1236" t="str">
        <f>VLOOKUP($B855,DG!A:D,DG!$D$2,)</f>
        <v>bộ</v>
      </c>
      <c r="G855" s="1915">
        <v>1</v>
      </c>
      <c r="H855" s="1245">
        <f t="shared" ca="1" si="172"/>
        <v>0</v>
      </c>
      <c r="I855" s="1245">
        <f t="shared" ca="1" si="173"/>
        <v>0</v>
      </c>
      <c r="J855" s="1245">
        <f t="shared" ca="1" si="173"/>
        <v>0</v>
      </c>
      <c r="K855" s="1245">
        <f t="shared" ca="1" si="174"/>
        <v>0</v>
      </c>
      <c r="L855" s="1245">
        <f t="shared" si="175"/>
        <v>0</v>
      </c>
      <c r="M855" s="1245">
        <f t="shared" si="175"/>
        <v>0</v>
      </c>
      <c r="N855" s="1245">
        <f t="shared" si="175"/>
        <v>0</v>
      </c>
      <c r="O855" s="1245"/>
      <c r="P855" s="1245"/>
      <c r="Q855" s="1245"/>
      <c r="R855" s="1245"/>
      <c r="S855" s="1245"/>
      <c r="T855" s="1671"/>
      <c r="U855" s="1664" t="str">
        <f>IFERROR(VLOOKUP(B855,ChiTietDuToan!C:H,5,0),"")</f>
        <v>bộ</v>
      </c>
      <c r="V855" s="2309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59" t="s">
        <v>1662</v>
      </c>
      <c r="C856" s="1189" t="str">
        <f t="shared" ca="1" si="165"/>
        <v xml:space="preserve"> </v>
      </c>
      <c r="D856" s="1236"/>
      <c r="E856" s="1248" t="str">
        <f>VLOOKUP($B856,DG!A:D,DG!$C$2,)</f>
        <v>Boulon 16x300+ 2 long đền vuông D18-50x50x3/Zn</v>
      </c>
      <c r="F856" s="1236" t="str">
        <f>VLOOKUP($B856,DG!A:D,DG!$D$2,)</f>
        <v>bộ</v>
      </c>
      <c r="G856" s="1915">
        <v>1</v>
      </c>
      <c r="H856" s="1245">
        <f t="shared" ca="1" si="172"/>
        <v>0</v>
      </c>
      <c r="I856" s="1245">
        <f t="shared" ca="1" si="173"/>
        <v>0</v>
      </c>
      <c r="J856" s="1245">
        <f t="shared" ca="1" si="173"/>
        <v>0</v>
      </c>
      <c r="K856" s="1245">
        <f t="shared" ca="1" si="174"/>
        <v>0</v>
      </c>
      <c r="L856" s="1245">
        <f t="shared" si="175"/>
        <v>0</v>
      </c>
      <c r="M856" s="1245">
        <f t="shared" si="175"/>
        <v>0</v>
      </c>
      <c r="N856" s="1245">
        <f t="shared" si="175"/>
        <v>0</v>
      </c>
      <c r="O856" s="1245"/>
      <c r="P856" s="1245"/>
      <c r="Q856" s="1245"/>
      <c r="R856" s="1245"/>
      <c r="S856" s="1245"/>
      <c r="T856" s="1671"/>
      <c r="U856" s="1664" t="str">
        <f>IFERROR(VLOOKUP(B856,ChiTietDuToan!C:H,5,0),"")</f>
        <v>bộ</v>
      </c>
      <c r="V856" s="2309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59" t="s">
        <v>418</v>
      </c>
      <c r="C857" s="1189" t="str">
        <f t="shared" ca="1" si="165"/>
        <v xml:space="preserve"> </v>
      </c>
      <c r="D857" s="1236"/>
      <c r="E857" s="1248" t="str">
        <f>VLOOKUP($B857,DG!A:D,DG!$C$2,)</f>
        <v>Boulon 16x300VRS+ 4 long đền vuông D18-50x50x3/Zn</v>
      </c>
      <c r="F857" s="1236" t="str">
        <f>VLOOKUP($B857,DG!A:D,DG!$D$2,)</f>
        <v>bộ</v>
      </c>
      <c r="G857" s="1915">
        <v>4</v>
      </c>
      <c r="H857" s="1245">
        <f t="shared" ca="1" si="172"/>
        <v>0</v>
      </c>
      <c r="I857" s="1245">
        <f t="shared" ca="1" si="173"/>
        <v>0</v>
      </c>
      <c r="J857" s="1245">
        <f t="shared" ca="1" si="173"/>
        <v>0</v>
      </c>
      <c r="K857" s="1245">
        <f t="shared" ca="1" si="174"/>
        <v>0</v>
      </c>
      <c r="L857" s="1245">
        <f t="shared" si="175"/>
        <v>0</v>
      </c>
      <c r="M857" s="1245">
        <f t="shared" si="175"/>
        <v>0</v>
      </c>
      <c r="N857" s="1245">
        <f t="shared" si="175"/>
        <v>0</v>
      </c>
      <c r="O857" s="1245"/>
      <c r="P857" s="1245"/>
      <c r="Q857" s="1245"/>
      <c r="R857" s="1245"/>
      <c r="S857" s="1245"/>
      <c r="T857" s="1671"/>
      <c r="U857" s="1664" t="str">
        <f>IFERROR(VLOOKUP(B857,ChiTietDuToan!C:H,5,0),"")</f>
        <v>bộ</v>
      </c>
      <c r="V857" s="2309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59" t="s">
        <v>1839</v>
      </c>
      <c r="C858" s="1189" t="str">
        <f t="shared" ca="1" si="165"/>
        <v xml:space="preserve"> </v>
      </c>
      <c r="D858" s="1236"/>
      <c r="E858" s="1248" t="str">
        <f>VLOOKUP($B858,DG!A:D,DG!$C$2,)</f>
        <v>Boulon 16x50+ 2 long đền vuông D18-50x50x3/Zn</v>
      </c>
      <c r="F858" s="1236" t="str">
        <f>VLOOKUP($B858,DG!A:D,DG!$D$2,)</f>
        <v>bộ</v>
      </c>
      <c r="G858" s="1915">
        <v>4</v>
      </c>
      <c r="H858" s="1245">
        <f t="shared" ca="1" si="172"/>
        <v>0</v>
      </c>
      <c r="I858" s="1245">
        <f t="shared" ca="1" si="173"/>
        <v>0</v>
      </c>
      <c r="J858" s="1245">
        <f t="shared" ca="1" si="173"/>
        <v>0</v>
      </c>
      <c r="K858" s="1245">
        <f t="shared" ca="1" si="174"/>
        <v>0</v>
      </c>
      <c r="L858" s="1245">
        <f t="shared" si="175"/>
        <v>0</v>
      </c>
      <c r="M858" s="1245">
        <f t="shared" si="175"/>
        <v>0</v>
      </c>
      <c r="N858" s="1245">
        <f t="shared" si="175"/>
        <v>0</v>
      </c>
      <c r="O858" s="1245"/>
      <c r="P858" s="1245"/>
      <c r="Q858" s="1245"/>
      <c r="R858" s="1245"/>
      <c r="S858" s="1245"/>
      <c r="T858" s="1671"/>
      <c r="U858" s="1664" t="str">
        <f>IFERROR(VLOOKUP(B858,ChiTietDuToan!C:H,5,0),"")</f>
        <v>bộ</v>
      </c>
      <c r="V858" s="2309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59" t="s">
        <v>521</v>
      </c>
      <c r="C859" s="1189" t="str">
        <f t="shared" si="165"/>
        <v xml:space="preserve"> </v>
      </c>
      <c r="D859" s="1236" t="str">
        <f>VLOOKUP($B859,DG!A:D,DG!$B$2,)</f>
        <v>05.6203</v>
      </c>
      <c r="E859" s="1241" t="str">
        <f>VLOOKUP($B859,DG!A:D,DG!$C$2,)</f>
        <v>Lắp xà néo ≤ 100kg</v>
      </c>
      <c r="F859" s="1236" t="str">
        <f>VLOOKUP($B859,DG!A:D,DG!$D$2,)</f>
        <v>bộ</v>
      </c>
      <c r="G859" s="1915">
        <v>1</v>
      </c>
      <c r="H859" s="1250"/>
      <c r="I859" s="1250"/>
      <c r="J859" s="1250"/>
      <c r="K859" s="1250"/>
      <c r="L859" s="1250"/>
      <c r="M859" s="1250"/>
      <c r="N859" s="1250"/>
      <c r="O859" s="1250"/>
      <c r="P859" s="1250"/>
      <c r="Q859" s="1250"/>
      <c r="R859" s="1250"/>
      <c r="S859" s="1250"/>
      <c r="T859" s="1671"/>
      <c r="U859" s="1664" t="str">
        <f>IFERROR(VLOOKUP(B859,ChiTietDuToan!C:H,5,0),"")</f>
        <v/>
      </c>
      <c r="V859" s="2309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59" t="s">
        <v>2049</v>
      </c>
      <c r="C860" s="1189" t="str">
        <f t="shared" si="165"/>
        <v xml:space="preserve"> </v>
      </c>
      <c r="D860" s="1236" t="str">
        <f>VLOOKUP($B860,DG!A:D,DG!$B$2,)</f>
        <v>02.1115</v>
      </c>
      <c r="E860" s="1241" t="str">
        <f>VLOOKUP($B860,DG!A:D,DG!$C$2,)</f>
        <v>Bốc dỡ xà, thép thanh</v>
      </c>
      <c r="F860" s="1236" t="str">
        <f>VLOOKUP($B860,DG!A:D,DG!$D$2,)</f>
        <v>tấn</v>
      </c>
      <c r="G860" s="1913">
        <f>G861</f>
        <v>0</v>
      </c>
      <c r="H860" s="1250"/>
      <c r="I860" s="1250"/>
      <c r="J860" s="1250"/>
      <c r="K860" s="1250"/>
      <c r="L860" s="1250"/>
      <c r="M860" s="1250"/>
      <c r="N860" s="1250"/>
      <c r="O860" s="1250"/>
      <c r="P860" s="1250"/>
      <c r="Q860" s="1250"/>
      <c r="R860" s="1250"/>
      <c r="S860" s="1250"/>
      <c r="T860" s="1671"/>
      <c r="U860" s="1664" t="str">
        <f>IFERROR(VLOOKUP(B860,ChiTietDuToan!C:H,5,0),"")</f>
        <v/>
      </c>
      <c r="V860" s="2309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74" t="s">
        <v>2050</v>
      </c>
      <c r="C861" s="1189" t="str">
        <f t="shared" si="165"/>
        <v xml:space="preserve"> </v>
      </c>
      <c r="D861" s="1236" t="str">
        <f>VLOOKUP($B861,DG!A:C,2,)</f>
        <v>02.1361</v>
      </c>
      <c r="E861" s="1241" t="str">
        <f>VLOOKUP($B861,DG!A:C,3,)</f>
        <v>V/c xà vào vị trí (cư ly &lt;=100m)</v>
      </c>
      <c r="F861" s="1236" t="str">
        <f>VLOOKUP($B861,DG!A:D,4,0)</f>
        <v>tấn</v>
      </c>
      <c r="G861" s="1913">
        <f>ROUND(SUM(G853:G854)*1.05/1000,3)*0</f>
        <v>0</v>
      </c>
      <c r="H861" s="1250"/>
      <c r="I861" s="1250"/>
      <c r="J861" s="1250"/>
      <c r="K861" s="1250"/>
      <c r="L861" s="1250"/>
      <c r="M861" s="1250"/>
      <c r="N861" s="1250"/>
      <c r="O861" s="1250"/>
      <c r="P861" s="1250"/>
      <c r="Q861" s="1250"/>
      <c r="R861" s="1250"/>
      <c r="S861" s="1250"/>
      <c r="T861" s="1671"/>
      <c r="U861" s="1664" t="str">
        <f>IFERROR(VLOOKUP(B861,ChiTietDuToan!C:H,5,0),"")</f>
        <v/>
      </c>
      <c r="V861" s="2309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74" t="s">
        <v>640</v>
      </c>
      <c r="C862" s="1189" t="str">
        <f t="shared" si="165"/>
        <v xml:space="preserve"> </v>
      </c>
      <c r="D862" s="1236" t="str">
        <f>VLOOKUP($B862,DG!A:C,2,)</f>
        <v>02.1482</v>
      </c>
      <c r="E862" s="1241" t="str">
        <f>VLOOKUP($B862,DG!A:C,3,)</f>
        <v>V/c dụng cụ thi công vào vị trí (cự ly &lt;=100m)</v>
      </c>
      <c r="F862" s="1236" t="str">
        <f>VLOOKUP($B862,DG!A:D,4,0)</f>
        <v>tấn</v>
      </c>
      <c r="G862" s="1914">
        <f>0.05*0</f>
        <v>0</v>
      </c>
      <c r="H862" s="1250"/>
      <c r="I862" s="1250"/>
      <c r="J862" s="1250"/>
      <c r="K862" s="1250"/>
      <c r="L862" s="1250"/>
      <c r="M862" s="1250"/>
      <c r="N862" s="1250"/>
      <c r="O862" s="1250"/>
      <c r="P862" s="1250"/>
      <c r="Q862" s="1250"/>
      <c r="R862" s="1250"/>
      <c r="S862" s="1250"/>
      <c r="T862" s="1671"/>
      <c r="U862" s="1664" t="str">
        <f>IFERROR(VLOOKUP(B862,ChiTietDuToan!C:H,5,0),"")</f>
        <v/>
      </c>
      <c r="V862" s="2309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56"/>
      <c r="C863" s="1189" t="str">
        <f t="shared" ca="1" si="165"/>
        <v xml:space="preserve"> </v>
      </c>
      <c r="D863" s="1237"/>
      <c r="E863" s="1666" t="s">
        <v>2489</v>
      </c>
      <c r="F863" s="1238" t="s">
        <v>2449</v>
      </c>
      <c r="G863" s="1912"/>
      <c r="H863" s="1523">
        <f ca="1">SUM(I863:O863)+T863</f>
        <v>0</v>
      </c>
      <c r="I863" s="1239">
        <f ca="1">SUMIF(xa3pm,chitiet!$A863,slxa3pm)</f>
        <v>0</v>
      </c>
      <c r="J863" s="1239">
        <f ca="1">SUMIF(xact,chitiet!$A863,slxact)</f>
        <v>0</v>
      </c>
      <c r="K863" s="1239">
        <f ca="1">SUMIF(xa3p1m,chitiet!$A863,slxa3p1m)</f>
        <v>0</v>
      </c>
      <c r="L863" s="1239">
        <f>IFERROR(HLOOKUP(A863,pp1p!$6:$90,85,0),0)</f>
        <v>0</v>
      </c>
      <c r="M863" s="1239"/>
      <c r="N863" s="1239"/>
      <c r="O863" s="1239"/>
      <c r="P863" s="1239">
        <f ca="1">H863+Q863-R863</f>
        <v>0</v>
      </c>
      <c r="Q863" s="1239"/>
      <c r="R863" s="1239"/>
      <c r="S863" s="1239"/>
      <c r="T863" s="1671"/>
      <c r="U863" s="1664">
        <f>IFERROR(VLOOKUP(B863,ChiTietDuToan!C:H,5,0),"")</f>
        <v>0</v>
      </c>
      <c r="V863" s="2309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59" t="s">
        <v>110</v>
      </c>
      <c r="C864" s="1189" t="str">
        <f t="shared" ca="1" si="165"/>
        <v xml:space="preserve"> </v>
      </c>
      <c r="D864" s="1236"/>
      <c r="E864" s="1248" t="str">
        <f>VLOOKUP($B864,DG!A:D,DG!$C$2,)</f>
        <v>Sắt góc L75 x75 x8</v>
      </c>
      <c r="F864" s="1236" t="str">
        <f>VLOOKUP($B864,DG!A:D,DG!$D$2,)</f>
        <v>kg</v>
      </c>
      <c r="G864" s="1914">
        <f>9.02*(2.4+4*0.07)</f>
        <v>24.173599999999997</v>
      </c>
      <c r="H864" s="1245">
        <f t="shared" ref="H864:N864" ca="1" si="176">H$863*$G864</f>
        <v>0</v>
      </c>
      <c r="I864" s="1245">
        <f t="shared" ca="1" si="176"/>
        <v>0</v>
      </c>
      <c r="J864" s="1245">
        <f t="shared" ca="1" si="176"/>
        <v>0</v>
      </c>
      <c r="K864" s="1245">
        <f t="shared" ca="1" si="176"/>
        <v>0</v>
      </c>
      <c r="L864" s="1245">
        <f t="shared" si="176"/>
        <v>0</v>
      </c>
      <c r="M864" s="1245">
        <f t="shared" si="176"/>
        <v>0</v>
      </c>
      <c r="N864" s="1245">
        <f t="shared" si="176"/>
        <v>0</v>
      </c>
      <c r="O864" s="1245"/>
      <c r="P864" s="1245"/>
      <c r="Q864" s="1245"/>
      <c r="R864" s="1245"/>
      <c r="S864" s="1245"/>
      <c r="T864" s="1671"/>
      <c r="U864" s="1664" t="str">
        <f>IFERROR(VLOOKUP(B864,ChiTietDuToan!C:H,5,0),"")</f>
        <v/>
      </c>
      <c r="V864" s="2309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59" t="s">
        <v>460</v>
      </c>
      <c r="C865" s="1189" t="str">
        <f t="shared" ca="1" si="165"/>
        <v xml:space="preserve"> </v>
      </c>
      <c r="D865" s="1236"/>
      <c r="E865" s="1248" t="str">
        <f>VLOOKUP($B865,DG!A:D,DG!$C$2,)&amp;" (chống 920)"</f>
        <v>Sắt góc L50 x50 x5 (chống 920)</v>
      </c>
      <c r="F865" s="1236" t="str">
        <f>VLOOKUP($B865,DG!A:D,DG!$D$2,)</f>
        <v>kg</v>
      </c>
      <c r="G865" s="1914">
        <f>3.77*0.92*2</f>
        <v>6.9368000000000007</v>
      </c>
      <c r="H865" s="1245">
        <f t="shared" ref="H865:N867" ca="1" si="177">H$863*$G865</f>
        <v>0</v>
      </c>
      <c r="I865" s="1245">
        <f t="shared" ca="1" si="177"/>
        <v>0</v>
      </c>
      <c r="J865" s="1245">
        <f t="shared" ca="1" si="177"/>
        <v>0</v>
      </c>
      <c r="K865" s="1245">
        <f t="shared" ca="1" si="177"/>
        <v>0</v>
      </c>
      <c r="L865" s="1245">
        <f t="shared" si="177"/>
        <v>0</v>
      </c>
      <c r="M865" s="1245">
        <f t="shared" si="177"/>
        <v>0</v>
      </c>
      <c r="N865" s="1245">
        <f t="shared" si="177"/>
        <v>0</v>
      </c>
      <c r="O865" s="1245"/>
      <c r="P865" s="1245"/>
      <c r="Q865" s="1245"/>
      <c r="R865" s="1245"/>
      <c r="S865" s="1245"/>
      <c r="T865" s="1671"/>
      <c r="U865" s="1664" t="str">
        <f>IFERROR(VLOOKUP(B865,ChiTietDuToan!C:H,5,0),"")</f>
        <v/>
      </c>
      <c r="V865" s="2309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59" t="s">
        <v>1662</v>
      </c>
      <c r="C866" s="1189" t="str">
        <f t="shared" ca="1" si="165"/>
        <v xml:space="preserve"> </v>
      </c>
      <c r="D866" s="1236"/>
      <c r="E866" s="1248" t="str">
        <f>VLOOKUP($B866,DG!A:D,DG!$C$2,)</f>
        <v>Boulon 16x300+ 2 long đền vuông D18-50x50x3/Zn</v>
      </c>
      <c r="F866" s="1236" t="str">
        <f>VLOOKUP($B866,DG!A:D,DG!$D$2,)</f>
        <v>bộ</v>
      </c>
      <c r="G866" s="1915">
        <v>2</v>
      </c>
      <c r="H866" s="1245">
        <f t="shared" ca="1" si="177"/>
        <v>0</v>
      </c>
      <c r="I866" s="1245">
        <f t="shared" ca="1" si="177"/>
        <v>0</v>
      </c>
      <c r="J866" s="1245">
        <f t="shared" ca="1" si="177"/>
        <v>0</v>
      </c>
      <c r="K866" s="1245">
        <f t="shared" ca="1" si="177"/>
        <v>0</v>
      </c>
      <c r="L866" s="1245">
        <f t="shared" si="177"/>
        <v>0</v>
      </c>
      <c r="M866" s="1245">
        <f t="shared" si="177"/>
        <v>0</v>
      </c>
      <c r="N866" s="1245">
        <f t="shared" si="177"/>
        <v>0</v>
      </c>
      <c r="O866" s="1245"/>
      <c r="P866" s="1245"/>
      <c r="Q866" s="1245"/>
      <c r="R866" s="1245"/>
      <c r="S866" s="1245"/>
      <c r="T866" s="1671"/>
      <c r="U866" s="1664" t="str">
        <f>IFERROR(VLOOKUP(B866,ChiTietDuToan!C:H,5,0),"")</f>
        <v>bộ</v>
      </c>
      <c r="V866" s="2309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59" t="s">
        <v>1839</v>
      </c>
      <c r="C867" s="1189" t="str">
        <f t="shared" ca="1" si="165"/>
        <v xml:space="preserve"> </v>
      </c>
      <c r="D867" s="1236"/>
      <c r="E867" s="1248" t="str">
        <f>VLOOKUP($B867,DG!A:D,DG!$C$2,)</f>
        <v>Boulon 16x50+ 2 long đền vuông D18-50x50x3/Zn</v>
      </c>
      <c r="F867" s="1236" t="str">
        <f>VLOOKUP($B867,DG!A:D,DG!$D$2,)</f>
        <v>bộ</v>
      </c>
      <c r="G867" s="1915">
        <v>2</v>
      </c>
      <c r="H867" s="1245">
        <f t="shared" ca="1" si="177"/>
        <v>0</v>
      </c>
      <c r="I867" s="1245">
        <f t="shared" ca="1" si="177"/>
        <v>0</v>
      </c>
      <c r="J867" s="1245">
        <f t="shared" ca="1" si="177"/>
        <v>0</v>
      </c>
      <c r="K867" s="1245">
        <f t="shared" ca="1" si="177"/>
        <v>0</v>
      </c>
      <c r="L867" s="1245">
        <f t="shared" si="177"/>
        <v>0</v>
      </c>
      <c r="M867" s="1245">
        <f t="shared" si="177"/>
        <v>0</v>
      </c>
      <c r="N867" s="1245">
        <f t="shared" si="177"/>
        <v>0</v>
      </c>
      <c r="O867" s="1245"/>
      <c r="P867" s="1245"/>
      <c r="Q867" s="1245"/>
      <c r="R867" s="1245"/>
      <c r="S867" s="1245"/>
      <c r="T867" s="1671"/>
      <c r="U867" s="1664" t="str">
        <f>IFERROR(VLOOKUP(B867,ChiTietDuToan!C:H,5,0),"")</f>
        <v>bộ</v>
      </c>
      <c r="V867" s="2309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59" t="s">
        <v>519</v>
      </c>
      <c r="C868" s="1189" t="str">
        <f t="shared" si="165"/>
        <v xml:space="preserve"> </v>
      </c>
      <c r="D868" s="1236" t="str">
        <f>VLOOKUP($B868,DG!A:D,DG!$B$2,)</f>
        <v>05.6102</v>
      </c>
      <c r="E868" s="1241" t="str">
        <f>VLOOKUP($B868,DG!A:D,DG!$C$2,)</f>
        <v>Lắp xà đỡ ≤ 50kg</v>
      </c>
      <c r="F868" s="1236" t="str">
        <f>VLOOKUP($B868,DG!A:D,DG!$D$2,)</f>
        <v>bộ</v>
      </c>
      <c r="G868" s="1915">
        <v>1</v>
      </c>
      <c r="H868" s="1250"/>
      <c r="I868" s="1250"/>
      <c r="J868" s="1250"/>
      <c r="K868" s="1250"/>
      <c r="L868" s="1250"/>
      <c r="M868" s="1250"/>
      <c r="N868" s="1250"/>
      <c r="O868" s="1250"/>
      <c r="P868" s="1250"/>
      <c r="Q868" s="1250"/>
      <c r="R868" s="1250"/>
      <c r="S868" s="1250"/>
      <c r="T868" s="1671"/>
      <c r="U868" s="1664" t="str">
        <f>IFERROR(VLOOKUP(B868,ChiTietDuToan!C:H,5,0),"")</f>
        <v/>
      </c>
      <c r="V868" s="2309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59" t="s">
        <v>2049</v>
      </c>
      <c r="C869" s="1189" t="str">
        <f t="shared" si="165"/>
        <v xml:space="preserve"> </v>
      </c>
      <c r="D869" s="1236" t="str">
        <f>VLOOKUP($B869,DG!A:D,DG!$B$2,)</f>
        <v>02.1115</v>
      </c>
      <c r="E869" s="1241" t="str">
        <f>VLOOKUP($B869,DG!A:D,DG!$C$2,)</f>
        <v>Bốc dỡ xà, thép thanh</v>
      </c>
      <c r="F869" s="1236" t="str">
        <f>VLOOKUP($B869,DG!A:D,DG!$D$2,)</f>
        <v>tấn</v>
      </c>
      <c r="G869" s="1913"/>
      <c r="H869" s="1250"/>
      <c r="I869" s="1250"/>
      <c r="J869" s="1250"/>
      <c r="K869" s="1250"/>
      <c r="L869" s="1250"/>
      <c r="M869" s="1250"/>
      <c r="N869" s="1250"/>
      <c r="O869" s="1250"/>
      <c r="P869" s="1250"/>
      <c r="Q869" s="1250"/>
      <c r="R869" s="1250"/>
      <c r="S869" s="1250"/>
      <c r="T869" s="1671"/>
      <c r="U869" s="1664" t="str">
        <f>IFERROR(VLOOKUP(B869,ChiTietDuToan!C:H,5,0),"")</f>
        <v/>
      </c>
      <c r="V869" s="2309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74" t="s">
        <v>2050</v>
      </c>
      <c r="C870" s="1189" t="str">
        <f t="shared" si="165"/>
        <v xml:space="preserve"> </v>
      </c>
      <c r="D870" s="1236" t="str">
        <f>VLOOKUP($B870,DG!A:C,2,)</f>
        <v>02.1361</v>
      </c>
      <c r="E870" s="1241" t="str">
        <f>VLOOKUP($B870,DG!A:C,3,)</f>
        <v>V/c xà vào vị trí (cư ly &lt;=100m)</v>
      </c>
      <c r="F870" s="1236" t="str">
        <f>VLOOKUP($B870,DG!A:D,4,0)</f>
        <v>tấn</v>
      </c>
      <c r="G870" s="1913"/>
      <c r="H870" s="1250"/>
      <c r="I870" s="1250"/>
      <c r="J870" s="1250"/>
      <c r="K870" s="1250"/>
      <c r="L870" s="1250"/>
      <c r="M870" s="1250"/>
      <c r="N870" s="1250"/>
      <c r="O870" s="1250"/>
      <c r="P870" s="1250"/>
      <c r="Q870" s="1250"/>
      <c r="R870" s="1250"/>
      <c r="S870" s="1250"/>
      <c r="T870" s="1671"/>
      <c r="U870" s="1664" t="str">
        <f>IFERROR(VLOOKUP(B870,ChiTietDuToan!C:H,5,0),"")</f>
        <v/>
      </c>
      <c r="V870" s="2309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74" t="s">
        <v>640</v>
      </c>
      <c r="C871" s="1189" t="str">
        <f t="shared" si="165"/>
        <v xml:space="preserve"> </v>
      </c>
      <c r="D871" s="1236" t="str">
        <f>VLOOKUP($B871,DG!A:C,2,)</f>
        <v>02.1482</v>
      </c>
      <c r="E871" s="1241" t="str">
        <f>VLOOKUP($B871,DG!A:C,3,)</f>
        <v>V/c dụng cụ thi công vào vị trí (cự ly &lt;=100m)</v>
      </c>
      <c r="F871" s="1236" t="str">
        <f>VLOOKUP($B871,DG!A:D,4,0)</f>
        <v>tấn</v>
      </c>
      <c r="G871" s="1914"/>
      <c r="H871" s="1250"/>
      <c r="I871" s="1250"/>
      <c r="J871" s="1250"/>
      <c r="K871" s="1250"/>
      <c r="L871" s="1250"/>
      <c r="M871" s="1250"/>
      <c r="N871" s="1250"/>
      <c r="O871" s="1250"/>
      <c r="P871" s="1250"/>
      <c r="Q871" s="1250"/>
      <c r="R871" s="1250"/>
      <c r="S871" s="1250"/>
      <c r="T871" s="1671"/>
      <c r="U871" s="1664" t="str">
        <f>IFERROR(VLOOKUP(B871,ChiTietDuToan!C:H,5,0),"")</f>
        <v/>
      </c>
      <c r="V871" s="2309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56"/>
      <c r="C872" s="1189" t="str">
        <f t="shared" ca="1" si="165"/>
        <v xml:space="preserve"> </v>
      </c>
      <c r="D872" s="1237"/>
      <c r="E872" s="1666" t="s">
        <v>2490</v>
      </c>
      <c r="F872" s="1238" t="s">
        <v>2449</v>
      </c>
      <c r="G872" s="1912"/>
      <c r="H872" s="1523">
        <f ca="1">SUM(I872:O872)+T872</f>
        <v>0</v>
      </c>
      <c r="I872" s="1239">
        <f ca="1">SUMIF(xa3pm,chitiet!$A872,slxa3pm)</f>
        <v>0</v>
      </c>
      <c r="J872" s="1239">
        <f ca="1">SUMIF(xact,chitiet!$A872,slxact)</f>
        <v>0</v>
      </c>
      <c r="K872" s="1239">
        <f ca="1">SUMIF(xa3p1m,chitiet!$A872,slxa3p1m)</f>
        <v>0</v>
      </c>
      <c r="L872" s="1239">
        <f>IFERROR(HLOOKUP(A872,pp1p!$6:$90,85,0),0)</f>
        <v>0</v>
      </c>
      <c r="M872" s="1239"/>
      <c r="N872" s="1239"/>
      <c r="O872" s="1239"/>
      <c r="P872" s="1239">
        <f ca="1">H872+Q872-R872</f>
        <v>0</v>
      </c>
      <c r="Q872" s="1239"/>
      <c r="R872" s="1239"/>
      <c r="S872" s="1239"/>
      <c r="T872" s="1671"/>
      <c r="U872" s="1664">
        <f>IFERROR(VLOOKUP(B872,ChiTietDuToan!C:H,5,0),"")</f>
        <v>0</v>
      </c>
      <c r="V872" s="2309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59" t="s">
        <v>110</v>
      </c>
      <c r="C873" s="1189" t="str">
        <f t="shared" ca="1" si="165"/>
        <v xml:space="preserve"> </v>
      </c>
      <c r="D873" s="1236"/>
      <c r="E873" s="1248" t="str">
        <f>VLOOKUP($B873,DG!A:D,DG!$C$2,)</f>
        <v>Sắt góc L75 x75 x8</v>
      </c>
      <c r="F873" s="1236" t="str">
        <f>VLOOKUP($B873,DG!A:D,DG!$D$2,)</f>
        <v>kg</v>
      </c>
      <c r="G873" s="1914">
        <f>9.02*(2.4+4*0.07)*2</f>
        <v>48.347199999999994</v>
      </c>
      <c r="H873" s="1245">
        <f t="shared" ref="H873:N873" ca="1" si="178">H$872*$G873</f>
        <v>0</v>
      </c>
      <c r="I873" s="1245">
        <f t="shared" ca="1" si="178"/>
        <v>0</v>
      </c>
      <c r="J873" s="1245">
        <f t="shared" ca="1" si="178"/>
        <v>0</v>
      </c>
      <c r="K873" s="1245">
        <f t="shared" ca="1" si="178"/>
        <v>0</v>
      </c>
      <c r="L873" s="1245">
        <f t="shared" si="178"/>
        <v>0</v>
      </c>
      <c r="M873" s="1245">
        <f t="shared" si="178"/>
        <v>0</v>
      </c>
      <c r="N873" s="1245">
        <f t="shared" si="178"/>
        <v>0</v>
      </c>
      <c r="O873" s="1245"/>
      <c r="P873" s="1245"/>
      <c r="Q873" s="1245"/>
      <c r="R873" s="1245"/>
      <c r="S873" s="1245"/>
      <c r="T873" s="1671"/>
      <c r="U873" s="1664" t="str">
        <f>IFERROR(VLOOKUP(B873,ChiTietDuToan!C:H,5,0),"")</f>
        <v/>
      </c>
      <c r="V873" s="2309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59" t="s">
        <v>460</v>
      </c>
      <c r="C874" s="1189" t="str">
        <f t="shared" ca="1" si="165"/>
        <v xml:space="preserve"> </v>
      </c>
      <c r="D874" s="1236"/>
      <c r="E874" s="1248" t="str">
        <f>VLOOKUP($B874,DG!A:D,DG!$C$2,)&amp;" (chống 920)"</f>
        <v>Sắt góc L50 x50 x5 (chống 920)</v>
      </c>
      <c r="F874" s="1236" t="str">
        <f>VLOOKUP($B874,DG!A:D,DG!$D$2,)</f>
        <v>kg</v>
      </c>
      <c r="G874" s="1914">
        <f>3.77*0.92*4</f>
        <v>13.873600000000001</v>
      </c>
      <c r="H874" s="1245">
        <f t="shared" ref="H874:N877" ca="1" si="179">H$872*$G874</f>
        <v>0</v>
      </c>
      <c r="I874" s="1245">
        <f t="shared" ca="1" si="179"/>
        <v>0</v>
      </c>
      <c r="J874" s="1245">
        <f t="shared" ca="1" si="179"/>
        <v>0</v>
      </c>
      <c r="K874" s="1245">
        <f t="shared" ca="1" si="179"/>
        <v>0</v>
      </c>
      <c r="L874" s="1245">
        <f t="shared" si="179"/>
        <v>0</v>
      </c>
      <c r="M874" s="1245">
        <f t="shared" si="179"/>
        <v>0</v>
      </c>
      <c r="N874" s="1245">
        <f t="shared" si="179"/>
        <v>0</v>
      </c>
      <c r="O874" s="1245"/>
      <c r="P874" s="1245"/>
      <c r="Q874" s="1245"/>
      <c r="R874" s="1245"/>
      <c r="S874" s="1245"/>
      <c r="T874" s="1671"/>
      <c r="U874" s="1664" t="str">
        <f>IFERROR(VLOOKUP(B874,ChiTietDuToan!C:H,5,0),"")</f>
        <v/>
      </c>
      <c r="V874" s="2309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59" t="s">
        <v>1661</v>
      </c>
      <c r="C875" s="1189" t="str">
        <f t="shared" ca="1" si="165"/>
        <v xml:space="preserve"> </v>
      </c>
      <c r="D875" s="1236"/>
      <c r="E875" s="1248" t="str">
        <f>VLOOKUP($B875,DG!A:D,DG!$C$2,)</f>
        <v>Boulon 16x250+ 2 long đền vuông D18-50x50x3/Zn</v>
      </c>
      <c r="F875" s="1236" t="str">
        <f>VLOOKUP($B875,DG!A:D,DG!$D$2,)</f>
        <v>bộ</v>
      </c>
      <c r="G875" s="1915">
        <v>1</v>
      </c>
      <c r="H875" s="1245">
        <f t="shared" ca="1" si="179"/>
        <v>0</v>
      </c>
      <c r="I875" s="1245">
        <f t="shared" ca="1" si="179"/>
        <v>0</v>
      </c>
      <c r="J875" s="1245">
        <f t="shared" ca="1" si="179"/>
        <v>0</v>
      </c>
      <c r="K875" s="1245">
        <f t="shared" ca="1" si="179"/>
        <v>0</v>
      </c>
      <c r="L875" s="1245">
        <f t="shared" si="179"/>
        <v>0</v>
      </c>
      <c r="M875" s="1245">
        <f t="shared" si="179"/>
        <v>0</v>
      </c>
      <c r="N875" s="1245">
        <f t="shared" si="179"/>
        <v>0</v>
      </c>
      <c r="O875" s="1245"/>
      <c r="P875" s="1245"/>
      <c r="Q875" s="1245"/>
      <c r="R875" s="1245"/>
      <c r="S875" s="1245"/>
      <c r="T875" s="1671"/>
      <c r="U875" s="1664" t="str">
        <f>IFERROR(VLOOKUP(B875,ChiTietDuToan!C:H,5,0),"")</f>
        <v>bộ</v>
      </c>
      <c r="V875" s="2309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59" t="s">
        <v>1662</v>
      </c>
      <c r="C876" s="1189" t="str">
        <f t="shared" ca="1" si="165"/>
        <v xml:space="preserve"> </v>
      </c>
      <c r="D876" s="1236"/>
      <c r="E876" s="1248" t="str">
        <f>VLOOKUP($B876,DG!A:D,DG!$C$2,)</f>
        <v>Boulon 16x300+ 2 long đền vuông D18-50x50x3/Zn</v>
      </c>
      <c r="F876" s="1236" t="str">
        <f>VLOOKUP($B876,DG!A:D,DG!$D$2,)</f>
        <v>bộ</v>
      </c>
      <c r="G876" s="1915">
        <v>1</v>
      </c>
      <c r="H876" s="1245">
        <f t="shared" ca="1" si="179"/>
        <v>0</v>
      </c>
      <c r="I876" s="1245">
        <f t="shared" ca="1" si="179"/>
        <v>0</v>
      </c>
      <c r="J876" s="1245">
        <f t="shared" ca="1" si="179"/>
        <v>0</v>
      </c>
      <c r="K876" s="1245">
        <f t="shared" ca="1" si="179"/>
        <v>0</v>
      </c>
      <c r="L876" s="1245">
        <f t="shared" si="179"/>
        <v>0</v>
      </c>
      <c r="M876" s="1245">
        <f t="shared" si="179"/>
        <v>0</v>
      </c>
      <c r="N876" s="1245">
        <f t="shared" si="179"/>
        <v>0</v>
      </c>
      <c r="O876" s="1245"/>
      <c r="P876" s="1245"/>
      <c r="Q876" s="1245"/>
      <c r="R876" s="1245"/>
      <c r="S876" s="1245"/>
      <c r="T876" s="1671"/>
      <c r="U876" s="1664" t="str">
        <f>IFERROR(VLOOKUP(B876,ChiTietDuToan!C:H,5,0),"")</f>
        <v>bộ</v>
      </c>
      <c r="V876" s="2309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59" t="s">
        <v>418</v>
      </c>
      <c r="C877" s="1189" t="str">
        <f t="shared" ca="1" si="165"/>
        <v xml:space="preserve"> </v>
      </c>
      <c r="D877" s="1236"/>
      <c r="E877" s="1248" t="str">
        <f>VLOOKUP($B877,DG!A:D,DG!$C$2,)</f>
        <v>Boulon 16x300VRS+ 4 long đền vuông D18-50x50x3/Zn</v>
      </c>
      <c r="F877" s="1236" t="str">
        <f>VLOOKUP($B877,DG!A:D,DG!$D$2,)</f>
        <v>bộ</v>
      </c>
      <c r="G877" s="1915">
        <v>4</v>
      </c>
      <c r="H877" s="1245">
        <f t="shared" ca="1" si="179"/>
        <v>0</v>
      </c>
      <c r="I877" s="1245">
        <f t="shared" ca="1" si="179"/>
        <v>0</v>
      </c>
      <c r="J877" s="1245">
        <f t="shared" ca="1" si="179"/>
        <v>0</v>
      </c>
      <c r="K877" s="1245">
        <f t="shared" ca="1" si="179"/>
        <v>0</v>
      </c>
      <c r="L877" s="1245">
        <f t="shared" si="179"/>
        <v>0</v>
      </c>
      <c r="M877" s="1245">
        <f t="shared" si="179"/>
        <v>0</v>
      </c>
      <c r="N877" s="1245">
        <f t="shared" si="179"/>
        <v>0</v>
      </c>
      <c r="O877" s="1245"/>
      <c r="P877" s="1245"/>
      <c r="Q877" s="1245"/>
      <c r="R877" s="1245"/>
      <c r="S877" s="1245"/>
      <c r="T877" s="1671"/>
      <c r="U877" s="1664" t="str">
        <f>IFERROR(VLOOKUP(B877,ChiTietDuToan!C:H,5,0),"")</f>
        <v>bộ</v>
      </c>
      <c r="V877" s="2309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59" t="s">
        <v>520</v>
      </c>
      <c r="C878" s="1189" t="str">
        <f t="shared" si="165"/>
        <v xml:space="preserve"> </v>
      </c>
      <c r="D878" s="1252" t="str">
        <f>VLOOKUP($B878,DG!A:D,DG!$B$2,)</f>
        <v>05.6203</v>
      </c>
      <c r="E878" s="1241" t="str">
        <f>VLOOKUP($B878,DG!A:D,DG!$C$2,)</f>
        <v>Lắp xà néo ≤ 100kg</v>
      </c>
      <c r="F878" s="1236" t="str">
        <f>VLOOKUP($B878,DG!A:D,DG!$D$2,)</f>
        <v>bộ</v>
      </c>
      <c r="G878" s="1915">
        <v>1</v>
      </c>
      <c r="H878" s="1250"/>
      <c r="I878" s="1250"/>
      <c r="J878" s="1250"/>
      <c r="K878" s="1250"/>
      <c r="L878" s="1250"/>
      <c r="M878" s="1250"/>
      <c r="N878" s="1250"/>
      <c r="O878" s="1250"/>
      <c r="P878" s="1250"/>
      <c r="Q878" s="1250"/>
      <c r="R878" s="1250"/>
      <c r="S878" s="1250"/>
      <c r="T878" s="1671"/>
      <c r="U878" s="1664" t="str">
        <f>IFERROR(VLOOKUP(B878,ChiTietDuToan!C:H,5,0),"")</f>
        <v/>
      </c>
      <c r="V878" s="2309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59" t="s">
        <v>2049</v>
      </c>
      <c r="C879" s="1189" t="str">
        <f t="shared" si="165"/>
        <v xml:space="preserve"> </v>
      </c>
      <c r="D879" s="1236" t="str">
        <f>VLOOKUP($B879,DG!A:D,DG!$B$2,)</f>
        <v>02.1115</v>
      </c>
      <c r="E879" s="1241" t="str">
        <f>VLOOKUP($B879,DG!A:D,DG!$C$2,)</f>
        <v>Bốc dỡ xà, thép thanh</v>
      </c>
      <c r="F879" s="1236" t="str">
        <f>VLOOKUP($B879,DG!A:D,DG!$D$2,)</f>
        <v>tấn</v>
      </c>
      <c r="G879" s="1913">
        <f>G880</f>
        <v>0</v>
      </c>
      <c r="H879" s="1250"/>
      <c r="I879" s="1250"/>
      <c r="J879" s="1250"/>
      <c r="K879" s="1250"/>
      <c r="L879" s="1250"/>
      <c r="M879" s="1250"/>
      <c r="N879" s="1250"/>
      <c r="O879" s="1250"/>
      <c r="P879" s="1250"/>
      <c r="Q879" s="1250"/>
      <c r="R879" s="1250"/>
      <c r="S879" s="1250"/>
      <c r="T879" s="1671"/>
      <c r="U879" s="1664" t="str">
        <f>IFERROR(VLOOKUP(B879,ChiTietDuToan!C:H,5,0),"")</f>
        <v/>
      </c>
      <c r="V879" s="2309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74" t="s">
        <v>2050</v>
      </c>
      <c r="C880" s="1189" t="str">
        <f t="shared" si="165"/>
        <v xml:space="preserve"> </v>
      </c>
      <c r="D880" s="1236" t="str">
        <f>VLOOKUP($B880,DG!A:C,2,)</f>
        <v>02.1361</v>
      </c>
      <c r="E880" s="1241" t="str">
        <f>VLOOKUP($B880,DG!A:C,3,)</f>
        <v>V/c xà vào vị trí (cư ly &lt;=100m)</v>
      </c>
      <c r="F880" s="1236" t="str">
        <f>VLOOKUP($B880,DG!A:D,4,0)</f>
        <v>tấn</v>
      </c>
      <c r="G880" s="1913">
        <f>ROUND(SUM(G873:G874)*1.05/1000,3)*0</f>
        <v>0</v>
      </c>
      <c r="H880" s="1250"/>
      <c r="I880" s="1250"/>
      <c r="J880" s="1250"/>
      <c r="K880" s="1250"/>
      <c r="L880" s="1250"/>
      <c r="M880" s="1250"/>
      <c r="N880" s="1250"/>
      <c r="O880" s="1250"/>
      <c r="P880" s="1250"/>
      <c r="Q880" s="1250"/>
      <c r="R880" s="1250"/>
      <c r="S880" s="1250"/>
      <c r="T880" s="1671"/>
      <c r="U880" s="1664" t="str">
        <f>IFERROR(VLOOKUP(B880,ChiTietDuToan!C:H,5,0),"")</f>
        <v/>
      </c>
      <c r="V880" s="2309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74" t="s">
        <v>640</v>
      </c>
      <c r="C881" s="1189" t="str">
        <f t="shared" si="165"/>
        <v xml:space="preserve"> </v>
      </c>
      <c r="D881" s="1236" t="str">
        <f>VLOOKUP($B881,DG!A:C,2,)</f>
        <v>02.1482</v>
      </c>
      <c r="E881" s="1241" t="str">
        <f>VLOOKUP($B881,DG!A:C,3,)</f>
        <v>V/c dụng cụ thi công vào vị trí (cự ly &lt;=100m)</v>
      </c>
      <c r="F881" s="1236" t="str">
        <f>VLOOKUP($B881,DG!A:D,4,0)</f>
        <v>tấn</v>
      </c>
      <c r="G881" s="1914">
        <f>0.05*0</f>
        <v>0</v>
      </c>
      <c r="H881" s="1250"/>
      <c r="I881" s="1250"/>
      <c r="J881" s="1250"/>
      <c r="K881" s="1250"/>
      <c r="L881" s="1250"/>
      <c r="M881" s="1250"/>
      <c r="N881" s="1250"/>
      <c r="O881" s="1250"/>
      <c r="P881" s="1250"/>
      <c r="Q881" s="1250"/>
      <c r="R881" s="1250"/>
      <c r="S881" s="1250"/>
      <c r="T881" s="1671"/>
      <c r="U881" s="1664" t="str">
        <f>IFERROR(VLOOKUP(B881,ChiTietDuToan!C:H,5,0),"")</f>
        <v/>
      </c>
      <c r="V881" s="2309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56"/>
      <c r="C882" s="1189" t="str">
        <f t="shared" ca="1" si="165"/>
        <v xml:space="preserve"> </v>
      </c>
      <c r="D882" s="1237"/>
      <c r="E882" s="1666" t="s">
        <v>2491</v>
      </c>
      <c r="F882" s="1238" t="s">
        <v>2449</v>
      </c>
      <c r="G882" s="1912"/>
      <c r="H882" s="1523">
        <f ca="1">SUM(I882:O882)+T882</f>
        <v>0</v>
      </c>
      <c r="I882" s="1239">
        <f ca="1">SUMIF(xa3pm,chitiet!$A882,slxa3pm)</f>
        <v>0</v>
      </c>
      <c r="J882" s="1239">
        <f ca="1">SUMIF(xact,chitiet!$A882,slxact)</f>
        <v>0</v>
      </c>
      <c r="K882" s="1239"/>
      <c r="L882" s="1239">
        <f>IFERROR(HLOOKUP(A882,pp1p!$6:$90,85,0),0)</f>
        <v>0</v>
      </c>
      <c r="M882" s="1239"/>
      <c r="N882" s="1239"/>
      <c r="O882" s="1239"/>
      <c r="P882" s="1239">
        <f ca="1">H882+Q882-R882</f>
        <v>0</v>
      </c>
      <c r="Q882" s="1239"/>
      <c r="R882" s="1239"/>
      <c r="S882" s="1239"/>
      <c r="T882" s="1671"/>
      <c r="U882" s="1664">
        <f>IFERROR(VLOOKUP(B882,ChiTietDuToan!C:H,5,0),"")</f>
        <v>0</v>
      </c>
      <c r="V882" s="2309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59" t="s">
        <v>521</v>
      </c>
      <c r="C883" s="1189" t="str">
        <f t="shared" si="165"/>
        <v xml:space="preserve"> </v>
      </c>
      <c r="D883" s="1236" t="str">
        <f>VLOOKUP($B883,DG!A:D,DG!$B$2,)</f>
        <v>05.6203</v>
      </c>
      <c r="E883" s="1241" t="str">
        <f>VLOOKUP($B883,DG!A:D,DG!$C$2,)</f>
        <v>Lắp xà néo ≤ 100kg</v>
      </c>
      <c r="F883" s="1236" t="str">
        <f>VLOOKUP($B883,DG!A:D,DG!$D$2,)</f>
        <v>bộ</v>
      </c>
      <c r="G883" s="1915">
        <v>1</v>
      </c>
      <c r="H883" s="1250"/>
      <c r="I883" s="1250"/>
      <c r="J883" s="1250"/>
      <c r="K883" s="1250"/>
      <c r="L883" s="1250"/>
      <c r="M883" s="1250"/>
      <c r="N883" s="1250"/>
      <c r="O883" s="1250"/>
      <c r="P883" s="1250"/>
      <c r="Q883" s="1250"/>
      <c r="R883" s="1250"/>
      <c r="S883" s="1250"/>
      <c r="T883" s="1671"/>
      <c r="U883" s="1664" t="str">
        <f>IFERROR(VLOOKUP(B883,ChiTietDuToan!C:H,5,0),"")</f>
        <v/>
      </c>
      <c r="V883" s="2309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59" t="s">
        <v>2049</v>
      </c>
      <c r="C884" s="1189" t="str">
        <f t="shared" si="165"/>
        <v xml:space="preserve"> </v>
      </c>
      <c r="D884" s="1236" t="str">
        <f>VLOOKUP($B884,DG!A:D,DG!$B$2,)</f>
        <v>02.1115</v>
      </c>
      <c r="E884" s="1241" t="str">
        <f>VLOOKUP($B884,DG!A:D,DG!$C$2,)</f>
        <v>Bốc dỡ xà, thép thanh</v>
      </c>
      <c r="F884" s="1236" t="str">
        <f>VLOOKUP($B884,DG!A:D,DG!$D$2,)</f>
        <v>tấn</v>
      </c>
      <c r="G884" s="1913">
        <v>5.0999999999999997E-2</v>
      </c>
      <c r="H884" s="1250"/>
      <c r="I884" s="1250"/>
      <c r="J884" s="1250"/>
      <c r="K884" s="1250"/>
      <c r="L884" s="1250"/>
      <c r="M884" s="1250"/>
      <c r="N884" s="1250"/>
      <c r="O884" s="1250"/>
      <c r="P884" s="1250"/>
      <c r="Q884" s="1250"/>
      <c r="R884" s="1250"/>
      <c r="S884" s="1250"/>
      <c r="T884" s="1671"/>
      <c r="U884" s="1664" t="str">
        <f>IFERROR(VLOOKUP(B884,ChiTietDuToan!C:H,5,0),"")</f>
        <v/>
      </c>
      <c r="V884" s="2309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74" t="s">
        <v>2050</v>
      </c>
      <c r="C885" s="1189" t="str">
        <f t="shared" si="165"/>
        <v xml:space="preserve"> </v>
      </c>
      <c r="D885" s="1236" t="str">
        <f>VLOOKUP($B885,DG!A:C,2,)</f>
        <v>02.1361</v>
      </c>
      <c r="E885" s="1241" t="str">
        <f>VLOOKUP($B885,DG!A:C,3,)</f>
        <v>V/c xà vào vị trí (cư ly &lt;=100m)</v>
      </c>
      <c r="F885" s="1236" t="str">
        <f>VLOOKUP($B885,DG!A:D,4,0)</f>
        <v>tấn</v>
      </c>
      <c r="G885" s="1913">
        <v>5.0999999999999997E-2</v>
      </c>
      <c r="H885" s="1250"/>
      <c r="I885" s="1250"/>
      <c r="J885" s="1250"/>
      <c r="K885" s="1250"/>
      <c r="L885" s="1250"/>
      <c r="M885" s="1250"/>
      <c r="N885" s="1250"/>
      <c r="O885" s="1250"/>
      <c r="P885" s="1250"/>
      <c r="Q885" s="1250"/>
      <c r="R885" s="1250"/>
      <c r="S885" s="1250"/>
      <c r="T885" s="1671"/>
      <c r="U885" s="1664" t="str">
        <f>IFERROR(VLOOKUP(B885,ChiTietDuToan!C:H,5,0),"")</f>
        <v/>
      </c>
      <c r="V885" s="2309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74" t="s">
        <v>640</v>
      </c>
      <c r="C886" s="1189" t="str">
        <f t="shared" si="165"/>
        <v xml:space="preserve"> </v>
      </c>
      <c r="D886" s="1236" t="str">
        <f>VLOOKUP($B886,DG!A:C,2,)</f>
        <v>02.1482</v>
      </c>
      <c r="E886" s="1241" t="str">
        <f>VLOOKUP($B886,DG!A:C,3,)</f>
        <v>V/c dụng cụ thi công vào vị trí (cự ly &lt;=100m)</v>
      </c>
      <c r="F886" s="1236" t="str">
        <f>VLOOKUP($B886,DG!A:D,4,0)</f>
        <v>tấn</v>
      </c>
      <c r="G886" s="1914"/>
      <c r="H886" s="1250"/>
      <c r="I886" s="1250"/>
      <c r="J886" s="1250"/>
      <c r="K886" s="1250"/>
      <c r="L886" s="1250"/>
      <c r="M886" s="1250"/>
      <c r="N886" s="1250"/>
      <c r="O886" s="1250"/>
      <c r="P886" s="1250"/>
      <c r="Q886" s="1250"/>
      <c r="R886" s="1250"/>
      <c r="S886" s="1250"/>
      <c r="T886" s="1671"/>
      <c r="U886" s="1664" t="str">
        <f>IFERROR(VLOOKUP(B886,ChiTietDuToan!C:H,5,0),"")</f>
        <v/>
      </c>
      <c r="V886" s="2309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56"/>
      <c r="C887" s="1189" t="str">
        <f t="shared" ca="1" si="165"/>
        <v xml:space="preserve"> </v>
      </c>
      <c r="D887" s="1237"/>
      <c r="E887" s="1666" t="s">
        <v>2492</v>
      </c>
      <c r="F887" s="1238" t="s">
        <v>2449</v>
      </c>
      <c r="G887" s="1912"/>
      <c r="H887" s="1523">
        <f ca="1">SUM(I887:O887)+T887</f>
        <v>0</v>
      </c>
      <c r="I887" s="1239">
        <f ca="1">SUMIF(xa3pm,chitiet!$A887,slxa3pm)</f>
        <v>0</v>
      </c>
      <c r="J887" s="1239">
        <f ca="1">SUMIF(xact,chitiet!$A887,slxact)</f>
        <v>0</v>
      </c>
      <c r="K887" s="1239">
        <f ca="1">SUMIF(xa3p1m,chitiet!$A887,slxa3p1m)</f>
        <v>0</v>
      </c>
      <c r="L887" s="1239">
        <f>IFERROR(HLOOKUP(A887,pp1p!$6:$90,85,0),0)</f>
        <v>0</v>
      </c>
      <c r="M887" s="1239"/>
      <c r="N887" s="1239"/>
      <c r="O887" s="1239"/>
      <c r="P887" s="1239">
        <f ca="1">H887+Q887-R887</f>
        <v>0</v>
      </c>
      <c r="Q887" s="1239"/>
      <c r="R887" s="1239"/>
      <c r="S887" s="1239"/>
      <c r="T887" s="1671"/>
      <c r="U887" s="1664">
        <f>IFERROR(VLOOKUP(B887,ChiTietDuToan!C:H,5,0),"")</f>
        <v>0</v>
      </c>
      <c r="V887" s="2309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59" t="s">
        <v>110</v>
      </c>
      <c r="C888" s="1189" t="str">
        <f t="shared" ca="1" si="165"/>
        <v xml:space="preserve"> </v>
      </c>
      <c r="D888" s="1236"/>
      <c r="E888" s="1248" t="str">
        <f>VLOOKUP($B888,DG!A:D,DG!$C$2,)</f>
        <v>Sắt góc L75 x75 x8</v>
      </c>
      <c r="F888" s="1236" t="str">
        <f>VLOOKUP($B888,DG!A:D,DG!$D$2,)</f>
        <v>kg</v>
      </c>
      <c r="G888" s="1914">
        <f>9.42*(0.8+0.07)</f>
        <v>8.1954000000000011</v>
      </c>
      <c r="H888" s="1245">
        <f ca="1">H$887*$G888</f>
        <v>0</v>
      </c>
      <c r="I888" s="1245">
        <f t="shared" ref="I888:N891" ca="1" si="180">I$887*$G888</f>
        <v>0</v>
      </c>
      <c r="J888" s="1245">
        <f t="shared" ca="1" si="180"/>
        <v>0</v>
      </c>
      <c r="K888" s="1245">
        <f t="shared" ca="1" si="180"/>
        <v>0</v>
      </c>
      <c r="L888" s="1245">
        <f t="shared" si="180"/>
        <v>0</v>
      </c>
      <c r="M888" s="1245">
        <f t="shared" si="180"/>
        <v>0</v>
      </c>
      <c r="N888" s="1245">
        <f t="shared" si="180"/>
        <v>0</v>
      </c>
      <c r="O888" s="1245"/>
      <c r="P888" s="1245"/>
      <c r="Q888" s="1245"/>
      <c r="R888" s="1245"/>
      <c r="S888" s="1245"/>
      <c r="T888" s="1671"/>
      <c r="U888" s="1664" t="str">
        <f>IFERROR(VLOOKUP(B888,ChiTietDuToan!C:H,5,0),"")</f>
        <v/>
      </c>
      <c r="V888" s="2309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59" t="s">
        <v>460</v>
      </c>
      <c r="C889" s="1189" t="str">
        <f t="shared" ca="1" si="165"/>
        <v xml:space="preserve"> </v>
      </c>
      <c r="D889" s="1236"/>
      <c r="E889" s="1248" t="str">
        <f>VLOOKUP($B889,DG!A:D,DG!$C$2,)</f>
        <v>Sắt góc L50 x50 x5</v>
      </c>
      <c r="F889" s="1236" t="str">
        <f>VLOOKUP($B889,DG!A:D,DG!$D$2,)</f>
        <v>kg</v>
      </c>
      <c r="G889" s="1914">
        <f>3.77*0.81</f>
        <v>3.0537000000000001</v>
      </c>
      <c r="H889" s="1245">
        <f ca="1">H$887*$G889</f>
        <v>0</v>
      </c>
      <c r="I889" s="1245">
        <f t="shared" ca="1" si="180"/>
        <v>0</v>
      </c>
      <c r="J889" s="1245">
        <f ca="1">J$887*$G889</f>
        <v>0</v>
      </c>
      <c r="K889" s="1245">
        <f t="shared" ca="1" si="180"/>
        <v>0</v>
      </c>
      <c r="L889" s="1245">
        <f t="shared" si="180"/>
        <v>0</v>
      </c>
      <c r="M889" s="1245">
        <f t="shared" si="180"/>
        <v>0</v>
      </c>
      <c r="N889" s="1245">
        <f t="shared" si="180"/>
        <v>0</v>
      </c>
      <c r="O889" s="1245"/>
      <c r="P889" s="1245"/>
      <c r="Q889" s="1245"/>
      <c r="R889" s="1245"/>
      <c r="S889" s="1245"/>
      <c r="T889" s="1671"/>
      <c r="U889" s="1664" t="str">
        <f>IFERROR(VLOOKUP(B889,ChiTietDuToan!C:H,5,0),"")</f>
        <v/>
      </c>
      <c r="V889" s="2309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59" t="s">
        <v>1661</v>
      </c>
      <c r="C890" s="1189" t="str">
        <f t="shared" ca="1" si="165"/>
        <v xml:space="preserve"> </v>
      </c>
      <c r="D890" s="1236"/>
      <c r="E890" s="1248" t="str">
        <f>VLOOKUP($B890,DG!A:D,DG!$C$2,)</f>
        <v>Boulon 16x250+ 2 long đền vuông D18-50x50x3/Zn</v>
      </c>
      <c r="F890" s="1236" t="str">
        <f>VLOOKUP($B890,DG!A:D,DG!$D$2,)</f>
        <v>bộ</v>
      </c>
      <c r="G890" s="1915">
        <v>2</v>
      </c>
      <c r="H890" s="1245">
        <f ca="1">H$887*$G890</f>
        <v>0</v>
      </c>
      <c r="I890" s="1245">
        <f t="shared" ca="1" si="180"/>
        <v>0</v>
      </c>
      <c r="J890" s="1245">
        <f t="shared" ca="1" si="180"/>
        <v>0</v>
      </c>
      <c r="K890" s="1245">
        <f t="shared" ca="1" si="180"/>
        <v>0</v>
      </c>
      <c r="L890" s="1245">
        <f t="shared" si="180"/>
        <v>0</v>
      </c>
      <c r="M890" s="1245">
        <f t="shared" si="180"/>
        <v>0</v>
      </c>
      <c r="N890" s="1245">
        <f t="shared" si="180"/>
        <v>0</v>
      </c>
      <c r="O890" s="1245"/>
      <c r="P890" s="1245"/>
      <c r="Q890" s="1245"/>
      <c r="R890" s="1245"/>
      <c r="S890" s="1245"/>
      <c r="T890" s="1671"/>
      <c r="U890" s="1664" t="str">
        <f>IFERROR(VLOOKUP(B890,ChiTietDuToan!C:H,5,0),"")</f>
        <v>bộ</v>
      </c>
      <c r="V890" s="2309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59" t="s">
        <v>1839</v>
      </c>
      <c r="C891" s="1189" t="str">
        <f t="shared" ca="1" si="165"/>
        <v xml:space="preserve"> </v>
      </c>
      <c r="D891" s="1236"/>
      <c r="E891" s="1248" t="str">
        <f>VLOOKUP($B891,DG!A:D,DG!$C$2,)</f>
        <v>Boulon 16x50+ 2 long đền vuông D18-50x50x3/Zn</v>
      </c>
      <c r="F891" s="1236" t="str">
        <f>VLOOKUP($B891,DG!A:D,DG!$D$2,)</f>
        <v>bộ</v>
      </c>
      <c r="G891" s="1915">
        <v>1</v>
      </c>
      <c r="H891" s="1245">
        <f ca="1">H$887*$G891</f>
        <v>0</v>
      </c>
      <c r="I891" s="1245">
        <f t="shared" ca="1" si="180"/>
        <v>0</v>
      </c>
      <c r="J891" s="1245">
        <f t="shared" ca="1" si="180"/>
        <v>0</v>
      </c>
      <c r="K891" s="1245">
        <f t="shared" ca="1" si="180"/>
        <v>0</v>
      </c>
      <c r="L891" s="1245">
        <f t="shared" si="180"/>
        <v>0</v>
      </c>
      <c r="M891" s="1245">
        <f t="shared" si="180"/>
        <v>0</v>
      </c>
      <c r="N891" s="1245">
        <f t="shared" si="180"/>
        <v>0</v>
      </c>
      <c r="O891" s="1245"/>
      <c r="P891" s="1245"/>
      <c r="Q891" s="1245"/>
      <c r="R891" s="1245"/>
      <c r="S891" s="1245"/>
      <c r="T891" s="1671"/>
      <c r="U891" s="1664" t="str">
        <f>IFERROR(VLOOKUP(B891,ChiTietDuToan!C:H,5,0),"")</f>
        <v>bộ</v>
      </c>
      <c r="V891" s="2309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79" t="s">
        <v>2048</v>
      </c>
      <c r="C892" s="1189" t="str">
        <f t="shared" si="165"/>
        <v xml:space="preserve"> </v>
      </c>
      <c r="D892" s="1236" t="str">
        <f>VLOOKUP($B892,DG!A:D,DG!$B$2,)</f>
        <v>05.6401</v>
      </c>
      <c r="E892" s="1241" t="str">
        <f>VLOOKUP($B892,DG!A:D,DG!$C$2,)</f>
        <v>Lắp xà đỡ ≤ 25kg</v>
      </c>
      <c r="F892" s="1236" t="str">
        <f>VLOOKUP($B892,DG!A:D,DG!$D$2,)</f>
        <v>bộ</v>
      </c>
      <c r="G892" s="1915">
        <v>1</v>
      </c>
      <c r="H892" s="1250"/>
      <c r="I892" s="1250"/>
      <c r="J892" s="1250"/>
      <c r="K892" s="1250"/>
      <c r="L892" s="1250"/>
      <c r="M892" s="1250"/>
      <c r="N892" s="1250"/>
      <c r="O892" s="1250"/>
      <c r="P892" s="1250"/>
      <c r="Q892" s="1250"/>
      <c r="R892" s="1250"/>
      <c r="S892" s="1250"/>
      <c r="T892" s="1671"/>
      <c r="U892" s="1664" t="str">
        <f>IFERROR(VLOOKUP(B892,ChiTietDuToan!C:H,5,0),"")</f>
        <v/>
      </c>
      <c r="V892" s="2309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59" t="s">
        <v>2049</v>
      </c>
      <c r="C893" s="1189" t="str">
        <f t="shared" si="165"/>
        <v xml:space="preserve"> </v>
      </c>
      <c r="D893" s="1236" t="str">
        <f>VLOOKUP($B893,DG!A:D,DG!$B$2,)</f>
        <v>02.1115</v>
      </c>
      <c r="E893" s="1241" t="str">
        <f>VLOOKUP($B893,DG!A:D,DG!$C$2,)</f>
        <v>Bốc dỡ xà, thép thanh</v>
      </c>
      <c r="F893" s="1236" t="str">
        <f>VLOOKUP($B893,DG!A:D,DG!$D$2,)</f>
        <v>tấn</v>
      </c>
      <c r="G893" s="1913"/>
      <c r="H893" s="1250"/>
      <c r="I893" s="1250"/>
      <c r="J893" s="1250"/>
      <c r="K893" s="1250"/>
      <c r="L893" s="1250"/>
      <c r="M893" s="1250"/>
      <c r="N893" s="1250"/>
      <c r="O893" s="1250"/>
      <c r="P893" s="1250"/>
      <c r="Q893" s="1250"/>
      <c r="R893" s="1250"/>
      <c r="S893" s="1250"/>
      <c r="T893" s="1671"/>
      <c r="U893" s="1664" t="str">
        <f>IFERROR(VLOOKUP(B893,ChiTietDuToan!C:H,5,0),"")</f>
        <v/>
      </c>
      <c r="V893" s="2309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74" t="s">
        <v>2050</v>
      </c>
      <c r="C894" s="1189" t="str">
        <f t="shared" si="165"/>
        <v xml:space="preserve"> </v>
      </c>
      <c r="D894" s="1236" t="str">
        <f>VLOOKUP($B894,DG!A:C,2,)</f>
        <v>02.1361</v>
      </c>
      <c r="E894" s="1241" t="str">
        <f>VLOOKUP($B894,DG!A:C,3,)</f>
        <v>V/c xà vào vị trí (cư ly &lt;=100m)</v>
      </c>
      <c r="F894" s="1236" t="str">
        <f>VLOOKUP($B894,DG!A:D,4,0)</f>
        <v>tấn</v>
      </c>
      <c r="G894" s="1913"/>
      <c r="H894" s="1250"/>
      <c r="I894" s="1250"/>
      <c r="J894" s="1250"/>
      <c r="K894" s="1250"/>
      <c r="L894" s="1250"/>
      <c r="M894" s="1250"/>
      <c r="N894" s="1250"/>
      <c r="O894" s="1250"/>
      <c r="P894" s="1250"/>
      <c r="Q894" s="1250"/>
      <c r="R894" s="1250"/>
      <c r="S894" s="1250"/>
      <c r="T894" s="1671"/>
      <c r="U894" s="1664" t="str">
        <f>IFERROR(VLOOKUP(B894,ChiTietDuToan!C:H,5,0),"")</f>
        <v/>
      </c>
      <c r="V894" s="2309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74" t="s">
        <v>640</v>
      </c>
      <c r="C895" s="1189" t="str">
        <f t="shared" si="165"/>
        <v xml:space="preserve"> </v>
      </c>
      <c r="D895" s="1236" t="str">
        <f>VLOOKUP($B895,DG!A:C,2,)</f>
        <v>02.1482</v>
      </c>
      <c r="E895" s="1241" t="str">
        <f>VLOOKUP($B895,DG!A:C,3,)</f>
        <v>V/c dụng cụ thi công vào vị trí (cự ly &lt;=100m)</v>
      </c>
      <c r="F895" s="1236" t="str">
        <f>VLOOKUP($B895,DG!A:D,4,0)</f>
        <v>tấn</v>
      </c>
      <c r="G895" s="1914"/>
      <c r="H895" s="1250"/>
      <c r="I895" s="1250"/>
      <c r="J895" s="1250"/>
      <c r="K895" s="1250"/>
      <c r="L895" s="1250"/>
      <c r="M895" s="1250"/>
      <c r="N895" s="1250"/>
      <c r="O895" s="1250"/>
      <c r="P895" s="1250"/>
      <c r="Q895" s="1250"/>
      <c r="R895" s="1250"/>
      <c r="S895" s="1250"/>
      <c r="T895" s="1671"/>
      <c r="U895" s="1664" t="str">
        <f>IFERROR(VLOOKUP(B895,ChiTietDuToan!C:H,5,0),"")</f>
        <v/>
      </c>
      <c r="V895" s="2309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56"/>
      <c r="C896" s="1189" t="str">
        <f t="shared" ca="1" si="165"/>
        <v xml:space="preserve"> </v>
      </c>
      <c r="D896" s="1237"/>
      <c r="E896" s="1666" t="s">
        <v>2493</v>
      </c>
      <c r="F896" s="1238" t="s">
        <v>2449</v>
      </c>
      <c r="G896" s="1912"/>
      <c r="H896" s="1523">
        <f ca="1">SUM(I896:O896)+T896</f>
        <v>0</v>
      </c>
      <c r="I896" s="1239">
        <f ca="1">SUMIF(xa3pm,chitiet!$A896,slxa3pm)</f>
        <v>0</v>
      </c>
      <c r="J896" s="1239">
        <f ca="1">SUMIF(xact,chitiet!$A896,slxact)</f>
        <v>0</v>
      </c>
      <c r="K896" s="1239">
        <f ca="1">SUMIF(xa3p1m,chitiet!$A896,slxa3p1m)</f>
        <v>0</v>
      </c>
      <c r="L896" s="1239">
        <f>IFERROR(HLOOKUP(A896,pp1p!$6:$90,85,0),0)</f>
        <v>0</v>
      </c>
      <c r="M896" s="1239"/>
      <c r="N896" s="1239"/>
      <c r="O896" s="1239"/>
      <c r="P896" s="1239">
        <f ca="1">H896+Q896-R896</f>
        <v>0</v>
      </c>
      <c r="Q896" s="1239"/>
      <c r="R896" s="1239"/>
      <c r="S896" s="1239"/>
      <c r="T896" s="1671"/>
      <c r="U896" s="1664">
        <f>IFERROR(VLOOKUP(B896,ChiTietDuToan!C:H,5,0),"")</f>
        <v>0</v>
      </c>
      <c r="V896" s="2309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59" t="s">
        <v>110</v>
      </c>
      <c r="C897" s="1189" t="str">
        <f t="shared" ca="1" si="165"/>
        <v xml:space="preserve"> </v>
      </c>
      <c r="D897" s="1236"/>
      <c r="E897" s="1248" t="str">
        <f>VLOOKUP($B897,DG!A:D,DG!$C$2,)</f>
        <v>Sắt góc L75 x75 x8</v>
      </c>
      <c r="F897" s="1236" t="str">
        <f>VLOOKUP($B897,DG!A:D,DG!$D$2,)</f>
        <v>kg</v>
      </c>
      <c r="G897" s="1914">
        <f>9.02*(0.8+0.07)*2</f>
        <v>15.694800000000001</v>
      </c>
      <c r="H897" s="1245">
        <f ca="1">H$896*$G897</f>
        <v>0</v>
      </c>
      <c r="I897" s="1245">
        <f t="shared" ref="I897:N901" ca="1" si="181">I$896*$G897</f>
        <v>0</v>
      </c>
      <c r="J897" s="1245">
        <f t="shared" ca="1" si="181"/>
        <v>0</v>
      </c>
      <c r="K897" s="1245">
        <f t="shared" ca="1" si="181"/>
        <v>0</v>
      </c>
      <c r="L897" s="1245">
        <f t="shared" si="181"/>
        <v>0</v>
      </c>
      <c r="M897" s="1245">
        <f t="shared" si="181"/>
        <v>0</v>
      </c>
      <c r="N897" s="1245">
        <f t="shared" si="181"/>
        <v>0</v>
      </c>
      <c r="O897" s="1245"/>
      <c r="P897" s="1245"/>
      <c r="Q897" s="1245"/>
      <c r="R897" s="1245"/>
      <c r="S897" s="1245"/>
      <c r="T897" s="1671"/>
      <c r="U897" s="1664" t="str">
        <f>IFERROR(VLOOKUP(B897,ChiTietDuToan!C:H,5,0),"")</f>
        <v/>
      </c>
      <c r="V897" s="2309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59" t="s">
        <v>460</v>
      </c>
      <c r="C898" s="1189" t="str">
        <f t="shared" ca="1" si="165"/>
        <v xml:space="preserve"> </v>
      </c>
      <c r="D898" s="1236"/>
      <c r="E898" s="1248" t="str">
        <f>VLOOKUP($B898,DG!A:D,DG!$C$2,)</f>
        <v>Sắt góc L50 x50 x5</v>
      </c>
      <c r="F898" s="1236" t="str">
        <f>VLOOKUP($B898,DG!A:D,DG!$D$2,)</f>
        <v>kg</v>
      </c>
      <c r="G898" s="1914">
        <f>3.77*0.81*2</f>
        <v>6.1074000000000002</v>
      </c>
      <c r="H898" s="1245">
        <f ca="1">H$896*$G898</f>
        <v>0</v>
      </c>
      <c r="I898" s="1245">
        <f t="shared" ca="1" si="181"/>
        <v>0</v>
      </c>
      <c r="J898" s="1245">
        <f t="shared" ca="1" si="181"/>
        <v>0</v>
      </c>
      <c r="K898" s="1245">
        <f t="shared" ca="1" si="181"/>
        <v>0</v>
      </c>
      <c r="L898" s="1245">
        <f t="shared" si="181"/>
        <v>0</v>
      </c>
      <c r="M898" s="1245">
        <f t="shared" si="181"/>
        <v>0</v>
      </c>
      <c r="N898" s="1245">
        <f t="shared" si="181"/>
        <v>0</v>
      </c>
      <c r="O898" s="1245"/>
      <c r="P898" s="1245"/>
      <c r="Q898" s="1245"/>
      <c r="R898" s="1245"/>
      <c r="S898" s="1245"/>
      <c r="T898" s="1671"/>
      <c r="U898" s="1664" t="str">
        <f>IFERROR(VLOOKUP(B898,ChiTietDuToan!C:H,5,0),"")</f>
        <v/>
      </c>
      <c r="V898" s="2309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59" t="s">
        <v>1113</v>
      </c>
      <c r="C899" s="1189" t="str">
        <f t="shared" ca="1" si="165"/>
        <v xml:space="preserve"> </v>
      </c>
      <c r="D899" s="1236"/>
      <c r="E899" s="1248" t="str">
        <f>VLOOKUP($B899,DG!A:D,DG!$C$2,)</f>
        <v>Boulon 16x400+ 2 long đền vuông D18-50x50x3/Zn</v>
      </c>
      <c r="F899" s="1236" t="str">
        <f>VLOOKUP($B899,DG!A:D,DG!$D$2,)</f>
        <v>bộ</v>
      </c>
      <c r="G899" s="1915">
        <v>2</v>
      </c>
      <c r="H899" s="1245">
        <f ca="1">H$896*$G899</f>
        <v>0</v>
      </c>
      <c r="I899" s="1245">
        <f t="shared" ca="1" si="181"/>
        <v>0</v>
      </c>
      <c r="J899" s="1245">
        <f t="shared" ca="1" si="181"/>
        <v>0</v>
      </c>
      <c r="K899" s="1245">
        <f t="shared" ca="1" si="181"/>
        <v>0</v>
      </c>
      <c r="L899" s="1245">
        <f t="shared" si="181"/>
        <v>0</v>
      </c>
      <c r="M899" s="1245">
        <f t="shared" si="181"/>
        <v>0</v>
      </c>
      <c r="N899" s="1245">
        <f t="shared" si="181"/>
        <v>0</v>
      </c>
      <c r="O899" s="1245"/>
      <c r="P899" s="1245"/>
      <c r="Q899" s="1245"/>
      <c r="R899" s="1245"/>
      <c r="S899" s="1245"/>
      <c r="T899" s="1671"/>
      <c r="U899" s="1664" t="str">
        <f>IFERROR(VLOOKUP(B899,ChiTietDuToan!C:H,5,0),"")</f>
        <v/>
      </c>
      <c r="V899" s="2309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59" t="s">
        <v>1792</v>
      </c>
      <c r="C900" s="1189" t="str">
        <f t="shared" ca="1" si="165"/>
        <v xml:space="preserve"> </v>
      </c>
      <c r="D900" s="1236"/>
      <c r="E900" s="1248" t="str">
        <f>VLOOKUP($B900,DG!A:D,DG!$C$2,)</f>
        <v>Boulon 16x400VRS+ 4 long đền vuông D18-50x50x3/Zn</v>
      </c>
      <c r="F900" s="1236" t="str">
        <f>VLOOKUP($B900,DG!A:D,DG!$D$2,)</f>
        <v>bộ</v>
      </c>
      <c r="G900" s="1915">
        <v>1</v>
      </c>
      <c r="H900" s="1245">
        <f ca="1">H$896*$G900</f>
        <v>0</v>
      </c>
      <c r="I900" s="1245">
        <f t="shared" ca="1" si="181"/>
        <v>0</v>
      </c>
      <c r="J900" s="1245">
        <f t="shared" ca="1" si="181"/>
        <v>0</v>
      </c>
      <c r="K900" s="1245">
        <f t="shared" ca="1" si="181"/>
        <v>0</v>
      </c>
      <c r="L900" s="1245">
        <f t="shared" si="181"/>
        <v>0</v>
      </c>
      <c r="M900" s="1245">
        <f t="shared" si="181"/>
        <v>0</v>
      </c>
      <c r="N900" s="1245">
        <f t="shared" si="181"/>
        <v>0</v>
      </c>
      <c r="O900" s="1245"/>
      <c r="P900" s="1245"/>
      <c r="Q900" s="1245"/>
      <c r="R900" s="1245"/>
      <c r="S900" s="1245"/>
      <c r="T900" s="1671"/>
      <c r="U900" s="1664" t="str">
        <f>IFERROR(VLOOKUP(B900,ChiTietDuToan!C:H,5,0),"")</f>
        <v/>
      </c>
      <c r="V900" s="2309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59" t="s">
        <v>1839</v>
      </c>
      <c r="C901" s="1189" t="str">
        <f t="shared" ca="1" si="165"/>
        <v xml:space="preserve"> </v>
      </c>
      <c r="D901" s="1236"/>
      <c r="E901" s="1248" t="str">
        <f>VLOOKUP($B901,DG!A:D,DG!$C$2,)</f>
        <v>Boulon 16x50+ 2 long đền vuông D18-50x50x3/Zn</v>
      </c>
      <c r="F901" s="1236" t="str">
        <f>VLOOKUP($B901,DG!A:D,DG!$D$2,)</f>
        <v>bộ</v>
      </c>
      <c r="G901" s="1915">
        <v>2</v>
      </c>
      <c r="H901" s="1245">
        <f ca="1">H$896*$G901</f>
        <v>0</v>
      </c>
      <c r="I901" s="1245">
        <f t="shared" ca="1" si="181"/>
        <v>0</v>
      </c>
      <c r="J901" s="1245">
        <f t="shared" ca="1" si="181"/>
        <v>0</v>
      </c>
      <c r="K901" s="1245">
        <f t="shared" ca="1" si="181"/>
        <v>0</v>
      </c>
      <c r="L901" s="1245">
        <f t="shared" si="181"/>
        <v>0</v>
      </c>
      <c r="M901" s="1245">
        <f t="shared" si="181"/>
        <v>0</v>
      </c>
      <c r="N901" s="1245">
        <f t="shared" si="181"/>
        <v>0</v>
      </c>
      <c r="O901" s="1245"/>
      <c r="P901" s="1245"/>
      <c r="Q901" s="1245"/>
      <c r="R901" s="1245"/>
      <c r="S901" s="1245"/>
      <c r="T901" s="1671"/>
      <c r="U901" s="1664" t="str">
        <f>IFERROR(VLOOKUP(B901,ChiTietDuToan!C:H,5,0),"")</f>
        <v>bộ</v>
      </c>
      <c r="V901" s="2309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79" t="s">
        <v>2060</v>
      </c>
      <c r="C902" s="1189" t="str">
        <f t="shared" si="165"/>
        <v xml:space="preserve"> </v>
      </c>
      <c r="D902" s="1236" t="str">
        <f>VLOOKUP($B902,DG!A:D,DG!$B$2,)</f>
        <v>05.6201</v>
      </c>
      <c r="E902" s="1241" t="str">
        <f>VLOOKUP($B902,DG!A:D,DG!$C$2,)</f>
        <v>Lắp xà néo ≤ 25kg</v>
      </c>
      <c r="F902" s="1236" t="str">
        <f>VLOOKUP($B902,DG!A:D,DG!$D$2,)</f>
        <v>bộ</v>
      </c>
      <c r="G902" s="1915">
        <v>1</v>
      </c>
      <c r="H902" s="1250"/>
      <c r="I902" s="1250"/>
      <c r="J902" s="1250"/>
      <c r="K902" s="1250"/>
      <c r="L902" s="1250"/>
      <c r="M902" s="1250"/>
      <c r="N902" s="1250"/>
      <c r="O902" s="1250"/>
      <c r="P902" s="1250"/>
      <c r="Q902" s="1250"/>
      <c r="R902" s="1250"/>
      <c r="S902" s="1250"/>
      <c r="T902" s="1671"/>
      <c r="U902" s="1664" t="str">
        <f>IFERROR(VLOOKUP(B902,ChiTietDuToan!C:H,5,0),"")</f>
        <v/>
      </c>
      <c r="V902" s="2309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59" t="s">
        <v>2049</v>
      </c>
      <c r="C903" s="1189" t="str">
        <f t="shared" si="165"/>
        <v xml:space="preserve"> </v>
      </c>
      <c r="D903" s="1236" t="str">
        <f>VLOOKUP($B903,DG!A:D,DG!$B$2,)</f>
        <v>02.1115</v>
      </c>
      <c r="E903" s="1241" t="str">
        <f>VLOOKUP($B903,DG!A:D,DG!$C$2,)</f>
        <v>Bốc dỡ xà, thép thanh</v>
      </c>
      <c r="F903" s="1236" t="str">
        <f>VLOOKUP($B903,DG!A:D,DG!$D$2,)</f>
        <v>tấn</v>
      </c>
      <c r="G903" s="1913"/>
      <c r="H903" s="1250"/>
      <c r="I903" s="1250"/>
      <c r="J903" s="1250"/>
      <c r="K903" s="1250"/>
      <c r="L903" s="1250"/>
      <c r="M903" s="1250"/>
      <c r="N903" s="1250"/>
      <c r="O903" s="1250"/>
      <c r="P903" s="1250"/>
      <c r="Q903" s="1250"/>
      <c r="R903" s="1250"/>
      <c r="S903" s="1250"/>
      <c r="T903" s="1671"/>
      <c r="U903" s="1664" t="str">
        <f>IFERROR(VLOOKUP(B903,ChiTietDuToan!C:H,5,0),"")</f>
        <v/>
      </c>
      <c r="V903" s="2309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74" t="s">
        <v>2050</v>
      </c>
      <c r="C904" s="1189" t="str">
        <f t="shared" ref="C904:C967" si="183">IF(OR(P904&lt;&gt;0,H904&lt;&gt;0),"x"," ")</f>
        <v xml:space="preserve"> </v>
      </c>
      <c r="D904" s="1236" t="str">
        <f>VLOOKUP($B904,DG!A:C,2,)</f>
        <v>02.1361</v>
      </c>
      <c r="E904" s="1241" t="str">
        <f>VLOOKUP($B904,DG!A:C,3,)</f>
        <v>V/c xà vào vị trí (cư ly &lt;=100m)</v>
      </c>
      <c r="F904" s="1236" t="str">
        <f>VLOOKUP($B904,DG!A:D,4,0)</f>
        <v>tấn</v>
      </c>
      <c r="G904" s="1913"/>
      <c r="H904" s="1250"/>
      <c r="I904" s="1250"/>
      <c r="J904" s="1250"/>
      <c r="K904" s="1250"/>
      <c r="L904" s="1250"/>
      <c r="M904" s="1250"/>
      <c r="N904" s="1250"/>
      <c r="O904" s="1250"/>
      <c r="P904" s="1250"/>
      <c r="Q904" s="1250"/>
      <c r="R904" s="1250"/>
      <c r="S904" s="1250"/>
      <c r="T904" s="1671"/>
      <c r="U904" s="1664" t="str">
        <f>IFERROR(VLOOKUP(B904,ChiTietDuToan!C:H,5,0),"")</f>
        <v/>
      </c>
      <c r="V904" s="2309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74" t="s">
        <v>640</v>
      </c>
      <c r="C905" s="1189" t="str">
        <f t="shared" si="183"/>
        <v xml:space="preserve"> </v>
      </c>
      <c r="D905" s="1236" t="str">
        <f>VLOOKUP($B905,DG!A:C,2,)</f>
        <v>02.1482</v>
      </c>
      <c r="E905" s="1241" t="str">
        <f>VLOOKUP($B905,DG!A:C,3,)</f>
        <v>V/c dụng cụ thi công vào vị trí (cự ly &lt;=100m)</v>
      </c>
      <c r="F905" s="1236" t="str">
        <f>VLOOKUP($B905,DG!A:D,4,0)</f>
        <v>tấn</v>
      </c>
      <c r="G905" s="1914"/>
      <c r="H905" s="1250"/>
      <c r="I905" s="1250"/>
      <c r="J905" s="1250"/>
      <c r="K905" s="1250"/>
      <c r="L905" s="1250"/>
      <c r="M905" s="1250"/>
      <c r="N905" s="1250"/>
      <c r="O905" s="1250"/>
      <c r="P905" s="1250"/>
      <c r="Q905" s="1250"/>
      <c r="R905" s="1250"/>
      <c r="S905" s="1250"/>
      <c r="T905" s="1671"/>
      <c r="U905" s="1664" t="str">
        <f>IFERROR(VLOOKUP(B905,ChiTietDuToan!C:H,5,0),"")</f>
        <v/>
      </c>
      <c r="V905" s="2309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56"/>
      <c r="C906" s="1189" t="str">
        <f t="shared" ca="1" si="183"/>
        <v xml:space="preserve"> </v>
      </c>
      <c r="D906" s="1237"/>
      <c r="E906" s="1666" t="s">
        <v>2494</v>
      </c>
      <c r="F906" s="1238" t="s">
        <v>2449</v>
      </c>
      <c r="G906" s="1926"/>
      <c r="H906" s="1523">
        <f ca="1">SUM(I906:O906)+T906</f>
        <v>0</v>
      </c>
      <c r="I906" s="1239">
        <f ca="1">SUMIF(xa3pm,chitiet!$A906,slxa3pm)</f>
        <v>0</v>
      </c>
      <c r="J906" s="1239">
        <f ca="1">SUMIF(xact,chitiet!$A906,slxact)</f>
        <v>0</v>
      </c>
      <c r="K906" s="1239">
        <f>pp3p1m!DE111</f>
        <v>0</v>
      </c>
      <c r="L906" s="1239">
        <f>IFERROR(HLOOKUP(A906,pp1p!$6:$90,85,0),0)</f>
        <v>0</v>
      </c>
      <c r="M906" s="1239"/>
      <c r="N906" s="1239"/>
      <c r="O906" s="1239"/>
      <c r="P906" s="1239">
        <f ca="1">H906+Q906-R906</f>
        <v>0</v>
      </c>
      <c r="Q906" s="1239"/>
      <c r="R906" s="1239"/>
      <c r="S906" s="1239"/>
      <c r="T906" s="1671"/>
      <c r="U906" s="1664">
        <f>IFERROR(VLOOKUP(B906,ChiTietDuToan!C:H,5,0),"")</f>
        <v>0</v>
      </c>
      <c r="V906" s="2309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59" t="s">
        <v>110</v>
      </c>
      <c r="C907" s="1189" t="str">
        <f t="shared" ca="1" si="183"/>
        <v xml:space="preserve"> </v>
      </c>
      <c r="D907" s="1236"/>
      <c r="E907" s="1248" t="str">
        <f>VLOOKUP($B907,DG!A:D,DG!$C$2,)</f>
        <v>Sắt góc L75 x75 x8</v>
      </c>
      <c r="F907" s="1236" t="str">
        <f>VLOOKUP($B907,DG!A:D,DG!$D$2,)</f>
        <v>kg</v>
      </c>
      <c r="G907" s="1914">
        <f>9.02*(2.1+3*0.07)</f>
        <v>20.836199999999998</v>
      </c>
      <c r="H907" s="1245">
        <f t="shared" ref="H907:N911" ca="1" si="184">H$906*$G907</f>
        <v>0</v>
      </c>
      <c r="I907" s="1245">
        <f t="shared" ca="1" si="184"/>
        <v>0</v>
      </c>
      <c r="J907" s="1245">
        <f t="shared" ca="1" si="184"/>
        <v>0</v>
      </c>
      <c r="K907" s="1245">
        <f t="shared" si="184"/>
        <v>0</v>
      </c>
      <c r="L907" s="1245">
        <f t="shared" si="184"/>
        <v>0</v>
      </c>
      <c r="M907" s="1245">
        <f t="shared" si="184"/>
        <v>0</v>
      </c>
      <c r="N907" s="1245">
        <f t="shared" si="184"/>
        <v>0</v>
      </c>
      <c r="O907" s="1245"/>
      <c r="P907" s="1245"/>
      <c r="Q907" s="1245"/>
      <c r="R907" s="1245"/>
      <c r="S907" s="1245"/>
      <c r="T907" s="1671"/>
      <c r="U907" s="1664" t="str">
        <f>IFERROR(VLOOKUP(B907,ChiTietDuToan!C:H,5,0),"")</f>
        <v/>
      </c>
      <c r="V907" s="2309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59" t="s">
        <v>460</v>
      </c>
      <c r="C908" s="1189" t="str">
        <f t="shared" ca="1" si="183"/>
        <v xml:space="preserve"> </v>
      </c>
      <c r="D908" s="1236"/>
      <c r="E908" s="1248" t="str">
        <f>VLOOKUP($B908,DG!A:D,DG!$C$2,)</f>
        <v>Sắt góc L50 x50 x5</v>
      </c>
      <c r="F908" s="1236" t="str">
        <f>VLOOKUP($B908,DG!A:D,DG!$D$2,)</f>
        <v>kg</v>
      </c>
      <c r="G908" s="1914">
        <f>3.77*1.99</f>
        <v>7.5023</v>
      </c>
      <c r="H908" s="1245">
        <f t="shared" ca="1" si="184"/>
        <v>0</v>
      </c>
      <c r="I908" s="1245">
        <f t="shared" ca="1" si="184"/>
        <v>0</v>
      </c>
      <c r="J908" s="1245">
        <f t="shared" ca="1" si="184"/>
        <v>0</v>
      </c>
      <c r="K908" s="1245">
        <f t="shared" si="184"/>
        <v>0</v>
      </c>
      <c r="L908" s="1245">
        <f t="shared" si="184"/>
        <v>0</v>
      </c>
      <c r="M908" s="1245">
        <f t="shared" si="184"/>
        <v>0</v>
      </c>
      <c r="N908" s="1245">
        <f t="shared" si="184"/>
        <v>0</v>
      </c>
      <c r="O908" s="1245"/>
      <c r="P908" s="1245"/>
      <c r="Q908" s="1245"/>
      <c r="R908" s="1245"/>
      <c r="S908" s="1245"/>
      <c r="T908" s="1671"/>
      <c r="U908" s="1664" t="str">
        <f>IFERROR(VLOOKUP(B908,ChiTietDuToan!C:H,5,0),"")</f>
        <v/>
      </c>
      <c r="V908" s="2309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59" t="s">
        <v>2168</v>
      </c>
      <c r="C909" s="1189" t="str">
        <f t="shared" ca="1" si="183"/>
        <v xml:space="preserve"> </v>
      </c>
      <c r="D909" s="1236"/>
      <c r="E909" s="1248" t="str">
        <f>VLOOKUP($B909,DG!A:D,DG!$C$2,)</f>
        <v>Sắt dẹt 50 x 5</v>
      </c>
      <c r="F909" s="1236" t="str">
        <f>VLOOKUP($B909,DG!A:D,DG!$D$2,)</f>
        <v>kg</v>
      </c>
      <c r="G909" s="1914">
        <f>1.963*0.4</f>
        <v>0.78520000000000012</v>
      </c>
      <c r="H909" s="1245">
        <f t="shared" ca="1" si="184"/>
        <v>0</v>
      </c>
      <c r="I909" s="1245">
        <f t="shared" ca="1" si="184"/>
        <v>0</v>
      </c>
      <c r="J909" s="1245">
        <f t="shared" ca="1" si="184"/>
        <v>0</v>
      </c>
      <c r="K909" s="1245">
        <f t="shared" si="184"/>
        <v>0</v>
      </c>
      <c r="L909" s="1245">
        <f t="shared" si="184"/>
        <v>0</v>
      </c>
      <c r="M909" s="1245">
        <f t="shared" si="184"/>
        <v>0</v>
      </c>
      <c r="N909" s="1245">
        <f t="shared" si="184"/>
        <v>0</v>
      </c>
      <c r="O909" s="1245"/>
      <c r="P909" s="1245"/>
      <c r="Q909" s="1245"/>
      <c r="R909" s="1245"/>
      <c r="S909" s="1245"/>
      <c r="T909" s="1671"/>
      <c r="U909" s="1664" t="str">
        <f>IFERROR(VLOOKUP(B909,ChiTietDuToan!C:H,5,0),"")</f>
        <v/>
      </c>
      <c r="V909" s="2309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59" t="s">
        <v>1661</v>
      </c>
      <c r="C910" s="1189" t="str">
        <f t="shared" ca="1" si="183"/>
        <v xml:space="preserve"> </v>
      </c>
      <c r="D910" s="1236"/>
      <c r="E910" s="1248" t="str">
        <f>VLOOKUP($B910,DG!A:D,DG!$C$2,)</f>
        <v>Boulon 16x250+ 2 long đền vuông D18-50x50x3/Zn</v>
      </c>
      <c r="F910" s="1236" t="str">
        <f>VLOOKUP($B910,DG!A:D,DG!$D$2,)</f>
        <v>bộ</v>
      </c>
      <c r="G910" s="1915">
        <v>2</v>
      </c>
      <c r="H910" s="1245">
        <f t="shared" ca="1" si="184"/>
        <v>0</v>
      </c>
      <c r="I910" s="1245">
        <f t="shared" ca="1" si="184"/>
        <v>0</v>
      </c>
      <c r="J910" s="1245">
        <f t="shared" ca="1" si="184"/>
        <v>0</v>
      </c>
      <c r="K910" s="1245">
        <f t="shared" si="184"/>
        <v>0</v>
      </c>
      <c r="L910" s="1245">
        <f t="shared" si="184"/>
        <v>0</v>
      </c>
      <c r="M910" s="1245">
        <f t="shared" si="184"/>
        <v>0</v>
      </c>
      <c r="N910" s="1245">
        <f t="shared" si="184"/>
        <v>0</v>
      </c>
      <c r="O910" s="1245"/>
      <c r="P910" s="1245"/>
      <c r="Q910" s="1245"/>
      <c r="R910" s="1245"/>
      <c r="S910" s="1245"/>
      <c r="T910" s="1671"/>
      <c r="U910" s="1664" t="str">
        <f>IFERROR(VLOOKUP(B910,ChiTietDuToan!C:H,5,0),"")</f>
        <v>bộ</v>
      </c>
      <c r="V910" s="2309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59" t="s">
        <v>1839</v>
      </c>
      <c r="C911" s="1189" t="str">
        <f t="shared" ca="1" si="183"/>
        <v xml:space="preserve"> </v>
      </c>
      <c r="D911" s="1236"/>
      <c r="E911" s="1248" t="str">
        <f>VLOOKUP($B911,DG!A:D,DG!$C$2,)</f>
        <v>Boulon 16x50+ 2 long đền vuông D18-50x50x3/Zn</v>
      </c>
      <c r="F911" s="1236" t="str">
        <f>VLOOKUP($B911,DG!A:D,DG!$D$2,)</f>
        <v>bộ</v>
      </c>
      <c r="G911" s="1915">
        <v>1</v>
      </c>
      <c r="H911" s="1245">
        <f t="shared" ca="1" si="184"/>
        <v>0</v>
      </c>
      <c r="I911" s="1245">
        <f t="shared" ca="1" si="184"/>
        <v>0</v>
      </c>
      <c r="J911" s="1245">
        <f t="shared" ca="1" si="184"/>
        <v>0</v>
      </c>
      <c r="K911" s="1245">
        <f t="shared" si="184"/>
        <v>0</v>
      </c>
      <c r="L911" s="1245">
        <f t="shared" si="184"/>
        <v>0</v>
      </c>
      <c r="M911" s="1245">
        <f t="shared" si="184"/>
        <v>0</v>
      </c>
      <c r="N911" s="1245">
        <f t="shared" si="184"/>
        <v>0</v>
      </c>
      <c r="O911" s="1245"/>
      <c r="P911" s="1245"/>
      <c r="Q911" s="1245"/>
      <c r="R911" s="1245"/>
      <c r="S911" s="1245"/>
      <c r="T911" s="1671"/>
      <c r="U911" s="1664" t="str">
        <f>IFERROR(VLOOKUP(B911,ChiTietDuToan!C:H,5,0),"")</f>
        <v>bộ</v>
      </c>
      <c r="V911" s="2309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75" t="s">
        <v>1015</v>
      </c>
      <c r="C912" s="1189" t="str">
        <f t="shared" si="183"/>
        <v xml:space="preserve"> </v>
      </c>
      <c r="D912" s="1240" t="str">
        <f>VLOOKUP($B912,DG!A:D,DG!$B$2,)</f>
        <v>05.6102</v>
      </c>
      <c r="E912" s="1241" t="str">
        <f>VLOOKUP($B912,DG!A:D,DG!$C$2,)</f>
        <v>Lắp xà đỡ ≤ 50kg</v>
      </c>
      <c r="F912" s="1236" t="str">
        <f>VLOOKUP($B912,DG!A:D,DG!$D$2,)</f>
        <v>bộ</v>
      </c>
      <c r="G912" s="1915">
        <v>1</v>
      </c>
      <c r="H912" s="1250"/>
      <c r="I912" s="1250"/>
      <c r="J912" s="1250"/>
      <c r="K912" s="1250"/>
      <c r="L912" s="1250"/>
      <c r="M912" s="1250"/>
      <c r="N912" s="1250"/>
      <c r="O912" s="1250"/>
      <c r="P912" s="1250"/>
      <c r="Q912" s="1250"/>
      <c r="R912" s="1250"/>
      <c r="S912" s="1250"/>
      <c r="T912" s="1671"/>
      <c r="U912" s="1664" t="str">
        <f>IFERROR(VLOOKUP(B912,ChiTietDuToan!C:H,5,0),"")</f>
        <v/>
      </c>
      <c r="V912" s="2309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59" t="s">
        <v>2049</v>
      </c>
      <c r="C913" s="1189" t="str">
        <f t="shared" si="183"/>
        <v xml:space="preserve"> </v>
      </c>
      <c r="D913" s="1236" t="str">
        <f>VLOOKUP($B913,DG!A:D,DG!$B$2,)</f>
        <v>02.1115</v>
      </c>
      <c r="E913" s="1241" t="str">
        <f>VLOOKUP($B913,DG!A:D,DG!$C$2,)</f>
        <v>Bốc dỡ xà, thép thanh</v>
      </c>
      <c r="F913" s="1236" t="str">
        <f>VLOOKUP($B913,DG!A:D,DG!$D$2,)</f>
        <v>tấn</v>
      </c>
      <c r="G913" s="1913"/>
      <c r="H913" s="1250"/>
      <c r="I913" s="1250"/>
      <c r="J913" s="1250"/>
      <c r="K913" s="1250"/>
      <c r="L913" s="1250"/>
      <c r="M913" s="1250"/>
      <c r="N913" s="1250"/>
      <c r="O913" s="1250"/>
      <c r="P913" s="1250"/>
      <c r="Q913" s="1250"/>
      <c r="R913" s="1250"/>
      <c r="S913" s="1250"/>
      <c r="T913" s="1671"/>
      <c r="U913" s="1664" t="str">
        <f>IFERROR(VLOOKUP(B913,ChiTietDuToan!C:H,5,0),"")</f>
        <v/>
      </c>
      <c r="V913" s="2309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74" t="s">
        <v>2050</v>
      </c>
      <c r="C914" s="1189" t="str">
        <f t="shared" si="183"/>
        <v xml:space="preserve"> </v>
      </c>
      <c r="D914" s="1236" t="str">
        <f>VLOOKUP($B914,DG!A:C,2,)</f>
        <v>02.1361</v>
      </c>
      <c r="E914" s="1241" t="str">
        <f>VLOOKUP($B914,DG!A:C,3,)</f>
        <v>V/c xà vào vị trí (cư ly &lt;=100m)</v>
      </c>
      <c r="F914" s="1236" t="str">
        <f>VLOOKUP($B914,DG!A:D,4,0)</f>
        <v>tấn</v>
      </c>
      <c r="G914" s="1913"/>
      <c r="H914" s="1250"/>
      <c r="I914" s="1250"/>
      <c r="J914" s="1250"/>
      <c r="K914" s="1250"/>
      <c r="L914" s="1250"/>
      <c r="M914" s="1250"/>
      <c r="N914" s="1250"/>
      <c r="O914" s="1250"/>
      <c r="P914" s="1250"/>
      <c r="Q914" s="1250"/>
      <c r="R914" s="1250"/>
      <c r="S914" s="1250"/>
      <c r="T914" s="1671"/>
      <c r="U914" s="1664" t="str">
        <f>IFERROR(VLOOKUP(B914,ChiTietDuToan!C:H,5,0),"")</f>
        <v/>
      </c>
      <c r="V914" s="2309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74" t="s">
        <v>640</v>
      </c>
      <c r="C915" s="1189" t="str">
        <f t="shared" si="183"/>
        <v xml:space="preserve"> </v>
      </c>
      <c r="D915" s="1236" t="str">
        <f>VLOOKUP($B915,DG!A:C,2,)</f>
        <v>02.1482</v>
      </c>
      <c r="E915" s="1241" t="str">
        <f>VLOOKUP($B915,DG!A:C,3,)</f>
        <v>V/c dụng cụ thi công vào vị trí (cự ly &lt;=100m)</v>
      </c>
      <c r="F915" s="1236" t="str">
        <f>VLOOKUP($B915,DG!A:D,4,0)</f>
        <v>tấn</v>
      </c>
      <c r="G915" s="1914"/>
      <c r="H915" s="1250"/>
      <c r="I915" s="1250"/>
      <c r="J915" s="1250"/>
      <c r="K915" s="1250"/>
      <c r="L915" s="1250"/>
      <c r="M915" s="1250"/>
      <c r="N915" s="1250"/>
      <c r="O915" s="1250"/>
      <c r="P915" s="1250"/>
      <c r="Q915" s="1250"/>
      <c r="R915" s="1250"/>
      <c r="S915" s="1250"/>
      <c r="T915" s="1671"/>
      <c r="U915" s="1664" t="str">
        <f>IFERROR(VLOOKUP(B915,ChiTietDuToan!C:H,5,0),"")</f>
        <v/>
      </c>
      <c r="V915" s="2309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56"/>
      <c r="C916" s="1189" t="str">
        <f t="shared" ca="1" si="183"/>
        <v xml:space="preserve"> </v>
      </c>
      <c r="D916" s="1237"/>
      <c r="E916" s="1666" t="s">
        <v>2495</v>
      </c>
      <c r="F916" s="1238" t="s">
        <v>2449</v>
      </c>
      <c r="G916" s="1924"/>
      <c r="H916" s="1523">
        <f ca="1">SUM(I916:O916)+T916</f>
        <v>0</v>
      </c>
      <c r="I916" s="1239">
        <f ca="1">SUMIF(xa3pm,chitiet!$A916,slxa3pm)</f>
        <v>0</v>
      </c>
      <c r="J916" s="1239">
        <f ca="1">SUMIF(xact,chitiet!$A916,slxact)</f>
        <v>0</v>
      </c>
      <c r="K916" s="1239">
        <f>pp3p1m!DD111</f>
        <v>0</v>
      </c>
      <c r="L916" s="1239">
        <f>IFERROR(HLOOKUP(A916,pp1p!$6:$90,85,0),0)</f>
        <v>0</v>
      </c>
      <c r="M916" s="1239"/>
      <c r="N916" s="1239"/>
      <c r="O916" s="1239"/>
      <c r="P916" s="1239">
        <f ca="1">H916+Q916-R916</f>
        <v>0</v>
      </c>
      <c r="Q916" s="1239"/>
      <c r="R916" s="1239"/>
      <c r="S916" s="1239"/>
      <c r="T916" s="1671"/>
      <c r="U916" s="1664">
        <f>IFERROR(VLOOKUP(B916,ChiTietDuToan!C:H,5,0),"")</f>
        <v>0</v>
      </c>
      <c r="V916" s="2309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59" t="s">
        <v>110</v>
      </c>
      <c r="C917" s="1189" t="str">
        <f t="shared" ca="1" si="183"/>
        <v xml:space="preserve"> </v>
      </c>
      <c r="D917" s="1236"/>
      <c r="E917" s="1248" t="str">
        <f>VLOOKUP($B917,DG!A:D,DG!$C$2,)</f>
        <v>Sắt góc L75 x75 x8</v>
      </c>
      <c r="F917" s="1236" t="str">
        <f>VLOOKUP($B917,DG!A:D,DG!$D$2,)</f>
        <v>kg</v>
      </c>
      <c r="G917" s="1914">
        <f>9.02*2*(2.1+3*0.07)</f>
        <v>41.672399999999996</v>
      </c>
      <c r="H917" s="1245">
        <f t="shared" ref="H917:H922" ca="1" si="185">H$916*$G917</f>
        <v>0</v>
      </c>
      <c r="I917" s="1245">
        <f t="shared" ref="I917:N922" ca="1" si="186">I$916*$G917</f>
        <v>0</v>
      </c>
      <c r="J917" s="1245">
        <f t="shared" ca="1" si="186"/>
        <v>0</v>
      </c>
      <c r="K917" s="1245">
        <f t="shared" si="186"/>
        <v>0</v>
      </c>
      <c r="L917" s="1245">
        <f t="shared" si="186"/>
        <v>0</v>
      </c>
      <c r="M917" s="1245">
        <f t="shared" si="186"/>
        <v>0</v>
      </c>
      <c r="N917" s="1245">
        <f t="shared" si="186"/>
        <v>0</v>
      </c>
      <c r="O917" s="1245"/>
      <c r="P917" s="1245"/>
      <c r="Q917" s="1245"/>
      <c r="R917" s="1245"/>
      <c r="S917" s="1245"/>
      <c r="T917" s="1671"/>
      <c r="U917" s="1664" t="str">
        <f>IFERROR(VLOOKUP(B917,ChiTietDuToan!C:H,5,0),"")</f>
        <v/>
      </c>
      <c r="V917" s="2309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59" t="s">
        <v>460</v>
      </c>
      <c r="C918" s="1189" t="str">
        <f t="shared" ca="1" si="183"/>
        <v xml:space="preserve"> </v>
      </c>
      <c r="D918" s="1236"/>
      <c r="E918" s="1248" t="str">
        <f>VLOOKUP($B918,DG!A:D,DG!$C$2,)</f>
        <v>Sắt góc L50 x50 x5</v>
      </c>
      <c r="F918" s="1236" t="str">
        <f>VLOOKUP($B918,DG!A:D,DG!$D$2,)</f>
        <v>kg</v>
      </c>
      <c r="G918" s="1914">
        <f>3.77*1.99*2</f>
        <v>15.0046</v>
      </c>
      <c r="H918" s="1245">
        <f t="shared" ca="1" si="185"/>
        <v>0</v>
      </c>
      <c r="I918" s="1245">
        <f t="shared" ca="1" si="186"/>
        <v>0</v>
      </c>
      <c r="J918" s="1245">
        <f t="shared" ca="1" si="186"/>
        <v>0</v>
      </c>
      <c r="K918" s="1245">
        <f t="shared" si="186"/>
        <v>0</v>
      </c>
      <c r="L918" s="1245">
        <f t="shared" si="186"/>
        <v>0</v>
      </c>
      <c r="M918" s="1245">
        <f t="shared" si="186"/>
        <v>0</v>
      </c>
      <c r="N918" s="1245">
        <f t="shared" si="186"/>
        <v>0</v>
      </c>
      <c r="O918" s="1245"/>
      <c r="P918" s="1245"/>
      <c r="Q918" s="1245"/>
      <c r="R918" s="1245"/>
      <c r="S918" s="1245"/>
      <c r="T918" s="1671"/>
      <c r="U918" s="1664" t="str">
        <f>IFERROR(VLOOKUP(B918,ChiTietDuToan!C:H,5,0),"")</f>
        <v/>
      </c>
      <c r="V918" s="2309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59" t="s">
        <v>2168</v>
      </c>
      <c r="C919" s="1189" t="str">
        <f t="shared" ca="1" si="183"/>
        <v xml:space="preserve"> </v>
      </c>
      <c r="D919" s="1236"/>
      <c r="E919" s="1248" t="str">
        <f>VLOOKUP($B919,DG!A:D,DG!$C$2,)</f>
        <v>Sắt dẹt 50 x 5</v>
      </c>
      <c r="F919" s="1236" t="str">
        <f>VLOOKUP($B919,DG!A:D,DG!$D$2,)</f>
        <v>kg</v>
      </c>
      <c r="G919" s="1914">
        <f>1.963*0.4*2</f>
        <v>1.5704000000000002</v>
      </c>
      <c r="H919" s="1245">
        <f t="shared" ca="1" si="185"/>
        <v>0</v>
      </c>
      <c r="I919" s="1245">
        <f t="shared" ca="1" si="186"/>
        <v>0</v>
      </c>
      <c r="J919" s="1245">
        <f t="shared" ca="1" si="186"/>
        <v>0</v>
      </c>
      <c r="K919" s="1245">
        <f t="shared" si="186"/>
        <v>0</v>
      </c>
      <c r="L919" s="1245">
        <f t="shared" si="186"/>
        <v>0</v>
      </c>
      <c r="M919" s="1245">
        <f t="shared" si="186"/>
        <v>0</v>
      </c>
      <c r="N919" s="1245">
        <f t="shared" si="186"/>
        <v>0</v>
      </c>
      <c r="O919" s="1245"/>
      <c r="P919" s="1245"/>
      <c r="Q919" s="1245"/>
      <c r="R919" s="1245"/>
      <c r="S919" s="1245"/>
      <c r="T919" s="1671"/>
      <c r="U919" s="1664" t="str">
        <f>IFERROR(VLOOKUP(B919,ChiTietDuToan!C:H,5,0),"")</f>
        <v/>
      </c>
      <c r="V919" s="2309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59" t="s">
        <v>418</v>
      </c>
      <c r="C920" s="1189" t="str">
        <f t="shared" ca="1" si="183"/>
        <v xml:space="preserve"> </v>
      </c>
      <c r="D920" s="1236"/>
      <c r="E920" s="1248" t="str">
        <f>VLOOKUP($B920,DG!A:D,DG!$C$2,)</f>
        <v>Boulon 16x300VRS+ 4 long đền vuông D18-50x50x3/Zn</v>
      </c>
      <c r="F920" s="1236" t="str">
        <f>VLOOKUP($B920,DG!A:D,DG!$D$2,)</f>
        <v>bộ</v>
      </c>
      <c r="G920" s="1915">
        <v>3</v>
      </c>
      <c r="H920" s="1245">
        <f t="shared" ca="1" si="185"/>
        <v>0</v>
      </c>
      <c r="I920" s="1245">
        <f t="shared" ca="1" si="186"/>
        <v>0</v>
      </c>
      <c r="J920" s="1245">
        <f t="shared" ca="1" si="186"/>
        <v>0</v>
      </c>
      <c r="K920" s="1245">
        <f t="shared" si="186"/>
        <v>0</v>
      </c>
      <c r="L920" s="1245">
        <f t="shared" si="186"/>
        <v>0</v>
      </c>
      <c r="M920" s="1245">
        <f t="shared" si="186"/>
        <v>0</v>
      </c>
      <c r="N920" s="1245">
        <f t="shared" si="186"/>
        <v>0</v>
      </c>
      <c r="O920" s="1245"/>
      <c r="P920" s="1245"/>
      <c r="Q920" s="1245"/>
      <c r="R920" s="1245"/>
      <c r="S920" s="1245"/>
      <c r="T920" s="1671"/>
      <c r="U920" s="1664" t="str">
        <f>IFERROR(VLOOKUP(B920,ChiTietDuToan!C:H,5,0),"")</f>
        <v>bộ</v>
      </c>
      <c r="V920" s="2309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59" t="s">
        <v>1662</v>
      </c>
      <c r="C921" s="1189" t="str">
        <f t="shared" ca="1" si="183"/>
        <v xml:space="preserve"> </v>
      </c>
      <c r="D921" s="1236"/>
      <c r="E921" s="1248" t="str">
        <f>VLOOKUP($B921,DG!A:D,DG!$C$2,)</f>
        <v>Boulon 16x300+ 2 long đền vuông D18-50x50x3/Zn</v>
      </c>
      <c r="F921" s="1236" t="str">
        <f>VLOOKUP($B921,DG!A:D,DG!$D$2,)</f>
        <v>bộ</v>
      </c>
      <c r="G921" s="1915">
        <v>1</v>
      </c>
      <c r="H921" s="1245">
        <f t="shared" ca="1" si="185"/>
        <v>0</v>
      </c>
      <c r="I921" s="1245">
        <f t="shared" ca="1" si="186"/>
        <v>0</v>
      </c>
      <c r="J921" s="1245">
        <f t="shared" ca="1" si="186"/>
        <v>0</v>
      </c>
      <c r="K921" s="1245">
        <f t="shared" si="186"/>
        <v>0</v>
      </c>
      <c r="L921" s="1245">
        <f t="shared" si="186"/>
        <v>0</v>
      </c>
      <c r="M921" s="1245">
        <f t="shared" si="186"/>
        <v>0</v>
      </c>
      <c r="N921" s="1245">
        <f t="shared" si="186"/>
        <v>0</v>
      </c>
      <c r="O921" s="1245"/>
      <c r="P921" s="1245"/>
      <c r="Q921" s="1245"/>
      <c r="R921" s="1245"/>
      <c r="S921" s="1245"/>
      <c r="T921" s="1671"/>
      <c r="U921" s="1664" t="str">
        <f>IFERROR(VLOOKUP(B921,ChiTietDuToan!C:H,5,0),"")</f>
        <v>bộ</v>
      </c>
      <c r="V921" s="2309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59" t="s">
        <v>1661</v>
      </c>
      <c r="C922" s="1189" t="str">
        <f t="shared" ca="1" si="183"/>
        <v xml:space="preserve"> </v>
      </c>
      <c r="D922" s="1236"/>
      <c r="E922" s="1248" t="str">
        <f>VLOOKUP($B922,DG!A:D,DG!$C$2,)</f>
        <v>Boulon 16x250+ 2 long đền vuông D18-50x50x3/Zn</v>
      </c>
      <c r="F922" s="1236" t="str">
        <f>VLOOKUP($B922,DG!A:D,DG!$D$2,)</f>
        <v>bộ</v>
      </c>
      <c r="G922" s="1915">
        <v>1</v>
      </c>
      <c r="H922" s="1245">
        <f t="shared" ca="1" si="185"/>
        <v>0</v>
      </c>
      <c r="I922" s="1245">
        <f t="shared" ca="1" si="186"/>
        <v>0</v>
      </c>
      <c r="J922" s="1245">
        <f t="shared" ca="1" si="186"/>
        <v>0</v>
      </c>
      <c r="K922" s="1245">
        <f t="shared" si="186"/>
        <v>0</v>
      </c>
      <c r="L922" s="1245">
        <f t="shared" si="186"/>
        <v>0</v>
      </c>
      <c r="M922" s="1245">
        <f t="shared" si="186"/>
        <v>0</v>
      </c>
      <c r="N922" s="1245">
        <f t="shared" si="186"/>
        <v>0</v>
      </c>
      <c r="O922" s="1245"/>
      <c r="P922" s="1245"/>
      <c r="Q922" s="1245"/>
      <c r="R922" s="1245"/>
      <c r="S922" s="1245"/>
      <c r="T922" s="1671"/>
      <c r="U922" s="1664" t="str">
        <f>IFERROR(VLOOKUP(B922,ChiTietDuToan!C:H,5,0),"")</f>
        <v>bộ</v>
      </c>
      <c r="V922" s="2309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75" t="s">
        <v>520</v>
      </c>
      <c r="C923" s="1189" t="str">
        <f t="shared" si="183"/>
        <v xml:space="preserve"> </v>
      </c>
      <c r="D923" s="1240" t="str">
        <f>VLOOKUP($B923,DG!A:D,DG!$B$2,)</f>
        <v>05.6203</v>
      </c>
      <c r="E923" s="1241" t="str">
        <f>VLOOKUP($B923,DG!A:D,DG!$C$2,)</f>
        <v>Lắp xà néo ≤ 100kg</v>
      </c>
      <c r="F923" s="1236" t="str">
        <f>VLOOKUP($B923,DG!A:D,DG!$D$2,)</f>
        <v>bộ</v>
      </c>
      <c r="G923" s="1915">
        <v>1</v>
      </c>
      <c r="H923" s="1250"/>
      <c r="I923" s="1250"/>
      <c r="J923" s="1250"/>
      <c r="K923" s="1250"/>
      <c r="L923" s="1250"/>
      <c r="M923" s="1250"/>
      <c r="N923" s="1250"/>
      <c r="O923" s="1250"/>
      <c r="P923" s="1250"/>
      <c r="Q923" s="1250"/>
      <c r="R923" s="1250"/>
      <c r="S923" s="1250"/>
      <c r="T923" s="1671"/>
      <c r="U923" s="1664" t="str">
        <f>IFERROR(VLOOKUP(B923,ChiTietDuToan!C:H,5,0),"")</f>
        <v/>
      </c>
      <c r="V923" s="2309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59" t="s">
        <v>2049</v>
      </c>
      <c r="C924" s="1189" t="str">
        <f t="shared" si="183"/>
        <v xml:space="preserve"> </v>
      </c>
      <c r="D924" s="1236" t="str">
        <f>VLOOKUP($B924,DG!A:D,DG!$B$2,)</f>
        <v>02.1115</v>
      </c>
      <c r="E924" s="1241" t="str">
        <f>VLOOKUP($B924,DG!A:D,DG!$C$2,)</f>
        <v>Bốc dỡ xà, thép thanh</v>
      </c>
      <c r="F924" s="1236" t="str">
        <f>VLOOKUP($B924,DG!A:D,DG!$D$2,)</f>
        <v>tấn</v>
      </c>
      <c r="G924" s="1913"/>
      <c r="H924" s="1250"/>
      <c r="I924" s="1250"/>
      <c r="J924" s="1250"/>
      <c r="K924" s="1250"/>
      <c r="L924" s="1250"/>
      <c r="M924" s="1250"/>
      <c r="N924" s="1250"/>
      <c r="O924" s="1250"/>
      <c r="P924" s="1250"/>
      <c r="Q924" s="1250"/>
      <c r="R924" s="1250"/>
      <c r="S924" s="1250"/>
      <c r="T924" s="1671"/>
      <c r="U924" s="1664" t="str">
        <f>IFERROR(VLOOKUP(B924,ChiTietDuToan!C:H,5,0),"")</f>
        <v/>
      </c>
      <c r="V924" s="2309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74" t="s">
        <v>2050</v>
      </c>
      <c r="C925" s="1189" t="str">
        <f t="shared" si="183"/>
        <v xml:space="preserve"> </v>
      </c>
      <c r="D925" s="1236" t="str">
        <f>VLOOKUP($B925,DG!A:C,2,)</f>
        <v>02.1361</v>
      </c>
      <c r="E925" s="1241" t="str">
        <f>VLOOKUP($B925,DG!A:C,3,)</f>
        <v>V/c xà vào vị trí (cư ly &lt;=100m)</v>
      </c>
      <c r="F925" s="1236" t="str">
        <f>VLOOKUP($B925,DG!A:D,4,0)</f>
        <v>tấn</v>
      </c>
      <c r="G925" s="1913"/>
      <c r="H925" s="1250"/>
      <c r="I925" s="1250"/>
      <c r="J925" s="1250"/>
      <c r="K925" s="1250"/>
      <c r="L925" s="1250"/>
      <c r="M925" s="1250"/>
      <c r="N925" s="1250"/>
      <c r="O925" s="1250"/>
      <c r="P925" s="1250"/>
      <c r="Q925" s="1250"/>
      <c r="R925" s="1250"/>
      <c r="S925" s="1250"/>
      <c r="T925" s="1671"/>
      <c r="U925" s="1664" t="str">
        <f>IFERROR(VLOOKUP(B925,ChiTietDuToan!C:H,5,0),"")</f>
        <v/>
      </c>
      <c r="V925" s="2309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74" t="s">
        <v>640</v>
      </c>
      <c r="C926" s="1189" t="str">
        <f t="shared" si="183"/>
        <v xml:space="preserve"> </v>
      </c>
      <c r="D926" s="1236" t="str">
        <f>VLOOKUP($B926,DG!A:C,2,)</f>
        <v>02.1482</v>
      </c>
      <c r="E926" s="1241" t="str">
        <f>VLOOKUP($B926,DG!A:C,3,)</f>
        <v>V/c dụng cụ thi công vào vị trí (cự ly &lt;=100m)</v>
      </c>
      <c r="F926" s="1236" t="str">
        <f>VLOOKUP($B926,DG!A:D,4,0)</f>
        <v>tấn</v>
      </c>
      <c r="G926" s="1914"/>
      <c r="H926" s="1250"/>
      <c r="I926" s="1250"/>
      <c r="J926" s="1250"/>
      <c r="K926" s="1250"/>
      <c r="L926" s="1250"/>
      <c r="M926" s="1250"/>
      <c r="N926" s="1250"/>
      <c r="O926" s="1250"/>
      <c r="P926" s="1250"/>
      <c r="Q926" s="1250"/>
      <c r="R926" s="1250"/>
      <c r="S926" s="1250"/>
      <c r="T926" s="1671"/>
      <c r="U926" s="1664" t="str">
        <f>IFERROR(VLOOKUP(B926,ChiTietDuToan!C:H,5,0),"")</f>
        <v/>
      </c>
      <c r="V926" s="2309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53" t="s">
        <v>2356</v>
      </c>
      <c r="B927" s="1954" t="str">
        <f>A927</f>
        <v>X-20ĐL2/3</v>
      </c>
      <c r="C927" s="1189" t="str">
        <f t="shared" si="183"/>
        <v xml:space="preserve"> </v>
      </c>
      <c r="D927" s="1237"/>
      <c r="E927" s="1666" t="s">
        <v>2496</v>
      </c>
      <c r="F927" s="1238" t="s">
        <v>2449</v>
      </c>
      <c r="G927" s="1912"/>
      <c r="H927" s="1523">
        <f>W927</f>
        <v>0</v>
      </c>
      <c r="I927" s="1239">
        <f ca="1">SUMIF(xa3pm,chitiet!$A927,slxa3pm)</f>
        <v>0</v>
      </c>
      <c r="J927" s="1239">
        <f ca="1">SUMIF(xact,chitiet!$A927,slxact)</f>
        <v>0</v>
      </c>
      <c r="K927" s="1239">
        <f>pp3p1m!DF111</f>
        <v>0</v>
      </c>
      <c r="L927" s="1239">
        <f>IFERROR(HLOOKUP(A927,pp1p!$6:$90,85,0),0)</f>
        <v>0</v>
      </c>
      <c r="M927" s="1239"/>
      <c r="N927" s="1239"/>
      <c r="O927" s="1239"/>
      <c r="P927" s="1523">
        <f>H927+Q927-R927</f>
        <v>0</v>
      </c>
      <c r="Q927" s="1239"/>
      <c r="R927" s="1239"/>
      <c r="S927" s="1239"/>
      <c r="T927" s="1664"/>
      <c r="U927" s="1664" t="str">
        <f>IFERROR(VLOOKUP(B927,ChiTietDuToan!C:H,5,0),"")</f>
        <v>Bộ</v>
      </c>
      <c r="V927" s="2309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52" t="s">
        <v>110</v>
      </c>
      <c r="C928" s="1189" t="str">
        <f t="shared" si="183"/>
        <v xml:space="preserve"> </v>
      </c>
      <c r="D928" s="1236"/>
      <c r="E928" s="1248" t="str">
        <f>VLOOKUP($B928,DG!A:D,DG!$C$2,)</f>
        <v>Sắt góc L75 x75 x8</v>
      </c>
      <c r="F928" s="1236" t="str">
        <f>VLOOKUP($B928,DG!A:D,DG!$D$2,)</f>
        <v>kg</v>
      </c>
      <c r="G928" s="1914">
        <f>9.02*(2+3*0.07)</f>
        <v>19.934199999999997</v>
      </c>
      <c r="H928" s="1245">
        <f>H$927*$G928</f>
        <v>0</v>
      </c>
      <c r="I928" s="1245">
        <f t="shared" ref="I928:N931" ca="1" si="188">I$927*$G928</f>
        <v>0</v>
      </c>
      <c r="J928" s="1245">
        <f t="shared" ca="1" si="188"/>
        <v>0</v>
      </c>
      <c r="K928" s="1245">
        <f t="shared" si="188"/>
        <v>0</v>
      </c>
      <c r="L928" s="1245">
        <f t="shared" si="188"/>
        <v>0</v>
      </c>
      <c r="M928" s="1245">
        <f t="shared" si="188"/>
        <v>0</v>
      </c>
      <c r="N928" s="1245">
        <f t="shared" si="188"/>
        <v>0</v>
      </c>
      <c r="O928" s="1245"/>
      <c r="P928" s="1245">
        <f>$P$927*G928</f>
        <v>0</v>
      </c>
      <c r="Q928" s="1251">
        <f>$Q$927*G928</f>
        <v>0</v>
      </c>
      <c r="R928" s="1245"/>
      <c r="S928" s="1245"/>
      <c r="T928" s="1664"/>
      <c r="U928" s="1664" t="str">
        <f>IFERROR(VLOOKUP(B928,ChiTietDuToan!C:H,5,0),"")</f>
        <v/>
      </c>
      <c r="V928" s="2309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52" t="s">
        <v>460</v>
      </c>
      <c r="C929" s="1189" t="str">
        <f t="shared" si="183"/>
        <v xml:space="preserve"> </v>
      </c>
      <c r="D929" s="1236"/>
      <c r="E929" s="1248" t="str">
        <f>VLOOKUP($B929,DG!A:D,DG!$C$2,)&amp;" :chống 1150"</f>
        <v>Sắt góc L50 x50 x5 :chống 1150</v>
      </c>
      <c r="F929" s="1236" t="str">
        <f>VLOOKUP($B929,DG!A:D,DG!$D$2,)</f>
        <v>kg</v>
      </c>
      <c r="G929" s="1914">
        <f>3.77*1.15</f>
        <v>4.3354999999999997</v>
      </c>
      <c r="H929" s="1245">
        <f>H$927*$G929</f>
        <v>0</v>
      </c>
      <c r="I929" s="1245">
        <f t="shared" ca="1" si="188"/>
        <v>0</v>
      </c>
      <c r="J929" s="1245">
        <f t="shared" ca="1" si="188"/>
        <v>0</v>
      </c>
      <c r="K929" s="1245">
        <f t="shared" si="188"/>
        <v>0</v>
      </c>
      <c r="L929" s="1245">
        <f t="shared" si="188"/>
        <v>0</v>
      </c>
      <c r="M929" s="1245">
        <f t="shared" si="188"/>
        <v>0</v>
      </c>
      <c r="N929" s="1245">
        <f t="shared" si="188"/>
        <v>0</v>
      </c>
      <c r="O929" s="1245"/>
      <c r="P929" s="1245">
        <f>$P$927*G929</f>
        <v>0</v>
      </c>
      <c r="Q929" s="1251">
        <f>$Q$927*G929</f>
        <v>0</v>
      </c>
      <c r="R929" s="1245"/>
      <c r="S929" s="1245"/>
      <c r="T929" s="1664"/>
      <c r="U929" s="1664" t="str">
        <f>IFERROR(VLOOKUP(B929,ChiTietDuToan!C:H,5,0),"")</f>
        <v/>
      </c>
      <c r="V929" s="2309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52" t="s">
        <v>1661</v>
      </c>
      <c r="C930" s="1189" t="str">
        <f t="shared" si="183"/>
        <v xml:space="preserve"> </v>
      </c>
      <c r="D930" s="1236"/>
      <c r="E930" s="1248" t="str">
        <f>VLOOKUP($B930,DG!A:D,DG!$C$2,)</f>
        <v>Boulon 16x250+ 2 long đền vuông D18-50x50x3/Zn</v>
      </c>
      <c r="F930" s="1236" t="str">
        <f>VLOOKUP($B930,DG!A:D,DG!$D$2,)</f>
        <v>bộ</v>
      </c>
      <c r="G930" s="1915">
        <v>2</v>
      </c>
      <c r="H930" s="1245">
        <f>H$927*$G930</f>
        <v>0</v>
      </c>
      <c r="I930" s="1245">
        <f t="shared" ca="1" si="188"/>
        <v>0</v>
      </c>
      <c r="J930" s="1245">
        <f t="shared" ca="1" si="188"/>
        <v>0</v>
      </c>
      <c r="K930" s="1245">
        <f t="shared" si="188"/>
        <v>0</v>
      </c>
      <c r="L930" s="1245">
        <f t="shared" si="188"/>
        <v>0</v>
      </c>
      <c r="M930" s="1245">
        <f t="shared" si="188"/>
        <v>0</v>
      </c>
      <c r="N930" s="1245">
        <f t="shared" si="188"/>
        <v>0</v>
      </c>
      <c r="O930" s="1245"/>
      <c r="P930" s="1245">
        <f>$P$927*G930</f>
        <v>0</v>
      </c>
      <c r="Q930" s="1245">
        <f>$Q$927*G930</f>
        <v>0</v>
      </c>
      <c r="R930" s="1245"/>
      <c r="S930" s="1245"/>
      <c r="T930" s="1664"/>
      <c r="U930" s="1664" t="str">
        <f>IFERROR(VLOOKUP(B930,ChiTietDuToan!C:H,5,0),"")</f>
        <v>bộ</v>
      </c>
      <c r="V930" s="2309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52" t="s">
        <v>1839</v>
      </c>
      <c r="C931" s="1189" t="str">
        <f t="shared" si="183"/>
        <v xml:space="preserve"> </v>
      </c>
      <c r="D931" s="1236"/>
      <c r="E931" s="1248" t="str">
        <f>VLOOKUP($B931,DG!A:D,DG!$C$2,)</f>
        <v>Boulon 16x50+ 2 long đền vuông D18-50x50x3/Zn</v>
      </c>
      <c r="F931" s="1236" t="str">
        <f>VLOOKUP($B931,DG!A:D,DG!$D$2,)</f>
        <v>bộ</v>
      </c>
      <c r="G931" s="1915">
        <v>1</v>
      </c>
      <c r="H931" s="1245">
        <f>H$927*$G931</f>
        <v>0</v>
      </c>
      <c r="I931" s="1245">
        <f t="shared" ca="1" si="188"/>
        <v>0</v>
      </c>
      <c r="J931" s="1245">
        <f t="shared" ca="1" si="188"/>
        <v>0</v>
      </c>
      <c r="K931" s="1245">
        <f t="shared" si="188"/>
        <v>0</v>
      </c>
      <c r="L931" s="1245">
        <f t="shared" si="188"/>
        <v>0</v>
      </c>
      <c r="M931" s="1245">
        <f t="shared" si="188"/>
        <v>0</v>
      </c>
      <c r="N931" s="1245">
        <f t="shared" si="188"/>
        <v>0</v>
      </c>
      <c r="O931" s="1245"/>
      <c r="P931" s="1245">
        <f>$P$927*G931</f>
        <v>0</v>
      </c>
      <c r="Q931" s="1245">
        <f>$Q$927*G931</f>
        <v>0</v>
      </c>
      <c r="R931" s="1245"/>
      <c r="S931" s="1245"/>
      <c r="T931" s="1664"/>
      <c r="U931" s="1664" t="str">
        <f>IFERROR(VLOOKUP(B931,ChiTietDuToan!C:H,5,0),"")</f>
        <v>bộ</v>
      </c>
      <c r="V931" s="2309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52" t="s">
        <v>2048</v>
      </c>
      <c r="C932" s="1189" t="str">
        <f t="shared" si="183"/>
        <v xml:space="preserve"> </v>
      </c>
      <c r="D932" s="1252" t="str">
        <f>VLOOKUP($B932,DG!A:D,DG!$B$2,)</f>
        <v>05.6401</v>
      </c>
      <c r="E932" s="1241" t="str">
        <f>VLOOKUP($B932,DG!A:D,DG!$C$2,)</f>
        <v>Lắp xà đỡ ≤ 25kg</v>
      </c>
      <c r="F932" s="1236" t="str">
        <f>VLOOKUP($B932,DG!A:D,DG!$D$2,)</f>
        <v>bộ</v>
      </c>
      <c r="G932" s="1915">
        <v>1</v>
      </c>
      <c r="H932" s="1245">
        <f>H$927*$G932</f>
        <v>0</v>
      </c>
      <c r="I932" s="1250"/>
      <c r="J932" s="1250"/>
      <c r="K932" s="1250"/>
      <c r="L932" s="1250"/>
      <c r="M932" s="1250"/>
      <c r="N932" s="1250"/>
      <c r="O932" s="1250"/>
      <c r="P932" s="1245">
        <f>$P$927*G932</f>
        <v>0</v>
      </c>
      <c r="Q932" s="1245">
        <f>$Q$927*G932</f>
        <v>0</v>
      </c>
      <c r="R932" s="1250"/>
      <c r="S932" s="1250"/>
      <c r="T932" s="1664"/>
      <c r="U932" s="1664" t="str">
        <f>IFERROR(VLOOKUP(B932,ChiTietDuToan!C:H,5,0),"")</f>
        <v/>
      </c>
      <c r="V932" s="2309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59" t="s">
        <v>2049</v>
      </c>
      <c r="C933" s="1189" t="str">
        <f t="shared" si="183"/>
        <v xml:space="preserve"> </v>
      </c>
      <c r="D933" s="1236" t="str">
        <f>VLOOKUP($B933,DG!A:D,DG!$B$2,)</f>
        <v>02.1115</v>
      </c>
      <c r="E933" s="1241" t="str">
        <f>VLOOKUP($B933,DG!A:D,DG!$C$2,)</f>
        <v>Bốc dỡ xà, thép thanh</v>
      </c>
      <c r="F933" s="1236" t="str">
        <f>VLOOKUP($B933,DG!A:D,DG!$D$2,)</f>
        <v>tấn</v>
      </c>
      <c r="G933" s="1913"/>
      <c r="H933" s="1250"/>
      <c r="I933" s="1250"/>
      <c r="J933" s="1250"/>
      <c r="K933" s="1250"/>
      <c r="L933" s="1250"/>
      <c r="M933" s="1250"/>
      <c r="N933" s="1250"/>
      <c r="O933" s="1250"/>
      <c r="P933" s="1250"/>
      <c r="Q933" s="1250"/>
      <c r="R933" s="1250"/>
      <c r="S933" s="1250"/>
      <c r="T933" s="1671"/>
      <c r="U933" s="1664" t="str">
        <f>IFERROR(VLOOKUP(B933,ChiTietDuToan!C:H,5,0),"")</f>
        <v/>
      </c>
      <c r="V933" s="2309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74" t="s">
        <v>2050</v>
      </c>
      <c r="C934" s="1189" t="str">
        <f t="shared" si="183"/>
        <v xml:space="preserve"> </v>
      </c>
      <c r="D934" s="1236" t="str">
        <f>VLOOKUP($B934,DG!A:C,2,)</f>
        <v>02.1361</v>
      </c>
      <c r="E934" s="1241" t="str">
        <f>VLOOKUP($B934,DG!A:C,3,)</f>
        <v>V/c xà vào vị trí (cư ly &lt;=100m)</v>
      </c>
      <c r="F934" s="1236" t="str">
        <f>VLOOKUP($B934,DG!A:D,4,0)</f>
        <v>tấn</v>
      </c>
      <c r="G934" s="1913"/>
      <c r="H934" s="1250"/>
      <c r="I934" s="1250"/>
      <c r="J934" s="1250"/>
      <c r="K934" s="1250"/>
      <c r="L934" s="1250"/>
      <c r="M934" s="1250"/>
      <c r="N934" s="1250"/>
      <c r="O934" s="1250"/>
      <c r="P934" s="1250"/>
      <c r="Q934" s="1250"/>
      <c r="R934" s="1250"/>
      <c r="S934" s="1250"/>
      <c r="T934" s="1671"/>
      <c r="U934" s="1664" t="str">
        <f>IFERROR(VLOOKUP(B934,ChiTietDuToan!C:H,5,0),"")</f>
        <v/>
      </c>
      <c r="V934" s="2309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74" t="s">
        <v>640</v>
      </c>
      <c r="C935" s="1189" t="str">
        <f t="shared" si="183"/>
        <v xml:space="preserve"> </v>
      </c>
      <c r="D935" s="1236" t="str">
        <f>VLOOKUP($B935,DG!A:C,2,)</f>
        <v>02.1482</v>
      </c>
      <c r="E935" s="1241" t="str">
        <f>VLOOKUP($B935,DG!A:C,3,)</f>
        <v>V/c dụng cụ thi công vào vị trí (cự ly &lt;=100m)</v>
      </c>
      <c r="F935" s="1236" t="str">
        <f>VLOOKUP($B935,DG!A:D,4,0)</f>
        <v>tấn</v>
      </c>
      <c r="G935" s="1914"/>
      <c r="H935" s="1250"/>
      <c r="I935" s="1250"/>
      <c r="J935" s="1250"/>
      <c r="K935" s="1250"/>
      <c r="L935" s="1250"/>
      <c r="M935" s="1250"/>
      <c r="N935" s="1250"/>
      <c r="O935" s="1250"/>
      <c r="P935" s="1250"/>
      <c r="Q935" s="1250"/>
      <c r="R935" s="1250"/>
      <c r="S935" s="1250"/>
      <c r="T935" s="1671"/>
      <c r="U935" s="1664" t="str">
        <f>IFERROR(VLOOKUP(B935,ChiTietDuToan!C:H,5,0),"")</f>
        <v/>
      </c>
      <c r="V935" s="2309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53" t="s">
        <v>2181</v>
      </c>
      <c r="B936" s="1954" t="str">
        <f>A936</f>
        <v>X-20KL2/3</v>
      </c>
      <c r="C936" s="1189" t="str">
        <f t="shared" si="183"/>
        <v xml:space="preserve"> </v>
      </c>
      <c r="D936" s="1237"/>
      <c r="E936" s="1666" t="s">
        <v>2497</v>
      </c>
      <c r="F936" s="1238" t="s">
        <v>2449</v>
      </c>
      <c r="G936" s="1912"/>
      <c r="H936" s="1523">
        <f>W936</f>
        <v>0</v>
      </c>
      <c r="I936" s="1239">
        <f ca="1">SUMIF(xa3pm,chitiet!$A936,slxa3pm)</f>
        <v>0</v>
      </c>
      <c r="J936" s="1239">
        <f ca="1">SUMIF(xact,chitiet!$A936,slxact)</f>
        <v>0</v>
      </c>
      <c r="K936" s="1239">
        <f>pp3p1m!DG111</f>
        <v>0</v>
      </c>
      <c r="L936" s="1239">
        <f>IFERROR(HLOOKUP(A936,pp1p!$6:$90,85,0),0)</f>
        <v>0</v>
      </c>
      <c r="M936" s="1239"/>
      <c r="N936" s="1239"/>
      <c r="O936" s="1239"/>
      <c r="P936" s="2297">
        <f>H936+Q936-R936</f>
        <v>0</v>
      </c>
      <c r="Q936" s="1239"/>
      <c r="R936" s="1239"/>
      <c r="S936" s="1239"/>
      <c r="T936" s="1664"/>
      <c r="U936" s="1664" t="str">
        <f>IFERROR(VLOOKUP(B936,ChiTietDuToan!C:H,5,0),"")</f>
        <v>Bộ</v>
      </c>
      <c r="V936" s="2309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52" t="s">
        <v>110</v>
      </c>
      <c r="C937" s="1189" t="str">
        <f t="shared" si="183"/>
        <v xml:space="preserve"> </v>
      </c>
      <c r="D937" s="1236"/>
      <c r="E937" s="1248" t="str">
        <f>VLOOKUP($B937,DG!A:D,DG!$C$2,)</f>
        <v>Sắt góc L75 x75 x8</v>
      </c>
      <c r="F937" s="1236" t="str">
        <f>VLOOKUP($B937,DG!A:D,DG!$D$2,)</f>
        <v>kg</v>
      </c>
      <c r="G937" s="1914">
        <f>9.02*2*(2+3*0.07)</f>
        <v>39.868399999999994</v>
      </c>
      <c r="H937" s="1245">
        <f t="shared" ref="H937:H943" si="190">H$936*$G937</f>
        <v>0</v>
      </c>
      <c r="I937" s="1245">
        <f t="shared" ref="I937:N942" ca="1" si="191">I$936*$G937</f>
        <v>0</v>
      </c>
      <c r="J937" s="1245">
        <f t="shared" ca="1" si="191"/>
        <v>0</v>
      </c>
      <c r="K937" s="1245">
        <f t="shared" si="191"/>
        <v>0</v>
      </c>
      <c r="L937" s="1245">
        <f t="shared" si="191"/>
        <v>0</v>
      </c>
      <c r="M937" s="1245">
        <f t="shared" si="191"/>
        <v>0</v>
      </c>
      <c r="N937" s="1245">
        <f t="shared" si="191"/>
        <v>0</v>
      </c>
      <c r="O937" s="1245"/>
      <c r="P937" s="1245">
        <f>$P$936*G937</f>
        <v>0</v>
      </c>
      <c r="Q937" s="1245"/>
      <c r="R937" s="1245"/>
      <c r="S937" s="1245"/>
      <c r="T937" s="1664"/>
      <c r="U937" s="1664" t="str">
        <f>IFERROR(VLOOKUP(B937,ChiTietDuToan!C:H,5,0),"")</f>
        <v/>
      </c>
      <c r="V937" s="2309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52" t="s">
        <v>460</v>
      </c>
      <c r="C938" s="1189" t="str">
        <f t="shared" si="183"/>
        <v xml:space="preserve"> </v>
      </c>
      <c r="D938" s="1236"/>
      <c r="E938" s="1248" t="str">
        <f>VLOOKUP($B938,DG!A:D,DG!$C$2,)</f>
        <v>Sắt góc L50 x50 x5</v>
      </c>
      <c r="F938" s="1236" t="str">
        <f>VLOOKUP($B938,DG!A:D,DG!$D$2,)</f>
        <v>kg</v>
      </c>
      <c r="G938" s="1914">
        <f>3.77*1.15*2</f>
        <v>8.6709999999999994</v>
      </c>
      <c r="H938" s="1245">
        <f t="shared" si="190"/>
        <v>0</v>
      </c>
      <c r="I938" s="1245">
        <f t="shared" ca="1" si="191"/>
        <v>0</v>
      </c>
      <c r="J938" s="1245">
        <f t="shared" ca="1" si="191"/>
        <v>0</v>
      </c>
      <c r="K938" s="1245">
        <f t="shared" si="191"/>
        <v>0</v>
      </c>
      <c r="L938" s="1245">
        <f t="shared" si="191"/>
        <v>0</v>
      </c>
      <c r="M938" s="1245">
        <f t="shared" si="191"/>
        <v>0</v>
      </c>
      <c r="N938" s="1245">
        <f t="shared" si="191"/>
        <v>0</v>
      </c>
      <c r="O938" s="1245"/>
      <c r="P938" s="1245">
        <f t="shared" ref="P938:P943" si="192">$P$936*G938</f>
        <v>0</v>
      </c>
      <c r="Q938" s="1245"/>
      <c r="R938" s="1245"/>
      <c r="S938" s="1245"/>
      <c r="T938" s="1664"/>
      <c r="U938" s="1664" t="str">
        <f>IFERROR(VLOOKUP(B938,ChiTietDuToan!C:H,5,0),"")</f>
        <v/>
      </c>
      <c r="V938" s="2309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52" t="s">
        <v>418</v>
      </c>
      <c r="C939" s="1189" t="str">
        <f t="shared" si="183"/>
        <v xml:space="preserve"> </v>
      </c>
      <c r="D939" s="1236"/>
      <c r="E939" s="1248" t="str">
        <f>VLOOKUP($B939,DG!A:D,DG!$C$2,)</f>
        <v>Boulon 16x300VRS+ 4 long đền vuông D18-50x50x3/Zn</v>
      </c>
      <c r="F939" s="1236" t="str">
        <f>VLOOKUP($B939,DG!A:D,DG!$D$2,)</f>
        <v>bộ</v>
      </c>
      <c r="G939" s="1915">
        <v>1</v>
      </c>
      <c r="H939" s="1245">
        <f t="shared" si="190"/>
        <v>0</v>
      </c>
      <c r="I939" s="1245">
        <f t="shared" ca="1" si="191"/>
        <v>0</v>
      </c>
      <c r="J939" s="1245">
        <f t="shared" ca="1" si="191"/>
        <v>0</v>
      </c>
      <c r="K939" s="1245">
        <f t="shared" si="191"/>
        <v>0</v>
      </c>
      <c r="L939" s="1245">
        <f t="shared" si="191"/>
        <v>0</v>
      </c>
      <c r="M939" s="1245">
        <f t="shared" si="191"/>
        <v>0</v>
      </c>
      <c r="N939" s="1245">
        <f t="shared" si="191"/>
        <v>0</v>
      </c>
      <c r="O939" s="1245"/>
      <c r="P939" s="1245">
        <f t="shared" si="192"/>
        <v>0</v>
      </c>
      <c r="Q939" s="1245"/>
      <c r="R939" s="1245"/>
      <c r="S939" s="1245"/>
      <c r="T939" s="1664"/>
      <c r="U939" s="1664" t="str">
        <f>IFERROR(VLOOKUP(B939,ChiTietDuToan!C:H,5,0),"")</f>
        <v>bộ</v>
      </c>
      <c r="V939" s="2309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52" t="s">
        <v>1662</v>
      </c>
      <c r="C940" s="1189" t="str">
        <f t="shared" si="183"/>
        <v xml:space="preserve"> </v>
      </c>
      <c r="D940" s="1236"/>
      <c r="E940" s="1248" t="str">
        <f>VLOOKUP($B940,DG!A:D,DG!$C$2,)</f>
        <v>Boulon 16x300+ 2 long đền vuông D18-50x50x3/Zn</v>
      </c>
      <c r="F940" s="1236" t="str">
        <f>VLOOKUP($B940,DG!A:D,DG!$D$2,)</f>
        <v>bộ</v>
      </c>
      <c r="G940" s="1915">
        <v>1</v>
      </c>
      <c r="H940" s="1245">
        <f t="shared" si="190"/>
        <v>0</v>
      </c>
      <c r="I940" s="1245">
        <f t="shared" ca="1" si="191"/>
        <v>0</v>
      </c>
      <c r="J940" s="1245">
        <f t="shared" ca="1" si="191"/>
        <v>0</v>
      </c>
      <c r="K940" s="1245">
        <f t="shared" si="191"/>
        <v>0</v>
      </c>
      <c r="L940" s="1245">
        <f t="shared" si="191"/>
        <v>0</v>
      </c>
      <c r="M940" s="1245">
        <f t="shared" si="191"/>
        <v>0</v>
      </c>
      <c r="N940" s="1245">
        <f t="shared" si="191"/>
        <v>0</v>
      </c>
      <c r="O940" s="1245"/>
      <c r="P940" s="1245">
        <f t="shared" si="192"/>
        <v>0</v>
      </c>
      <c r="Q940" s="1245"/>
      <c r="R940" s="1245"/>
      <c r="S940" s="1245"/>
      <c r="T940" s="1664"/>
      <c r="U940" s="1664" t="str">
        <f>IFERROR(VLOOKUP(B940,ChiTietDuToan!C:H,5,0),"")</f>
        <v>bộ</v>
      </c>
      <c r="V940" s="2309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52" t="s">
        <v>1661</v>
      </c>
      <c r="C941" s="1189" t="str">
        <f t="shared" si="183"/>
        <v xml:space="preserve"> </v>
      </c>
      <c r="D941" s="1236"/>
      <c r="E941" s="1248" t="str">
        <f>VLOOKUP($B941,DG!A:D,DG!$C$2,)</f>
        <v>Boulon 16x250+ 2 long đền vuông D18-50x50x3/Zn</v>
      </c>
      <c r="F941" s="1236" t="str">
        <f>VLOOKUP($B941,DG!A:D,DG!$D$2,)</f>
        <v>bộ</v>
      </c>
      <c r="G941" s="1915">
        <v>1</v>
      </c>
      <c r="H941" s="1245">
        <f t="shared" si="190"/>
        <v>0</v>
      </c>
      <c r="I941" s="1245">
        <f t="shared" ca="1" si="191"/>
        <v>0</v>
      </c>
      <c r="J941" s="1245">
        <f t="shared" ca="1" si="191"/>
        <v>0</v>
      </c>
      <c r="K941" s="1245">
        <f t="shared" si="191"/>
        <v>0</v>
      </c>
      <c r="L941" s="1245">
        <f t="shared" si="191"/>
        <v>0</v>
      </c>
      <c r="M941" s="1245">
        <f t="shared" si="191"/>
        <v>0</v>
      </c>
      <c r="N941" s="1245">
        <f t="shared" si="191"/>
        <v>0</v>
      </c>
      <c r="O941" s="1245"/>
      <c r="P941" s="1245">
        <f t="shared" si="192"/>
        <v>0</v>
      </c>
      <c r="Q941" s="1245"/>
      <c r="R941" s="1245"/>
      <c r="S941" s="1245"/>
      <c r="T941" s="1664"/>
      <c r="U941" s="1664" t="str">
        <f>IFERROR(VLOOKUP(B941,ChiTietDuToan!C:H,5,0),"")</f>
        <v>bộ</v>
      </c>
      <c r="V941" s="2309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52" t="s">
        <v>1839</v>
      </c>
      <c r="C942" s="1189" t="str">
        <f t="shared" si="183"/>
        <v xml:space="preserve"> </v>
      </c>
      <c r="D942" s="1236"/>
      <c r="E942" s="1248" t="str">
        <f>VLOOKUP($B942,DG!A:D,DG!$C$2,)</f>
        <v>Boulon 16x50+ 2 long đền vuông D18-50x50x3/Zn</v>
      </c>
      <c r="F942" s="1236" t="str">
        <f>VLOOKUP($B942,DG!A:D,DG!$D$2,)</f>
        <v>bộ</v>
      </c>
      <c r="G942" s="1915">
        <v>2</v>
      </c>
      <c r="H942" s="1245">
        <f t="shared" si="190"/>
        <v>0</v>
      </c>
      <c r="I942" s="1245">
        <f t="shared" ca="1" si="191"/>
        <v>0</v>
      </c>
      <c r="J942" s="1245">
        <f t="shared" ca="1" si="191"/>
        <v>0</v>
      </c>
      <c r="K942" s="1245">
        <f t="shared" si="191"/>
        <v>0</v>
      </c>
      <c r="L942" s="1245">
        <f t="shared" si="191"/>
        <v>0</v>
      </c>
      <c r="M942" s="1245">
        <f t="shared" si="191"/>
        <v>0</v>
      </c>
      <c r="N942" s="1245">
        <f t="shared" si="191"/>
        <v>0</v>
      </c>
      <c r="O942" s="1245"/>
      <c r="P942" s="1245">
        <f t="shared" si="192"/>
        <v>0</v>
      </c>
      <c r="Q942" s="1245"/>
      <c r="R942" s="1245"/>
      <c r="S942" s="1245"/>
      <c r="T942" s="1664"/>
      <c r="U942" s="1664" t="str">
        <f>IFERROR(VLOOKUP(B942,ChiTietDuToan!C:H,5,0),"")</f>
        <v>bộ</v>
      </c>
      <c r="V942" s="2309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52" t="s">
        <v>2051</v>
      </c>
      <c r="C943" s="1189" t="str">
        <f t="shared" si="183"/>
        <v xml:space="preserve"> </v>
      </c>
      <c r="D943" s="1252" t="str">
        <f>VLOOKUP($B943,DG!A:D,DG!$B$2,)</f>
        <v>05.6202</v>
      </c>
      <c r="E943" s="1241" t="str">
        <f>VLOOKUP($B943,DG!A:D,DG!$C$2,)</f>
        <v>Lắp xà néo ≤ 50kg</v>
      </c>
      <c r="F943" s="1236" t="str">
        <f>VLOOKUP($B943,DG!A:D,DG!$D$2,)</f>
        <v>bộ</v>
      </c>
      <c r="G943" s="1915">
        <v>1</v>
      </c>
      <c r="H943" s="1245">
        <f t="shared" si="190"/>
        <v>0</v>
      </c>
      <c r="I943" s="1250"/>
      <c r="J943" s="1250"/>
      <c r="K943" s="1250"/>
      <c r="L943" s="1250"/>
      <c r="M943" s="1250"/>
      <c r="N943" s="1250"/>
      <c r="O943" s="1250"/>
      <c r="P943" s="1245">
        <f t="shared" si="192"/>
        <v>0</v>
      </c>
      <c r="Q943" s="1250"/>
      <c r="R943" s="1250"/>
      <c r="S943" s="1250"/>
      <c r="T943" s="1664"/>
      <c r="U943" s="1664" t="str">
        <f>IFERROR(VLOOKUP(B943,ChiTietDuToan!C:H,5,0),"")</f>
        <v>bộ</v>
      </c>
      <c r="V943" s="2309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59" t="s">
        <v>2049</v>
      </c>
      <c r="C944" s="1189" t="str">
        <f t="shared" si="183"/>
        <v xml:space="preserve"> </v>
      </c>
      <c r="D944" s="1236" t="str">
        <f>VLOOKUP($B944,DG!A:D,DG!$B$2,)</f>
        <v>02.1115</v>
      </c>
      <c r="E944" s="1241" t="str">
        <f>VLOOKUP($B944,DG!A:D,DG!$C$2,)</f>
        <v>Bốc dỡ xà, thép thanh</v>
      </c>
      <c r="F944" s="1236" t="str">
        <f>VLOOKUP($B944,DG!A:D,DG!$D$2,)</f>
        <v>tấn</v>
      </c>
      <c r="G944" s="1913"/>
      <c r="H944" s="1250"/>
      <c r="I944" s="1250"/>
      <c r="J944" s="1250"/>
      <c r="K944" s="1250"/>
      <c r="L944" s="1250"/>
      <c r="M944" s="1250"/>
      <c r="N944" s="1250"/>
      <c r="O944" s="1250"/>
      <c r="P944" s="1250"/>
      <c r="Q944" s="1250"/>
      <c r="R944" s="1250"/>
      <c r="S944" s="1250"/>
      <c r="T944" s="1671"/>
      <c r="U944" s="1664" t="str">
        <f>IFERROR(VLOOKUP(B944,ChiTietDuToan!C:H,5,0),"")</f>
        <v/>
      </c>
      <c r="V944" s="2309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74" t="s">
        <v>2050</v>
      </c>
      <c r="C945" s="1189" t="str">
        <f t="shared" si="183"/>
        <v xml:space="preserve"> </v>
      </c>
      <c r="D945" s="1236" t="str">
        <f>VLOOKUP($B945,DG!A:C,2,)</f>
        <v>02.1361</v>
      </c>
      <c r="E945" s="1241" t="str">
        <f>VLOOKUP($B945,DG!A:C,3,)</f>
        <v>V/c xà vào vị trí (cư ly &lt;=100m)</v>
      </c>
      <c r="F945" s="1236" t="str">
        <f>VLOOKUP($B945,DG!A:D,4,0)</f>
        <v>tấn</v>
      </c>
      <c r="G945" s="1913"/>
      <c r="H945" s="1250"/>
      <c r="I945" s="1250"/>
      <c r="J945" s="1250"/>
      <c r="K945" s="1250"/>
      <c r="L945" s="1250"/>
      <c r="M945" s="1250"/>
      <c r="N945" s="1250"/>
      <c r="O945" s="1250"/>
      <c r="P945" s="1250"/>
      <c r="Q945" s="1250"/>
      <c r="R945" s="1250"/>
      <c r="S945" s="1250"/>
      <c r="T945" s="1671"/>
      <c r="U945" s="1664" t="str">
        <f>IFERROR(VLOOKUP(B945,ChiTietDuToan!C:H,5,0),"")</f>
        <v/>
      </c>
      <c r="V945" s="2309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74" t="s">
        <v>640</v>
      </c>
      <c r="C946" s="1189" t="str">
        <f t="shared" si="183"/>
        <v xml:space="preserve"> </v>
      </c>
      <c r="D946" s="1236" t="str">
        <f>VLOOKUP($B946,DG!A:C,2,)</f>
        <v>02.1482</v>
      </c>
      <c r="E946" s="1241" t="str">
        <f>VLOOKUP($B946,DG!A:C,3,)</f>
        <v>V/c dụng cụ thi công vào vị trí (cự ly &lt;=100m)</v>
      </c>
      <c r="F946" s="1236" t="str">
        <f>VLOOKUP($B946,DG!A:D,4,0)</f>
        <v>tấn</v>
      </c>
      <c r="G946" s="1914"/>
      <c r="H946" s="1250"/>
      <c r="I946" s="1250"/>
      <c r="J946" s="1250"/>
      <c r="K946" s="1250"/>
      <c r="L946" s="1250"/>
      <c r="M946" s="1250"/>
      <c r="N946" s="1250"/>
      <c r="O946" s="1250"/>
      <c r="P946" s="1250"/>
      <c r="Q946" s="1250"/>
      <c r="R946" s="1250"/>
      <c r="S946" s="1250"/>
      <c r="T946" s="1671"/>
      <c r="U946" s="1664" t="str">
        <f>IFERROR(VLOOKUP(B946,ChiTietDuToan!C:H,5,0),"")</f>
        <v/>
      </c>
      <c r="V946" s="2309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56"/>
      <c r="C947" s="1189" t="str">
        <f t="shared" ca="1" si="183"/>
        <v xml:space="preserve"> </v>
      </c>
      <c r="D947" s="1237"/>
      <c r="E947" s="1666" t="s">
        <v>2498</v>
      </c>
      <c r="F947" s="1238" t="s">
        <v>2449</v>
      </c>
      <c r="G947" s="1912"/>
      <c r="H947" s="1523">
        <f ca="1">SUM(I947:O947)+T947</f>
        <v>0</v>
      </c>
      <c r="I947" s="1239">
        <f ca="1">SUMIF(xa3pm,chitiet!$A947,slxa3pm)</f>
        <v>0</v>
      </c>
      <c r="J947" s="1239">
        <f ca="1">SUMIF(xact,chitiet!$A947,slxact)</f>
        <v>0</v>
      </c>
      <c r="K947" s="1239">
        <f ca="1">SUMIF(xa3p1m,chitiet!$A947,slxa3p1m)</f>
        <v>0</v>
      </c>
      <c r="L947" s="1239">
        <f>IFERROR(HLOOKUP(A947,pp1p!$6:$90,85,0),0)</f>
        <v>0</v>
      </c>
      <c r="M947" s="1239"/>
      <c r="N947" s="1239"/>
      <c r="O947" s="1239"/>
      <c r="P947" s="1239">
        <f ca="1">H947+Q947-R947</f>
        <v>0</v>
      </c>
      <c r="Q947" s="1239"/>
      <c r="R947" s="1239"/>
      <c r="S947" s="1239"/>
      <c r="T947" s="1671"/>
      <c r="U947" s="1664">
        <f>IFERROR(VLOOKUP(B947,ChiTietDuToan!C:H,5,0),"")</f>
        <v>0</v>
      </c>
      <c r="V947" s="2309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59" t="s">
        <v>110</v>
      </c>
      <c r="C948" s="1189" t="str">
        <f t="shared" ca="1" si="183"/>
        <v xml:space="preserve"> </v>
      </c>
      <c r="D948" s="1236"/>
      <c r="E948" s="1248" t="str">
        <f>VLOOKUP($B948,DG!A:D,DG!$C$2,)</f>
        <v>Sắt góc L75 x75 x8</v>
      </c>
      <c r="F948" s="1236" t="str">
        <f>VLOOKUP($B948,DG!A:D,DG!$D$2,)</f>
        <v>kg</v>
      </c>
      <c r="G948" s="1914">
        <f>9.02*(2.4+3*0.07)</f>
        <v>23.542199999999998</v>
      </c>
      <c r="H948" s="1245">
        <f ca="1">H$947*$G948</f>
        <v>0</v>
      </c>
      <c r="I948" s="1245">
        <f t="shared" ref="I948:L951" ca="1" si="193">I$947*$G948</f>
        <v>0</v>
      </c>
      <c r="J948" s="1245">
        <f t="shared" ca="1" si="193"/>
        <v>0</v>
      </c>
      <c r="K948" s="1245">
        <f t="shared" ca="1" si="193"/>
        <v>0</v>
      </c>
      <c r="L948" s="1245">
        <f t="shared" si="193"/>
        <v>0</v>
      </c>
      <c r="M948" s="1245"/>
      <c r="N948" s="1245"/>
      <c r="O948" s="1245"/>
      <c r="P948" s="1245"/>
      <c r="Q948" s="1245"/>
      <c r="R948" s="1245"/>
      <c r="S948" s="1245"/>
      <c r="T948" s="1671"/>
      <c r="U948" s="1664" t="str">
        <f>IFERROR(VLOOKUP(B948,ChiTietDuToan!C:H,5,0),"")</f>
        <v/>
      </c>
      <c r="V948" s="2309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59" t="s">
        <v>1662</v>
      </c>
      <c r="C949" s="1189" t="str">
        <f t="shared" ca="1" si="183"/>
        <v xml:space="preserve"> </v>
      </c>
      <c r="D949" s="1236"/>
      <c r="E949" s="1248" t="str">
        <f>VLOOKUP($B949,DG!A:D,DG!$C$2,)</f>
        <v>Boulon 16x300+ 2 long đền vuông D18-50x50x3/Zn</v>
      </c>
      <c r="F949" s="1236" t="str">
        <f>VLOOKUP($B949,DG!A:D,DG!$D$2,)</f>
        <v>bộ</v>
      </c>
      <c r="G949" s="1915">
        <v>2</v>
      </c>
      <c r="H949" s="1245">
        <f ca="1">H$947*$G949</f>
        <v>0</v>
      </c>
      <c r="I949" s="1245">
        <f t="shared" ca="1" si="193"/>
        <v>0</v>
      </c>
      <c r="J949" s="1245">
        <f t="shared" ca="1" si="193"/>
        <v>0</v>
      </c>
      <c r="K949" s="1245">
        <f t="shared" ca="1" si="193"/>
        <v>0</v>
      </c>
      <c r="L949" s="1245">
        <f t="shared" si="193"/>
        <v>0</v>
      </c>
      <c r="M949" s="1245"/>
      <c r="N949" s="1245"/>
      <c r="O949" s="1245"/>
      <c r="P949" s="1245"/>
      <c r="Q949" s="1245"/>
      <c r="R949" s="1245"/>
      <c r="S949" s="1245"/>
      <c r="T949" s="1671"/>
      <c r="U949" s="1664" t="str">
        <f>IFERROR(VLOOKUP(B949,ChiTietDuToan!C:H,5,0),"")</f>
        <v>bộ</v>
      </c>
      <c r="V949" s="2309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59" t="s">
        <v>2304</v>
      </c>
      <c r="C950" s="1189" t="str">
        <f t="shared" ca="1" si="183"/>
        <v xml:space="preserve"> </v>
      </c>
      <c r="D950" s="1236"/>
      <c r="E950" s="1241" t="str">
        <f>VLOOKUP($B950,DG!A:D,DG!$C$2,)</f>
        <v>Lắp xà cột Pi loại ≤140kg/xà</v>
      </c>
      <c r="F950" s="1236" t="str">
        <f>VLOOKUP($B950,DG!A:D,DG!$D$2,)</f>
        <v>bộ</v>
      </c>
      <c r="G950" s="1915">
        <v>1</v>
      </c>
      <c r="H950" s="1245">
        <f ca="1">H$947*$G950</f>
        <v>0</v>
      </c>
      <c r="I950" s="1245">
        <f t="shared" ca="1" si="193"/>
        <v>0</v>
      </c>
      <c r="J950" s="1245">
        <f t="shared" ca="1" si="193"/>
        <v>0</v>
      </c>
      <c r="K950" s="1245">
        <f t="shared" ca="1" si="193"/>
        <v>0</v>
      </c>
      <c r="L950" s="1245">
        <f t="shared" si="193"/>
        <v>0</v>
      </c>
      <c r="M950" s="1245"/>
      <c r="N950" s="1245"/>
      <c r="O950" s="1245"/>
      <c r="P950" s="1245"/>
      <c r="Q950" s="1245"/>
      <c r="R950" s="1245"/>
      <c r="S950" s="1245"/>
      <c r="T950" s="1671"/>
      <c r="U950" s="1664" t="str">
        <f>IFERROR(VLOOKUP(B950,ChiTietDuToan!C:H,5,0),"")</f>
        <v/>
      </c>
      <c r="V950" s="2309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59" t="s">
        <v>2049</v>
      </c>
      <c r="C951" s="1189" t="str">
        <f t="shared" ca="1" si="183"/>
        <v xml:space="preserve"> </v>
      </c>
      <c r="D951" s="1236"/>
      <c r="E951" s="1241" t="str">
        <f>VLOOKUP($B951,DG!A:D,DG!$C$2,)</f>
        <v>Bốc dỡ xà, thép thanh</v>
      </c>
      <c r="F951" s="1236" t="str">
        <f>VLOOKUP($B951,DG!A:D,DG!$D$2,)</f>
        <v>tấn</v>
      </c>
      <c r="G951" s="1913">
        <f>G952</f>
        <v>2.7E-2</v>
      </c>
      <c r="H951" s="1245">
        <f ca="1">H$947*$G951</f>
        <v>0</v>
      </c>
      <c r="I951" s="1245">
        <f t="shared" ca="1" si="193"/>
        <v>0</v>
      </c>
      <c r="J951" s="1245">
        <f t="shared" ca="1" si="193"/>
        <v>0</v>
      </c>
      <c r="K951" s="1245">
        <f t="shared" ca="1" si="193"/>
        <v>0</v>
      </c>
      <c r="L951" s="1245">
        <f t="shared" si="193"/>
        <v>0</v>
      </c>
      <c r="M951" s="1245"/>
      <c r="N951" s="1245"/>
      <c r="O951" s="1245"/>
      <c r="P951" s="1245"/>
      <c r="Q951" s="1245"/>
      <c r="R951" s="1245"/>
      <c r="S951" s="1245"/>
      <c r="T951" s="1671"/>
      <c r="U951" s="1664" t="str">
        <f>IFERROR(VLOOKUP(B951,ChiTietDuToan!C:H,5,0),"")</f>
        <v/>
      </c>
      <c r="V951" s="2309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74" t="s">
        <v>2050</v>
      </c>
      <c r="C952" s="1189" t="str">
        <f t="shared" si="183"/>
        <v xml:space="preserve"> </v>
      </c>
      <c r="D952" s="1236" t="str">
        <f>VLOOKUP($B952,DG!A:C,2,)</f>
        <v>02.1361</v>
      </c>
      <c r="E952" s="1241" t="str">
        <f>VLOOKUP($B952,DG!A:C,3,)</f>
        <v>V/c xà vào vị trí (cư ly &lt;=100m)</v>
      </c>
      <c r="F952" s="1236" t="str">
        <f>VLOOKUP($B952,DG!A:D,4,0)</f>
        <v>tấn</v>
      </c>
      <c r="G952" s="1913">
        <f>ROUND(SUM(G948:G949)*1.05/1000,3)</f>
        <v>2.7E-2</v>
      </c>
      <c r="H952" s="1250"/>
      <c r="I952" s="1250"/>
      <c r="J952" s="1250"/>
      <c r="K952" s="1250"/>
      <c r="L952" s="1250"/>
      <c r="M952" s="1250"/>
      <c r="N952" s="1250"/>
      <c r="O952" s="1250"/>
      <c r="P952" s="1250"/>
      <c r="Q952" s="1250"/>
      <c r="R952" s="1250"/>
      <c r="S952" s="1250"/>
      <c r="T952" s="1671"/>
      <c r="U952" s="1664" t="str">
        <f>IFERROR(VLOOKUP(B952,ChiTietDuToan!C:H,5,0),"")</f>
        <v/>
      </c>
      <c r="V952" s="2309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74" t="s">
        <v>640</v>
      </c>
      <c r="C953" s="1189" t="str">
        <f t="shared" si="183"/>
        <v xml:space="preserve"> </v>
      </c>
      <c r="D953" s="1236" t="str">
        <f>VLOOKUP($B953,DG!A:C,2,)</f>
        <v>02.1482</v>
      </c>
      <c r="E953" s="1241" t="str">
        <f>VLOOKUP($B953,DG!A:C,3,)</f>
        <v>V/c dụng cụ thi công vào vị trí (cự ly &lt;=100m)</v>
      </c>
      <c r="F953" s="1236" t="str">
        <f>VLOOKUP($B953,DG!A:D,4,0)</f>
        <v>tấn</v>
      </c>
      <c r="G953" s="1914">
        <v>0.05</v>
      </c>
      <c r="H953" s="1250"/>
      <c r="I953" s="1250"/>
      <c r="J953" s="1250"/>
      <c r="K953" s="1250"/>
      <c r="L953" s="1250"/>
      <c r="M953" s="1250"/>
      <c r="N953" s="1250"/>
      <c r="O953" s="1250"/>
      <c r="P953" s="1250"/>
      <c r="Q953" s="1250"/>
      <c r="R953" s="1250"/>
      <c r="S953" s="1250"/>
      <c r="T953" s="1671"/>
      <c r="U953" s="1664" t="str">
        <f>IFERROR(VLOOKUP(B953,ChiTietDuToan!C:H,5,0),"")</f>
        <v/>
      </c>
      <c r="V953" s="2309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56"/>
      <c r="C954" s="1189" t="str">
        <f t="shared" ca="1" si="183"/>
        <v xml:space="preserve"> </v>
      </c>
      <c r="D954" s="1237"/>
      <c r="E954" s="1666" t="s">
        <v>2499</v>
      </c>
      <c r="F954" s="1238" t="s">
        <v>2449</v>
      </c>
      <c r="G954" s="1912"/>
      <c r="H954" s="1523">
        <f ca="1">SUM(I954:O954)+T954</f>
        <v>0</v>
      </c>
      <c r="I954" s="1239">
        <f ca="1">SUMIF(xa3pm,chitiet!$A954,slxa3pm)</f>
        <v>0</v>
      </c>
      <c r="J954" s="1239">
        <f ca="1">SUMIF(xact,chitiet!$A954,slxact)</f>
        <v>0</v>
      </c>
      <c r="K954" s="1239">
        <f ca="1">SUMIF(xa3p1m,chitiet!$A954,slxa3p1m)</f>
        <v>0</v>
      </c>
      <c r="L954" s="1239">
        <f>IFERROR(HLOOKUP(A954,pp1p!$6:$90,85,0),0)</f>
        <v>0</v>
      </c>
      <c r="M954" s="1239"/>
      <c r="N954" s="1239"/>
      <c r="O954" s="1239"/>
      <c r="P954" s="1239">
        <f ca="1">H954+Q954-R954</f>
        <v>0</v>
      </c>
      <c r="Q954" s="1239"/>
      <c r="R954" s="1239"/>
      <c r="S954" s="1239"/>
      <c r="T954" s="1671"/>
      <c r="U954" s="1664">
        <f>IFERROR(VLOOKUP(B954,ChiTietDuToan!C:H,5,0),"")</f>
        <v>0</v>
      </c>
      <c r="V954" s="2309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59" t="s">
        <v>110</v>
      </c>
      <c r="C955" s="1189" t="str">
        <f t="shared" ca="1" si="183"/>
        <v xml:space="preserve"> </v>
      </c>
      <c r="D955" s="1236"/>
      <c r="E955" s="1248" t="str">
        <f>VLOOKUP($B955,DG!A:D,DG!$C$2,)</f>
        <v>Sắt góc L75 x75 x8</v>
      </c>
      <c r="F955" s="1236" t="str">
        <f>VLOOKUP($B955,DG!A:D,DG!$D$2,)</f>
        <v>kg</v>
      </c>
      <c r="G955" s="1914">
        <f>9.02*(2.4+3*0.1)*2</f>
        <v>48.707999999999998</v>
      </c>
      <c r="H955" s="1245">
        <f ca="1">H$954*$G955</f>
        <v>0</v>
      </c>
      <c r="I955" s="1245">
        <f t="shared" ref="I955:L959" ca="1" si="194">I$954*$G955</f>
        <v>0</v>
      </c>
      <c r="J955" s="1245">
        <f t="shared" ca="1" si="194"/>
        <v>0</v>
      </c>
      <c r="K955" s="1245">
        <f t="shared" ca="1" si="194"/>
        <v>0</v>
      </c>
      <c r="L955" s="1245">
        <f t="shared" si="194"/>
        <v>0</v>
      </c>
      <c r="M955" s="1245"/>
      <c r="N955" s="1245"/>
      <c r="O955" s="1245"/>
      <c r="P955" s="1245"/>
      <c r="Q955" s="1245"/>
      <c r="R955" s="1245"/>
      <c r="S955" s="1245"/>
      <c r="T955" s="1671"/>
      <c r="U955" s="1664" t="str">
        <f>IFERROR(VLOOKUP(B955,ChiTietDuToan!C:H,5,0),"")</f>
        <v/>
      </c>
      <c r="V955" s="2309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59" t="s">
        <v>1662</v>
      </c>
      <c r="C956" s="1189" t="str">
        <f t="shared" ca="1" si="183"/>
        <v xml:space="preserve"> </v>
      </c>
      <c r="D956" s="1236"/>
      <c r="E956" s="1248" t="str">
        <f>VLOOKUP($B956,DG!A:D,DG!$C$2,)</f>
        <v>Boulon 16x300+ 2 long đền vuông D18-50x50x3/Zn</v>
      </c>
      <c r="F956" s="1236" t="str">
        <f>VLOOKUP($B956,DG!A:D,DG!$D$2,)</f>
        <v>bộ</v>
      </c>
      <c r="G956" s="1915">
        <v>2</v>
      </c>
      <c r="H956" s="1245">
        <f ca="1">H$954*$G956</f>
        <v>0</v>
      </c>
      <c r="I956" s="1245">
        <f t="shared" ca="1" si="194"/>
        <v>0</v>
      </c>
      <c r="J956" s="1245">
        <f t="shared" ca="1" si="194"/>
        <v>0</v>
      </c>
      <c r="K956" s="1245">
        <f t="shared" ca="1" si="194"/>
        <v>0</v>
      </c>
      <c r="L956" s="1245">
        <f t="shared" si="194"/>
        <v>0</v>
      </c>
      <c r="M956" s="1245"/>
      <c r="N956" s="1245"/>
      <c r="O956" s="1245"/>
      <c r="P956" s="1245"/>
      <c r="Q956" s="1245"/>
      <c r="R956" s="1245"/>
      <c r="S956" s="1245"/>
      <c r="T956" s="1671"/>
      <c r="U956" s="1664" t="str">
        <f>IFERROR(VLOOKUP(B956,ChiTietDuToan!C:H,5,0),"")</f>
        <v>bộ</v>
      </c>
      <c r="V956" s="2309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59" t="s">
        <v>1837</v>
      </c>
      <c r="C957" s="1189" t="str">
        <f t="shared" ca="1" si="183"/>
        <v xml:space="preserve"> </v>
      </c>
      <c r="D957" s="1236"/>
      <c r="E957" s="1248" t="str">
        <f>VLOOKUP($B957,DG!A:D,DG!$C$2,)</f>
        <v>Boulon 16x300VRS+ 4 long đền vuông D18-50x50x3/Zn</v>
      </c>
      <c r="F957" s="1236" t="str">
        <f>VLOOKUP($B957,DG!A:D,DG!$D$2,)</f>
        <v>bộ</v>
      </c>
      <c r="G957" s="1915">
        <v>4</v>
      </c>
      <c r="H957" s="1245">
        <f ca="1">H$954*$G957</f>
        <v>0</v>
      </c>
      <c r="I957" s="1245">
        <f t="shared" ca="1" si="194"/>
        <v>0</v>
      </c>
      <c r="J957" s="1245">
        <f t="shared" ca="1" si="194"/>
        <v>0</v>
      </c>
      <c r="K957" s="1245">
        <f t="shared" ca="1" si="194"/>
        <v>0</v>
      </c>
      <c r="L957" s="1245">
        <f t="shared" si="194"/>
        <v>0</v>
      </c>
      <c r="M957" s="1245"/>
      <c r="N957" s="1245"/>
      <c r="O957" s="1245"/>
      <c r="P957" s="1245"/>
      <c r="Q957" s="1245"/>
      <c r="R957" s="1245"/>
      <c r="S957" s="1245"/>
      <c r="T957" s="1671"/>
      <c r="U957" s="1664" t="str">
        <f>IFERROR(VLOOKUP(B957,ChiTietDuToan!C:H,5,0),"")</f>
        <v>bộ</v>
      </c>
      <c r="V957" s="2309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59" t="s">
        <v>2304</v>
      </c>
      <c r="C958" s="1189" t="str">
        <f t="shared" ca="1" si="183"/>
        <v xml:space="preserve"> </v>
      </c>
      <c r="D958" s="1236"/>
      <c r="E958" s="1241" t="str">
        <f>VLOOKUP($B958,DG!A:D,DG!$C$2,)</f>
        <v>Lắp xà cột Pi loại ≤140kg/xà</v>
      </c>
      <c r="F958" s="1236" t="str">
        <f>VLOOKUP($B958,DG!A:D,DG!$D$2,)</f>
        <v>bộ</v>
      </c>
      <c r="G958" s="1915">
        <v>1</v>
      </c>
      <c r="H958" s="1245">
        <f ca="1">H$954*$G958</f>
        <v>0</v>
      </c>
      <c r="I958" s="1245">
        <f t="shared" ca="1" si="194"/>
        <v>0</v>
      </c>
      <c r="J958" s="1245">
        <f t="shared" ca="1" si="194"/>
        <v>0</v>
      </c>
      <c r="K958" s="1245">
        <f t="shared" ca="1" si="194"/>
        <v>0</v>
      </c>
      <c r="L958" s="1245">
        <f t="shared" si="194"/>
        <v>0</v>
      </c>
      <c r="M958" s="1245"/>
      <c r="N958" s="1245"/>
      <c r="O958" s="1245"/>
      <c r="P958" s="1245"/>
      <c r="Q958" s="1245"/>
      <c r="R958" s="1245"/>
      <c r="S958" s="1245"/>
      <c r="T958" s="1671"/>
      <c r="U958" s="1664" t="str">
        <f>IFERROR(VLOOKUP(B958,ChiTietDuToan!C:H,5,0),"")</f>
        <v/>
      </c>
      <c r="V958" s="2309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59" t="s">
        <v>2049</v>
      </c>
      <c r="C959" s="1189" t="str">
        <f t="shared" ca="1" si="183"/>
        <v xml:space="preserve"> </v>
      </c>
      <c r="D959" s="1236"/>
      <c r="E959" s="1241" t="str">
        <f>VLOOKUP($B959,DG!A:D,DG!$C$2,)</f>
        <v>Bốc dỡ xà, thép thanh</v>
      </c>
      <c r="F959" s="1236" t="str">
        <f>VLOOKUP($B959,DG!A:D,DG!$D$2,)</f>
        <v>tấn</v>
      </c>
      <c r="G959" s="1913">
        <f>G960*0</f>
        <v>0</v>
      </c>
      <c r="H959" s="1245">
        <f ca="1">H$954*$G959</f>
        <v>0</v>
      </c>
      <c r="I959" s="1245">
        <f t="shared" ca="1" si="194"/>
        <v>0</v>
      </c>
      <c r="J959" s="1245">
        <f t="shared" ca="1" si="194"/>
        <v>0</v>
      </c>
      <c r="K959" s="1245">
        <f t="shared" ca="1" si="194"/>
        <v>0</v>
      </c>
      <c r="L959" s="1245">
        <f t="shared" si="194"/>
        <v>0</v>
      </c>
      <c r="M959" s="1245"/>
      <c r="N959" s="1245"/>
      <c r="O959" s="1245"/>
      <c r="P959" s="1245"/>
      <c r="Q959" s="1245"/>
      <c r="R959" s="1245"/>
      <c r="S959" s="1245"/>
      <c r="T959" s="1671"/>
      <c r="U959" s="1664" t="str">
        <f>IFERROR(VLOOKUP(B959,ChiTietDuToan!C:H,5,0),"")</f>
        <v/>
      </c>
      <c r="V959" s="2309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74" t="s">
        <v>2050</v>
      </c>
      <c r="C960" s="1189" t="str">
        <f t="shared" si="183"/>
        <v xml:space="preserve"> </v>
      </c>
      <c r="D960" s="1236" t="str">
        <f>VLOOKUP($B960,DG!A:C,2,)</f>
        <v>02.1361</v>
      </c>
      <c r="E960" s="1241" t="str">
        <f>VLOOKUP($B960,DG!A:C,3,)</f>
        <v>V/c xà vào vị trí (cư ly &lt;=100m)</v>
      </c>
      <c r="F960" s="1236" t="str">
        <f>VLOOKUP($B960,DG!A:D,4,0)</f>
        <v>tấn</v>
      </c>
      <c r="G960" s="1913">
        <f>ROUND(SUM(G955:G955)*1.05/1000,3)*0</f>
        <v>0</v>
      </c>
      <c r="H960" s="1250"/>
      <c r="I960" s="1250"/>
      <c r="J960" s="1250"/>
      <c r="K960" s="1250"/>
      <c r="L960" s="1250"/>
      <c r="M960" s="1250"/>
      <c r="N960" s="1250"/>
      <c r="O960" s="1250"/>
      <c r="P960" s="1250"/>
      <c r="Q960" s="1250"/>
      <c r="R960" s="1250"/>
      <c r="S960" s="1250"/>
      <c r="T960" s="1671"/>
      <c r="U960" s="1664" t="str">
        <f>IFERROR(VLOOKUP(B960,ChiTietDuToan!C:H,5,0),"")</f>
        <v/>
      </c>
      <c r="V960" s="2309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74" t="s">
        <v>640</v>
      </c>
      <c r="C961" s="1189" t="str">
        <f t="shared" si="183"/>
        <v xml:space="preserve"> </v>
      </c>
      <c r="D961" s="1236" t="str">
        <f>VLOOKUP($B961,DG!A:C,2,)</f>
        <v>02.1482</v>
      </c>
      <c r="E961" s="1241" t="str">
        <f>VLOOKUP($B961,DG!A:C,3,)</f>
        <v>V/c dụng cụ thi công vào vị trí (cự ly &lt;=100m)</v>
      </c>
      <c r="F961" s="1236" t="str">
        <f>VLOOKUP($B961,DG!A:D,4,0)</f>
        <v>tấn</v>
      </c>
      <c r="G961" s="1914">
        <f>0.05*0</f>
        <v>0</v>
      </c>
      <c r="H961" s="1250"/>
      <c r="I961" s="1250"/>
      <c r="J961" s="1250"/>
      <c r="K961" s="1250"/>
      <c r="L961" s="1250"/>
      <c r="M961" s="1250"/>
      <c r="N961" s="1250"/>
      <c r="O961" s="1250"/>
      <c r="P961" s="1250"/>
      <c r="Q961" s="1250"/>
      <c r="R961" s="1250"/>
      <c r="S961" s="1250"/>
      <c r="T961" s="1671"/>
      <c r="U961" s="1664" t="str">
        <f>IFERROR(VLOOKUP(B961,ChiTietDuToan!C:H,5,0),"")</f>
        <v/>
      </c>
      <c r="V961" s="2309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56"/>
      <c r="C962" s="1189" t="str">
        <f t="shared" ca="1" si="183"/>
        <v xml:space="preserve"> </v>
      </c>
      <c r="D962" s="1237"/>
      <c r="E962" s="1666" t="s">
        <v>2500</v>
      </c>
      <c r="F962" s="1238" t="s">
        <v>2449</v>
      </c>
      <c r="G962" s="1912"/>
      <c r="H962" s="1523">
        <f ca="1">SUM(I962:O962)+T962</f>
        <v>0</v>
      </c>
      <c r="I962" s="1239">
        <f ca="1">SUMIF(xa3pm,$A962,slxa3pm)</f>
        <v>0</v>
      </c>
      <c r="J962" s="1239">
        <f ca="1">SUMIF(xact,$A962,slxact)</f>
        <v>0</v>
      </c>
      <c r="K962" s="1239">
        <f ca="1">SUMIF(xa3p1m,$A962,slxa3p1m)</f>
        <v>0</v>
      </c>
      <c r="L962" s="1239">
        <f>IFERROR(HLOOKUP(A962,pp1p!$6:$90,85,0),0)</f>
        <v>0</v>
      </c>
      <c r="M962" s="1239"/>
      <c r="N962" s="1239"/>
      <c r="O962" s="1239"/>
      <c r="P962" s="1239">
        <f ca="1">H962+Q962-R962</f>
        <v>0</v>
      </c>
      <c r="Q962" s="1239"/>
      <c r="R962" s="1239"/>
      <c r="S962" s="1239"/>
      <c r="T962" s="1671"/>
      <c r="U962" s="1664">
        <f>IFERROR(VLOOKUP(B962,ChiTietDuToan!C:H,5,0),"")</f>
        <v>0</v>
      </c>
      <c r="V962" s="2309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59" t="s">
        <v>110</v>
      </c>
      <c r="C963" s="1189" t="str">
        <f t="shared" ca="1" si="183"/>
        <v xml:space="preserve"> </v>
      </c>
      <c r="D963" s="1236"/>
      <c r="E963" s="1248" t="s">
        <v>2501</v>
      </c>
      <c r="F963" s="1236" t="s">
        <v>2310</v>
      </c>
      <c r="G963" s="1914">
        <f>9.02*(2.6+3*0.07)</f>
        <v>25.3462</v>
      </c>
      <c r="H963" s="1245">
        <f>H$961*$G963</f>
        <v>0</v>
      </c>
      <c r="I963" s="1245">
        <f t="shared" ref="I963:L966" si="195">I$961*$G963</f>
        <v>0</v>
      </c>
      <c r="J963" s="1245">
        <f t="shared" si="195"/>
        <v>0</v>
      </c>
      <c r="K963" s="1245">
        <f t="shared" si="195"/>
        <v>0</v>
      </c>
      <c r="L963" s="1245">
        <f t="shared" si="195"/>
        <v>0</v>
      </c>
      <c r="M963" s="1245"/>
      <c r="N963" s="1245"/>
      <c r="O963" s="1245"/>
      <c r="P963" s="1245">
        <f ca="1">$P$962*G963</f>
        <v>0</v>
      </c>
      <c r="Q963" s="1245"/>
      <c r="R963" s="1245">
        <f>$R$962*G963</f>
        <v>0</v>
      </c>
      <c r="S963" s="1245"/>
      <c r="T963" s="1671"/>
      <c r="U963" s="1664" t="str">
        <f>IFERROR(VLOOKUP(B963,ChiTietDuToan!C:H,5,0),"")</f>
        <v/>
      </c>
      <c r="V963" s="2309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59" t="s">
        <v>1661</v>
      </c>
      <c r="C964" s="1189" t="str">
        <f t="shared" ca="1" si="183"/>
        <v xml:space="preserve"> </v>
      </c>
      <c r="D964" s="1236"/>
      <c r="E964" s="1248" t="s">
        <v>2502</v>
      </c>
      <c r="F964" s="1236" t="s">
        <v>2503</v>
      </c>
      <c r="G964" s="1915">
        <v>2</v>
      </c>
      <c r="H964" s="1245">
        <f>H$961*$G964</f>
        <v>0</v>
      </c>
      <c r="I964" s="1245">
        <f t="shared" si="195"/>
        <v>0</v>
      </c>
      <c r="J964" s="1245">
        <f t="shared" si="195"/>
        <v>0</v>
      </c>
      <c r="K964" s="1245">
        <f t="shared" si="195"/>
        <v>0</v>
      </c>
      <c r="L964" s="1245">
        <f t="shared" si="195"/>
        <v>0</v>
      </c>
      <c r="M964" s="1245"/>
      <c r="N964" s="1245"/>
      <c r="O964" s="1245"/>
      <c r="P964" s="1245">
        <f ca="1">$P$962*G964</f>
        <v>0</v>
      </c>
      <c r="Q964" s="1245"/>
      <c r="R964" s="1245">
        <f>$R$962*G964</f>
        <v>0</v>
      </c>
      <c r="S964" s="1245"/>
      <c r="T964" s="1671"/>
      <c r="U964" s="1664" t="str">
        <f>IFERROR(VLOOKUP(B964,ChiTietDuToan!C:H,5,0),"")</f>
        <v>bộ</v>
      </c>
      <c r="V964" s="2309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59" t="s">
        <v>2304</v>
      </c>
      <c r="C965" s="1189" t="str">
        <f t="shared" ca="1" si="183"/>
        <v xml:space="preserve"> </v>
      </c>
      <c r="D965" s="1236"/>
      <c r="E965" s="1241" t="s">
        <v>2504</v>
      </c>
      <c r="F965" s="1236" t="s">
        <v>2503</v>
      </c>
      <c r="G965" s="1914">
        <v>1</v>
      </c>
      <c r="H965" s="1245">
        <f>H$961*$G965</f>
        <v>0</v>
      </c>
      <c r="I965" s="1245">
        <f t="shared" si="195"/>
        <v>0</v>
      </c>
      <c r="J965" s="1245">
        <f t="shared" si="195"/>
        <v>0</v>
      </c>
      <c r="K965" s="1245">
        <f t="shared" si="195"/>
        <v>0</v>
      </c>
      <c r="L965" s="1245">
        <f t="shared" si="195"/>
        <v>0</v>
      </c>
      <c r="M965" s="1245"/>
      <c r="N965" s="1245"/>
      <c r="O965" s="1245"/>
      <c r="P965" s="1245">
        <f ca="1">$P$962*G965</f>
        <v>0</v>
      </c>
      <c r="Q965" s="1245"/>
      <c r="R965" s="1245">
        <f>$R$962*G965</f>
        <v>0</v>
      </c>
      <c r="S965" s="1245"/>
      <c r="T965" s="1671"/>
      <c r="U965" s="1664" t="str">
        <f>IFERROR(VLOOKUP(B965,ChiTietDuToan!C:H,5,0),"")</f>
        <v/>
      </c>
      <c r="V965" s="2309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59" t="s">
        <v>2049</v>
      </c>
      <c r="C966" s="1189" t="str">
        <f t="shared" ca="1" si="183"/>
        <v xml:space="preserve"> </v>
      </c>
      <c r="D966" s="1236"/>
      <c r="E966" s="1241" t="s">
        <v>2505</v>
      </c>
      <c r="F966" s="1236" t="s">
        <v>2506</v>
      </c>
      <c r="G966" s="1913">
        <f>G967</f>
        <v>0</v>
      </c>
      <c r="H966" s="1245">
        <f>H$961*$G966</f>
        <v>0</v>
      </c>
      <c r="I966" s="1245">
        <f t="shared" si="195"/>
        <v>0</v>
      </c>
      <c r="J966" s="1245">
        <f t="shared" si="195"/>
        <v>0</v>
      </c>
      <c r="K966" s="1245">
        <f t="shared" si="195"/>
        <v>0</v>
      </c>
      <c r="L966" s="1245">
        <f t="shared" si="195"/>
        <v>0</v>
      </c>
      <c r="M966" s="1245"/>
      <c r="N966" s="1245"/>
      <c r="O966" s="1245"/>
      <c r="P966" s="1245">
        <f ca="1">$P$962*G966</f>
        <v>0</v>
      </c>
      <c r="Q966" s="1245"/>
      <c r="R966" s="1245">
        <f>$R$962*G966</f>
        <v>0</v>
      </c>
      <c r="S966" s="1245"/>
      <c r="T966" s="1671"/>
      <c r="U966" s="1664" t="str">
        <f>IFERROR(VLOOKUP(B966,ChiTietDuToan!C:H,5,0),"")</f>
        <v/>
      </c>
      <c r="V966" s="2309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74" t="s">
        <v>2050</v>
      </c>
      <c r="C967" s="1189" t="str">
        <f t="shared" si="183"/>
        <v xml:space="preserve"> </v>
      </c>
      <c r="D967" s="1236" t="s">
        <v>1659</v>
      </c>
      <c r="E967" s="1241" t="s">
        <v>2507</v>
      </c>
      <c r="F967" s="1236" t="s">
        <v>2506</v>
      </c>
      <c r="G967" s="1913"/>
      <c r="H967" s="1250"/>
      <c r="I967" s="1250"/>
      <c r="J967" s="1250"/>
      <c r="K967" s="1250"/>
      <c r="L967" s="1250"/>
      <c r="M967" s="1250"/>
      <c r="N967" s="1250"/>
      <c r="O967" s="1250"/>
      <c r="P967" s="1250"/>
      <c r="Q967" s="1250"/>
      <c r="R967" s="1250"/>
      <c r="S967" s="1250"/>
      <c r="T967" s="1671"/>
      <c r="U967" s="1664" t="str">
        <f>IFERROR(VLOOKUP(B967,ChiTietDuToan!C:H,5,0),"")</f>
        <v/>
      </c>
      <c r="V967" s="2309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74" t="s">
        <v>640</v>
      </c>
      <c r="C968" s="1189" t="str">
        <f t="shared" ref="C968:C1031" si="197">IF(OR(P968&lt;&gt;0,H968&lt;&gt;0),"x"," ")</f>
        <v xml:space="preserve"> </v>
      </c>
      <c r="D968" s="1236" t="s">
        <v>1744</v>
      </c>
      <c r="E968" s="1241" t="s">
        <v>2508</v>
      </c>
      <c r="F968" s="1236" t="s">
        <v>2506</v>
      </c>
      <c r="G968" s="1914"/>
      <c r="H968" s="1250"/>
      <c r="I968" s="1250"/>
      <c r="J968" s="1250"/>
      <c r="K968" s="1250"/>
      <c r="L968" s="1250"/>
      <c r="M968" s="1250"/>
      <c r="N968" s="1250"/>
      <c r="O968" s="1250"/>
      <c r="P968" s="1250"/>
      <c r="Q968" s="1250"/>
      <c r="R968" s="1250"/>
      <c r="S968" s="1250"/>
      <c r="T968" s="1671"/>
      <c r="U968" s="1664" t="str">
        <f>IFERROR(VLOOKUP(B968,ChiTietDuToan!C:H,5,0),"")</f>
        <v/>
      </c>
      <c r="V968" s="2309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49" t="s">
        <v>1553</v>
      </c>
      <c r="B969" s="1954" t="str">
        <f>A969</f>
        <v>X-26KP</v>
      </c>
      <c r="C969" s="1189" t="str">
        <f t="shared" ca="1" si="197"/>
        <v xml:space="preserve"> </v>
      </c>
      <c r="D969" s="1237"/>
      <c r="E969" s="1666" t="s">
        <v>2509</v>
      </c>
      <c r="F969" s="1238" t="s">
        <v>2449</v>
      </c>
      <c r="G969" s="1912"/>
      <c r="H969" s="1523">
        <f ca="1">SUM(I969:O969)+T969</f>
        <v>0</v>
      </c>
      <c r="I969" s="1239">
        <f ca="1">SUMIF(xa3pm,$A969,slxa3pm)</f>
        <v>0</v>
      </c>
      <c r="J969" s="1239">
        <f ca="1">SUMIF(xact,$A969,slxact)</f>
        <v>0</v>
      </c>
      <c r="K969" s="1239">
        <f ca="1">SUMIF(xa3p1m,$A969,slxa3p1m)</f>
        <v>0</v>
      </c>
      <c r="L969" s="1239">
        <f>IFERROR(HLOOKUP(A969,pp1p!$6:$90,85,0),0)</f>
        <v>0</v>
      </c>
      <c r="M969" s="1239"/>
      <c r="N969" s="1239"/>
      <c r="O969" s="1239"/>
      <c r="P969" s="1239">
        <f ca="1">H969+Q969-R969</f>
        <v>0</v>
      </c>
      <c r="Q969" s="1239"/>
      <c r="R969" s="1239"/>
      <c r="S969" s="1239"/>
      <c r="T969" s="1664"/>
      <c r="U969" s="1664" t="str">
        <f>IFERROR(VLOOKUP(B969,ChiTietDuToan!C:H,5,0),"")</f>
        <v/>
      </c>
      <c r="V969" s="2309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59" t="s">
        <v>110</v>
      </c>
      <c r="C970" s="1189" t="str">
        <f t="shared" ca="1" si="197"/>
        <v xml:space="preserve"> </v>
      </c>
      <c r="D970" s="1236"/>
      <c r="E970" s="1248" t="s">
        <v>2501</v>
      </c>
      <c r="F970" s="1236" t="s">
        <v>2310</v>
      </c>
      <c r="G970" s="1914">
        <f>9.02*(2.6+3*0.07)*2</f>
        <v>50.692399999999999</v>
      </c>
      <c r="H970" s="1249">
        <f ca="1">$H$969*$G970</f>
        <v>0</v>
      </c>
      <c r="I970" s="1245">
        <f t="shared" ref="I970:L974" si="198">I$961*$G970</f>
        <v>0</v>
      </c>
      <c r="J970" s="1245">
        <f t="shared" si="198"/>
        <v>0</v>
      </c>
      <c r="K970" s="1245">
        <f t="shared" si="198"/>
        <v>0</v>
      </c>
      <c r="L970" s="1245">
        <f t="shared" si="198"/>
        <v>0</v>
      </c>
      <c r="M970" s="1245"/>
      <c r="N970" s="1245"/>
      <c r="O970" s="1245"/>
      <c r="P970" s="1245">
        <f ca="1">$P$969*G970</f>
        <v>0</v>
      </c>
      <c r="Q970" s="1245">
        <f>$Q$969*G970</f>
        <v>0</v>
      </c>
      <c r="R970" s="1249">
        <f>$R$969*G970</f>
        <v>0</v>
      </c>
      <c r="S970" s="1245"/>
      <c r="T970" s="1664"/>
      <c r="U970" s="1664" t="str">
        <f>IFERROR(VLOOKUP(B970,ChiTietDuToan!C:H,5,0),"")</f>
        <v/>
      </c>
      <c r="V970" s="2309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59" t="s">
        <v>1661</v>
      </c>
      <c r="C971" s="1189" t="str">
        <f t="shared" ca="1" si="197"/>
        <v xml:space="preserve"> </v>
      </c>
      <c r="D971" s="1236"/>
      <c r="E971" s="1248" t="s">
        <v>2502</v>
      </c>
      <c r="F971" s="1236" t="s">
        <v>2503</v>
      </c>
      <c r="G971" s="1915">
        <v>2</v>
      </c>
      <c r="H971" s="1245">
        <f ca="1">$H$969*$G971</f>
        <v>0</v>
      </c>
      <c r="I971" s="1245">
        <f t="shared" si="198"/>
        <v>0</v>
      </c>
      <c r="J971" s="1245">
        <f t="shared" si="198"/>
        <v>0</v>
      </c>
      <c r="K971" s="1245">
        <f t="shared" si="198"/>
        <v>0</v>
      </c>
      <c r="L971" s="1245">
        <f t="shared" si="198"/>
        <v>0</v>
      </c>
      <c r="M971" s="1245"/>
      <c r="N971" s="1245"/>
      <c r="O971" s="1245"/>
      <c r="P971" s="1245">
        <f ca="1">$P$969*G971</f>
        <v>0</v>
      </c>
      <c r="Q971" s="1245">
        <f>$Q$969*G971</f>
        <v>0</v>
      </c>
      <c r="R971" s="1245">
        <f>$R$969*G971</f>
        <v>0</v>
      </c>
      <c r="S971" s="1245"/>
      <c r="T971" s="1664"/>
      <c r="U971" s="1664" t="str">
        <f>IFERROR(VLOOKUP(B971,ChiTietDuToan!C:H,5,0),"")</f>
        <v>bộ</v>
      </c>
      <c r="V971" s="2309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59" t="s">
        <v>1837</v>
      </c>
      <c r="C972" s="1189" t="str">
        <f t="shared" ca="1" si="197"/>
        <v xml:space="preserve"> </v>
      </c>
      <c r="D972" s="1236"/>
      <c r="E972" s="1248" t="s">
        <v>2510</v>
      </c>
      <c r="F972" s="1236" t="s">
        <v>2503</v>
      </c>
      <c r="G972" s="1915">
        <v>2</v>
      </c>
      <c r="H972" s="1245">
        <f ca="1">$H$969*$G972</f>
        <v>0</v>
      </c>
      <c r="I972" s="1245">
        <f t="shared" si="198"/>
        <v>0</v>
      </c>
      <c r="J972" s="1245">
        <f t="shared" si="198"/>
        <v>0</v>
      </c>
      <c r="K972" s="1245">
        <f t="shared" si="198"/>
        <v>0</v>
      </c>
      <c r="L972" s="1245">
        <f t="shared" si="198"/>
        <v>0</v>
      </c>
      <c r="M972" s="1245"/>
      <c r="N972" s="1245"/>
      <c r="O972" s="1245"/>
      <c r="P972" s="1245">
        <f ca="1">$P$969*G972</f>
        <v>0</v>
      </c>
      <c r="Q972" s="1245">
        <f>$Q$969*G972</f>
        <v>0</v>
      </c>
      <c r="R972" s="1245">
        <f>$R$969*G972</f>
        <v>0</v>
      </c>
      <c r="S972" s="1245"/>
      <c r="T972" s="1664"/>
      <c r="U972" s="1664" t="str">
        <f>IFERROR(VLOOKUP(B972,ChiTietDuToan!C:H,5,0),"")</f>
        <v>bộ</v>
      </c>
      <c r="V972" s="2309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59" t="s">
        <v>2304</v>
      </c>
      <c r="C973" s="1189" t="str">
        <f t="shared" ca="1" si="197"/>
        <v xml:space="preserve"> </v>
      </c>
      <c r="D973" s="1252"/>
      <c r="E973" s="1241" t="s">
        <v>2504</v>
      </c>
      <c r="F973" s="1236" t="s">
        <v>2503</v>
      </c>
      <c r="G973" s="1914">
        <v>1</v>
      </c>
      <c r="H973" s="1245">
        <f ca="1">$H$969*$G973</f>
        <v>0</v>
      </c>
      <c r="I973" s="1245">
        <f t="shared" si="198"/>
        <v>0</v>
      </c>
      <c r="J973" s="1245">
        <f t="shared" si="198"/>
        <v>0</v>
      </c>
      <c r="K973" s="1245">
        <f t="shared" si="198"/>
        <v>0</v>
      </c>
      <c r="L973" s="1245">
        <f t="shared" si="198"/>
        <v>0</v>
      </c>
      <c r="M973" s="1245"/>
      <c r="N973" s="1245"/>
      <c r="O973" s="1245"/>
      <c r="P973" s="1245">
        <f ca="1">$P$969*G973</f>
        <v>0</v>
      </c>
      <c r="Q973" s="1245">
        <f>$Q$969*G973</f>
        <v>0</v>
      </c>
      <c r="R973" s="1245">
        <f>$R$969*G973</f>
        <v>0</v>
      </c>
      <c r="S973" s="1245"/>
      <c r="T973" s="1664"/>
      <c r="U973" s="1664" t="str">
        <f>IFERROR(VLOOKUP(B973,ChiTietDuToan!C:H,5,0),"")</f>
        <v/>
      </c>
      <c r="V973" s="2309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59" t="s">
        <v>2049</v>
      </c>
      <c r="C974" s="1189" t="str">
        <f t="shared" ca="1" si="197"/>
        <v xml:space="preserve"> </v>
      </c>
      <c r="D974" s="1236"/>
      <c r="E974" s="1241" t="s">
        <v>2505</v>
      </c>
      <c r="F974" s="1236" t="s">
        <v>2506</v>
      </c>
      <c r="G974" s="1913"/>
      <c r="H974" s="1245">
        <f>H$961*$G974</f>
        <v>0</v>
      </c>
      <c r="I974" s="1245">
        <f t="shared" si="198"/>
        <v>0</v>
      </c>
      <c r="J974" s="1245">
        <f t="shared" si="198"/>
        <v>0</v>
      </c>
      <c r="K974" s="1245">
        <f t="shared" si="198"/>
        <v>0</v>
      </c>
      <c r="L974" s="1245">
        <f t="shared" si="198"/>
        <v>0</v>
      </c>
      <c r="M974" s="1245"/>
      <c r="N974" s="1245"/>
      <c r="O974" s="1245"/>
      <c r="P974" s="1245">
        <f ca="1">$P$969*G974</f>
        <v>0</v>
      </c>
      <c r="Q974" s="1245">
        <f>$Q$969*G974</f>
        <v>0</v>
      </c>
      <c r="R974" s="1245">
        <f>$R$969*G974</f>
        <v>0</v>
      </c>
      <c r="S974" s="1245"/>
      <c r="T974" s="1671"/>
      <c r="U974" s="1664" t="str">
        <f>IFERROR(VLOOKUP(B974,ChiTietDuToan!C:H,5,0),"")</f>
        <v/>
      </c>
      <c r="V974" s="2309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74" t="s">
        <v>2050</v>
      </c>
      <c r="C975" s="1189" t="str">
        <f t="shared" si="197"/>
        <v xml:space="preserve"> </v>
      </c>
      <c r="D975" s="1236" t="s">
        <v>1659</v>
      </c>
      <c r="E975" s="1241" t="s">
        <v>2507</v>
      </c>
      <c r="F975" s="1236" t="s">
        <v>2506</v>
      </c>
      <c r="G975" s="1913"/>
      <c r="H975" s="1250"/>
      <c r="I975" s="1250"/>
      <c r="J975" s="1250"/>
      <c r="K975" s="1250"/>
      <c r="L975" s="1250"/>
      <c r="M975" s="1250"/>
      <c r="N975" s="1250"/>
      <c r="O975" s="1250"/>
      <c r="P975" s="1250"/>
      <c r="Q975" s="1250"/>
      <c r="R975" s="1250"/>
      <c r="S975" s="1250"/>
      <c r="T975" s="1671"/>
      <c r="U975" s="1664" t="str">
        <f>IFERROR(VLOOKUP(B975,ChiTietDuToan!C:H,5,0),"")</f>
        <v/>
      </c>
      <c r="V975" s="2309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74" t="s">
        <v>640</v>
      </c>
      <c r="C976" s="1189" t="str">
        <f t="shared" si="197"/>
        <v xml:space="preserve"> </v>
      </c>
      <c r="D976" s="1236" t="s">
        <v>1744</v>
      </c>
      <c r="E976" s="1241" t="s">
        <v>2508</v>
      </c>
      <c r="F976" s="1236" t="s">
        <v>2506</v>
      </c>
      <c r="G976" s="1914"/>
      <c r="H976" s="1250"/>
      <c r="I976" s="1250"/>
      <c r="J976" s="1250"/>
      <c r="K976" s="1250"/>
      <c r="L976" s="1250"/>
      <c r="M976" s="1250"/>
      <c r="N976" s="1250"/>
      <c r="O976" s="1250"/>
      <c r="P976" s="1250"/>
      <c r="Q976" s="1250"/>
      <c r="R976" s="1250"/>
      <c r="S976" s="1250"/>
      <c r="T976" s="1671"/>
      <c r="U976" s="1664" t="str">
        <f>IFERROR(VLOOKUP(B976,ChiTietDuToan!C:H,5,0),"")</f>
        <v/>
      </c>
      <c r="V976" s="2309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56"/>
      <c r="C977" s="1189" t="str">
        <f t="shared" ca="1" si="197"/>
        <v xml:space="preserve"> </v>
      </c>
      <c r="D977" s="1237"/>
      <c r="E977" s="1666" t="s">
        <v>2511</v>
      </c>
      <c r="F977" s="1238" t="s">
        <v>2449</v>
      </c>
      <c r="G977" s="1912"/>
      <c r="H977" s="1523">
        <f ca="1">SUM(I977:O977)+T977</f>
        <v>0</v>
      </c>
      <c r="I977" s="1239">
        <f ca="1">SUMIF(xa3pm,chitiet!$A977,slxa3pm)</f>
        <v>0</v>
      </c>
      <c r="J977" s="1239">
        <f ca="1">SUMIF(xact,chitiet!$A977,slxact)</f>
        <v>0</v>
      </c>
      <c r="K977" s="1239">
        <f ca="1">SUMIF(xa3p1m,chitiet!$A977,slxa3p1m)</f>
        <v>0</v>
      </c>
      <c r="L977" s="1239">
        <f>IFERROR(HLOOKUP(A977,pp1p!$6:$90,85,0),0)</f>
        <v>0</v>
      </c>
      <c r="M977" s="1239"/>
      <c r="N977" s="1239"/>
      <c r="O977" s="1239"/>
      <c r="P977" s="1239">
        <f ca="1">H977+Q977-R977</f>
        <v>0</v>
      </c>
      <c r="Q977" s="1239"/>
      <c r="R977" s="1239"/>
      <c r="S977" s="1239"/>
      <c r="T977" s="1671"/>
      <c r="U977" s="1664">
        <f>IFERROR(VLOOKUP(B977,ChiTietDuToan!C:H,5,0),"")</f>
        <v>0</v>
      </c>
      <c r="V977" s="2309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59" t="s">
        <v>110</v>
      </c>
      <c r="C978" s="1189" t="str">
        <f t="shared" ca="1" si="197"/>
        <v xml:space="preserve"> </v>
      </c>
      <c r="D978" s="1236"/>
      <c r="E978" s="1248" t="str">
        <f>VLOOKUP($B978,DG!A:D,DG!$C$2,)</f>
        <v>Sắt góc L75 x75 x8</v>
      </c>
      <c r="F978" s="1236" t="str">
        <f>VLOOKUP($B978,DG!A:D,DG!$D$2,)</f>
        <v>kg</v>
      </c>
      <c r="G978" s="1914">
        <f>9.02*(2.8+3*0.1)*2</f>
        <v>55.923999999999992</v>
      </c>
      <c r="H978" s="1245">
        <f ca="1">H$977*$G978</f>
        <v>0</v>
      </c>
      <c r="I978" s="1245">
        <f t="shared" ref="I978:L982" ca="1" si="199">I$977*$G978</f>
        <v>0</v>
      </c>
      <c r="J978" s="1245">
        <f t="shared" ca="1" si="199"/>
        <v>0</v>
      </c>
      <c r="K978" s="1245">
        <f t="shared" ca="1" si="199"/>
        <v>0</v>
      </c>
      <c r="L978" s="1245">
        <f t="shared" si="199"/>
        <v>0</v>
      </c>
      <c r="M978" s="1245"/>
      <c r="N978" s="1245"/>
      <c r="O978" s="1245"/>
      <c r="P978" s="1245"/>
      <c r="Q978" s="1245"/>
      <c r="R978" s="1245"/>
      <c r="S978" s="1245"/>
      <c r="T978" s="1671"/>
      <c r="U978" s="1664" t="str">
        <f>IFERROR(VLOOKUP(B978,ChiTietDuToan!C:H,5,0),"")</f>
        <v/>
      </c>
      <c r="V978" s="2309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59" t="s">
        <v>460</v>
      </c>
      <c r="C979" s="1189" t="str">
        <f t="shared" ca="1" si="197"/>
        <v xml:space="preserve"> </v>
      </c>
      <c r="D979" s="1236"/>
      <c r="E979" s="1248" t="str">
        <f>VLOOKUP($B979,DG!A:D,DG!$C$2,)</f>
        <v>Sắt góc L50 x50 x5</v>
      </c>
      <c r="F979" s="1236" t="str">
        <f>VLOOKUP($B979,DG!A:D,DG!$D$2,)</f>
        <v>kg</v>
      </c>
      <c r="G979" s="1914">
        <f>0.92*3.77*4</f>
        <v>13.873600000000001</v>
      </c>
      <c r="H979" s="1245">
        <f ca="1">H$977*$G979</f>
        <v>0</v>
      </c>
      <c r="I979" s="1245">
        <f t="shared" ca="1" si="199"/>
        <v>0</v>
      </c>
      <c r="J979" s="1245">
        <f t="shared" ca="1" si="199"/>
        <v>0</v>
      </c>
      <c r="K979" s="1245">
        <f t="shared" ca="1" si="199"/>
        <v>0</v>
      </c>
      <c r="L979" s="1245">
        <f t="shared" si="199"/>
        <v>0</v>
      </c>
      <c r="M979" s="1245"/>
      <c r="N979" s="1245"/>
      <c r="O979" s="1245"/>
      <c r="P979" s="1245"/>
      <c r="Q979" s="1245"/>
      <c r="R979" s="1245"/>
      <c r="S979" s="1245"/>
      <c r="T979" s="1671"/>
      <c r="U979" s="1664" t="str">
        <f>IFERROR(VLOOKUP(B979,ChiTietDuToan!C:H,5,0),"")</f>
        <v/>
      </c>
      <c r="V979" s="2309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59" t="s">
        <v>460</v>
      </c>
      <c r="C980" s="1189" t="str">
        <f t="shared" ca="1" si="197"/>
        <v xml:space="preserve"> </v>
      </c>
      <c r="D980" s="1236"/>
      <c r="E980" s="1248" t="s">
        <v>2512</v>
      </c>
      <c r="F980" s="1236" t="str">
        <f>VLOOKUP($B980,DG!A:D,DG!$D$2,)</f>
        <v>kg</v>
      </c>
      <c r="G980" s="1914">
        <f>2*0.45*6</f>
        <v>5.4</v>
      </c>
      <c r="H980" s="1245">
        <f ca="1">H$977*$G980</f>
        <v>0</v>
      </c>
      <c r="I980" s="1245">
        <f t="shared" ca="1" si="199"/>
        <v>0</v>
      </c>
      <c r="J980" s="1245">
        <f t="shared" ca="1" si="199"/>
        <v>0</v>
      </c>
      <c r="K980" s="1245">
        <f t="shared" ca="1" si="199"/>
        <v>0</v>
      </c>
      <c r="L980" s="1245">
        <f t="shared" si="199"/>
        <v>0</v>
      </c>
      <c r="M980" s="1245"/>
      <c r="N980" s="1245"/>
      <c r="O980" s="1245"/>
      <c r="P980" s="1245"/>
      <c r="Q980" s="1245"/>
      <c r="R980" s="1245"/>
      <c r="S980" s="1245"/>
      <c r="T980" s="1671"/>
      <c r="U980" s="1664" t="str">
        <f>IFERROR(VLOOKUP(B980,ChiTietDuToan!C:H,5,0),"")</f>
        <v/>
      </c>
      <c r="V980" s="2309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59" t="s">
        <v>1662</v>
      </c>
      <c r="C981" s="1189" t="str">
        <f t="shared" ca="1" si="197"/>
        <v xml:space="preserve"> </v>
      </c>
      <c r="D981" s="1236"/>
      <c r="E981" s="1248" t="str">
        <f>VLOOKUP($B981,DG!A:D,DG!$C$2,)</f>
        <v>Boulon 16x300+ 2 long đền vuông D18-50x50x3/Zn</v>
      </c>
      <c r="F981" s="1236" t="str">
        <f>VLOOKUP($B981,DG!A:D,DG!$D$2,)</f>
        <v>bộ</v>
      </c>
      <c r="G981" s="1915">
        <v>4</v>
      </c>
      <c r="H981" s="1245">
        <f ca="1">H$977*$G981</f>
        <v>0</v>
      </c>
      <c r="I981" s="1245">
        <f t="shared" ca="1" si="199"/>
        <v>0</v>
      </c>
      <c r="J981" s="1245">
        <f t="shared" ca="1" si="199"/>
        <v>0</v>
      </c>
      <c r="K981" s="1245">
        <f t="shared" ca="1" si="199"/>
        <v>0</v>
      </c>
      <c r="L981" s="1245">
        <f t="shared" si="199"/>
        <v>0</v>
      </c>
      <c r="M981" s="1245"/>
      <c r="N981" s="1245"/>
      <c r="O981" s="1245"/>
      <c r="P981" s="1245"/>
      <c r="Q981" s="1245"/>
      <c r="R981" s="1245"/>
      <c r="S981" s="1245"/>
      <c r="T981" s="1671"/>
      <c r="U981" s="1664" t="str">
        <f>IFERROR(VLOOKUP(B981,ChiTietDuToan!C:H,5,0),"")</f>
        <v>bộ</v>
      </c>
      <c r="V981" s="2309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59" t="s">
        <v>1837</v>
      </c>
      <c r="C982" s="1189" t="str">
        <f t="shared" ca="1" si="197"/>
        <v xml:space="preserve"> </v>
      </c>
      <c r="D982" s="1236"/>
      <c r="E982" s="1248" t="str">
        <f>VLOOKUP($B982,DG!A:D,DG!$C$2,)</f>
        <v>Boulon 16x300VRS+ 4 long đền vuông D18-50x50x3/Zn</v>
      </c>
      <c r="F982" s="1236" t="str">
        <f>VLOOKUP($B982,DG!A:D,DG!$D$2,)</f>
        <v>bộ</v>
      </c>
      <c r="G982" s="1915">
        <v>4</v>
      </c>
      <c r="H982" s="1245">
        <f ca="1">H$977*$G982</f>
        <v>0</v>
      </c>
      <c r="I982" s="1245">
        <f t="shared" ca="1" si="199"/>
        <v>0</v>
      </c>
      <c r="J982" s="1245">
        <f t="shared" ca="1" si="199"/>
        <v>0</v>
      </c>
      <c r="K982" s="1245">
        <f t="shared" ca="1" si="199"/>
        <v>0</v>
      </c>
      <c r="L982" s="1245">
        <f t="shared" si="199"/>
        <v>0</v>
      </c>
      <c r="M982" s="1245"/>
      <c r="N982" s="1245"/>
      <c r="O982" s="1245"/>
      <c r="P982" s="1245"/>
      <c r="Q982" s="1245"/>
      <c r="R982" s="1245"/>
      <c r="S982" s="1245"/>
      <c r="T982" s="1671"/>
      <c r="U982" s="1664" t="str">
        <f>IFERROR(VLOOKUP(B982,ChiTietDuToan!C:H,5,0),"")</f>
        <v>bộ</v>
      </c>
      <c r="V982" s="2309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59" t="s">
        <v>2304</v>
      </c>
      <c r="C983" s="1189" t="str">
        <f t="shared" si="197"/>
        <v xml:space="preserve"> </v>
      </c>
      <c r="D983" s="1236"/>
      <c r="E983" s="1241" t="str">
        <f>VLOOKUP($B983,DG!A:D,DG!$C$2,)</f>
        <v>Lắp xà cột Pi loại ≤140kg/xà</v>
      </c>
      <c r="F983" s="1236" t="str">
        <f>VLOOKUP($B983,DG!A:D,DG!$D$2,)</f>
        <v>bộ</v>
      </c>
      <c r="G983" s="1915">
        <v>1</v>
      </c>
      <c r="H983" s="1245"/>
      <c r="I983" s="1245"/>
      <c r="J983" s="1245"/>
      <c r="K983" s="1245"/>
      <c r="L983" s="1245"/>
      <c r="M983" s="1245"/>
      <c r="N983" s="1245"/>
      <c r="O983" s="1245"/>
      <c r="P983" s="1245"/>
      <c r="Q983" s="1245"/>
      <c r="R983" s="1245"/>
      <c r="S983" s="1245"/>
      <c r="T983" s="1671"/>
      <c r="U983" s="1664" t="str">
        <f>IFERROR(VLOOKUP(B983,ChiTietDuToan!C:H,5,0),"")</f>
        <v/>
      </c>
      <c r="V983" s="2309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59" t="s">
        <v>2049</v>
      </c>
      <c r="C984" s="1189" t="str">
        <f t="shared" si="197"/>
        <v xml:space="preserve"> </v>
      </c>
      <c r="D984" s="1236"/>
      <c r="E984" s="1241" t="str">
        <f>VLOOKUP($B984,DG!A:D,DG!$C$2,)</f>
        <v>Bốc dỡ xà, thép thanh</v>
      </c>
      <c r="F984" s="1236" t="str">
        <f>VLOOKUP($B984,DG!A:D,DG!$D$2,)</f>
        <v>tấn</v>
      </c>
      <c r="G984" s="1913">
        <f>G985</f>
        <v>7.9000000000000001E-2</v>
      </c>
      <c r="H984" s="1245"/>
      <c r="I984" s="1245"/>
      <c r="J984" s="1245"/>
      <c r="K984" s="1245"/>
      <c r="L984" s="1245"/>
      <c r="M984" s="1245"/>
      <c r="N984" s="1245"/>
      <c r="O984" s="1245"/>
      <c r="P984" s="1245"/>
      <c r="Q984" s="1245"/>
      <c r="R984" s="1245"/>
      <c r="S984" s="1245"/>
      <c r="T984" s="1671"/>
      <c r="U984" s="1664" t="str">
        <f>IFERROR(VLOOKUP(B984,ChiTietDuToan!C:H,5,0),"")</f>
        <v/>
      </c>
      <c r="V984" s="2309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74" t="s">
        <v>2050</v>
      </c>
      <c r="C985" s="1189" t="str">
        <f t="shared" si="197"/>
        <v xml:space="preserve"> </v>
      </c>
      <c r="D985" s="1236" t="str">
        <f>VLOOKUP($B985,DG!A:C,2,)</f>
        <v>02.1361</v>
      </c>
      <c r="E985" s="1241" t="str">
        <f>VLOOKUP($B985,DG!A:C,3,)</f>
        <v>V/c xà vào vị trí (cư ly &lt;=100m)</v>
      </c>
      <c r="F985" s="1236" t="str">
        <f>VLOOKUP($B985,DG!A:D,4,0)</f>
        <v>tấn</v>
      </c>
      <c r="G985" s="1913">
        <f>ROUND(SUM(G978:G980)*1.05/1000,3)</f>
        <v>7.9000000000000001E-2</v>
      </c>
      <c r="H985" s="1250"/>
      <c r="I985" s="1250"/>
      <c r="J985" s="1250"/>
      <c r="K985" s="1250"/>
      <c r="L985" s="1250"/>
      <c r="M985" s="1250"/>
      <c r="N985" s="1250"/>
      <c r="O985" s="1250"/>
      <c r="P985" s="1250"/>
      <c r="Q985" s="1250"/>
      <c r="R985" s="1250"/>
      <c r="S985" s="1250"/>
      <c r="T985" s="1671"/>
      <c r="U985" s="1664" t="str">
        <f>IFERROR(VLOOKUP(B985,ChiTietDuToan!C:H,5,0),"")</f>
        <v/>
      </c>
      <c r="V985" s="2309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74" t="s">
        <v>640</v>
      </c>
      <c r="C986" s="1189" t="str">
        <f t="shared" si="197"/>
        <v xml:space="preserve"> </v>
      </c>
      <c r="D986" s="1236" t="str">
        <f>VLOOKUP($B986,DG!A:C,2,)</f>
        <v>02.1482</v>
      </c>
      <c r="E986" s="1241" t="str">
        <f>VLOOKUP($B986,DG!A:C,3,)</f>
        <v>V/c dụng cụ thi công vào vị trí (cự ly &lt;=100m)</v>
      </c>
      <c r="F986" s="1236" t="str">
        <f>VLOOKUP($B986,DG!A:D,4,0)</f>
        <v>tấn</v>
      </c>
      <c r="G986" s="1914">
        <v>0.05</v>
      </c>
      <c r="H986" s="1250"/>
      <c r="I986" s="1250"/>
      <c r="J986" s="1250"/>
      <c r="K986" s="1250"/>
      <c r="L986" s="1250"/>
      <c r="M986" s="1250"/>
      <c r="N986" s="1250"/>
      <c r="O986" s="1250"/>
      <c r="P986" s="1250"/>
      <c r="Q986" s="1250"/>
      <c r="R986" s="1250"/>
      <c r="S986" s="1250"/>
      <c r="T986" s="1671"/>
      <c r="U986" s="1664" t="str">
        <f>IFERROR(VLOOKUP(B986,ChiTietDuToan!C:H,5,0),"")</f>
        <v/>
      </c>
      <c r="V986" s="2309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56"/>
      <c r="C987" s="1189" t="str">
        <f t="shared" ca="1" si="197"/>
        <v xml:space="preserve"> </v>
      </c>
      <c r="D987" s="1237"/>
      <c r="E987" s="1666" t="s">
        <v>2513</v>
      </c>
      <c r="F987" s="1238" t="s">
        <v>2449</v>
      </c>
      <c r="G987" s="1912"/>
      <c r="H987" s="1523">
        <f ca="1">SUM(I987:O987)+T987</f>
        <v>0</v>
      </c>
      <c r="I987" s="1239">
        <f ca="1">SUMIF(xa3pm,chitiet!$A987,slxa3pm)</f>
        <v>0</v>
      </c>
      <c r="J987" s="1239">
        <f ca="1">SUMIF(xact,chitiet!$A987,slxact)</f>
        <v>0</v>
      </c>
      <c r="K987" s="1239">
        <f ca="1">SUMIF(xa3p1m,chitiet!$A987,slxa3p1m)</f>
        <v>0</v>
      </c>
      <c r="L987" s="1239">
        <f>IFERROR(HLOOKUP(A987,pp1p!$6:$90,85,0),0)</f>
        <v>0</v>
      </c>
      <c r="M987" s="1239"/>
      <c r="N987" s="1239"/>
      <c r="O987" s="1239"/>
      <c r="P987" s="1239">
        <f ca="1">H987+Q987-R987</f>
        <v>0</v>
      </c>
      <c r="Q987" s="1239"/>
      <c r="R987" s="1239"/>
      <c r="S987" s="1239"/>
      <c r="T987" s="1671"/>
      <c r="U987" s="1664">
        <f>IFERROR(VLOOKUP(B987,ChiTietDuToan!C:H,5,0),"")</f>
        <v>0</v>
      </c>
      <c r="V987" s="2309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59" t="s">
        <v>110</v>
      </c>
      <c r="C988" s="1189" t="str">
        <f t="shared" ca="1" si="197"/>
        <v xml:space="preserve"> </v>
      </c>
      <c r="D988" s="1236"/>
      <c r="E988" s="1248" t="str">
        <f>VLOOKUP($B988,DG!A:D,DG!$C$2,)</f>
        <v>Sắt góc L75 x75 x8</v>
      </c>
      <c r="F988" s="1236" t="str">
        <f>VLOOKUP($B988,DG!A:D,DG!$D$2,)</f>
        <v>kg</v>
      </c>
      <c r="G988" s="1914">
        <f>9.02*(3+3*0.1)*2</f>
        <v>59.531999999999996</v>
      </c>
      <c r="H988" s="1245">
        <f ca="1">H$987*$G988</f>
        <v>0</v>
      </c>
      <c r="I988" s="1245">
        <f t="shared" ref="I988:L992" ca="1" si="200">I$987*$G988</f>
        <v>0</v>
      </c>
      <c r="J988" s="1245">
        <f t="shared" ca="1" si="200"/>
        <v>0</v>
      </c>
      <c r="K988" s="1245">
        <f t="shared" ca="1" si="200"/>
        <v>0</v>
      </c>
      <c r="L988" s="1245">
        <f t="shared" si="200"/>
        <v>0</v>
      </c>
      <c r="M988" s="1245"/>
      <c r="N988" s="1245"/>
      <c r="O988" s="1245"/>
      <c r="P988" s="1245"/>
      <c r="Q988" s="1245"/>
      <c r="R988" s="1245"/>
      <c r="S988" s="1245"/>
      <c r="T988" s="1671"/>
      <c r="U988" s="1664" t="str">
        <f>IFERROR(VLOOKUP(B988,ChiTietDuToan!C:H,5,0),"")</f>
        <v/>
      </c>
      <c r="V988" s="2309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59" t="s">
        <v>280</v>
      </c>
      <c r="C989" s="1189" t="str">
        <f t="shared" ca="1" si="197"/>
        <v xml:space="preserve"> </v>
      </c>
      <c r="D989" s="1236"/>
      <c r="E989" s="1248" t="str">
        <f>VLOOKUP($B989,DG!A:D,DG!$C$2,)</f>
        <v>Sắt dẹt 60 x 6</v>
      </c>
      <c r="F989" s="1236" t="str">
        <f>VLOOKUP($B989,DG!A:D,DG!$D$2,)</f>
        <v>kg</v>
      </c>
      <c r="G989" s="1914">
        <f>0.92*2.826*4</f>
        <v>10.39968</v>
      </c>
      <c r="H989" s="1245">
        <f ca="1">H$987*$G989</f>
        <v>0</v>
      </c>
      <c r="I989" s="1245">
        <f t="shared" ca="1" si="200"/>
        <v>0</v>
      </c>
      <c r="J989" s="1245">
        <f t="shared" ca="1" si="200"/>
        <v>0</v>
      </c>
      <c r="K989" s="1245">
        <f t="shared" ca="1" si="200"/>
        <v>0</v>
      </c>
      <c r="L989" s="1245">
        <f t="shared" si="200"/>
        <v>0</v>
      </c>
      <c r="M989" s="1245"/>
      <c r="N989" s="1245"/>
      <c r="O989" s="1245"/>
      <c r="P989" s="1245"/>
      <c r="Q989" s="1245"/>
      <c r="R989" s="1245"/>
      <c r="S989" s="1245"/>
      <c r="T989" s="1671"/>
      <c r="U989" s="1664" t="str">
        <f>IFERROR(VLOOKUP(B989,ChiTietDuToan!C:H,5,0),"")</f>
        <v/>
      </c>
      <c r="V989" s="2309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59" t="s">
        <v>1839</v>
      </c>
      <c r="C990" s="1189" t="str">
        <f t="shared" ca="1" si="197"/>
        <v xml:space="preserve"> </v>
      </c>
      <c r="D990" s="1236"/>
      <c r="E990" s="1248" t="str">
        <f>VLOOKUP($B990,DG!A:D,DG!$C$2,)</f>
        <v>Boulon 16x50+ 2 long đền vuông D18-50x50x3/Zn</v>
      </c>
      <c r="F990" s="1236" t="str">
        <f>VLOOKUP($B990,DG!A:D,DG!$D$2,)</f>
        <v>bộ</v>
      </c>
      <c r="G990" s="1915">
        <v>4</v>
      </c>
      <c r="H990" s="1245">
        <f ca="1">H$987*$G990</f>
        <v>0</v>
      </c>
      <c r="I990" s="1245">
        <f ca="1">I$987*$G990</f>
        <v>0</v>
      </c>
      <c r="J990" s="1245">
        <f t="shared" ca="1" si="200"/>
        <v>0</v>
      </c>
      <c r="K990" s="1245">
        <f t="shared" ca="1" si="200"/>
        <v>0</v>
      </c>
      <c r="L990" s="1245">
        <f t="shared" si="200"/>
        <v>0</v>
      </c>
      <c r="M990" s="1245"/>
      <c r="N990" s="1245"/>
      <c r="O990" s="1245"/>
      <c r="P990" s="1245"/>
      <c r="Q990" s="1245"/>
      <c r="R990" s="1245"/>
      <c r="S990" s="1245"/>
      <c r="T990" s="1671"/>
      <c r="U990" s="1664" t="str">
        <f>IFERROR(VLOOKUP(B990,ChiTietDuToan!C:H,5,0),"")</f>
        <v>bộ</v>
      </c>
      <c r="V990" s="2309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59" t="s">
        <v>1661</v>
      </c>
      <c r="C991" s="1189" t="str">
        <f t="shared" ca="1" si="197"/>
        <v xml:space="preserve"> </v>
      </c>
      <c r="D991" s="1236"/>
      <c r="E991" s="1248" t="str">
        <f>VLOOKUP($B991,DG!A:D,DG!$C$2,)</f>
        <v>Boulon 16x250+ 2 long đền vuông D18-50x50x3/Zn</v>
      </c>
      <c r="F991" s="1236" t="str">
        <f>VLOOKUP($B991,DG!A:D,DG!$D$2,)</f>
        <v>bộ</v>
      </c>
      <c r="G991" s="1915">
        <v>4</v>
      </c>
      <c r="H991" s="1245">
        <f ca="1">H$987*$G991</f>
        <v>0</v>
      </c>
      <c r="I991" s="1245">
        <f ca="1">I$987*$G991</f>
        <v>0</v>
      </c>
      <c r="J991" s="1245">
        <f t="shared" ca="1" si="200"/>
        <v>0</v>
      </c>
      <c r="K991" s="1245">
        <f t="shared" ca="1" si="200"/>
        <v>0</v>
      </c>
      <c r="L991" s="1245">
        <f t="shared" si="200"/>
        <v>0</v>
      </c>
      <c r="M991" s="1245"/>
      <c r="N991" s="1245"/>
      <c r="O991" s="1245"/>
      <c r="P991" s="1245"/>
      <c r="Q991" s="1245"/>
      <c r="R991" s="1245"/>
      <c r="S991" s="1245"/>
      <c r="T991" s="1671"/>
      <c r="U991" s="1664" t="str">
        <f>IFERROR(VLOOKUP(B991,ChiTietDuToan!C:H,5,0),"")</f>
        <v>bộ</v>
      </c>
      <c r="V991" s="2309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59" t="s">
        <v>1837</v>
      </c>
      <c r="C992" s="1189" t="str">
        <f t="shared" ca="1" si="197"/>
        <v xml:space="preserve"> </v>
      </c>
      <c r="D992" s="1236"/>
      <c r="E992" s="1248" t="str">
        <f>VLOOKUP($B992,DG!A:D,DG!$C$2,)</f>
        <v>Boulon 16x300VRS+ 4 long đền vuông D18-50x50x3/Zn</v>
      </c>
      <c r="F992" s="1236" t="str">
        <f>VLOOKUP($B992,DG!A:D,DG!$D$2,)</f>
        <v>bộ</v>
      </c>
      <c r="G992" s="1915">
        <v>4</v>
      </c>
      <c r="H992" s="1245">
        <f ca="1">H$987*$G992</f>
        <v>0</v>
      </c>
      <c r="I992" s="1245">
        <f t="shared" ca="1" si="200"/>
        <v>0</v>
      </c>
      <c r="J992" s="1245">
        <f t="shared" ca="1" si="200"/>
        <v>0</v>
      </c>
      <c r="K992" s="1245">
        <f t="shared" ca="1" si="200"/>
        <v>0</v>
      </c>
      <c r="L992" s="1245">
        <f t="shared" si="200"/>
        <v>0</v>
      </c>
      <c r="M992" s="1245"/>
      <c r="N992" s="1245"/>
      <c r="O992" s="1245"/>
      <c r="P992" s="1245"/>
      <c r="Q992" s="1245"/>
      <c r="R992" s="1245"/>
      <c r="S992" s="1245"/>
      <c r="T992" s="1671"/>
      <c r="U992" s="1664" t="str">
        <f>IFERROR(VLOOKUP(B992,ChiTietDuToan!C:H,5,0),"")</f>
        <v>bộ</v>
      </c>
      <c r="V992" s="2309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59" t="s">
        <v>2304</v>
      </c>
      <c r="C993" s="1189" t="str">
        <f t="shared" si="197"/>
        <v xml:space="preserve"> </v>
      </c>
      <c r="D993" s="1236"/>
      <c r="E993" s="1241" t="str">
        <f>VLOOKUP($B993,DG!A:D,DG!$C$2,)</f>
        <v>Lắp xà cột Pi loại ≤140kg/xà</v>
      </c>
      <c r="F993" s="1236" t="str">
        <f>VLOOKUP($B993,DG!A:D,DG!$D$2,)</f>
        <v>bộ</v>
      </c>
      <c r="G993" s="1915">
        <v>1</v>
      </c>
      <c r="H993" s="1245"/>
      <c r="I993" s="1245"/>
      <c r="J993" s="1245"/>
      <c r="K993" s="1245"/>
      <c r="L993" s="1245"/>
      <c r="M993" s="1245"/>
      <c r="N993" s="1245"/>
      <c r="O993" s="1245"/>
      <c r="P993" s="1245"/>
      <c r="Q993" s="1245"/>
      <c r="R993" s="1245"/>
      <c r="S993" s="1245"/>
      <c r="T993" s="1671"/>
      <c r="U993" s="1664" t="str">
        <f>IFERROR(VLOOKUP(B993,ChiTietDuToan!C:H,5,0),"")</f>
        <v/>
      </c>
      <c r="V993" s="2309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59" t="s">
        <v>2049</v>
      </c>
      <c r="C994" s="1189" t="str">
        <f t="shared" si="197"/>
        <v xml:space="preserve"> </v>
      </c>
      <c r="D994" s="1236"/>
      <c r="E994" s="1241" t="str">
        <f>VLOOKUP($B994,DG!A:D,DG!$C$2,)</f>
        <v>Bốc dỡ xà, thép thanh</v>
      </c>
      <c r="F994" s="1236" t="str">
        <f>VLOOKUP($B994,DG!A:D,DG!$D$2,)</f>
        <v>tấn</v>
      </c>
      <c r="G994" s="1913">
        <f>G995</f>
        <v>7.2999999999999995E-2</v>
      </c>
      <c r="H994" s="1245"/>
      <c r="I994" s="1245"/>
      <c r="J994" s="1245"/>
      <c r="K994" s="1245"/>
      <c r="L994" s="1245"/>
      <c r="M994" s="1245"/>
      <c r="N994" s="1245"/>
      <c r="O994" s="1245"/>
      <c r="P994" s="1245"/>
      <c r="Q994" s="1245"/>
      <c r="R994" s="1245"/>
      <c r="S994" s="1245"/>
      <c r="T994" s="1671"/>
      <c r="U994" s="1664" t="str">
        <f>IFERROR(VLOOKUP(B994,ChiTietDuToan!C:H,5,0),"")</f>
        <v/>
      </c>
      <c r="V994" s="2309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74" t="s">
        <v>2050</v>
      </c>
      <c r="C995" s="1189" t="str">
        <f t="shared" si="197"/>
        <v xml:space="preserve"> </v>
      </c>
      <c r="D995" s="1236" t="str">
        <f>VLOOKUP($B995,DG!A:C,2,)</f>
        <v>02.1361</v>
      </c>
      <c r="E995" s="1241" t="str">
        <f>VLOOKUP($B995,DG!A:C,3,)</f>
        <v>V/c xà vào vị trí (cư ly &lt;=100m)</v>
      </c>
      <c r="F995" s="1236" t="str">
        <f>VLOOKUP($B995,DG!A:D,4,0)</f>
        <v>tấn</v>
      </c>
      <c r="G995" s="1913">
        <f>ROUND(SUM(G988:G989)*1.05/1000,3)</f>
        <v>7.2999999999999995E-2</v>
      </c>
      <c r="H995" s="1250"/>
      <c r="I995" s="1250"/>
      <c r="J995" s="1250"/>
      <c r="K995" s="1250"/>
      <c r="L995" s="1250"/>
      <c r="M995" s="1250"/>
      <c r="N995" s="1250"/>
      <c r="O995" s="1250"/>
      <c r="P995" s="1250"/>
      <c r="Q995" s="1250"/>
      <c r="R995" s="1250"/>
      <c r="S995" s="1250"/>
      <c r="T995" s="1671"/>
      <c r="U995" s="1664" t="str">
        <f>IFERROR(VLOOKUP(B995,ChiTietDuToan!C:H,5,0),"")</f>
        <v/>
      </c>
      <c r="V995" s="2309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74" t="s">
        <v>640</v>
      </c>
      <c r="C996" s="1189" t="str">
        <f t="shared" si="197"/>
        <v xml:space="preserve"> </v>
      </c>
      <c r="D996" s="1236" t="str">
        <f>VLOOKUP($B996,DG!A:C,2,)</f>
        <v>02.1482</v>
      </c>
      <c r="E996" s="1241" t="str">
        <f>VLOOKUP($B996,DG!A:C,3,)</f>
        <v>V/c dụng cụ thi công vào vị trí (cự ly &lt;=100m)</v>
      </c>
      <c r="F996" s="1236" t="str">
        <f>VLOOKUP($B996,DG!A:D,4,0)</f>
        <v>tấn</v>
      </c>
      <c r="G996" s="1914">
        <v>0.05</v>
      </c>
      <c r="H996" s="1250"/>
      <c r="I996" s="1250"/>
      <c r="J996" s="1250"/>
      <c r="K996" s="1250"/>
      <c r="L996" s="1250"/>
      <c r="M996" s="1250"/>
      <c r="N996" s="1250"/>
      <c r="O996" s="1250"/>
      <c r="P996" s="1250"/>
      <c r="Q996" s="1250"/>
      <c r="R996" s="1250"/>
      <c r="S996" s="1250"/>
      <c r="T996" s="1671"/>
      <c r="U996" s="1664" t="str">
        <f>IFERROR(VLOOKUP(B996,ChiTietDuToan!C:H,5,0),"")</f>
        <v/>
      </c>
      <c r="V996" s="2309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56"/>
      <c r="C997" s="1189" t="str">
        <f t="shared" ca="1" si="197"/>
        <v xml:space="preserve"> </v>
      </c>
      <c r="D997" s="1237"/>
      <c r="E997" s="1666" t="s">
        <v>2514</v>
      </c>
      <c r="F997" s="1238" t="s">
        <v>2449</v>
      </c>
      <c r="G997" s="1912"/>
      <c r="H997" s="1523">
        <f ca="1">SUM(I997:O997)+T997</f>
        <v>0</v>
      </c>
      <c r="I997" s="1239">
        <f ca="1">SUMIF(xa3pm,chitiet!$A997,slxa3pm)</f>
        <v>0</v>
      </c>
      <c r="J997" s="1239">
        <f ca="1">SUMIF(xact,chitiet!$A997,slxact)</f>
        <v>0</v>
      </c>
      <c r="K997" s="1239">
        <f ca="1">SUMIF(xa3p1m,chitiet!$A997,slxa3p1m)</f>
        <v>0</v>
      </c>
      <c r="L997" s="1239">
        <f>IFERROR(HLOOKUP(A997,pp1p!$6:$90,85,0),0)</f>
        <v>0</v>
      </c>
      <c r="M997" s="1239"/>
      <c r="N997" s="1239"/>
      <c r="O997" s="1239"/>
      <c r="P997" s="1239">
        <f ca="1">H997+Q997-R997</f>
        <v>0</v>
      </c>
      <c r="Q997" s="1239"/>
      <c r="R997" s="1239"/>
      <c r="S997" s="1239"/>
      <c r="T997" s="1671"/>
      <c r="U997" s="1664">
        <f>IFERROR(VLOOKUP(B997,ChiTietDuToan!C:H,5,0),"")</f>
        <v>0</v>
      </c>
      <c r="V997" s="2309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59" t="s">
        <v>110</v>
      </c>
      <c r="C998" s="1189" t="str">
        <f t="shared" ca="1" si="197"/>
        <v xml:space="preserve"> </v>
      </c>
      <c r="D998" s="1236"/>
      <c r="E998" s="1248" t="str">
        <f>VLOOKUP($B998,DG!A:D,DG!$C$2,)</f>
        <v>Sắt góc L75 x75 x8</v>
      </c>
      <c r="F998" s="1236" t="str">
        <f>VLOOKUP($B998,DG!A:D,DG!$D$2,)</f>
        <v>kg</v>
      </c>
      <c r="G998" s="1914">
        <f>9.02*(3.8+6*0.1)</f>
        <v>39.688000000000002</v>
      </c>
      <c r="H998" s="1245">
        <f ca="1">H$997*$G998</f>
        <v>0</v>
      </c>
      <c r="I998" s="1245">
        <f t="shared" ref="I998:L1002" ca="1" si="201">I$997*$G998</f>
        <v>0</v>
      </c>
      <c r="J998" s="1245">
        <f t="shared" ca="1" si="201"/>
        <v>0</v>
      </c>
      <c r="K998" s="1245">
        <f t="shared" ca="1" si="201"/>
        <v>0</v>
      </c>
      <c r="L998" s="1245">
        <f t="shared" si="201"/>
        <v>0</v>
      </c>
      <c r="M998" s="1245"/>
      <c r="N998" s="1245"/>
      <c r="O998" s="1245"/>
      <c r="P998" s="1245"/>
      <c r="Q998" s="1245"/>
      <c r="R998" s="1245"/>
      <c r="S998" s="1245"/>
      <c r="T998" s="1671"/>
      <c r="U998" s="1664" t="str">
        <f>IFERROR(VLOOKUP(B998,ChiTietDuToan!C:H,5,0),"")</f>
        <v/>
      </c>
      <c r="V998" s="2309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59" t="s">
        <v>460</v>
      </c>
      <c r="C999" s="1189" t="str">
        <f t="shared" ca="1" si="197"/>
        <v xml:space="preserve"> </v>
      </c>
      <c r="D999" s="1236"/>
      <c r="E999" s="1248" t="str">
        <f>VLOOKUP($B999,DG!A:D,DG!$C$2,)</f>
        <v>Sắt góc L50 x50 x5</v>
      </c>
      <c r="F999" s="1236" t="str">
        <f>VLOOKUP($B999,DG!A:D,DG!$D$2,)</f>
        <v>kg</v>
      </c>
      <c r="G999" s="1914">
        <f>3.77*2.05*2</f>
        <v>15.456999999999999</v>
      </c>
      <c r="H999" s="1245">
        <f ca="1">H$997*$G999</f>
        <v>0</v>
      </c>
      <c r="I999" s="1245">
        <f t="shared" ca="1" si="201"/>
        <v>0</v>
      </c>
      <c r="J999" s="1245">
        <f t="shared" ca="1" si="201"/>
        <v>0</v>
      </c>
      <c r="K999" s="1245">
        <f t="shared" ca="1" si="201"/>
        <v>0</v>
      </c>
      <c r="L999" s="1245">
        <f t="shared" si="201"/>
        <v>0</v>
      </c>
      <c r="M999" s="1245"/>
      <c r="N999" s="1245"/>
      <c r="O999" s="1245"/>
      <c r="P999" s="1245"/>
      <c r="Q999" s="1245"/>
      <c r="R999" s="1245"/>
      <c r="S999" s="1245"/>
      <c r="T999" s="1671"/>
      <c r="U999" s="1664" t="str">
        <f>IFERROR(VLOOKUP(B999,ChiTietDuToan!C:H,5,0),"")</f>
        <v/>
      </c>
      <c r="V999" s="2309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59" t="s">
        <v>2168</v>
      </c>
      <c r="C1000" s="1189" t="str">
        <f t="shared" ca="1" si="197"/>
        <v xml:space="preserve"> </v>
      </c>
      <c r="D1000" s="1236"/>
      <c r="E1000" s="1248" t="str">
        <f>VLOOKUP($B1000,DG!A:D,DG!$C$2,)</f>
        <v>Sắt dẹt 50 x 5</v>
      </c>
      <c r="F1000" s="1236" t="str">
        <f>VLOOKUP($B1000,DG!A:D,DG!$D$2,)</f>
        <v>kg</v>
      </c>
      <c r="G1000" s="1914">
        <f>1.963*0.4*2</f>
        <v>1.5704000000000002</v>
      </c>
      <c r="H1000" s="1245">
        <f ca="1">H$997*$G1000</f>
        <v>0</v>
      </c>
      <c r="I1000" s="1245">
        <f t="shared" ca="1" si="201"/>
        <v>0</v>
      </c>
      <c r="J1000" s="1245">
        <f t="shared" ca="1" si="201"/>
        <v>0</v>
      </c>
      <c r="K1000" s="1245">
        <f t="shared" ca="1" si="201"/>
        <v>0</v>
      </c>
      <c r="L1000" s="1245">
        <f t="shared" si="201"/>
        <v>0</v>
      </c>
      <c r="M1000" s="1245"/>
      <c r="N1000" s="1245"/>
      <c r="O1000" s="1245"/>
      <c r="P1000" s="1245"/>
      <c r="Q1000" s="1245"/>
      <c r="R1000" s="1245"/>
      <c r="S1000" s="1245"/>
      <c r="T1000" s="1671"/>
      <c r="U1000" s="1664" t="str">
        <f>IFERROR(VLOOKUP(B1000,ChiTietDuToan!C:H,5,0),"")</f>
        <v/>
      </c>
      <c r="V1000" s="2309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59" t="s">
        <v>1661</v>
      </c>
      <c r="C1001" s="1189" t="str">
        <f t="shared" ca="1" si="197"/>
        <v xml:space="preserve"> </v>
      </c>
      <c r="D1001" s="1236"/>
      <c r="E1001" s="1248" t="str">
        <f>VLOOKUP($B1001,DG!A:D,DG!$C$2,)</f>
        <v>Boulon 16x250+ 2 long đền vuông D18-50x50x3/Zn</v>
      </c>
      <c r="F1001" s="1236" t="str">
        <f>VLOOKUP($B1001,DG!A:D,DG!$D$2,)</f>
        <v>bộ</v>
      </c>
      <c r="G1001" s="1915">
        <v>2</v>
      </c>
      <c r="H1001" s="1245">
        <f ca="1">H$997*$G1001</f>
        <v>0</v>
      </c>
      <c r="I1001" s="1245">
        <f t="shared" ca="1" si="201"/>
        <v>0</v>
      </c>
      <c r="J1001" s="1245">
        <f t="shared" ca="1" si="201"/>
        <v>0</v>
      </c>
      <c r="K1001" s="1245">
        <f t="shared" ca="1" si="201"/>
        <v>0</v>
      </c>
      <c r="L1001" s="1245">
        <f t="shared" si="201"/>
        <v>0</v>
      </c>
      <c r="M1001" s="1245"/>
      <c r="N1001" s="1245"/>
      <c r="O1001" s="1245"/>
      <c r="P1001" s="1245"/>
      <c r="Q1001" s="1245"/>
      <c r="R1001" s="1245"/>
      <c r="S1001" s="1245"/>
      <c r="T1001" s="1671"/>
      <c r="U1001" s="1664" t="str">
        <f>IFERROR(VLOOKUP(B1001,ChiTietDuToan!C:H,5,0),"")</f>
        <v>bộ</v>
      </c>
      <c r="V1001" s="2309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59" t="s">
        <v>1839</v>
      </c>
      <c r="C1002" s="1189" t="str">
        <f t="shared" ca="1" si="197"/>
        <v xml:space="preserve"> </v>
      </c>
      <c r="D1002" s="1236"/>
      <c r="E1002" s="1248" t="str">
        <f>VLOOKUP($B1002,DG!A:D,DG!$C$2,)</f>
        <v>Boulon 16x50+ 2 long đền vuông D18-50x50x3/Zn</v>
      </c>
      <c r="F1002" s="1236" t="str">
        <f>VLOOKUP($B1002,DG!A:D,DG!$D$2,)</f>
        <v>bộ</v>
      </c>
      <c r="G1002" s="1915">
        <v>2</v>
      </c>
      <c r="H1002" s="1245">
        <f ca="1">H$997*$G1002</f>
        <v>0</v>
      </c>
      <c r="I1002" s="1245">
        <f t="shared" ca="1" si="201"/>
        <v>0</v>
      </c>
      <c r="J1002" s="1245">
        <f t="shared" ca="1" si="201"/>
        <v>0</v>
      </c>
      <c r="K1002" s="1245">
        <f t="shared" ca="1" si="201"/>
        <v>0</v>
      </c>
      <c r="L1002" s="1245">
        <f t="shared" si="201"/>
        <v>0</v>
      </c>
      <c r="M1002" s="1245"/>
      <c r="N1002" s="1245"/>
      <c r="O1002" s="1245"/>
      <c r="P1002" s="1245"/>
      <c r="Q1002" s="1245"/>
      <c r="R1002" s="1245"/>
      <c r="S1002" s="1245"/>
      <c r="T1002" s="1671"/>
      <c r="U1002" s="1664" t="str">
        <f>IFERROR(VLOOKUP(B1002,ChiTietDuToan!C:H,5,0),"")</f>
        <v>bộ</v>
      </c>
      <c r="V1002" s="2309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59" t="s">
        <v>2048</v>
      </c>
      <c r="C1003" s="1189" t="str">
        <f t="shared" si="197"/>
        <v xml:space="preserve"> </v>
      </c>
      <c r="D1003" s="1236" t="str">
        <f>VLOOKUP($B1003,DG!A:D,DG!$B$2,)</f>
        <v>05.6401</v>
      </c>
      <c r="E1003" s="1241" t="str">
        <f>VLOOKUP($B1003,DG!A:D,DG!$C$2,)</f>
        <v>Lắp xà đỡ ≤ 25kg</v>
      </c>
      <c r="F1003" s="1236" t="str">
        <f>VLOOKUP($B1003,DG!A:D,DG!$D$2,)</f>
        <v>bộ</v>
      </c>
      <c r="G1003" s="1915">
        <v>1</v>
      </c>
      <c r="H1003" s="1250"/>
      <c r="I1003" s="1250"/>
      <c r="J1003" s="1250"/>
      <c r="K1003" s="1250"/>
      <c r="L1003" s="1250"/>
      <c r="M1003" s="1250"/>
      <c r="N1003" s="1250"/>
      <c r="O1003" s="1250"/>
      <c r="P1003" s="1250"/>
      <c r="Q1003" s="1250"/>
      <c r="R1003" s="1250"/>
      <c r="S1003" s="1250"/>
      <c r="T1003" s="1671"/>
      <c r="U1003" s="1664" t="str">
        <f>IFERROR(VLOOKUP(B1003,ChiTietDuToan!C:H,5,0),"")</f>
        <v/>
      </c>
      <c r="V1003" s="2309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59" t="s">
        <v>2049</v>
      </c>
      <c r="C1004" s="1189" t="str">
        <f t="shared" si="197"/>
        <v xml:space="preserve"> </v>
      </c>
      <c r="D1004" s="1236" t="str">
        <f>VLOOKUP($B1004,DG!A:D,DG!$B$2,)</f>
        <v>02.1115</v>
      </c>
      <c r="E1004" s="1241" t="str">
        <f>VLOOKUP($B1004,DG!A:D,DG!$C$2,)</f>
        <v>Bốc dỡ xà, thép thanh</v>
      </c>
      <c r="F1004" s="1236" t="str">
        <f>VLOOKUP($B1004,DG!A:D,DG!$D$2,)</f>
        <v>tấn</v>
      </c>
      <c r="G1004" s="1913">
        <f>G1005</f>
        <v>0.06</v>
      </c>
      <c r="H1004" s="1250"/>
      <c r="I1004" s="1250"/>
      <c r="J1004" s="1250"/>
      <c r="K1004" s="1250"/>
      <c r="L1004" s="1250"/>
      <c r="M1004" s="1250"/>
      <c r="N1004" s="1250"/>
      <c r="O1004" s="1250"/>
      <c r="P1004" s="1250"/>
      <c r="Q1004" s="1250"/>
      <c r="R1004" s="1250"/>
      <c r="S1004" s="1250"/>
      <c r="T1004" s="1671"/>
      <c r="U1004" s="1664" t="str">
        <f>IFERROR(VLOOKUP(B1004,ChiTietDuToan!C:H,5,0),"")</f>
        <v/>
      </c>
      <c r="V1004" s="2309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74" t="s">
        <v>2050</v>
      </c>
      <c r="C1005" s="1189" t="str">
        <f t="shared" si="197"/>
        <v xml:space="preserve"> </v>
      </c>
      <c r="D1005" s="1236" t="str">
        <f>VLOOKUP($B1005,DG!A:C,2,)</f>
        <v>02.1361</v>
      </c>
      <c r="E1005" s="1241" t="str">
        <f>VLOOKUP($B1005,DG!A:C,3,)</f>
        <v>V/c xà vào vị trí (cư ly &lt;=100m)</v>
      </c>
      <c r="F1005" s="1236" t="str">
        <f>VLOOKUP($B1005,DG!A:D,4,0)</f>
        <v>tấn</v>
      </c>
      <c r="G1005" s="1913">
        <f>ROUND(SUM(G998:G1000)*1.05/1000,3)</f>
        <v>0.06</v>
      </c>
      <c r="H1005" s="1250"/>
      <c r="I1005" s="1250"/>
      <c r="J1005" s="1250"/>
      <c r="K1005" s="1250"/>
      <c r="L1005" s="1250"/>
      <c r="M1005" s="1250"/>
      <c r="N1005" s="1250"/>
      <c r="O1005" s="1250"/>
      <c r="P1005" s="1250"/>
      <c r="Q1005" s="1250"/>
      <c r="R1005" s="1250"/>
      <c r="S1005" s="1250"/>
      <c r="T1005" s="1671"/>
      <c r="U1005" s="1664" t="str">
        <f>IFERROR(VLOOKUP(B1005,ChiTietDuToan!C:H,5,0),"")</f>
        <v/>
      </c>
      <c r="V1005" s="2309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74" t="s">
        <v>640</v>
      </c>
      <c r="C1006" s="1189" t="str">
        <f t="shared" si="197"/>
        <v xml:space="preserve"> </v>
      </c>
      <c r="D1006" s="1236" t="str">
        <f>VLOOKUP($B1006,DG!A:C,2,)</f>
        <v>02.1482</v>
      </c>
      <c r="E1006" s="1241" t="str">
        <f>VLOOKUP($B1006,DG!A:C,3,)</f>
        <v>V/c dụng cụ thi công vào vị trí (cự ly &lt;=100m)</v>
      </c>
      <c r="F1006" s="1236" t="str">
        <f>VLOOKUP($B1006,DG!A:D,4,0)</f>
        <v>tấn</v>
      </c>
      <c r="G1006" s="1914">
        <v>0.05</v>
      </c>
      <c r="H1006" s="1250"/>
      <c r="I1006" s="1250"/>
      <c r="J1006" s="1250"/>
      <c r="K1006" s="1250"/>
      <c r="L1006" s="1250"/>
      <c r="M1006" s="1250"/>
      <c r="N1006" s="1250"/>
      <c r="O1006" s="1250"/>
      <c r="P1006" s="1250"/>
      <c r="Q1006" s="1250"/>
      <c r="R1006" s="1250"/>
      <c r="S1006" s="1250"/>
      <c r="T1006" s="1671"/>
      <c r="U1006" s="1664" t="str">
        <f>IFERROR(VLOOKUP(B1006,ChiTietDuToan!C:H,5,0),"")</f>
        <v/>
      </c>
      <c r="V1006" s="2309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56"/>
      <c r="C1007" s="1189" t="str">
        <f t="shared" ca="1" si="197"/>
        <v xml:space="preserve"> </v>
      </c>
      <c r="D1007" s="1237"/>
      <c r="E1007" s="1666" t="s">
        <v>2515</v>
      </c>
      <c r="F1007" s="1238" t="s">
        <v>2449</v>
      </c>
      <c r="G1007" s="1912"/>
      <c r="H1007" s="1523">
        <f ca="1">SUM(I1007:O1007)+T1007</f>
        <v>0</v>
      </c>
      <c r="I1007" s="1239">
        <f ca="1">SUMIF(xa3pm,chitiet!$A1007,slxa3pm)</f>
        <v>0</v>
      </c>
      <c r="J1007" s="1239">
        <f ca="1">SUMIF(xact,chitiet!$A1007,slxact)</f>
        <v>0</v>
      </c>
      <c r="K1007" s="1239">
        <f ca="1">SUMIF(xa3p1m,chitiet!$A1007,slxa3p1m)</f>
        <v>0</v>
      </c>
      <c r="L1007" s="1239">
        <f>IFERROR(HLOOKUP(A1007,pp1p!$6:$90,85,0),0)</f>
        <v>0</v>
      </c>
      <c r="M1007" s="1239"/>
      <c r="N1007" s="1239"/>
      <c r="O1007" s="1239"/>
      <c r="P1007" s="1239">
        <f ca="1">H1007+Q1007-R1007</f>
        <v>0</v>
      </c>
      <c r="Q1007" s="1239"/>
      <c r="R1007" s="1239"/>
      <c r="S1007" s="1239"/>
      <c r="T1007" s="1671"/>
      <c r="U1007" s="1664">
        <f>IFERROR(VLOOKUP(B1007,ChiTietDuToan!C:H,5,0),"")</f>
        <v>0</v>
      </c>
      <c r="V1007" s="2309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59" t="s">
        <v>110</v>
      </c>
      <c r="C1008" s="1189" t="str">
        <f t="shared" ca="1" si="197"/>
        <v xml:space="preserve"> </v>
      </c>
      <c r="D1008" s="1236"/>
      <c r="E1008" s="1248" t="str">
        <f>VLOOKUP($B1008,DG!A:D,DG!$C$2,)</f>
        <v>Sắt góc L75 x75 x8</v>
      </c>
      <c r="F1008" s="1236" t="str">
        <f>VLOOKUP($B1008,DG!A:D,DG!$D$2,)</f>
        <v>kg</v>
      </c>
      <c r="G1008" s="1914">
        <f>9.02*(4.2+6*0.1)*2</f>
        <v>86.592000000000013</v>
      </c>
      <c r="H1008" s="1245">
        <f ca="1">H$1007*$G1008</f>
        <v>0</v>
      </c>
      <c r="I1008" s="1245">
        <f t="shared" ref="I1008:L1011" ca="1" si="202">I$1007*$G1008</f>
        <v>0</v>
      </c>
      <c r="J1008" s="1245">
        <f t="shared" ca="1" si="202"/>
        <v>0</v>
      </c>
      <c r="K1008" s="1245">
        <f t="shared" ca="1" si="202"/>
        <v>0</v>
      </c>
      <c r="L1008" s="1245">
        <f t="shared" si="202"/>
        <v>0</v>
      </c>
      <c r="M1008" s="1245"/>
      <c r="N1008" s="1245"/>
      <c r="O1008" s="1245"/>
      <c r="P1008" s="1245"/>
      <c r="Q1008" s="1245"/>
      <c r="R1008" s="1245"/>
      <c r="S1008" s="1245"/>
      <c r="T1008" s="1671"/>
      <c r="U1008" s="1664" t="str">
        <f>IFERROR(VLOOKUP(B1008,ChiTietDuToan!C:H,5,0),"")</f>
        <v/>
      </c>
      <c r="V1008" s="2309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59" t="s">
        <v>280</v>
      </c>
      <c r="C1009" s="1189" t="str">
        <f t="shared" ca="1" si="197"/>
        <v xml:space="preserve"> </v>
      </c>
      <c r="D1009" s="1236"/>
      <c r="E1009" s="1248" t="str">
        <f>VLOOKUP($B1009,DG!A:D,DG!$C$2,)</f>
        <v>Sắt dẹt 60 x 6</v>
      </c>
      <c r="F1009" s="1236" t="str">
        <f>VLOOKUP($B1009,DG!A:D,DG!$D$2,)</f>
        <v>kg</v>
      </c>
      <c r="G1009" s="1914">
        <f>2.826*0.92*8</f>
        <v>20.79936</v>
      </c>
      <c r="H1009" s="1245">
        <f ca="1">H$1007*$G1009</f>
        <v>0</v>
      </c>
      <c r="I1009" s="1245">
        <f t="shared" ca="1" si="202"/>
        <v>0</v>
      </c>
      <c r="J1009" s="1245">
        <f t="shared" ca="1" si="202"/>
        <v>0</v>
      </c>
      <c r="K1009" s="1245">
        <f t="shared" ca="1" si="202"/>
        <v>0</v>
      </c>
      <c r="L1009" s="1245">
        <f t="shared" si="202"/>
        <v>0</v>
      </c>
      <c r="M1009" s="1245"/>
      <c r="N1009" s="1245"/>
      <c r="O1009" s="1245"/>
      <c r="P1009" s="1245"/>
      <c r="Q1009" s="1245"/>
      <c r="R1009" s="1245"/>
      <c r="S1009" s="1245"/>
      <c r="T1009" s="1671"/>
      <c r="U1009" s="1664" t="str">
        <f>IFERROR(VLOOKUP(B1009,ChiTietDuToan!C:H,5,0),"")</f>
        <v/>
      </c>
      <c r="V1009" s="2309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59" t="s">
        <v>1661</v>
      </c>
      <c r="C1010" s="1189" t="str">
        <f t="shared" ca="1" si="197"/>
        <v xml:space="preserve"> </v>
      </c>
      <c r="D1010" s="1236"/>
      <c r="E1010" s="1248" t="str">
        <f>VLOOKUP($B1010,DG!A:D,DG!$C$2,)</f>
        <v>Boulon 16x250+ 2 long đền vuông D18-50x50x3/Zn</v>
      </c>
      <c r="F1010" s="1236" t="str">
        <f>VLOOKUP($B1010,DG!A:D,DG!$D$2,)</f>
        <v>bộ</v>
      </c>
      <c r="G1010" s="1915">
        <v>4</v>
      </c>
      <c r="H1010" s="1245">
        <f ca="1">H$1007*$G1010</f>
        <v>0</v>
      </c>
      <c r="I1010" s="1245">
        <f t="shared" ca="1" si="202"/>
        <v>0</v>
      </c>
      <c r="J1010" s="1245">
        <f t="shared" ca="1" si="202"/>
        <v>0</v>
      </c>
      <c r="K1010" s="1245">
        <f t="shared" ca="1" si="202"/>
        <v>0</v>
      </c>
      <c r="L1010" s="1245">
        <f t="shared" si="202"/>
        <v>0</v>
      </c>
      <c r="M1010" s="1245"/>
      <c r="N1010" s="1245"/>
      <c r="O1010" s="1245"/>
      <c r="P1010" s="1245"/>
      <c r="Q1010" s="1245"/>
      <c r="R1010" s="1245"/>
      <c r="S1010" s="1245"/>
      <c r="T1010" s="1671"/>
      <c r="U1010" s="1664" t="str">
        <f>IFERROR(VLOOKUP(B1010,ChiTietDuToan!C:H,5,0),"")</f>
        <v>bộ</v>
      </c>
      <c r="V1010" s="2309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59" t="s">
        <v>1837</v>
      </c>
      <c r="C1011" s="1189" t="str">
        <f t="shared" ca="1" si="197"/>
        <v xml:space="preserve"> </v>
      </c>
      <c r="D1011" s="1236"/>
      <c r="E1011" s="1248" t="str">
        <f>VLOOKUP($B1011,DG!A:D,DG!$C$2,)</f>
        <v>Boulon 16x300VRS+ 4 long đền vuông D18-50x50x3/Zn</v>
      </c>
      <c r="F1011" s="1236" t="str">
        <f>VLOOKUP($B1011,DG!A:D,DG!$D$2,)</f>
        <v>bộ</v>
      </c>
      <c r="G1011" s="1915">
        <v>6</v>
      </c>
      <c r="H1011" s="1245">
        <f ca="1">H$1007*$G1011</f>
        <v>0</v>
      </c>
      <c r="I1011" s="1245">
        <f t="shared" ca="1" si="202"/>
        <v>0</v>
      </c>
      <c r="J1011" s="1245">
        <f t="shared" ca="1" si="202"/>
        <v>0</v>
      </c>
      <c r="K1011" s="1245">
        <f t="shared" ca="1" si="202"/>
        <v>0</v>
      </c>
      <c r="L1011" s="1245">
        <f t="shared" si="202"/>
        <v>0</v>
      </c>
      <c r="M1011" s="1245"/>
      <c r="N1011" s="1245"/>
      <c r="O1011" s="1245"/>
      <c r="P1011" s="1245"/>
      <c r="Q1011" s="1245"/>
      <c r="R1011" s="1245"/>
      <c r="S1011" s="1245"/>
      <c r="T1011" s="1671"/>
      <c r="U1011" s="1664" t="str">
        <f>IFERROR(VLOOKUP(B1011,ChiTietDuToan!C:H,5,0),"")</f>
        <v>bộ</v>
      </c>
      <c r="V1011" s="2309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59" t="s">
        <v>2304</v>
      </c>
      <c r="C1012" s="1189" t="str">
        <f t="shared" si="197"/>
        <v xml:space="preserve"> </v>
      </c>
      <c r="D1012" s="1236"/>
      <c r="E1012" s="1241" t="str">
        <f>VLOOKUP($B1012,DG!A:D,DG!$C$2,)</f>
        <v>Lắp xà cột Pi loại ≤140kg/xà</v>
      </c>
      <c r="F1012" s="1236" t="str">
        <f>VLOOKUP($B1012,DG!A:D,DG!$D$2,)</f>
        <v>bộ</v>
      </c>
      <c r="G1012" s="1915">
        <v>1</v>
      </c>
      <c r="H1012" s="1245"/>
      <c r="I1012" s="1245"/>
      <c r="J1012" s="1245"/>
      <c r="K1012" s="1245"/>
      <c r="L1012" s="1245"/>
      <c r="M1012" s="1245"/>
      <c r="N1012" s="1245"/>
      <c r="O1012" s="1245"/>
      <c r="P1012" s="1245"/>
      <c r="Q1012" s="1245"/>
      <c r="R1012" s="1245"/>
      <c r="S1012" s="1245"/>
      <c r="T1012" s="1671"/>
      <c r="U1012" s="1664" t="str">
        <f>IFERROR(VLOOKUP(B1012,ChiTietDuToan!C:H,5,0),"")</f>
        <v/>
      </c>
      <c r="V1012" s="2309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59" t="s">
        <v>2049</v>
      </c>
      <c r="C1013" s="1189" t="str">
        <f t="shared" si="197"/>
        <v xml:space="preserve"> </v>
      </c>
      <c r="D1013" s="1236"/>
      <c r="E1013" s="1241" t="str">
        <f>VLOOKUP($B1013,DG!A:D,DG!$C$2,)</f>
        <v>Bốc dỡ xà, thép thanh</v>
      </c>
      <c r="F1013" s="1236" t="str">
        <f>VLOOKUP($B1013,DG!A:D,DG!$D$2,)</f>
        <v>tấn</v>
      </c>
      <c r="G1013" s="1913">
        <f>G1014</f>
        <v>0.113</v>
      </c>
      <c r="H1013" s="1245"/>
      <c r="I1013" s="1245"/>
      <c r="J1013" s="1245"/>
      <c r="K1013" s="1245"/>
      <c r="L1013" s="1245"/>
      <c r="M1013" s="1245"/>
      <c r="N1013" s="1245"/>
      <c r="O1013" s="1245"/>
      <c r="P1013" s="1245"/>
      <c r="Q1013" s="1245"/>
      <c r="R1013" s="1245"/>
      <c r="S1013" s="1245"/>
      <c r="T1013" s="1671"/>
      <c r="U1013" s="1664" t="str">
        <f>IFERROR(VLOOKUP(B1013,ChiTietDuToan!C:H,5,0),"")</f>
        <v/>
      </c>
      <c r="V1013" s="2309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74" t="s">
        <v>2050</v>
      </c>
      <c r="C1014" s="1189" t="str">
        <f t="shared" si="197"/>
        <v xml:space="preserve"> </v>
      </c>
      <c r="D1014" s="1236" t="str">
        <f>VLOOKUP($B1014,DG!A:C,2,)</f>
        <v>02.1361</v>
      </c>
      <c r="E1014" s="1241" t="str">
        <f>VLOOKUP($B1014,DG!A:C,3,)</f>
        <v>V/c xà vào vị trí (cư ly &lt;=100m)</v>
      </c>
      <c r="F1014" s="1236" t="str">
        <f>VLOOKUP($B1014,DG!A:D,4,0)</f>
        <v>tấn</v>
      </c>
      <c r="G1014" s="1913">
        <f>ROUND(SUM(G1008:G1009)*1.05/1000,3)</f>
        <v>0.113</v>
      </c>
      <c r="H1014" s="1250"/>
      <c r="I1014" s="1250"/>
      <c r="J1014" s="1250"/>
      <c r="K1014" s="1250"/>
      <c r="L1014" s="1250"/>
      <c r="M1014" s="1250"/>
      <c r="N1014" s="1250"/>
      <c r="O1014" s="1250"/>
      <c r="P1014" s="1250"/>
      <c r="Q1014" s="1250"/>
      <c r="R1014" s="1250"/>
      <c r="S1014" s="1250"/>
      <c r="T1014" s="1671"/>
      <c r="U1014" s="1664" t="str">
        <f>IFERROR(VLOOKUP(B1014,ChiTietDuToan!C:H,5,0),"")</f>
        <v/>
      </c>
      <c r="V1014" s="2309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74" t="s">
        <v>640</v>
      </c>
      <c r="C1015" s="1189" t="str">
        <f t="shared" si="197"/>
        <v xml:space="preserve"> </v>
      </c>
      <c r="D1015" s="1236" t="str">
        <f>VLOOKUP($B1015,DG!A:C,2,)</f>
        <v>02.1482</v>
      </c>
      <c r="E1015" s="1241" t="str">
        <f>VLOOKUP($B1015,DG!A:C,3,)</f>
        <v>V/c dụng cụ thi công vào vị trí (cự ly &lt;=100m)</v>
      </c>
      <c r="F1015" s="1236" t="str">
        <f>VLOOKUP($B1015,DG!A:D,4,0)</f>
        <v>tấn</v>
      </c>
      <c r="G1015" s="1914">
        <v>0.05</v>
      </c>
      <c r="H1015" s="1250"/>
      <c r="I1015" s="1250"/>
      <c r="J1015" s="1250"/>
      <c r="K1015" s="1250"/>
      <c r="L1015" s="1250"/>
      <c r="M1015" s="1250"/>
      <c r="N1015" s="1250"/>
      <c r="O1015" s="1250"/>
      <c r="P1015" s="1250"/>
      <c r="Q1015" s="1250"/>
      <c r="R1015" s="1250"/>
      <c r="S1015" s="1250"/>
      <c r="T1015" s="1671"/>
      <c r="U1015" s="1664" t="str">
        <f>IFERROR(VLOOKUP(B1015,ChiTietDuToan!C:H,5,0),"")</f>
        <v/>
      </c>
      <c r="V1015" s="2309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56"/>
      <c r="C1016" s="1189" t="str">
        <f t="shared" ca="1" si="197"/>
        <v xml:space="preserve"> </v>
      </c>
      <c r="D1016" s="1237"/>
      <c r="E1016" s="1666" t="s">
        <v>2516</v>
      </c>
      <c r="F1016" s="1238" t="s">
        <v>2449</v>
      </c>
      <c r="G1016" s="1912"/>
      <c r="H1016" s="1523">
        <f ca="1">SUM(I1016:O1016)+T1016</f>
        <v>0</v>
      </c>
      <c r="I1016" s="1239">
        <f ca="1">SUMIF(xa3pm,chitiet!$A1016,slxa3pm)</f>
        <v>0</v>
      </c>
      <c r="J1016" s="1239">
        <f ca="1">SUMIF(xact,chitiet!$A1016,slxact)</f>
        <v>0</v>
      </c>
      <c r="K1016" s="1239">
        <f ca="1">SUMIF(xa3p1m,chitiet!$A1016,slxa3p1m)</f>
        <v>0</v>
      </c>
      <c r="L1016" s="1239">
        <f>IFERROR(HLOOKUP(A1016,pp1p!$6:$90,85,0),0)</f>
        <v>0</v>
      </c>
      <c r="M1016" s="1239"/>
      <c r="N1016" s="1239"/>
      <c r="O1016" s="1239"/>
      <c r="P1016" s="1239">
        <f ca="1">H1016+Q1016-R1016</f>
        <v>0</v>
      </c>
      <c r="Q1016" s="1239"/>
      <c r="R1016" s="1239"/>
      <c r="S1016" s="1239"/>
      <c r="T1016" s="1671"/>
      <c r="U1016" s="1664">
        <f>IFERROR(VLOOKUP(B1016,ChiTietDuToan!C:H,5,0),"")</f>
        <v>0</v>
      </c>
      <c r="V1016" s="2309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59" t="s">
        <v>110</v>
      </c>
      <c r="C1017" s="1189" t="str">
        <f t="shared" ca="1" si="197"/>
        <v xml:space="preserve"> </v>
      </c>
      <c r="D1017" s="1236"/>
      <c r="E1017" s="1248" t="str">
        <f>VLOOKUP($B1017,DG!A:D,DG!$C$2,)</f>
        <v>Sắt góc L75 x75 x8</v>
      </c>
      <c r="F1017" s="1236" t="str">
        <f>VLOOKUP($B1017,DG!A:D,DG!$D$2,)</f>
        <v>kg</v>
      </c>
      <c r="G1017" s="1914">
        <f>9.02*(2.4+4*0.1)*2</f>
        <v>50.511999999999993</v>
      </c>
      <c r="H1017" s="1245">
        <f ca="1">H$1016*$G1017</f>
        <v>0</v>
      </c>
      <c r="I1017" s="1245">
        <f t="shared" ref="I1017:L1021" ca="1" si="203">I$1016*$G1017</f>
        <v>0</v>
      </c>
      <c r="J1017" s="1245">
        <f t="shared" ca="1" si="203"/>
        <v>0</v>
      </c>
      <c r="K1017" s="1245">
        <f t="shared" ca="1" si="203"/>
        <v>0</v>
      </c>
      <c r="L1017" s="1245">
        <f t="shared" si="203"/>
        <v>0</v>
      </c>
      <c r="M1017" s="1245"/>
      <c r="N1017" s="1245"/>
      <c r="O1017" s="1245"/>
      <c r="P1017" s="1245"/>
      <c r="Q1017" s="1245"/>
      <c r="R1017" s="1245"/>
      <c r="S1017" s="1245"/>
      <c r="T1017" s="1671"/>
      <c r="U1017" s="1664" t="str">
        <f>IFERROR(VLOOKUP(B1017,ChiTietDuToan!C:H,5,0),"")</f>
        <v/>
      </c>
      <c r="V1017" s="2309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59" t="s">
        <v>1619</v>
      </c>
      <c r="C1018" s="1189" t="str">
        <f t="shared" ca="1" si="197"/>
        <v xml:space="preserve"> </v>
      </c>
      <c r="D1018" s="1236"/>
      <c r="E1018" s="1248" t="str">
        <f>VLOOKUP($B1018,DG!A:D,DG!$C$2,)</f>
        <v>Sắt góc L50 x50 x5</v>
      </c>
      <c r="F1018" s="1236" t="str">
        <f>VLOOKUP($B1018,DG!A:D,DG!$D$2,)</f>
        <v>kg</v>
      </c>
      <c r="G1018" s="1914">
        <f>3.77*0.81*4</f>
        <v>12.2148</v>
      </c>
      <c r="H1018" s="1245">
        <f ca="1">H$1016*$G1018</f>
        <v>0</v>
      </c>
      <c r="I1018" s="1245">
        <f t="shared" ca="1" si="203"/>
        <v>0</v>
      </c>
      <c r="J1018" s="1245">
        <f t="shared" ca="1" si="203"/>
        <v>0</v>
      </c>
      <c r="K1018" s="1245">
        <f t="shared" ca="1" si="203"/>
        <v>0</v>
      </c>
      <c r="L1018" s="1245">
        <f t="shared" si="203"/>
        <v>0</v>
      </c>
      <c r="M1018" s="1245"/>
      <c r="N1018" s="1245"/>
      <c r="O1018" s="1245"/>
      <c r="P1018" s="1245"/>
      <c r="Q1018" s="1245"/>
      <c r="R1018" s="1245"/>
      <c r="S1018" s="1245"/>
      <c r="T1018" s="1671"/>
      <c r="U1018" s="1664" t="str">
        <f>IFERROR(VLOOKUP(B1018,ChiTietDuToan!C:H,5,0),"")</f>
        <v/>
      </c>
      <c r="V1018" s="2309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59" t="s">
        <v>1661</v>
      </c>
      <c r="C1019" s="1189" t="str">
        <f t="shared" ca="1" si="197"/>
        <v xml:space="preserve"> </v>
      </c>
      <c r="D1019" s="1236"/>
      <c r="E1019" s="1248" t="str">
        <f>VLOOKUP($B1019,DG!A:D,DG!$C$2,)</f>
        <v>Boulon 16x250+ 2 long đền vuông D18-50x50x3/Zn</v>
      </c>
      <c r="F1019" s="1236" t="str">
        <f>VLOOKUP($B1019,DG!A:D,DG!$D$2,)</f>
        <v>bộ</v>
      </c>
      <c r="G1019" s="1915">
        <v>4</v>
      </c>
      <c r="H1019" s="1245">
        <f ca="1">H$1016*$G1019</f>
        <v>0</v>
      </c>
      <c r="I1019" s="1245">
        <f t="shared" ca="1" si="203"/>
        <v>0</v>
      </c>
      <c r="J1019" s="1245">
        <f t="shared" ca="1" si="203"/>
        <v>0</v>
      </c>
      <c r="K1019" s="1245">
        <f t="shared" ca="1" si="203"/>
        <v>0</v>
      </c>
      <c r="L1019" s="1245">
        <f t="shared" si="203"/>
        <v>0</v>
      </c>
      <c r="M1019" s="1245"/>
      <c r="N1019" s="1245"/>
      <c r="O1019" s="1245"/>
      <c r="P1019" s="1245"/>
      <c r="Q1019" s="1245"/>
      <c r="R1019" s="1245"/>
      <c r="S1019" s="1245"/>
      <c r="T1019" s="1671"/>
      <c r="U1019" s="1664" t="str">
        <f>IFERROR(VLOOKUP(B1019,ChiTietDuToan!C:H,5,0),"")</f>
        <v>bộ</v>
      </c>
      <c r="V1019" s="2309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59" t="s">
        <v>1837</v>
      </c>
      <c r="C1020" s="1189" t="str">
        <f t="shared" ca="1" si="197"/>
        <v xml:space="preserve"> </v>
      </c>
      <c r="D1020" s="1236"/>
      <c r="E1020" s="1248" t="str">
        <f>VLOOKUP($B1020,DG!A:D,DG!$C$2,)</f>
        <v>Boulon 16x300VRS+ 4 long đền vuông D18-50x50x3/Zn</v>
      </c>
      <c r="F1020" s="1236" t="str">
        <f>VLOOKUP($B1020,DG!A:D,DG!$D$2,)</f>
        <v>bộ</v>
      </c>
      <c r="G1020" s="1915">
        <v>2</v>
      </c>
      <c r="H1020" s="1245">
        <f ca="1">H$1016*$G1020</f>
        <v>0</v>
      </c>
      <c r="I1020" s="1245">
        <f t="shared" ca="1" si="203"/>
        <v>0</v>
      </c>
      <c r="J1020" s="1245">
        <f t="shared" ca="1" si="203"/>
        <v>0</v>
      </c>
      <c r="K1020" s="1245">
        <f t="shared" ca="1" si="203"/>
        <v>0</v>
      </c>
      <c r="L1020" s="1245">
        <f t="shared" si="203"/>
        <v>0</v>
      </c>
      <c r="M1020" s="1245"/>
      <c r="N1020" s="1245"/>
      <c r="O1020" s="1245"/>
      <c r="P1020" s="1245"/>
      <c r="Q1020" s="1245"/>
      <c r="R1020" s="1245"/>
      <c r="S1020" s="1245"/>
      <c r="T1020" s="1671"/>
      <c r="U1020" s="1664" t="str">
        <f>IFERROR(VLOOKUP(B1020,ChiTietDuToan!C:H,5,0),"")</f>
        <v>bộ</v>
      </c>
      <c r="V1020" s="2309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59" t="s">
        <v>1839</v>
      </c>
      <c r="C1021" s="1189" t="str">
        <f t="shared" ca="1" si="197"/>
        <v xml:space="preserve"> </v>
      </c>
      <c r="D1021" s="1236"/>
      <c r="E1021" s="1248" t="str">
        <f>VLOOKUP($B1021,DG!A:D,DG!$C$2,)</f>
        <v>Boulon 16x50+ 2 long đền vuông D18-50x50x3/Zn</v>
      </c>
      <c r="F1021" s="1236" t="str">
        <f>VLOOKUP($B1021,DG!A:D,DG!$D$2,)</f>
        <v>bộ</v>
      </c>
      <c r="G1021" s="1915">
        <v>4</v>
      </c>
      <c r="H1021" s="1245">
        <f ca="1">H$1016*$G1021</f>
        <v>0</v>
      </c>
      <c r="I1021" s="1245">
        <f t="shared" ca="1" si="203"/>
        <v>0</v>
      </c>
      <c r="J1021" s="1245">
        <f t="shared" ca="1" si="203"/>
        <v>0</v>
      </c>
      <c r="K1021" s="1245">
        <f t="shared" ca="1" si="203"/>
        <v>0</v>
      </c>
      <c r="L1021" s="1245">
        <f t="shared" si="203"/>
        <v>0</v>
      </c>
      <c r="M1021" s="1245"/>
      <c r="N1021" s="1245"/>
      <c r="O1021" s="1245"/>
      <c r="P1021" s="1245"/>
      <c r="Q1021" s="1245"/>
      <c r="R1021" s="1245"/>
      <c r="S1021" s="1245"/>
      <c r="T1021" s="1671"/>
      <c r="U1021" s="1664" t="str">
        <f>IFERROR(VLOOKUP(B1021,ChiTietDuToan!C:H,5,0),"")</f>
        <v>bộ</v>
      </c>
      <c r="V1021" s="2309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59" t="s">
        <v>2304</v>
      </c>
      <c r="C1022" s="1189" t="str">
        <f t="shared" si="197"/>
        <v xml:space="preserve"> </v>
      </c>
      <c r="D1022" s="1236"/>
      <c r="E1022" s="1241" t="str">
        <f>VLOOKUP($B1022,DG!A:D,DG!$C$2,)</f>
        <v>Lắp xà cột Pi loại ≤140kg/xà</v>
      </c>
      <c r="F1022" s="1236" t="str">
        <f>VLOOKUP($B1022,DG!A:D,DG!$D$2,)</f>
        <v>bộ</v>
      </c>
      <c r="G1022" s="1915">
        <v>1</v>
      </c>
      <c r="H1022" s="1245"/>
      <c r="I1022" s="1245"/>
      <c r="J1022" s="1245"/>
      <c r="K1022" s="1245"/>
      <c r="L1022" s="1245"/>
      <c r="M1022" s="1245"/>
      <c r="N1022" s="1245"/>
      <c r="O1022" s="1245"/>
      <c r="P1022" s="1245"/>
      <c r="Q1022" s="1245"/>
      <c r="R1022" s="1245"/>
      <c r="S1022" s="1245"/>
      <c r="T1022" s="1671"/>
      <c r="U1022" s="1664" t="str">
        <f>IFERROR(VLOOKUP(B1022,ChiTietDuToan!C:H,5,0),"")</f>
        <v/>
      </c>
      <c r="V1022" s="2309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59" t="s">
        <v>2049</v>
      </c>
      <c r="C1023" s="1189" t="str">
        <f t="shared" si="197"/>
        <v xml:space="preserve"> </v>
      </c>
      <c r="D1023" s="1236"/>
      <c r="E1023" s="1241" t="str">
        <f>VLOOKUP($B1023,DG!A:D,DG!$C$2,)</f>
        <v>Bốc dỡ xà, thép thanh</v>
      </c>
      <c r="F1023" s="1236" t="str">
        <f>VLOOKUP($B1023,DG!A:D,DG!$D$2,)</f>
        <v>tấn</v>
      </c>
      <c r="G1023" s="1913"/>
      <c r="H1023" s="1245"/>
      <c r="I1023" s="1245"/>
      <c r="J1023" s="1245"/>
      <c r="K1023" s="1245"/>
      <c r="L1023" s="1245"/>
      <c r="M1023" s="1245"/>
      <c r="N1023" s="1245"/>
      <c r="O1023" s="1245"/>
      <c r="P1023" s="1245"/>
      <c r="Q1023" s="1245"/>
      <c r="R1023" s="1245"/>
      <c r="S1023" s="1245"/>
      <c r="T1023" s="1671"/>
      <c r="U1023" s="1664" t="str">
        <f>IFERROR(VLOOKUP(B1023,ChiTietDuToan!C:H,5,0),"")</f>
        <v/>
      </c>
      <c r="V1023" s="2309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74" t="s">
        <v>2050</v>
      </c>
      <c r="C1024" s="1189" t="str">
        <f t="shared" si="197"/>
        <v xml:space="preserve"> </v>
      </c>
      <c r="D1024" s="1236" t="str">
        <f>VLOOKUP($B1024,DG!A:C,2,)</f>
        <v>02.1361</v>
      </c>
      <c r="E1024" s="1241" t="str">
        <f>VLOOKUP($B1024,DG!A:C,3,)</f>
        <v>V/c xà vào vị trí (cư ly &lt;=100m)</v>
      </c>
      <c r="F1024" s="1236" t="str">
        <f>VLOOKUP($B1024,DG!A:D,4,0)</f>
        <v>tấn</v>
      </c>
      <c r="G1024" s="1913"/>
      <c r="H1024" s="1250"/>
      <c r="I1024" s="1250"/>
      <c r="J1024" s="1250"/>
      <c r="K1024" s="1250"/>
      <c r="L1024" s="1250"/>
      <c r="M1024" s="1250"/>
      <c r="N1024" s="1250"/>
      <c r="O1024" s="1250"/>
      <c r="P1024" s="1250"/>
      <c r="Q1024" s="1250"/>
      <c r="R1024" s="1250"/>
      <c r="S1024" s="1250"/>
      <c r="T1024" s="1671"/>
      <c r="U1024" s="1664" t="str">
        <f>IFERROR(VLOOKUP(B1024,ChiTietDuToan!C:H,5,0),"")</f>
        <v/>
      </c>
      <c r="V1024" s="2309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74" t="s">
        <v>640</v>
      </c>
      <c r="C1025" s="1189" t="str">
        <f t="shared" si="197"/>
        <v xml:space="preserve"> </v>
      </c>
      <c r="D1025" s="1236" t="str">
        <f>VLOOKUP($B1025,DG!A:C,2,)</f>
        <v>02.1482</v>
      </c>
      <c r="E1025" s="1241" t="str">
        <f>VLOOKUP($B1025,DG!A:C,3,)</f>
        <v>V/c dụng cụ thi công vào vị trí (cự ly &lt;=100m)</v>
      </c>
      <c r="F1025" s="1236" t="str">
        <f>VLOOKUP($B1025,DG!A:D,4,0)</f>
        <v>tấn</v>
      </c>
      <c r="G1025" s="1914"/>
      <c r="H1025" s="1250"/>
      <c r="I1025" s="1250"/>
      <c r="J1025" s="1250"/>
      <c r="K1025" s="1250"/>
      <c r="L1025" s="1250"/>
      <c r="M1025" s="1250"/>
      <c r="N1025" s="1250"/>
      <c r="O1025" s="1250"/>
      <c r="P1025" s="1250"/>
      <c r="Q1025" s="1250"/>
      <c r="R1025" s="1250"/>
      <c r="S1025" s="1250"/>
      <c r="T1025" s="1671"/>
      <c r="U1025" s="1664" t="str">
        <f>IFERROR(VLOOKUP(B1025,ChiTietDuToan!C:H,5,0),"")</f>
        <v/>
      </c>
      <c r="V1025" s="2309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56"/>
      <c r="C1026" s="1189" t="str">
        <f t="shared" ca="1" si="197"/>
        <v xml:space="preserve"> </v>
      </c>
      <c r="D1026" s="1237"/>
      <c r="E1026" s="1666" t="s">
        <v>2518</v>
      </c>
      <c r="F1026" s="1238" t="s">
        <v>2449</v>
      </c>
      <c r="G1026" s="1912"/>
      <c r="H1026" s="1523">
        <f ca="1">SUM(I1026:O1026)+T1026</f>
        <v>0</v>
      </c>
      <c r="I1026" s="1239">
        <f ca="1">SUMIF(xa3pm,chitiet!$A1026,slxa3pm)</f>
        <v>0</v>
      </c>
      <c r="J1026" s="1239">
        <f ca="1">SUMIF(xact,chitiet!$A1026,slxact)</f>
        <v>0</v>
      </c>
      <c r="K1026" s="1239">
        <f ca="1">SUMIF(xa3p1m,chitiet!$A1026,slxa3p1m)</f>
        <v>0</v>
      </c>
      <c r="L1026" s="1239">
        <f>IFERROR(HLOOKUP(A1026,pp1p!$6:$90,85,0),0)</f>
        <v>0</v>
      </c>
      <c r="M1026" s="1239"/>
      <c r="N1026" s="1239"/>
      <c r="O1026" s="1239"/>
      <c r="P1026" s="1239">
        <f ca="1">H1026+Q1026-R1026</f>
        <v>0</v>
      </c>
      <c r="Q1026" s="1239"/>
      <c r="R1026" s="1239"/>
      <c r="S1026" s="1239"/>
      <c r="T1026" s="1671"/>
      <c r="U1026" s="1664">
        <f>IFERROR(VLOOKUP(B1026,ChiTietDuToan!C:H,5,0),"")</f>
        <v>0</v>
      </c>
      <c r="V1026" s="2309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59" t="s">
        <v>110</v>
      </c>
      <c r="C1027" s="1189" t="str">
        <f t="shared" ca="1" si="197"/>
        <v xml:space="preserve"> </v>
      </c>
      <c r="D1027" s="1236"/>
      <c r="E1027" s="1248" t="str">
        <f>VLOOKUP($B1027,DG!A:D,DG!$C$2,)</f>
        <v>Sắt góc L75 x75 x8</v>
      </c>
      <c r="F1027" s="1236" t="str">
        <f>VLOOKUP($B1027,DG!A:D,DG!$D$2,)</f>
        <v>kg</v>
      </c>
      <c r="G1027" s="1914">
        <f>9.02*2*2</f>
        <v>36.08</v>
      </c>
      <c r="H1027" s="1245">
        <f ca="1">H$1026*$G1027</f>
        <v>0</v>
      </c>
      <c r="I1027" s="1245">
        <f t="shared" ref="I1027:L1031" ca="1" si="204">I$1026*$G1027</f>
        <v>0</v>
      </c>
      <c r="J1027" s="1245">
        <f t="shared" ca="1" si="204"/>
        <v>0</v>
      </c>
      <c r="K1027" s="1245">
        <f t="shared" ca="1" si="204"/>
        <v>0</v>
      </c>
      <c r="L1027" s="1245">
        <f t="shared" si="204"/>
        <v>0</v>
      </c>
      <c r="M1027" s="1245"/>
      <c r="N1027" s="1245"/>
      <c r="O1027" s="1245"/>
      <c r="P1027" s="1245"/>
      <c r="Q1027" s="1245"/>
      <c r="R1027" s="1245"/>
      <c r="S1027" s="1245"/>
      <c r="T1027" s="1671"/>
      <c r="U1027" s="1664" t="str">
        <f>IFERROR(VLOOKUP(B1027,ChiTietDuToan!C:H,5,0),"")</f>
        <v/>
      </c>
      <c r="V1027" s="2309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59" t="s">
        <v>1791</v>
      </c>
      <c r="C1028" s="1189" t="str">
        <f t="shared" ca="1" si="197"/>
        <v xml:space="preserve"> </v>
      </c>
      <c r="D1028" s="1236"/>
      <c r="E1028" s="1248" t="str">
        <f>VLOOKUP($B1028,DG!A:D,DG!$C$2,)</f>
        <v>Cổ dê  Ø 240-Fe 8x100</v>
      </c>
      <c r="F1028" s="1236" t="str">
        <f>VLOOKUP($B1028,DG!A:D,DG!$D$2,)</f>
        <v>bộ</v>
      </c>
      <c r="G1028" s="1914">
        <v>2</v>
      </c>
      <c r="H1028" s="1245">
        <f ca="1">H$1026*$G1028</f>
        <v>0</v>
      </c>
      <c r="I1028" s="1245">
        <f t="shared" ca="1" si="204"/>
        <v>0</v>
      </c>
      <c r="J1028" s="1245">
        <f t="shared" ca="1" si="204"/>
        <v>0</v>
      </c>
      <c r="K1028" s="1245">
        <f t="shared" ca="1" si="204"/>
        <v>0</v>
      </c>
      <c r="L1028" s="1245">
        <f t="shared" si="204"/>
        <v>0</v>
      </c>
      <c r="M1028" s="1245"/>
      <c r="N1028" s="1245"/>
      <c r="O1028" s="1245"/>
      <c r="P1028" s="1245"/>
      <c r="Q1028" s="1245"/>
      <c r="R1028" s="1245"/>
      <c r="S1028" s="1245"/>
      <c r="T1028" s="1671"/>
      <c r="U1028" s="1664" t="str">
        <f>IFERROR(VLOOKUP(B1028,ChiTietDuToan!C:H,5,0),"")</f>
        <v/>
      </c>
      <c r="V1028" s="2309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59" t="s">
        <v>809</v>
      </c>
      <c r="C1029" s="1189" t="str">
        <f t="shared" ca="1" si="197"/>
        <v xml:space="preserve"> </v>
      </c>
      <c r="D1029" s="1236"/>
      <c r="E1029" s="1248" t="str">
        <f>VLOOKUP($B1029,DG!A:D,DG!$C$2,)</f>
        <v>Cổ dê Ø 250-Fe 8x100</v>
      </c>
      <c r="F1029" s="1236" t="str">
        <f>VLOOKUP($B1029,DG!A:D,DG!$D$2,)</f>
        <v>bộ</v>
      </c>
      <c r="G1029" s="1914">
        <v>2</v>
      </c>
      <c r="H1029" s="1245">
        <f ca="1">H$1026*$G1029</f>
        <v>0</v>
      </c>
      <c r="I1029" s="1245">
        <f t="shared" ca="1" si="204"/>
        <v>0</v>
      </c>
      <c r="J1029" s="1245">
        <f t="shared" ca="1" si="204"/>
        <v>0</v>
      </c>
      <c r="K1029" s="1245">
        <f t="shared" ca="1" si="204"/>
        <v>0</v>
      </c>
      <c r="L1029" s="1245">
        <f t="shared" si="204"/>
        <v>0</v>
      </c>
      <c r="M1029" s="1245"/>
      <c r="N1029" s="1245"/>
      <c r="O1029" s="1245"/>
      <c r="P1029" s="1245"/>
      <c r="Q1029" s="1245"/>
      <c r="R1029" s="1245"/>
      <c r="S1029" s="1245"/>
      <c r="T1029" s="1671"/>
      <c r="U1029" s="1664" t="str">
        <f>IFERROR(VLOOKUP(B1029,ChiTietDuToan!C:H,5,0),"")</f>
        <v/>
      </c>
      <c r="V1029" s="2309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59" t="s">
        <v>1839</v>
      </c>
      <c r="C1030" s="1189" t="str">
        <f t="shared" ca="1" si="197"/>
        <v xml:space="preserve"> </v>
      </c>
      <c r="D1030" s="1236"/>
      <c r="E1030" s="1248" t="str">
        <f>VLOOKUP($B1030,DG!A:D,DG!$C$2,)</f>
        <v>Boulon 16x50+ 2 long đền vuông D18-50x50x3/Zn</v>
      </c>
      <c r="F1030" s="1236" t="str">
        <f>VLOOKUP($B1030,DG!A:D,DG!$D$2,)</f>
        <v>bộ</v>
      </c>
      <c r="G1030" s="1915">
        <v>1</v>
      </c>
      <c r="H1030" s="1245">
        <f ca="1">H$1026*$G1030</f>
        <v>0</v>
      </c>
      <c r="I1030" s="1245">
        <f t="shared" ca="1" si="204"/>
        <v>0</v>
      </c>
      <c r="J1030" s="1245">
        <f t="shared" ca="1" si="204"/>
        <v>0</v>
      </c>
      <c r="K1030" s="1245">
        <f t="shared" ca="1" si="204"/>
        <v>0</v>
      </c>
      <c r="L1030" s="1245">
        <f t="shared" si="204"/>
        <v>0</v>
      </c>
      <c r="M1030" s="1245"/>
      <c r="N1030" s="1245"/>
      <c r="O1030" s="1245"/>
      <c r="P1030" s="1245"/>
      <c r="Q1030" s="1245"/>
      <c r="R1030" s="1245"/>
      <c r="S1030" s="1245"/>
      <c r="T1030" s="1671"/>
      <c r="U1030" s="1664" t="str">
        <f>IFERROR(VLOOKUP(B1030,ChiTietDuToan!C:H,5,0),"")</f>
        <v>bộ</v>
      </c>
      <c r="V1030" s="2309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59" t="s">
        <v>810</v>
      </c>
      <c r="C1031" s="1189" t="str">
        <f t="shared" ca="1" si="197"/>
        <v xml:space="preserve"> </v>
      </c>
      <c r="D1031" s="1236"/>
      <c r="E1031" s="1248" t="str">
        <f>VLOOKUP($B1031,DG!A:D,DG!$C$2,)</f>
        <v>Boulon 16x100+ 2 long đền vuông D18-50x50x3/Zn</v>
      </c>
      <c r="F1031" s="1236" t="str">
        <f>VLOOKUP($B1031,DG!A:D,DG!$D$2,)</f>
        <v>bộ</v>
      </c>
      <c r="G1031" s="1915">
        <v>8</v>
      </c>
      <c r="H1031" s="1245">
        <f ca="1">H$1026*$G1031</f>
        <v>0</v>
      </c>
      <c r="I1031" s="1245">
        <f t="shared" ca="1" si="204"/>
        <v>0</v>
      </c>
      <c r="J1031" s="1245">
        <f t="shared" ca="1" si="204"/>
        <v>0</v>
      </c>
      <c r="K1031" s="1245">
        <f t="shared" ca="1" si="204"/>
        <v>0</v>
      </c>
      <c r="L1031" s="1245">
        <f t="shared" si="204"/>
        <v>0</v>
      </c>
      <c r="M1031" s="1245"/>
      <c r="N1031" s="1245"/>
      <c r="O1031" s="1245"/>
      <c r="P1031" s="1245"/>
      <c r="Q1031" s="1245"/>
      <c r="R1031" s="1245"/>
      <c r="S1031" s="1245"/>
      <c r="T1031" s="1671"/>
      <c r="U1031" s="1664" t="str">
        <f>IFERROR(VLOOKUP(B1031,ChiTietDuToan!C:H,5,0),"")</f>
        <v/>
      </c>
      <c r="V1031" s="2309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59" t="s">
        <v>2304</v>
      </c>
      <c r="C1032" s="1189" t="str">
        <f t="shared" ref="C1032:C1102" si="206">IF(OR(P1032&lt;&gt;0,H1032&lt;&gt;0),"x"," ")</f>
        <v xml:space="preserve"> </v>
      </c>
      <c r="D1032" s="1236"/>
      <c r="E1032" s="1241" t="str">
        <f>VLOOKUP($B1032,DG!A:D,DG!$C$2,)</f>
        <v>Lắp xà cột Pi loại ≤140kg/xà</v>
      </c>
      <c r="F1032" s="1236" t="str">
        <f>VLOOKUP($B1032,DG!A:D,DG!$D$2,)</f>
        <v>bộ</v>
      </c>
      <c r="G1032" s="1915">
        <v>1</v>
      </c>
      <c r="H1032" s="1245"/>
      <c r="I1032" s="1245"/>
      <c r="J1032" s="1245"/>
      <c r="K1032" s="1245"/>
      <c r="L1032" s="1245"/>
      <c r="M1032" s="1245"/>
      <c r="N1032" s="1245"/>
      <c r="O1032" s="1245"/>
      <c r="P1032" s="1245"/>
      <c r="Q1032" s="1245"/>
      <c r="R1032" s="1245"/>
      <c r="S1032" s="1245"/>
      <c r="T1032" s="1671"/>
      <c r="U1032" s="1664" t="str">
        <f>IFERROR(VLOOKUP(B1032,ChiTietDuToan!C:H,5,0),"")</f>
        <v/>
      </c>
      <c r="V1032" s="2309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59" t="s">
        <v>2049</v>
      </c>
      <c r="C1033" s="1189" t="str">
        <f t="shared" si="206"/>
        <v xml:space="preserve"> </v>
      </c>
      <c r="D1033" s="1236"/>
      <c r="E1033" s="1241" t="str">
        <f>VLOOKUP($B1033,DG!A:D,DG!$C$2,)</f>
        <v>Bốc dỡ xà, thép thanh</v>
      </c>
      <c r="F1033" s="1236" t="str">
        <f>VLOOKUP($B1033,DG!A:D,DG!$D$2,)</f>
        <v>tấn</v>
      </c>
      <c r="G1033" s="1913">
        <f>G1034</f>
        <v>6.8000000000000005E-2</v>
      </c>
      <c r="H1033" s="1245"/>
      <c r="I1033" s="1245"/>
      <c r="J1033" s="1245"/>
      <c r="K1033" s="1245"/>
      <c r="L1033" s="1245"/>
      <c r="M1033" s="1245"/>
      <c r="N1033" s="1245"/>
      <c r="O1033" s="1245"/>
      <c r="P1033" s="1245"/>
      <c r="Q1033" s="1245"/>
      <c r="R1033" s="1245"/>
      <c r="S1033" s="1245"/>
      <c r="T1033" s="1671"/>
      <c r="U1033" s="1664" t="str">
        <f>IFERROR(VLOOKUP(B1033,ChiTietDuToan!C:H,5,0),"")</f>
        <v/>
      </c>
      <c r="V1033" s="2309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74" t="s">
        <v>2050</v>
      </c>
      <c r="C1034" s="1189" t="str">
        <f t="shared" si="206"/>
        <v xml:space="preserve"> </v>
      </c>
      <c r="D1034" s="1236" t="str">
        <f>VLOOKUP($B1034,DG!A:C,2,)</f>
        <v>02.1361</v>
      </c>
      <c r="E1034" s="1241" t="str">
        <f>VLOOKUP($B1034,DG!A:C,3,)</f>
        <v>V/c xà vào vị trí (cư ly &lt;=100m)</v>
      </c>
      <c r="F1034" s="1236" t="str">
        <f>VLOOKUP($B1034,DG!A:D,4,0)</f>
        <v>tấn</v>
      </c>
      <c r="G1034" s="1913">
        <f>ROUND(SUM(G1027:G1027)*1.05/1000,3)+ROUND(2*15.14/1000,3)</f>
        <v>6.8000000000000005E-2</v>
      </c>
      <c r="H1034" s="1250"/>
      <c r="I1034" s="1250"/>
      <c r="J1034" s="1250"/>
      <c r="K1034" s="1250"/>
      <c r="L1034" s="1250"/>
      <c r="M1034" s="1250"/>
      <c r="N1034" s="1250"/>
      <c r="O1034" s="1250"/>
      <c r="P1034" s="1250"/>
      <c r="Q1034" s="1250"/>
      <c r="R1034" s="1250"/>
      <c r="S1034" s="1250"/>
      <c r="T1034" s="1671"/>
      <c r="U1034" s="1664" t="str">
        <f>IFERROR(VLOOKUP(B1034,ChiTietDuToan!C:H,5,0),"")</f>
        <v/>
      </c>
      <c r="V1034" s="2309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74" t="s">
        <v>640</v>
      </c>
      <c r="C1035" s="1189" t="str">
        <f t="shared" si="206"/>
        <v xml:space="preserve"> </v>
      </c>
      <c r="D1035" s="1236" t="str">
        <f>VLOOKUP($B1035,DG!A:C,2,)</f>
        <v>02.1482</v>
      </c>
      <c r="E1035" s="1241" t="str">
        <f>VLOOKUP($B1035,DG!A:C,3,)</f>
        <v>V/c dụng cụ thi công vào vị trí (cự ly &lt;=100m)</v>
      </c>
      <c r="F1035" s="1236" t="str">
        <f>VLOOKUP($B1035,DG!A:D,4,0)</f>
        <v>tấn</v>
      </c>
      <c r="G1035" s="1914">
        <v>0.05</v>
      </c>
      <c r="H1035" s="1250"/>
      <c r="I1035" s="1250"/>
      <c r="J1035" s="1250"/>
      <c r="K1035" s="1250"/>
      <c r="L1035" s="1250"/>
      <c r="M1035" s="1250"/>
      <c r="N1035" s="1250"/>
      <c r="O1035" s="1250"/>
      <c r="P1035" s="1250"/>
      <c r="Q1035" s="1250"/>
      <c r="R1035" s="1250"/>
      <c r="S1035" s="1250"/>
      <c r="T1035" s="1671"/>
      <c r="U1035" s="1664" t="str">
        <f>IFERROR(VLOOKUP(B1035,ChiTietDuToan!C:H,5,0),"")</f>
        <v/>
      </c>
      <c r="V1035" s="2309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56"/>
      <c r="C1036" s="1189" t="str">
        <f t="shared" ca="1" si="206"/>
        <v xml:space="preserve"> </v>
      </c>
      <c r="D1036" s="1237"/>
      <c r="E1036" s="1666" t="s">
        <v>2519</v>
      </c>
      <c r="F1036" s="1238" t="s">
        <v>2449</v>
      </c>
      <c r="G1036" s="1912"/>
      <c r="H1036" s="1523">
        <f ca="1">SUM(I1036:O1036)+T1036</f>
        <v>0</v>
      </c>
      <c r="I1036" s="1239">
        <f ca="1">SUMIF(xa3pm,chitiet!$A1036,slxa3pm)</f>
        <v>0</v>
      </c>
      <c r="J1036" s="1239">
        <f ca="1">SUMIF(xact,chitiet!$A1036,slxact)</f>
        <v>0</v>
      </c>
      <c r="K1036" s="1239">
        <f ca="1">SUMIF(xa3p1m,chitiet!$A1036,slxa3p1m)</f>
        <v>0</v>
      </c>
      <c r="L1036" s="1239">
        <f>IFERROR(HLOOKUP(A1036,pp1p!$6:$90,85,0),0)</f>
        <v>0</v>
      </c>
      <c r="M1036" s="1239"/>
      <c r="N1036" s="1239"/>
      <c r="O1036" s="1239"/>
      <c r="P1036" s="1239">
        <f ca="1">H1036+Q1036-R1036</f>
        <v>0</v>
      </c>
      <c r="Q1036" s="1239"/>
      <c r="R1036" s="1239"/>
      <c r="S1036" s="1239"/>
      <c r="T1036" s="1671"/>
      <c r="U1036" s="1664">
        <f>IFERROR(VLOOKUP(B1036,ChiTietDuToan!C:H,5,0),"")</f>
        <v>0</v>
      </c>
      <c r="V1036" s="2309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59" t="s">
        <v>110</v>
      </c>
      <c r="C1037" s="1189" t="str">
        <f t="shared" ca="1" si="206"/>
        <v xml:space="preserve"> </v>
      </c>
      <c r="D1037" s="1236"/>
      <c r="E1037" s="1248" t="str">
        <f>VLOOKUP($B1037,DG!A:D,DG!$C$2,)</f>
        <v>Sắt góc L75 x75 x8</v>
      </c>
      <c r="F1037" s="1236" t="str">
        <f>VLOOKUP($B1037,DG!A:D,DG!$D$2,)</f>
        <v>kg</v>
      </c>
      <c r="G1037" s="1914">
        <f>9.02*2.3*2</f>
        <v>41.491999999999997</v>
      </c>
      <c r="H1037" s="1245">
        <f ca="1">H$1036*$G1037</f>
        <v>0</v>
      </c>
      <c r="I1037" s="1245">
        <f t="shared" ref="I1037:L1041" ca="1" si="207">I$1036*$G1037</f>
        <v>0</v>
      </c>
      <c r="J1037" s="1245">
        <f t="shared" ca="1" si="207"/>
        <v>0</v>
      </c>
      <c r="K1037" s="1245">
        <f t="shared" ca="1" si="207"/>
        <v>0</v>
      </c>
      <c r="L1037" s="1245">
        <f t="shared" si="207"/>
        <v>0</v>
      </c>
      <c r="M1037" s="1245"/>
      <c r="N1037" s="1245"/>
      <c r="O1037" s="1245"/>
      <c r="P1037" s="1245"/>
      <c r="Q1037" s="1245"/>
      <c r="R1037" s="1245"/>
      <c r="S1037" s="1245"/>
      <c r="T1037" s="1671"/>
      <c r="U1037" s="1664" t="str">
        <f>IFERROR(VLOOKUP(B1037,ChiTietDuToan!C:H,5,0),"")</f>
        <v/>
      </c>
      <c r="V1037" s="2309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59" t="s">
        <v>2288</v>
      </c>
      <c r="C1038" s="1189" t="str">
        <f t="shared" ca="1" si="206"/>
        <v xml:space="preserve"> </v>
      </c>
      <c r="D1038" s="1236"/>
      <c r="E1038" s="1248" t="str">
        <f>VLOOKUP($B1038,DG!A:D,DG!$C$2,)</f>
        <v>Ê KE 5x300x300\Zn</v>
      </c>
      <c r="F1038" s="1236" t="str">
        <f>VLOOKUP($B1038,DG!A:D,DG!$D$2,)</f>
        <v>kg</v>
      </c>
      <c r="G1038" s="1914">
        <v>3.5</v>
      </c>
      <c r="H1038" s="1245">
        <f ca="1">H$1036*$G1038</f>
        <v>0</v>
      </c>
      <c r="I1038" s="1245">
        <f t="shared" ca="1" si="207"/>
        <v>0</v>
      </c>
      <c r="J1038" s="1245">
        <f t="shared" ca="1" si="207"/>
        <v>0</v>
      </c>
      <c r="K1038" s="1245">
        <f t="shared" ca="1" si="207"/>
        <v>0</v>
      </c>
      <c r="L1038" s="1245">
        <f t="shared" si="207"/>
        <v>0</v>
      </c>
      <c r="M1038" s="1245"/>
      <c r="N1038" s="1245"/>
      <c r="O1038" s="1245"/>
      <c r="P1038" s="1245"/>
      <c r="Q1038" s="1245"/>
      <c r="R1038" s="1245"/>
      <c r="S1038" s="1245"/>
      <c r="T1038" s="1671"/>
      <c r="U1038" s="1664" t="str">
        <f>IFERROR(VLOOKUP(B1038,ChiTietDuToan!C:H,5,0),"")</f>
        <v/>
      </c>
      <c r="V1038" s="2309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59" t="s">
        <v>809</v>
      </c>
      <c r="C1039" s="1189" t="str">
        <f t="shared" ca="1" si="206"/>
        <v xml:space="preserve"> </v>
      </c>
      <c r="D1039" s="1236"/>
      <c r="E1039" s="1248" t="str">
        <f>VLOOKUP($B1039,DG!A:D,DG!$C$2,)</f>
        <v>Cổ dê Ø 250-Fe 8x100</v>
      </c>
      <c r="F1039" s="1236" t="str">
        <f>VLOOKUP($B1039,DG!A:D,DG!$D$2,)</f>
        <v>bộ</v>
      </c>
      <c r="G1039" s="1915">
        <v>4</v>
      </c>
      <c r="H1039" s="1245">
        <f ca="1">H$1036*$G1039</f>
        <v>0</v>
      </c>
      <c r="I1039" s="1245">
        <f t="shared" ca="1" si="207"/>
        <v>0</v>
      </c>
      <c r="J1039" s="1245">
        <f t="shared" ca="1" si="207"/>
        <v>0</v>
      </c>
      <c r="K1039" s="1245">
        <f t="shared" ca="1" si="207"/>
        <v>0</v>
      </c>
      <c r="L1039" s="1245">
        <f t="shared" si="207"/>
        <v>0</v>
      </c>
      <c r="M1039" s="1245"/>
      <c r="N1039" s="1245"/>
      <c r="O1039" s="1245"/>
      <c r="P1039" s="1245"/>
      <c r="Q1039" s="1245"/>
      <c r="R1039" s="1245"/>
      <c r="S1039" s="1245"/>
      <c r="T1039" s="1671"/>
      <c r="U1039" s="1664" t="str">
        <f>IFERROR(VLOOKUP(B1039,ChiTietDuToan!C:H,5,0),"")</f>
        <v/>
      </c>
      <c r="V1039" s="2309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59" t="s">
        <v>1839</v>
      </c>
      <c r="C1040" s="1189" t="str">
        <f t="shared" ca="1" si="206"/>
        <v xml:space="preserve"> </v>
      </c>
      <c r="D1040" s="1236"/>
      <c r="E1040" s="1248" t="str">
        <f>VLOOKUP($B1040,DG!A:D,DG!$C$2,)</f>
        <v>Boulon 16x50+ 2 long đền vuông D18-50x50x3/Zn</v>
      </c>
      <c r="F1040" s="1236" t="str">
        <f>VLOOKUP($B1040,DG!A:D,DG!$D$2,)</f>
        <v>bộ</v>
      </c>
      <c r="G1040" s="1915">
        <v>5</v>
      </c>
      <c r="H1040" s="1245">
        <f ca="1">H$1036*$G1040</f>
        <v>0</v>
      </c>
      <c r="I1040" s="1245">
        <f t="shared" ca="1" si="207"/>
        <v>0</v>
      </c>
      <c r="J1040" s="1245">
        <f t="shared" ca="1" si="207"/>
        <v>0</v>
      </c>
      <c r="K1040" s="1245">
        <f t="shared" ca="1" si="207"/>
        <v>0</v>
      </c>
      <c r="L1040" s="1245">
        <f t="shared" si="207"/>
        <v>0</v>
      </c>
      <c r="M1040" s="1245"/>
      <c r="N1040" s="1245"/>
      <c r="O1040" s="1245"/>
      <c r="P1040" s="1245"/>
      <c r="Q1040" s="1245"/>
      <c r="R1040" s="1245"/>
      <c r="S1040" s="1245"/>
      <c r="T1040" s="1671"/>
      <c r="U1040" s="1664" t="str">
        <f>IFERROR(VLOOKUP(B1040,ChiTietDuToan!C:H,5,0),"")</f>
        <v>bộ</v>
      </c>
      <c r="V1040" s="2309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59" t="s">
        <v>810</v>
      </c>
      <c r="C1041" s="1189" t="str">
        <f t="shared" ca="1" si="206"/>
        <v xml:space="preserve"> </v>
      </c>
      <c r="D1041" s="1236"/>
      <c r="E1041" s="1248" t="str">
        <f>VLOOKUP($B1041,DG!A:D,DG!$C$2,)</f>
        <v>Boulon 16x100+ 2 long đền vuông D18-50x50x3/Zn</v>
      </c>
      <c r="F1041" s="1236" t="str">
        <f>VLOOKUP($B1041,DG!A:D,DG!$D$2,)</f>
        <v>bộ</v>
      </c>
      <c r="G1041" s="1915">
        <v>8</v>
      </c>
      <c r="H1041" s="1245">
        <f ca="1">H$1036*$G1041</f>
        <v>0</v>
      </c>
      <c r="I1041" s="1245">
        <f t="shared" ca="1" si="207"/>
        <v>0</v>
      </c>
      <c r="J1041" s="1245">
        <f t="shared" ca="1" si="207"/>
        <v>0</v>
      </c>
      <c r="K1041" s="1245">
        <f t="shared" ca="1" si="207"/>
        <v>0</v>
      </c>
      <c r="L1041" s="1245">
        <f t="shared" si="207"/>
        <v>0</v>
      </c>
      <c r="M1041" s="1245"/>
      <c r="N1041" s="1245"/>
      <c r="O1041" s="1245"/>
      <c r="P1041" s="1245"/>
      <c r="Q1041" s="1245"/>
      <c r="R1041" s="1245"/>
      <c r="S1041" s="1245"/>
      <c r="T1041" s="1671"/>
      <c r="U1041" s="1664" t="str">
        <f>IFERROR(VLOOKUP(B1041,ChiTietDuToan!C:H,5,0),"")</f>
        <v/>
      </c>
      <c r="V1041" s="2309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59" t="s">
        <v>2304</v>
      </c>
      <c r="C1042" s="1189" t="str">
        <f t="shared" si="206"/>
        <v xml:space="preserve"> </v>
      </c>
      <c r="D1042" s="1236"/>
      <c r="E1042" s="1241" t="str">
        <f>VLOOKUP($B1042,DG!A:D,DG!$C$2,)</f>
        <v>Lắp xà cột Pi loại ≤140kg/xà</v>
      </c>
      <c r="F1042" s="1236" t="str">
        <f>VLOOKUP($B1042,DG!A:D,DG!$D$2,)</f>
        <v>bộ</v>
      </c>
      <c r="G1042" s="1915">
        <v>1</v>
      </c>
      <c r="H1042" s="1245"/>
      <c r="I1042" s="1245"/>
      <c r="J1042" s="1245"/>
      <c r="K1042" s="1245"/>
      <c r="L1042" s="1245"/>
      <c r="M1042" s="1245"/>
      <c r="N1042" s="1245"/>
      <c r="O1042" s="1245"/>
      <c r="P1042" s="1245"/>
      <c r="Q1042" s="1245"/>
      <c r="R1042" s="1245"/>
      <c r="S1042" s="1245"/>
      <c r="T1042" s="1671"/>
      <c r="U1042" s="1664" t="str">
        <f>IFERROR(VLOOKUP(B1042,ChiTietDuToan!C:H,5,0),"")</f>
        <v/>
      </c>
      <c r="V1042" s="2309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59" t="s">
        <v>2049</v>
      </c>
      <c r="C1043" s="1189" t="str">
        <f t="shared" si="206"/>
        <v xml:space="preserve"> </v>
      </c>
      <c r="D1043" s="1236"/>
      <c r="E1043" s="1241" t="str">
        <f>VLOOKUP($B1043,DG!A:D,DG!$C$2,)</f>
        <v>Bốc dỡ xà, thép thanh</v>
      </c>
      <c r="F1043" s="1236" t="str">
        <f>VLOOKUP($B1043,DG!A:D,DG!$D$2,)</f>
        <v>tấn</v>
      </c>
      <c r="G1043" s="1913">
        <f>G1044</f>
        <v>7.7499999999999999E-2</v>
      </c>
      <c r="H1043" s="1245"/>
      <c r="I1043" s="1245"/>
      <c r="J1043" s="1245"/>
      <c r="K1043" s="1245"/>
      <c r="L1043" s="1245"/>
      <c r="M1043" s="1245"/>
      <c r="N1043" s="1245"/>
      <c r="O1043" s="1245"/>
      <c r="P1043" s="1245"/>
      <c r="Q1043" s="1245"/>
      <c r="R1043" s="1245"/>
      <c r="S1043" s="1245"/>
      <c r="T1043" s="1671"/>
      <c r="U1043" s="1664" t="str">
        <f>IFERROR(VLOOKUP(B1043,ChiTietDuToan!C:H,5,0),"")</f>
        <v/>
      </c>
      <c r="V1043" s="2309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74" t="s">
        <v>2050</v>
      </c>
      <c r="C1044" s="1189" t="str">
        <f t="shared" si="206"/>
        <v xml:space="preserve"> </v>
      </c>
      <c r="D1044" s="1236" t="str">
        <f>VLOOKUP($B1044,DG!A:C,2,)</f>
        <v>02.1361</v>
      </c>
      <c r="E1044" s="1241" t="str">
        <f>VLOOKUP($B1044,DG!A:C,3,)</f>
        <v>V/c xà vào vị trí (cư ly &lt;=100m)</v>
      </c>
      <c r="F1044" s="1236" t="str">
        <f>VLOOKUP($B1044,DG!A:D,4,0)</f>
        <v>tấn</v>
      </c>
      <c r="G1044" s="1913">
        <f>ROUND(SUM(G1037:G1037)*1.05/1000,3)+ROUND(2*15.14/1000,3)+G1038/1000</f>
        <v>7.7499999999999999E-2</v>
      </c>
      <c r="H1044" s="1250"/>
      <c r="I1044" s="1250"/>
      <c r="J1044" s="1250"/>
      <c r="K1044" s="1250"/>
      <c r="L1044" s="1250"/>
      <c r="M1044" s="1250"/>
      <c r="N1044" s="1250"/>
      <c r="O1044" s="1250"/>
      <c r="P1044" s="1250"/>
      <c r="Q1044" s="1250"/>
      <c r="R1044" s="1250"/>
      <c r="S1044" s="1250"/>
      <c r="T1044" s="1671"/>
      <c r="U1044" s="1664" t="str">
        <f>IFERROR(VLOOKUP(B1044,ChiTietDuToan!C:H,5,0),"")</f>
        <v/>
      </c>
      <c r="V1044" s="2309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74" t="s">
        <v>640</v>
      </c>
      <c r="C1045" s="1189" t="str">
        <f t="shared" si="206"/>
        <v xml:space="preserve"> </v>
      </c>
      <c r="D1045" s="1236" t="str">
        <f>VLOOKUP($B1045,DG!A:C,2,)</f>
        <v>02.1482</v>
      </c>
      <c r="E1045" s="1241" t="str">
        <f>VLOOKUP($B1045,DG!A:C,3,)</f>
        <v>V/c dụng cụ thi công vào vị trí (cự ly &lt;=100m)</v>
      </c>
      <c r="F1045" s="1236" t="str">
        <f>VLOOKUP($B1045,DG!A:D,4,0)</f>
        <v>tấn</v>
      </c>
      <c r="G1045" s="1914">
        <v>0.05</v>
      </c>
      <c r="H1045" s="1250"/>
      <c r="I1045" s="1250"/>
      <c r="J1045" s="1250"/>
      <c r="K1045" s="1250"/>
      <c r="L1045" s="1250"/>
      <c r="M1045" s="1250"/>
      <c r="N1045" s="1250"/>
      <c r="O1045" s="1250"/>
      <c r="P1045" s="1250"/>
      <c r="Q1045" s="1250"/>
      <c r="R1045" s="1250"/>
      <c r="S1045" s="1250"/>
      <c r="T1045" s="1671"/>
      <c r="U1045" s="1664" t="str">
        <f>IFERROR(VLOOKUP(B1045,ChiTietDuToan!C:H,5,0),"")</f>
        <v/>
      </c>
      <c r="V1045" s="2309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56"/>
      <c r="C1046" s="1189" t="str">
        <f t="shared" ca="1" si="206"/>
        <v xml:space="preserve"> </v>
      </c>
      <c r="D1046" s="1237"/>
      <c r="E1046" s="1666" t="s">
        <v>2520</v>
      </c>
      <c r="F1046" s="1238" t="s">
        <v>2449</v>
      </c>
      <c r="G1046" s="1912"/>
      <c r="H1046" s="1523">
        <f ca="1">SUM(I1046:O1046)+T1046</f>
        <v>0</v>
      </c>
      <c r="I1046" s="1239">
        <f ca="1">SUMIF(xa3pm,chitiet!$A1046,slxa3pm)</f>
        <v>0</v>
      </c>
      <c r="J1046" s="1239">
        <f ca="1">SUMIF(xact,chitiet!$A1046,slxact)</f>
        <v>0</v>
      </c>
      <c r="K1046" s="1239">
        <f ca="1">SUMIF(xa3p1m,chitiet!$A1046,slxa3p1m)</f>
        <v>0</v>
      </c>
      <c r="L1046" s="1239">
        <f>IFERROR(HLOOKUP(A1046,pp1p!$6:$90,85,0),0)</f>
        <v>0</v>
      </c>
      <c r="M1046" s="1239"/>
      <c r="N1046" s="1239"/>
      <c r="O1046" s="1239"/>
      <c r="P1046" s="1239">
        <f ca="1">H1046+Q1046-R1046</f>
        <v>0</v>
      </c>
      <c r="Q1046" s="1239"/>
      <c r="R1046" s="1239"/>
      <c r="S1046" s="1239"/>
      <c r="T1046" s="1671"/>
      <c r="U1046" s="1664">
        <f>IFERROR(VLOOKUP(B1046,ChiTietDuToan!C:H,5,0),"")</f>
        <v>0</v>
      </c>
      <c r="V1046" s="2309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59" t="s">
        <v>460</v>
      </c>
      <c r="C1047" s="1189" t="str">
        <f t="shared" ca="1" si="206"/>
        <v xml:space="preserve"> </v>
      </c>
      <c r="D1047" s="1236"/>
      <c r="E1047" s="1248" t="str">
        <f>VLOOKUP($B1047,DG!A:D,DG!$C$2,)</f>
        <v>Sắt góc L50 x50 x5</v>
      </c>
      <c r="F1047" s="1236" t="str">
        <f>VLOOKUP($B1047,DG!A:D,DG!$D$2,)</f>
        <v>kg</v>
      </c>
      <c r="G1047" s="1914">
        <f>3.77*(0.72)*4</f>
        <v>10.8576</v>
      </c>
      <c r="H1047" s="1245">
        <f t="shared" ref="H1047:L1049" ca="1" si="208">H$1046*$G1047</f>
        <v>0</v>
      </c>
      <c r="I1047" s="1245">
        <f t="shared" ca="1" si="208"/>
        <v>0</v>
      </c>
      <c r="J1047" s="1245">
        <f t="shared" ca="1" si="208"/>
        <v>0</v>
      </c>
      <c r="K1047" s="1245">
        <f t="shared" ca="1" si="208"/>
        <v>0</v>
      </c>
      <c r="L1047" s="1245">
        <f t="shared" si="208"/>
        <v>0</v>
      </c>
      <c r="M1047" s="1245"/>
      <c r="N1047" s="1245"/>
      <c r="O1047" s="1245"/>
      <c r="P1047" s="1245"/>
      <c r="Q1047" s="1245"/>
      <c r="R1047" s="1245"/>
      <c r="S1047" s="1245"/>
      <c r="T1047" s="1671"/>
      <c r="U1047" s="1664" t="str">
        <f>IFERROR(VLOOKUP(B1047,ChiTietDuToan!C:H,5,0),"")</f>
        <v/>
      </c>
      <c r="V1047" s="2309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59" t="s">
        <v>1109</v>
      </c>
      <c r="C1048" s="1189" t="str">
        <f t="shared" ca="1" si="206"/>
        <v xml:space="preserve"> </v>
      </c>
      <c r="D1048" s="1236"/>
      <c r="E1048" s="1248" t="str">
        <f>VLOOKUP($B1048,DG!A:D,DG!$C$2,)</f>
        <v>Boulon 16x350+ 2 long đền vuông D18-50x50x3/Zn</v>
      </c>
      <c r="F1048" s="1236" t="str">
        <f>VLOOKUP($B1048,DG!A:D,DG!$D$2,)</f>
        <v>bộ</v>
      </c>
      <c r="G1048" s="1915">
        <v>4</v>
      </c>
      <c r="H1048" s="1245">
        <f t="shared" ca="1" si="208"/>
        <v>0</v>
      </c>
      <c r="I1048" s="1245">
        <f t="shared" ca="1" si="208"/>
        <v>0</v>
      </c>
      <c r="J1048" s="1245">
        <f t="shared" ca="1" si="208"/>
        <v>0</v>
      </c>
      <c r="K1048" s="1245">
        <f t="shared" ca="1" si="208"/>
        <v>0</v>
      </c>
      <c r="L1048" s="1245">
        <f t="shared" si="208"/>
        <v>0</v>
      </c>
      <c r="M1048" s="1245"/>
      <c r="N1048" s="1245"/>
      <c r="O1048" s="1245"/>
      <c r="P1048" s="1245"/>
      <c r="Q1048" s="1245"/>
      <c r="R1048" s="1245"/>
      <c r="S1048" s="1245"/>
      <c r="T1048" s="1671"/>
      <c r="U1048" s="1664" t="str">
        <f>IFERROR(VLOOKUP(B1048,ChiTietDuToan!C:H,5,0),"")</f>
        <v/>
      </c>
      <c r="V1048" s="2309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59" t="s">
        <v>1839</v>
      </c>
      <c r="C1049" s="1189" t="str">
        <f t="shared" ca="1" si="206"/>
        <v xml:space="preserve"> </v>
      </c>
      <c r="D1049" s="1236"/>
      <c r="E1049" s="1248" t="str">
        <f>VLOOKUP($B1049,DG!A:D,DG!$C$2,)</f>
        <v>Boulon 16x50+ 2 long đền vuông D18-50x50x3/Zn</v>
      </c>
      <c r="F1049" s="1236" t="str">
        <f>VLOOKUP($B1049,DG!A:D,DG!$D$2,)</f>
        <v>bộ</v>
      </c>
      <c r="G1049" s="1915">
        <v>2</v>
      </c>
      <c r="H1049" s="1245">
        <f t="shared" ca="1" si="208"/>
        <v>0</v>
      </c>
      <c r="I1049" s="1245">
        <f t="shared" ca="1" si="208"/>
        <v>0</v>
      </c>
      <c r="J1049" s="1245">
        <f t="shared" ca="1" si="208"/>
        <v>0</v>
      </c>
      <c r="K1049" s="1245">
        <f t="shared" ca="1" si="208"/>
        <v>0</v>
      </c>
      <c r="L1049" s="1245">
        <f t="shared" si="208"/>
        <v>0</v>
      </c>
      <c r="M1049" s="1245"/>
      <c r="N1049" s="1245"/>
      <c r="O1049" s="1245"/>
      <c r="P1049" s="1245"/>
      <c r="Q1049" s="1245"/>
      <c r="R1049" s="1245"/>
      <c r="S1049" s="1245"/>
      <c r="T1049" s="1671"/>
      <c r="U1049" s="1664" t="str">
        <f>IFERROR(VLOOKUP(B1049,ChiTietDuToan!C:H,5,0),"")</f>
        <v>bộ</v>
      </c>
      <c r="V1049" s="2309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59" t="s">
        <v>2048</v>
      </c>
      <c r="C1050" s="1189" t="str">
        <f t="shared" si="206"/>
        <v xml:space="preserve"> </v>
      </c>
      <c r="D1050" s="1236"/>
      <c r="E1050" s="1241" t="str">
        <f>VLOOKUP($B1050,DG!A:D,DG!$C$2,)</f>
        <v>Lắp xà đỡ ≤ 25kg</v>
      </c>
      <c r="F1050" s="1236" t="str">
        <f>VLOOKUP($B1050,DG!A:D,DG!$D$2,)</f>
        <v>bộ</v>
      </c>
      <c r="G1050" s="1915">
        <v>1</v>
      </c>
      <c r="H1050" s="1245"/>
      <c r="I1050" s="1245"/>
      <c r="J1050" s="1245"/>
      <c r="K1050" s="1245"/>
      <c r="L1050" s="1245"/>
      <c r="M1050" s="1245"/>
      <c r="N1050" s="1245"/>
      <c r="O1050" s="1245"/>
      <c r="P1050" s="1245"/>
      <c r="Q1050" s="1245"/>
      <c r="R1050" s="1245"/>
      <c r="S1050" s="1245"/>
      <c r="T1050" s="1671"/>
      <c r="U1050" s="1664" t="str">
        <f>IFERROR(VLOOKUP(B1050,ChiTietDuToan!C:H,5,0),"")</f>
        <v/>
      </c>
      <c r="V1050" s="2309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59" t="s">
        <v>2049</v>
      </c>
      <c r="C1051" s="1189" t="str">
        <f t="shared" si="206"/>
        <v xml:space="preserve"> </v>
      </c>
      <c r="D1051" s="1236"/>
      <c r="E1051" s="1241" t="str">
        <f>VLOOKUP($B1051,DG!A:D,DG!$C$2,)</f>
        <v>Bốc dỡ xà, thép thanh</v>
      </c>
      <c r="F1051" s="1236" t="str">
        <f>VLOOKUP($B1051,DG!A:D,DG!$D$2,)</f>
        <v>tấn</v>
      </c>
      <c r="G1051" s="1913"/>
      <c r="H1051" s="1245"/>
      <c r="I1051" s="1245"/>
      <c r="J1051" s="1245"/>
      <c r="K1051" s="1245"/>
      <c r="L1051" s="1245"/>
      <c r="M1051" s="1245"/>
      <c r="N1051" s="1245"/>
      <c r="O1051" s="1245"/>
      <c r="P1051" s="1245"/>
      <c r="Q1051" s="1245"/>
      <c r="R1051" s="1245"/>
      <c r="S1051" s="1245"/>
      <c r="T1051" s="1671"/>
      <c r="U1051" s="1664" t="str">
        <f>IFERROR(VLOOKUP(B1051,ChiTietDuToan!C:H,5,0),"")</f>
        <v/>
      </c>
      <c r="V1051" s="2309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74" t="s">
        <v>2050</v>
      </c>
      <c r="C1052" s="1189" t="str">
        <f t="shared" si="206"/>
        <v xml:space="preserve"> </v>
      </c>
      <c r="D1052" s="1236" t="str">
        <f>VLOOKUP($B1052,DG!A:C,2,)</f>
        <v>02.1361</v>
      </c>
      <c r="E1052" s="1241" t="str">
        <f>VLOOKUP($B1052,DG!A:C,3,)</f>
        <v>V/c xà vào vị trí (cư ly &lt;=100m)</v>
      </c>
      <c r="F1052" s="1236" t="str">
        <f>VLOOKUP($B1052,DG!A:D,4,0)</f>
        <v>tấn</v>
      </c>
      <c r="G1052" s="1913"/>
      <c r="H1052" s="1250"/>
      <c r="I1052" s="1250"/>
      <c r="J1052" s="1250"/>
      <c r="K1052" s="1250"/>
      <c r="L1052" s="1250"/>
      <c r="M1052" s="1250"/>
      <c r="N1052" s="1250"/>
      <c r="O1052" s="1250"/>
      <c r="P1052" s="1250"/>
      <c r="Q1052" s="1250"/>
      <c r="R1052" s="1250"/>
      <c r="S1052" s="1250"/>
      <c r="T1052" s="1671"/>
      <c r="U1052" s="1664" t="str">
        <f>IFERROR(VLOOKUP(B1052,ChiTietDuToan!C:H,5,0),"")</f>
        <v/>
      </c>
      <c r="V1052" s="2309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74" t="s">
        <v>640</v>
      </c>
      <c r="C1053" s="1189" t="str">
        <f t="shared" si="206"/>
        <v xml:space="preserve"> </v>
      </c>
      <c r="D1053" s="1236" t="str">
        <f>VLOOKUP($B1053,DG!A:C,2,)</f>
        <v>02.1482</v>
      </c>
      <c r="E1053" s="1241" t="str">
        <f>VLOOKUP($B1053,DG!A:C,3,)</f>
        <v>V/c dụng cụ thi công vào vị trí (cự ly &lt;=100m)</v>
      </c>
      <c r="F1053" s="1236" t="str">
        <f>VLOOKUP($B1053,DG!A:D,4,0)</f>
        <v>tấn</v>
      </c>
      <c r="G1053" s="1914"/>
      <c r="H1053" s="1250"/>
      <c r="I1053" s="1250"/>
      <c r="J1053" s="1250"/>
      <c r="K1053" s="1250"/>
      <c r="L1053" s="1250"/>
      <c r="M1053" s="1250"/>
      <c r="N1053" s="1250"/>
      <c r="O1053" s="1250"/>
      <c r="P1053" s="1250"/>
      <c r="Q1053" s="1250"/>
      <c r="R1053" s="1250"/>
      <c r="S1053" s="1250"/>
      <c r="T1053" s="1671"/>
      <c r="U1053" s="1664" t="str">
        <f>IFERROR(VLOOKUP(B1053,ChiTietDuToan!C:H,5,0),"")</f>
        <v/>
      </c>
      <c r="V1053" s="2309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56"/>
      <c r="C1054" s="1189" t="str">
        <f t="shared" ca="1" si="206"/>
        <v xml:space="preserve"> </v>
      </c>
      <c r="D1054" s="1237"/>
      <c r="E1054" s="1666" t="s">
        <v>2521</v>
      </c>
      <c r="F1054" s="1238" t="s">
        <v>2449</v>
      </c>
      <c r="G1054" s="1912"/>
      <c r="H1054" s="1523">
        <f ca="1">SUM(I1054:O1054)+T1054</f>
        <v>0</v>
      </c>
      <c r="I1054" s="1239">
        <f ca="1">SUMIF(xa3pm,chitiet!$A1054,slxa3pm)</f>
        <v>0</v>
      </c>
      <c r="J1054" s="1239">
        <f ca="1">SUMIF(xact,chitiet!$A1054,slxact)</f>
        <v>0</v>
      </c>
      <c r="K1054" s="1239">
        <f ca="1">SUMIF(xa3p1m,chitiet!$A1054,slxa3p1m)</f>
        <v>0</v>
      </c>
      <c r="L1054" s="1239">
        <f>IFERROR(HLOOKUP(A1054,pp1p!$6:$90,85,0),0)</f>
        <v>0</v>
      </c>
      <c r="M1054" s="1239"/>
      <c r="N1054" s="1239"/>
      <c r="O1054" s="1239"/>
      <c r="P1054" s="1239">
        <f ca="1">H1054+Q1054-R1054</f>
        <v>0</v>
      </c>
      <c r="Q1054" s="1239"/>
      <c r="R1054" s="1239"/>
      <c r="S1054" s="1239"/>
      <c r="T1054" s="1671"/>
      <c r="U1054" s="1664">
        <f>IFERROR(VLOOKUP(B1054,ChiTietDuToan!C:H,5,0),"")</f>
        <v>0</v>
      </c>
      <c r="V1054" s="2309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59" t="s">
        <v>1791</v>
      </c>
      <c r="C1055" s="1189" t="str">
        <f t="shared" ca="1" si="206"/>
        <v xml:space="preserve"> </v>
      </c>
      <c r="D1055" s="1236"/>
      <c r="E1055" s="1248" t="str">
        <f>VLOOKUP($B1055,DG!A:D,DG!$C$2,)</f>
        <v>Cổ dê  Ø 240-Fe 8x100</v>
      </c>
      <c r="F1055" s="1236" t="str">
        <f>VLOOKUP($B1055,DG!A:D,DG!$D$2,)</f>
        <v>bộ</v>
      </c>
      <c r="G1055" s="1915">
        <v>2</v>
      </c>
      <c r="H1055" s="1245">
        <f t="shared" ref="H1055:L1056" ca="1" si="209">H$1054*$G1055</f>
        <v>0</v>
      </c>
      <c r="I1055" s="1245">
        <f t="shared" ca="1" si="209"/>
        <v>0</v>
      </c>
      <c r="J1055" s="1245">
        <f t="shared" ca="1" si="209"/>
        <v>0</v>
      </c>
      <c r="K1055" s="1245">
        <f t="shared" ca="1" si="209"/>
        <v>0</v>
      </c>
      <c r="L1055" s="1245">
        <f t="shared" si="209"/>
        <v>0</v>
      </c>
      <c r="M1055" s="1245"/>
      <c r="N1055" s="1245"/>
      <c r="O1055" s="1245"/>
      <c r="P1055" s="1245"/>
      <c r="Q1055" s="1245"/>
      <c r="R1055" s="1245"/>
      <c r="S1055" s="1245"/>
      <c r="T1055" s="1671"/>
      <c r="U1055" s="1664" t="str">
        <f>IFERROR(VLOOKUP(B1055,ChiTietDuToan!C:H,5,0),"")</f>
        <v/>
      </c>
      <c r="V1055" s="2309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59" t="s">
        <v>810</v>
      </c>
      <c r="C1056" s="1189" t="str">
        <f t="shared" ca="1" si="206"/>
        <v xml:space="preserve"> </v>
      </c>
      <c r="D1056" s="1236"/>
      <c r="E1056" s="1248" t="str">
        <f>VLOOKUP($B1056,DG!A:D,DG!$C$2,)</f>
        <v>Boulon 16x100+ 2 long đền vuông D18-50x50x3/Zn</v>
      </c>
      <c r="F1056" s="1236" t="str">
        <f>VLOOKUP($B1056,DG!A:D,DG!$D$2,)</f>
        <v>bộ</v>
      </c>
      <c r="G1056" s="1915">
        <v>2</v>
      </c>
      <c r="H1056" s="1245">
        <f t="shared" ca="1" si="209"/>
        <v>0</v>
      </c>
      <c r="I1056" s="1245">
        <f t="shared" ca="1" si="209"/>
        <v>0</v>
      </c>
      <c r="J1056" s="1245">
        <f t="shared" ca="1" si="209"/>
        <v>0</v>
      </c>
      <c r="K1056" s="1245">
        <f t="shared" ca="1" si="209"/>
        <v>0</v>
      </c>
      <c r="L1056" s="1245">
        <f t="shared" si="209"/>
        <v>0</v>
      </c>
      <c r="M1056" s="1245"/>
      <c r="N1056" s="1245"/>
      <c r="O1056" s="1245"/>
      <c r="P1056" s="1245"/>
      <c r="Q1056" s="1245"/>
      <c r="R1056" s="1245"/>
      <c r="S1056" s="1245"/>
      <c r="T1056" s="1671"/>
      <c r="U1056" s="1664" t="str">
        <f>IFERROR(VLOOKUP(B1056,ChiTietDuToan!C:H,5,0),"")</f>
        <v/>
      </c>
      <c r="V1056" s="2309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59" t="s">
        <v>2048</v>
      </c>
      <c r="C1057" s="1189" t="str">
        <f t="shared" si="206"/>
        <v xml:space="preserve"> </v>
      </c>
      <c r="D1057" s="1236"/>
      <c r="E1057" s="1241" t="str">
        <f>VLOOKUP($B1057,DG!A:D,DG!$C$2,)</f>
        <v>Lắp xà đỡ ≤ 25kg</v>
      </c>
      <c r="F1057" s="1236" t="str">
        <f>VLOOKUP($B1057,DG!A:D,DG!$D$2,)</f>
        <v>bộ</v>
      </c>
      <c r="G1057" s="1915">
        <v>1</v>
      </c>
      <c r="H1057" s="1245"/>
      <c r="I1057" s="1245"/>
      <c r="J1057" s="1245"/>
      <c r="K1057" s="1245"/>
      <c r="L1057" s="1245"/>
      <c r="M1057" s="1245"/>
      <c r="N1057" s="1245"/>
      <c r="O1057" s="1245"/>
      <c r="P1057" s="1245"/>
      <c r="Q1057" s="1245"/>
      <c r="R1057" s="1245"/>
      <c r="S1057" s="1245"/>
      <c r="T1057" s="1671"/>
      <c r="U1057" s="1664" t="str">
        <f>IFERROR(VLOOKUP(B1057,ChiTietDuToan!C:H,5,0),"")</f>
        <v/>
      </c>
      <c r="V1057" s="2309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59" t="s">
        <v>2049</v>
      </c>
      <c r="C1058" s="1189" t="str">
        <f t="shared" si="206"/>
        <v xml:space="preserve"> </v>
      </c>
      <c r="D1058" s="1236"/>
      <c r="E1058" s="1241" t="str">
        <f>VLOOKUP($B1058,DG!A:D,DG!$C$2,)</f>
        <v>Bốc dỡ xà, thép thanh</v>
      </c>
      <c r="F1058" s="1236" t="str">
        <f>VLOOKUP($B1058,DG!A:D,DG!$D$2,)</f>
        <v>tấn</v>
      </c>
      <c r="G1058" s="1913">
        <f>G1059</f>
        <v>1.7000000000000001E-2</v>
      </c>
      <c r="H1058" s="1245"/>
      <c r="I1058" s="1245"/>
      <c r="J1058" s="1245"/>
      <c r="K1058" s="1245"/>
      <c r="L1058" s="1245"/>
      <c r="M1058" s="1245"/>
      <c r="N1058" s="1245"/>
      <c r="O1058" s="1245"/>
      <c r="P1058" s="1245"/>
      <c r="Q1058" s="1245"/>
      <c r="R1058" s="1245"/>
      <c r="S1058" s="1245"/>
      <c r="T1058" s="1671"/>
      <c r="U1058" s="1664" t="str">
        <f>IFERROR(VLOOKUP(B1058,ChiTietDuToan!C:H,5,0),"")</f>
        <v/>
      </c>
      <c r="V1058" s="2309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74" t="s">
        <v>2050</v>
      </c>
      <c r="C1059" s="1189" t="str">
        <f t="shared" si="206"/>
        <v xml:space="preserve"> </v>
      </c>
      <c r="D1059" s="1236" t="str">
        <f>VLOOKUP($B1059,DG!A:C,2,)</f>
        <v>02.1361</v>
      </c>
      <c r="E1059" s="1241" t="str">
        <f>VLOOKUP($B1059,DG!A:C,3,)</f>
        <v>V/c xà vào vị trí (cư ly &lt;=100m)</v>
      </c>
      <c r="F1059" s="1236" t="str">
        <f>VLOOKUP($B1059,DG!A:D,4,0)</f>
        <v>tấn</v>
      </c>
      <c r="G1059" s="1913">
        <f>ROUND((2*8+2*0.25)*1.05/1000,3)</f>
        <v>1.7000000000000001E-2</v>
      </c>
      <c r="H1059" s="1250"/>
      <c r="I1059" s="1250"/>
      <c r="J1059" s="1250"/>
      <c r="K1059" s="1250"/>
      <c r="L1059" s="1250"/>
      <c r="M1059" s="1250"/>
      <c r="N1059" s="1250"/>
      <c r="O1059" s="1250"/>
      <c r="P1059" s="1250"/>
      <c r="Q1059" s="1250"/>
      <c r="R1059" s="1250"/>
      <c r="S1059" s="1250"/>
      <c r="T1059" s="1671"/>
      <c r="U1059" s="1664" t="str">
        <f>IFERROR(VLOOKUP(B1059,ChiTietDuToan!C:H,5,0),"")</f>
        <v/>
      </c>
      <c r="V1059" s="2309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74" t="s">
        <v>640</v>
      </c>
      <c r="C1060" s="1189" t="str">
        <f t="shared" si="206"/>
        <v xml:space="preserve"> </v>
      </c>
      <c r="D1060" s="1236" t="str">
        <f>VLOOKUP($B1060,DG!A:C,2,)</f>
        <v>02.1482</v>
      </c>
      <c r="E1060" s="1241" t="str">
        <f>VLOOKUP($B1060,DG!A:C,3,)</f>
        <v>V/c dụng cụ thi công vào vị trí (cự ly &lt;=100m)</v>
      </c>
      <c r="F1060" s="1236" t="str">
        <f>VLOOKUP($B1060,DG!A:D,4,0)</f>
        <v>tấn</v>
      </c>
      <c r="G1060" s="1914">
        <v>0.02</v>
      </c>
      <c r="H1060" s="1250"/>
      <c r="I1060" s="1250"/>
      <c r="J1060" s="1250"/>
      <c r="K1060" s="1250"/>
      <c r="L1060" s="1250"/>
      <c r="M1060" s="1250"/>
      <c r="N1060" s="1250"/>
      <c r="O1060" s="1250"/>
      <c r="P1060" s="1250"/>
      <c r="Q1060" s="1250"/>
      <c r="R1060" s="1250"/>
      <c r="S1060" s="1250"/>
      <c r="T1060" s="1671"/>
      <c r="U1060" s="1664" t="str">
        <f>IFERROR(VLOOKUP(B1060,ChiTietDuToan!C:H,5,0),"")</f>
        <v/>
      </c>
      <c r="V1060" s="2309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53" t="s">
        <v>362</v>
      </c>
      <c r="B1061" s="1954" t="str">
        <f>A1061</f>
        <v>X-24COMPOSITE</v>
      </c>
      <c r="C1061" s="1189" t="str">
        <f t="shared" ref="C1061:C1067" ca="1" si="210">IF(OR(P1061&lt;&gt;0,H1061&lt;&gt;0),"x"," ")</f>
        <v xml:space="preserve"> </v>
      </c>
      <c r="D1061" s="1237"/>
      <c r="E1061" s="1666" t="s">
        <v>2517</v>
      </c>
      <c r="F1061" s="1238" t="s">
        <v>2449</v>
      </c>
      <c r="G1061" s="1912"/>
      <c r="H1061" s="1523">
        <f ca="1">SUM(I1061:O1061)+T1061</f>
        <v>0</v>
      </c>
      <c r="I1061" s="1239">
        <f ca="1">SUMIF(xa3pm,chitiet!$A1061,slxa3pm)</f>
        <v>0</v>
      </c>
      <c r="J1061" s="1239">
        <f ca="1">SUMIF(xact,chitiet!$A1061,slxact)</f>
        <v>0</v>
      </c>
      <c r="K1061" s="1239">
        <f>pp3p1m!DT111</f>
        <v>0</v>
      </c>
      <c r="L1061" s="1239">
        <f>IFERROR(HLOOKUP(A1061,pp1p!$6:$90,85,0),0)</f>
        <v>0</v>
      </c>
      <c r="M1061" s="1239"/>
      <c r="N1061" s="1239"/>
      <c r="O1061" s="1239"/>
      <c r="P1061" s="1523">
        <f ca="1">H1061+Q1061-R1061</f>
        <v>0</v>
      </c>
      <c r="Q1061" s="1239"/>
      <c r="R1061" s="1239"/>
      <c r="S1061" s="1239"/>
      <c r="T1061" s="1664"/>
      <c r="U1061" s="1664" t="str">
        <f>IFERROR(VLOOKUP(B1061,ChiTietDuToan!C:H,5,0),"")</f>
        <v/>
      </c>
      <c r="V1061" s="2309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52" t="s">
        <v>4529</v>
      </c>
      <c r="C1062" s="1189" t="str">
        <f t="shared" ca="1" si="210"/>
        <v xml:space="preserve"> </v>
      </c>
      <c r="D1062" s="1236"/>
      <c r="E1062" s="1248" t="str">
        <f>VLOOKUP($B1062,DG!A:D,DG!$C$2,)</f>
        <v>Xà composite 110x800x5 dài 2,4m</v>
      </c>
      <c r="F1062" s="1236" t="str">
        <f>VLOOKUP($B1062,DG!A:D,DG!$D$2,)</f>
        <v>cái</v>
      </c>
      <c r="G1062" s="1915">
        <v>1</v>
      </c>
      <c r="H1062" s="1245">
        <f t="shared" ref="H1062:H1067" ca="1" si="211">$H$1061*$G1062</f>
        <v>0</v>
      </c>
      <c r="I1062" s="1245">
        <f t="shared" ref="I1062:J1066" ca="1" si="212">I$1016*$G1062</f>
        <v>0</v>
      </c>
      <c r="J1062" s="1245">
        <f t="shared" ca="1" si="212"/>
        <v>0</v>
      </c>
      <c r="K1062" s="1245">
        <f>K$1061*$G1062</f>
        <v>0</v>
      </c>
      <c r="L1062" s="1245">
        <f>L$1016*$G1062</f>
        <v>0</v>
      </c>
      <c r="M1062" s="1245"/>
      <c r="N1062" s="1245"/>
      <c r="O1062" s="1245"/>
      <c r="P1062" s="1251"/>
      <c r="Q1062" s="1245"/>
      <c r="R1062" s="1245"/>
      <c r="S1062" s="1245"/>
      <c r="T1062" s="1664"/>
      <c r="U1062" s="1664" t="str">
        <f>IFERROR(VLOOKUP(B1062,ChiTietDuToan!C:H,5,0),"")</f>
        <v/>
      </c>
      <c r="V1062" s="2309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59" t="s">
        <v>365</v>
      </c>
      <c r="C1063" s="1189" t="str">
        <f t="shared" ca="1" si="210"/>
        <v xml:space="preserve"> </v>
      </c>
      <c r="D1063" s="1236"/>
      <c r="E1063" s="1248" t="str">
        <f>VLOOKUP($B1063,DG!A:D,DG!$C$2,)</f>
        <v>Xà composite 110x800x5</v>
      </c>
      <c r="F1063" s="1236" t="str">
        <f>VLOOKUP($B1063,DG!A:D,DG!$D$2,)</f>
        <v>m</v>
      </c>
      <c r="G1063" s="1921">
        <f>2.4-2.4</f>
        <v>0</v>
      </c>
      <c r="H1063" s="1251">
        <f t="shared" ca="1" si="211"/>
        <v>0</v>
      </c>
      <c r="I1063" s="1245">
        <f t="shared" ca="1" si="212"/>
        <v>0</v>
      </c>
      <c r="J1063" s="1245">
        <f t="shared" ca="1" si="212"/>
        <v>0</v>
      </c>
      <c r="K1063" s="1245">
        <f>K$1061*$G1063</f>
        <v>0</v>
      </c>
      <c r="L1063" s="1245">
        <f>L$1016*$G1063</f>
        <v>0</v>
      </c>
      <c r="M1063" s="1245"/>
      <c r="N1063" s="1245"/>
      <c r="O1063" s="1245"/>
      <c r="P1063" s="1245"/>
      <c r="Q1063" s="1245"/>
      <c r="R1063" s="1245"/>
      <c r="S1063" s="1245"/>
      <c r="T1063" s="1671"/>
      <c r="U1063" s="1664" t="str">
        <f>IFERROR(VLOOKUP(B1063,ChiTietDuToan!C:H,5,0),"")</f>
        <v/>
      </c>
      <c r="V1063" s="2309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52" t="s">
        <v>366</v>
      </c>
      <c r="C1064" s="1189" t="str">
        <f t="shared" ca="1" si="210"/>
        <v xml:space="preserve"> </v>
      </c>
      <c r="D1064" s="1236"/>
      <c r="E1064" s="1248" t="str">
        <f>VLOOKUP($B1064,DG!A:D,DG!$C$2,)</f>
        <v>Chống composite 40x10x920</v>
      </c>
      <c r="F1064" s="1236" t="str">
        <f>VLOOKUP($B1064,DG!A:D,DG!$D$2,)</f>
        <v>cái</v>
      </c>
      <c r="G1064" s="1915">
        <v>2</v>
      </c>
      <c r="H1064" s="1245">
        <f t="shared" ca="1" si="211"/>
        <v>0</v>
      </c>
      <c r="I1064" s="1245">
        <f t="shared" ca="1" si="212"/>
        <v>0</v>
      </c>
      <c r="J1064" s="1245">
        <f t="shared" ca="1" si="212"/>
        <v>0</v>
      </c>
      <c r="K1064" s="1245">
        <f>K$1061*$G1064</f>
        <v>0</v>
      </c>
      <c r="L1064" s="1245">
        <f>L$1016*$G1064</f>
        <v>0</v>
      </c>
      <c r="M1064" s="1245"/>
      <c r="N1064" s="1245"/>
      <c r="O1064" s="1245"/>
      <c r="P1064" s="1245">
        <f ca="1">$P$1061*G1064</f>
        <v>0</v>
      </c>
      <c r="Q1064" s="1245"/>
      <c r="R1064" s="1245"/>
      <c r="S1064" s="1245"/>
      <c r="T1064" s="1664"/>
      <c r="U1064" s="1664" t="str">
        <f>IFERROR(VLOOKUP(B1064,ChiTietDuToan!C:H,5,0),"")</f>
        <v/>
      </c>
      <c r="V1064" s="2309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52" t="s">
        <v>4535</v>
      </c>
      <c r="C1065" s="1189" t="str">
        <f t="shared" ca="1" si="210"/>
        <v xml:space="preserve"> </v>
      </c>
      <c r="D1065" s="1236"/>
      <c r="E1065" s="1248" t="str">
        <f>VLOOKUP($B1065,DG!A:D,DG!$C$2,)</f>
        <v>Boulon 14x150+ 2 long đền vuông D16-50x50x3/Zn</v>
      </c>
      <c r="F1065" s="1236" t="str">
        <f>VLOOKUP($B1065,DG!A:D,DG!$D$2,)</f>
        <v>bộ</v>
      </c>
      <c r="G1065" s="1915">
        <v>2</v>
      </c>
      <c r="H1065" s="1245">
        <f t="shared" ca="1" si="211"/>
        <v>0</v>
      </c>
      <c r="I1065" s="1245">
        <f t="shared" ca="1" si="212"/>
        <v>0</v>
      </c>
      <c r="J1065" s="1245">
        <f t="shared" ca="1" si="212"/>
        <v>0</v>
      </c>
      <c r="K1065" s="1245">
        <f>K$1061*$G1065</f>
        <v>0</v>
      </c>
      <c r="L1065" s="1245">
        <f>L$1016*$G1065</f>
        <v>0</v>
      </c>
      <c r="M1065" s="1245"/>
      <c r="N1065" s="1245"/>
      <c r="O1065" s="1245"/>
      <c r="P1065" s="1245">
        <f ca="1">$P$1061*G1065</f>
        <v>0</v>
      </c>
      <c r="Q1065" s="1245"/>
      <c r="R1065" s="1245"/>
      <c r="S1065" s="1245"/>
      <c r="T1065" s="1664"/>
      <c r="U1065" s="1664" t="str">
        <f>IFERROR(VLOOKUP(B1065,ChiTietDuToan!C:H,5,0),"")</f>
        <v/>
      </c>
      <c r="V1065" s="2309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52" t="s">
        <v>1109</v>
      </c>
      <c r="C1066" s="1189" t="str">
        <f t="shared" ca="1" si="210"/>
        <v xml:space="preserve"> </v>
      </c>
      <c r="D1066" s="1236"/>
      <c r="E1066" s="1248" t="str">
        <f>VLOOKUP($B1066,DG!A:D,DG!$C$2,)</f>
        <v>Boulon 16x350+ 2 long đền vuông D18-50x50x3/Zn</v>
      </c>
      <c r="F1066" s="1236" t="str">
        <f>VLOOKUP($B1066,DG!A:D,DG!$D$2,)</f>
        <v>bộ</v>
      </c>
      <c r="G1066" s="1915">
        <v>2</v>
      </c>
      <c r="H1066" s="1245">
        <f t="shared" ca="1" si="211"/>
        <v>0</v>
      </c>
      <c r="I1066" s="1245">
        <f t="shared" ca="1" si="212"/>
        <v>0</v>
      </c>
      <c r="J1066" s="1245">
        <f t="shared" ca="1" si="212"/>
        <v>0</v>
      </c>
      <c r="K1066" s="1245">
        <f>K$1061*$G1066</f>
        <v>0</v>
      </c>
      <c r="L1066" s="1245">
        <f>L$1016*$G1066</f>
        <v>0</v>
      </c>
      <c r="M1066" s="1245"/>
      <c r="N1066" s="1245"/>
      <c r="O1066" s="1245"/>
      <c r="P1066" s="1245">
        <f ca="1">$P$1061*G1066</f>
        <v>0</v>
      </c>
      <c r="Q1066" s="1245"/>
      <c r="R1066" s="1245"/>
      <c r="S1066" s="1245"/>
      <c r="T1066" s="1664"/>
      <c r="U1066" s="1664" t="str">
        <f>IFERROR(VLOOKUP(B1066,ChiTietDuToan!C:H,5,0),"")</f>
        <v/>
      </c>
      <c r="V1066" s="2309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52" t="s">
        <v>2048</v>
      </c>
      <c r="C1067" s="1189" t="str">
        <f t="shared" ca="1" si="210"/>
        <v xml:space="preserve"> </v>
      </c>
      <c r="D1067" s="1236"/>
      <c r="E1067" s="1241" t="str">
        <f>VLOOKUP($B1067,DG!A:D,DG!$C$2,)</f>
        <v>Lắp xà đỡ ≤ 25kg</v>
      </c>
      <c r="F1067" s="1236" t="str">
        <f>VLOOKUP($B1067,DG!A:D,DG!$D$2,)</f>
        <v>bộ</v>
      </c>
      <c r="G1067" s="1915">
        <v>1</v>
      </c>
      <c r="H1067" s="1245">
        <f t="shared" ca="1" si="211"/>
        <v>0</v>
      </c>
      <c r="I1067" s="1245"/>
      <c r="J1067" s="1245"/>
      <c r="K1067" s="1245"/>
      <c r="L1067" s="1245"/>
      <c r="M1067" s="1245"/>
      <c r="N1067" s="1245"/>
      <c r="O1067" s="1245"/>
      <c r="P1067" s="1245">
        <f ca="1">$P$1061*G1067</f>
        <v>0</v>
      </c>
      <c r="Q1067" s="1245"/>
      <c r="R1067" s="1245"/>
      <c r="S1067" s="1245"/>
      <c r="T1067" s="1664"/>
      <c r="U1067" s="1664" t="str">
        <f>IFERROR(VLOOKUP(B1067,ChiTietDuToan!C:H,5,0),"")</f>
        <v/>
      </c>
      <c r="V1067" s="2309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18" t="s">
        <v>638</v>
      </c>
      <c r="B1068" s="1956"/>
      <c r="C1068" s="1189" t="str">
        <f t="shared" ca="1" si="206"/>
        <v xml:space="preserve"> </v>
      </c>
      <c r="D1068" s="1237"/>
      <c r="E1068" s="1666" t="s">
        <v>2522</v>
      </c>
      <c r="F1068" s="1238" t="s">
        <v>2449</v>
      </c>
      <c r="G1068" s="1912"/>
      <c r="H1068" s="1523">
        <f ca="1">SUM(I1068:O1068)+T1068</f>
        <v>0</v>
      </c>
      <c r="I1068" s="1239">
        <f ca="1">SUMIF(chang3pm,chitiet!$A1068,slchang3pm)</f>
        <v>0</v>
      </c>
      <c r="J1068" s="1239">
        <f ca="1">SUMIF(changct,chitiet!$A1068,slchangct)</f>
        <v>0</v>
      </c>
      <c r="K1068" s="1239">
        <f ca="1">SUMIF(chang3p1m,chitiet!$A1068,slchang3p1m)</f>
        <v>0</v>
      </c>
      <c r="L1068" s="1239">
        <f>IFERROR(HLOOKUP(A1068,pp1p!$6:$90,85,0),0)</f>
        <v>0</v>
      </c>
      <c r="M1068" s="1239">
        <f ca="1">SUMIF(changHTHH,chitiet!$A1068,slchangHTHH)</f>
        <v>0</v>
      </c>
      <c r="N1068" s="1239">
        <f ca="1">SUMIF(changHTDL,chitiet!$A1068,slchangHTDL)</f>
        <v>0</v>
      </c>
      <c r="O1068" s="1239"/>
      <c r="P1068" s="1239">
        <f ca="1">H1068+Q1068-R1068</f>
        <v>0</v>
      </c>
      <c r="Q1068" s="1239"/>
      <c r="R1068" s="1239"/>
      <c r="S1068" s="1239"/>
      <c r="T1068" s="1671"/>
      <c r="U1068" s="1664">
        <f>IFERROR(VLOOKUP(B1068,ChiTietDuToan!C:H,5,0),"")</f>
        <v>0</v>
      </c>
      <c r="V1068" s="2309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59" t="s">
        <v>1091</v>
      </c>
      <c r="C1069" s="1189" t="str">
        <f t="shared" ca="1" si="206"/>
        <v xml:space="preserve"> </v>
      </c>
      <c r="D1069" s="1236"/>
      <c r="E1069" s="1248" t="str">
        <f>VLOOKUP($B1069,DG!A:D,DG!$C$2,)</f>
        <v>Boulon mắt 16x250+ 2 long đền vuông D18-50x50x3/Zn</v>
      </c>
      <c r="F1069" s="1236" t="str">
        <f>VLOOKUP($B1069,DG!A:D,DG!$D$2,)</f>
        <v>bộ</v>
      </c>
      <c r="G1069" s="1915">
        <v>1</v>
      </c>
      <c r="H1069" s="1245">
        <f t="shared" ref="H1069:N1069" ca="1" si="213">H$1068*$G1069</f>
        <v>0</v>
      </c>
      <c r="I1069" s="1245">
        <f t="shared" ca="1" si="213"/>
        <v>0</v>
      </c>
      <c r="J1069" s="1245">
        <f t="shared" ca="1" si="213"/>
        <v>0</v>
      </c>
      <c r="K1069" s="1245">
        <f t="shared" ca="1" si="213"/>
        <v>0</v>
      </c>
      <c r="L1069" s="1245">
        <f t="shared" si="213"/>
        <v>0</v>
      </c>
      <c r="M1069" s="1245">
        <f t="shared" ca="1" si="213"/>
        <v>0</v>
      </c>
      <c r="N1069" s="1245">
        <f t="shared" ca="1" si="213"/>
        <v>0</v>
      </c>
      <c r="O1069" s="1245"/>
      <c r="P1069" s="1245">
        <f ca="1">$P$1068*G1069</f>
        <v>0</v>
      </c>
      <c r="Q1069" s="1245"/>
      <c r="R1069" s="1245"/>
      <c r="S1069" s="1245"/>
      <c r="T1069" s="1671"/>
      <c r="U1069" s="1664" t="str">
        <f>IFERROR(VLOOKUP(B1069,ChiTietDuToan!C:H,5,0),"")</f>
        <v/>
      </c>
      <c r="V1069" s="2309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59" t="s">
        <v>112</v>
      </c>
      <c r="C1070" s="1189" t="str">
        <f t="shared" ca="1" si="206"/>
        <v xml:space="preserve"> </v>
      </c>
      <c r="D1070" s="1236"/>
      <c r="E1070" s="1248" t="str">
        <f>VLOOKUP($B1070,DG!A:D,DG!$C$2,)</f>
        <v>Sứ chằng</v>
      </c>
      <c r="F1070" s="1236" t="str">
        <f>VLOOKUP($B1070,DG!A:D,DG!$D$2,)</f>
        <v>cái</v>
      </c>
      <c r="G1070" s="1915">
        <v>1</v>
      </c>
      <c r="H1070" s="1245">
        <f t="shared" ref="H1070:N1075" ca="1" si="214">H$1068*$G1070</f>
        <v>0</v>
      </c>
      <c r="I1070" s="1245">
        <f t="shared" ca="1" si="214"/>
        <v>0</v>
      </c>
      <c r="J1070" s="1245">
        <f t="shared" ca="1" si="214"/>
        <v>0</v>
      </c>
      <c r="K1070" s="1245">
        <f t="shared" ca="1" si="214"/>
        <v>0</v>
      </c>
      <c r="L1070" s="1245">
        <f t="shared" si="214"/>
        <v>0</v>
      </c>
      <c r="M1070" s="1245">
        <f t="shared" ca="1" si="214"/>
        <v>0</v>
      </c>
      <c r="N1070" s="1245">
        <f t="shared" ca="1" si="214"/>
        <v>0</v>
      </c>
      <c r="O1070" s="1245"/>
      <c r="P1070" s="1245">
        <f t="shared" ref="P1070:P1075" ca="1" si="215">$P$1068*G1070</f>
        <v>0</v>
      </c>
      <c r="Q1070" s="1245"/>
      <c r="R1070" s="1245"/>
      <c r="S1070" s="1245"/>
      <c r="T1070" s="1671"/>
      <c r="U1070" s="1664" t="str">
        <f>IFERROR(VLOOKUP(B1070,ChiTietDuToan!C:H,5,0),"")</f>
        <v>cái</v>
      </c>
      <c r="V1070" s="2309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59" t="s">
        <v>1630</v>
      </c>
      <c r="C1071" s="1189" t="str">
        <f t="shared" ca="1" si="206"/>
        <v xml:space="preserve"> </v>
      </c>
      <c r="D1071" s="1236"/>
      <c r="E1071" s="1248" t="str">
        <f>VLOOKUP($B1071,DG!A:D,DG!$C$2,)</f>
        <v>Kẹp cáp 3 boulon</v>
      </c>
      <c r="F1071" s="1236" t="str">
        <f>VLOOKUP($B1071,DG!A:D,DG!$D$2,)</f>
        <v>cái</v>
      </c>
      <c r="G1071" s="1915">
        <v>4</v>
      </c>
      <c r="H1071" s="1245">
        <f t="shared" ca="1" si="214"/>
        <v>0</v>
      </c>
      <c r="I1071" s="1245">
        <f t="shared" ca="1" si="214"/>
        <v>0</v>
      </c>
      <c r="J1071" s="1245">
        <f t="shared" ca="1" si="214"/>
        <v>0</v>
      </c>
      <c r="K1071" s="1245">
        <f t="shared" ca="1" si="214"/>
        <v>0</v>
      </c>
      <c r="L1071" s="1245">
        <f t="shared" si="214"/>
        <v>0</v>
      </c>
      <c r="M1071" s="1245">
        <f t="shared" ca="1" si="214"/>
        <v>0</v>
      </c>
      <c r="N1071" s="1245">
        <f t="shared" ca="1" si="214"/>
        <v>0</v>
      </c>
      <c r="O1071" s="1245"/>
      <c r="P1071" s="1245">
        <f t="shared" ca="1" si="215"/>
        <v>0</v>
      </c>
      <c r="Q1071" s="1245"/>
      <c r="R1071" s="1245"/>
      <c r="S1071" s="1245"/>
      <c r="T1071" s="1671"/>
      <c r="U1071" s="1664" t="str">
        <f>IFERROR(VLOOKUP(B1071,ChiTietDuToan!C:H,5,0),"")</f>
        <v>cái</v>
      </c>
      <c r="V1071" s="2309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59" t="s">
        <v>276</v>
      </c>
      <c r="C1072" s="1189" t="str">
        <f t="shared" ca="1" si="206"/>
        <v xml:space="preserve"> </v>
      </c>
      <c r="D1072" s="1236"/>
      <c r="E1072" s="1248" t="str">
        <f>VLOOKUP($B1072,DG!A:D,DG!$C$2,)</f>
        <v>Cáp thép 3/8"</v>
      </c>
      <c r="F1072" s="1236" t="str">
        <f>VLOOKUP($B1072,DG!A:D,DG!$D$2,)</f>
        <v>kg</v>
      </c>
      <c r="G1072" s="1925">
        <v>5</v>
      </c>
      <c r="H1072" s="1245">
        <f t="shared" ca="1" si="214"/>
        <v>0</v>
      </c>
      <c r="I1072" s="1245">
        <f t="shared" ca="1" si="214"/>
        <v>0</v>
      </c>
      <c r="J1072" s="1245">
        <f t="shared" ca="1" si="214"/>
        <v>0</v>
      </c>
      <c r="K1072" s="1245">
        <f t="shared" ca="1" si="214"/>
        <v>0</v>
      </c>
      <c r="L1072" s="1245">
        <f t="shared" si="214"/>
        <v>0</v>
      </c>
      <c r="M1072" s="1245">
        <f t="shared" ca="1" si="214"/>
        <v>0</v>
      </c>
      <c r="N1072" s="1245">
        <f t="shared" ca="1" si="214"/>
        <v>0</v>
      </c>
      <c r="O1072" s="1245"/>
      <c r="P1072" s="1245">
        <f t="shared" ca="1" si="215"/>
        <v>0</v>
      </c>
      <c r="Q1072" s="1245"/>
      <c r="R1072" s="1245"/>
      <c r="S1072" s="1245"/>
      <c r="T1072" s="1671"/>
      <c r="U1072" s="1664" t="str">
        <f>IFERROR(VLOOKUP(B1072,ChiTietDuToan!C:H,5,0),"")</f>
        <v>mét</v>
      </c>
      <c r="V1072" s="2309">
        <f>IFERROR(VLOOKUP(B1072,ChiTietDuToan!C:H,6,0),"")</f>
        <v>30</v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59" t="s">
        <v>2053</v>
      </c>
      <c r="C1073" s="1189" t="str">
        <f t="shared" ca="1" si="206"/>
        <v xml:space="preserve"> </v>
      </c>
      <c r="D1073" s="1236"/>
      <c r="E1073" s="1248" t="str">
        <f>VLOOKUP($B1073,DG!A:D,DG!$C$2,)</f>
        <v>Yếm cáp dày 2mm</v>
      </c>
      <c r="F1073" s="1236" t="str">
        <f>VLOOKUP($B1073,DG!A:D,DG!$D$2,)</f>
        <v>cái</v>
      </c>
      <c r="G1073" s="1915">
        <v>2</v>
      </c>
      <c r="H1073" s="1245">
        <f t="shared" ca="1" si="214"/>
        <v>0</v>
      </c>
      <c r="I1073" s="1245">
        <f t="shared" ca="1" si="214"/>
        <v>0</v>
      </c>
      <c r="J1073" s="1245">
        <f t="shared" ca="1" si="214"/>
        <v>0</v>
      </c>
      <c r="K1073" s="1245">
        <f t="shared" ca="1" si="214"/>
        <v>0</v>
      </c>
      <c r="L1073" s="1245">
        <f t="shared" si="214"/>
        <v>0</v>
      </c>
      <c r="M1073" s="1245">
        <f t="shared" ca="1" si="214"/>
        <v>0</v>
      </c>
      <c r="N1073" s="1245">
        <f t="shared" ca="1" si="214"/>
        <v>0</v>
      </c>
      <c r="O1073" s="1245"/>
      <c r="P1073" s="1245">
        <f t="shared" ca="1" si="215"/>
        <v>0</v>
      </c>
      <c r="Q1073" s="1245"/>
      <c r="R1073" s="1245"/>
      <c r="S1073" s="1245"/>
      <c r="T1073" s="1671"/>
      <c r="U1073" s="1664" t="str">
        <f>IFERROR(VLOOKUP(B1073,ChiTietDuToan!C:H,5,0),"")</f>
        <v>cái</v>
      </c>
      <c r="V1073" s="2309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59" t="s">
        <v>2054</v>
      </c>
      <c r="C1074" s="1189" t="str">
        <f t="shared" ca="1" si="206"/>
        <v xml:space="preserve"> </v>
      </c>
      <c r="D1074" s="1236"/>
      <c r="E1074" s="1248" t="str">
        <f>VLOOKUP($B1074,DG!A:D,DG!$C$2,)</f>
        <v>Máng che dây chằng dày 1,6mm</v>
      </c>
      <c r="F1074" s="1236" t="str">
        <f>VLOOKUP($B1074,DG!A:D,DG!$D$2,)</f>
        <v>cái</v>
      </c>
      <c r="G1074" s="1915">
        <v>1</v>
      </c>
      <c r="H1074" s="1245">
        <f t="shared" ca="1" si="214"/>
        <v>0</v>
      </c>
      <c r="I1074" s="1245">
        <f t="shared" ca="1" si="214"/>
        <v>0</v>
      </c>
      <c r="J1074" s="1245">
        <f t="shared" ca="1" si="214"/>
        <v>0</v>
      </c>
      <c r="K1074" s="1245">
        <f t="shared" ca="1" si="214"/>
        <v>0</v>
      </c>
      <c r="L1074" s="1245">
        <f t="shared" si="214"/>
        <v>0</v>
      </c>
      <c r="M1074" s="1245">
        <f t="shared" ca="1" si="214"/>
        <v>0</v>
      </c>
      <c r="N1074" s="1245">
        <f t="shared" ca="1" si="214"/>
        <v>0</v>
      </c>
      <c r="O1074" s="1245"/>
      <c r="P1074" s="1245">
        <f t="shared" ca="1" si="215"/>
        <v>0</v>
      </c>
      <c r="Q1074" s="1245"/>
      <c r="R1074" s="1245"/>
      <c r="S1074" s="1245"/>
      <c r="T1074" s="1671"/>
      <c r="U1074" s="1664" t="str">
        <f>IFERROR(VLOOKUP(B1074,ChiTietDuToan!C:H,5,0),"")</f>
        <v>cái</v>
      </c>
      <c r="V1074" s="2309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59" t="s">
        <v>1971</v>
      </c>
      <c r="C1075" s="1189" t="str">
        <f t="shared" ca="1" si="206"/>
        <v xml:space="preserve"> </v>
      </c>
      <c r="D1075" s="1236" t="str">
        <f>VLOOKUP($B1075,DG!A:D,DG!$B$2,)</f>
        <v>06.3241</v>
      </c>
      <c r="E1075" s="1241" t="str">
        <f>VLOOKUP($B1075,DG!A:D,DG!$C$2,)</f>
        <v>Lắp bộ dây néo</v>
      </c>
      <c r="F1075" s="1236" t="str">
        <f>VLOOKUP($B1075,DG!A:D,DG!$D$2,)</f>
        <v>bộ</v>
      </c>
      <c r="G1075" s="1915">
        <f>G1069</f>
        <v>1</v>
      </c>
      <c r="H1075" s="1245">
        <f t="shared" ca="1" si="214"/>
        <v>0</v>
      </c>
      <c r="I1075" s="1250"/>
      <c r="J1075" s="1250"/>
      <c r="K1075" s="1250"/>
      <c r="L1075" s="1250"/>
      <c r="M1075" s="1250"/>
      <c r="N1075" s="1250"/>
      <c r="O1075" s="1250"/>
      <c r="P1075" s="1245">
        <f t="shared" ca="1" si="215"/>
        <v>0</v>
      </c>
      <c r="Q1075" s="1250"/>
      <c r="R1075" s="1250"/>
      <c r="S1075" s="1250"/>
      <c r="T1075" s="1671"/>
      <c r="U1075" s="1664" t="str">
        <f>IFERROR(VLOOKUP(B1075,ChiTietDuToan!C:H,5,0),"")</f>
        <v>bộ</v>
      </c>
      <c r="V1075" s="2309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74" t="s">
        <v>357</v>
      </c>
      <c r="C1076" s="1189" t="str">
        <f t="shared" si="206"/>
        <v xml:space="preserve"> </v>
      </c>
      <c r="D1076" s="1236" t="str">
        <f>VLOOKUP($B1076,DG!A:C,2,)</f>
        <v>02.1421</v>
      </c>
      <c r="E1076" s="1241" t="str">
        <f>VLOOKUP($B1076,DG!A:C,3,)</f>
        <v>V/c phụ kiện vào vị trí (cự ly &lt;=100m)</v>
      </c>
      <c r="F1076" s="1236" t="str">
        <f>VLOOKUP($B1076,DG!A:D,4,0)</f>
        <v>tấn</v>
      </c>
      <c r="G1076" s="1914"/>
      <c r="H1076" s="1250"/>
      <c r="I1076" s="1250"/>
      <c r="J1076" s="1250"/>
      <c r="K1076" s="1250"/>
      <c r="L1076" s="1250"/>
      <c r="M1076" s="1250"/>
      <c r="N1076" s="1250"/>
      <c r="O1076" s="1250"/>
      <c r="P1076" s="1250"/>
      <c r="Q1076" s="1250"/>
      <c r="R1076" s="1250"/>
      <c r="S1076" s="1250"/>
      <c r="T1076" s="1671"/>
      <c r="U1076" s="1664" t="str">
        <f>IFERROR(VLOOKUP(B1076,ChiTietDuToan!C:H,5,0),"")</f>
        <v>tấn</v>
      </c>
      <c r="V1076" s="2309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18" t="s">
        <v>206</v>
      </c>
      <c r="B1077" s="1956"/>
      <c r="C1077" s="1189" t="str">
        <f t="shared" ca="1" si="206"/>
        <v xml:space="preserve"> </v>
      </c>
      <c r="D1077" s="1237"/>
      <c r="E1077" s="1666" t="s">
        <v>2523</v>
      </c>
      <c r="F1077" s="1238" t="s">
        <v>2449</v>
      </c>
      <c r="G1077" s="1912"/>
      <c r="H1077" s="1523">
        <f ca="1">SUM(I1077:O1077)+T1077</f>
        <v>0</v>
      </c>
      <c r="I1077" s="1239">
        <f ca="1">SUMIF(chang3pm,chitiet!$A1077,slchang3pm)</f>
        <v>0</v>
      </c>
      <c r="J1077" s="1239">
        <f ca="1">SUMIF(changct,chitiet!$A1077,slchangct)</f>
        <v>0</v>
      </c>
      <c r="K1077" s="1239"/>
      <c r="L1077" s="1239">
        <f>IFERROR(HLOOKUP(A1077,pp1p!$6:$90,85,0),0)</f>
        <v>0</v>
      </c>
      <c r="M1077" s="1239">
        <f ca="1">SUMIF(changHTHH,chitiet!$A1077,slchangHTHH)</f>
        <v>0</v>
      </c>
      <c r="N1077" s="1239">
        <f ca="1">SUMIF(changHTDL,chitiet!$A1077,slchangHTDL)</f>
        <v>0</v>
      </c>
      <c r="O1077" s="1239"/>
      <c r="P1077" s="1239">
        <f ca="1">H1077+Q1077-R1077</f>
        <v>0</v>
      </c>
      <c r="Q1077" s="1239"/>
      <c r="R1077" s="1239"/>
      <c r="S1077" s="1239"/>
      <c r="T1077" s="1671"/>
      <c r="U1077" s="1664">
        <f>IFERROR(VLOOKUP(B1077,ChiTietDuToan!C:H,5,0),"")</f>
        <v>0</v>
      </c>
      <c r="V1077" s="2309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59" t="s">
        <v>1971</v>
      </c>
      <c r="C1078" s="1189" t="str">
        <f t="shared" ca="1" si="206"/>
        <v xml:space="preserve"> </v>
      </c>
      <c r="D1078" s="1236"/>
      <c r="E1078" s="1241" t="s">
        <v>2524</v>
      </c>
      <c r="F1078" s="1236" t="str">
        <f>VLOOKUP($B1078,DG!A:D,DG!$D$2,)</f>
        <v>bộ</v>
      </c>
      <c r="G1078" s="1915">
        <v>1</v>
      </c>
      <c r="H1078" s="1245">
        <f ca="1">H$1077*$G1078</f>
        <v>0</v>
      </c>
      <c r="I1078" s="1245">
        <f t="shared" ref="I1078:N1080" ca="1" si="216">I$1077*$G1078</f>
        <v>0</v>
      </c>
      <c r="J1078" s="1245">
        <f t="shared" ca="1" si="216"/>
        <v>0</v>
      </c>
      <c r="K1078" s="1245">
        <f t="shared" si="216"/>
        <v>0</v>
      </c>
      <c r="L1078" s="1245">
        <f t="shared" si="216"/>
        <v>0</v>
      </c>
      <c r="M1078" s="1245">
        <f t="shared" ca="1" si="216"/>
        <v>0</v>
      </c>
      <c r="N1078" s="1245">
        <f t="shared" ca="1" si="216"/>
        <v>0</v>
      </c>
      <c r="O1078" s="1245"/>
      <c r="P1078" s="1245"/>
      <c r="Q1078" s="1245"/>
      <c r="R1078" s="1245"/>
      <c r="S1078" s="1245"/>
      <c r="T1078" s="1671"/>
      <c r="U1078" s="1664" t="str">
        <f>IFERROR(VLOOKUP(B1078,ChiTietDuToan!C:H,5,0),"")</f>
        <v>bộ</v>
      </c>
      <c r="V1078" s="2309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59" t="s">
        <v>1959</v>
      </c>
      <c r="C1079" s="1189" t="str">
        <f t="shared" ca="1" si="206"/>
        <v xml:space="preserve"> </v>
      </c>
      <c r="D1079" s="1236"/>
      <c r="E1079" s="1241" t="s">
        <v>2525</v>
      </c>
      <c r="F1079" s="1236" t="str">
        <f>VLOOKUP($B1079,DG!A:D,DG!$D$2,)</f>
        <v>bộ</v>
      </c>
      <c r="G1079" s="1915">
        <v>1</v>
      </c>
      <c r="H1079" s="1245">
        <f ca="1">H$1077*$G1079</f>
        <v>0</v>
      </c>
      <c r="I1079" s="1245">
        <f t="shared" ca="1" si="216"/>
        <v>0</v>
      </c>
      <c r="J1079" s="1245">
        <f t="shared" ca="1" si="216"/>
        <v>0</v>
      </c>
      <c r="K1079" s="1245">
        <f t="shared" si="216"/>
        <v>0</v>
      </c>
      <c r="L1079" s="1245">
        <f t="shared" si="216"/>
        <v>0</v>
      </c>
      <c r="M1079" s="1245">
        <f t="shared" ca="1" si="216"/>
        <v>0</v>
      </c>
      <c r="N1079" s="1245">
        <f t="shared" ca="1" si="216"/>
        <v>0</v>
      </c>
      <c r="O1079" s="1245"/>
      <c r="P1079" s="1245"/>
      <c r="Q1079" s="1245"/>
      <c r="R1079" s="1245"/>
      <c r="S1079" s="1245"/>
      <c r="T1079" s="1671"/>
      <c r="U1079" s="1664" t="str">
        <f>IFERROR(VLOOKUP(B1079,ChiTietDuToan!C:H,5,0),"")</f>
        <v>bộ</v>
      </c>
      <c r="V1079" s="2309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74" t="s">
        <v>357</v>
      </c>
      <c r="C1080" s="1189" t="str">
        <f t="shared" ca="1" si="206"/>
        <v xml:space="preserve"> </v>
      </c>
      <c r="D1080" s="1236" t="str">
        <f>VLOOKUP($B1080,DG!A:C,2,)</f>
        <v>02.1421</v>
      </c>
      <c r="E1080" s="1241" t="str">
        <f>VLOOKUP($B1080,DG!A:C,3,)</f>
        <v>V/c phụ kiện vào vị trí (cự ly &lt;=100m)</v>
      </c>
      <c r="F1080" s="1236" t="str">
        <f>VLOOKUP($B1080,DG!A:D,4,0)</f>
        <v>tấn</v>
      </c>
      <c r="G1080" s="1914">
        <v>0.01</v>
      </c>
      <c r="H1080" s="1245">
        <f ca="1">H$1077*$G1080</f>
        <v>0</v>
      </c>
      <c r="I1080" s="1245">
        <f t="shared" ca="1" si="216"/>
        <v>0</v>
      </c>
      <c r="J1080" s="1245">
        <f t="shared" ca="1" si="216"/>
        <v>0</v>
      </c>
      <c r="K1080" s="1245">
        <f t="shared" si="216"/>
        <v>0</v>
      </c>
      <c r="L1080" s="1245">
        <f t="shared" si="216"/>
        <v>0</v>
      </c>
      <c r="M1080" s="1245">
        <f t="shared" ca="1" si="216"/>
        <v>0</v>
      </c>
      <c r="N1080" s="1245">
        <f t="shared" ca="1" si="216"/>
        <v>0</v>
      </c>
      <c r="O1080" s="1245"/>
      <c r="P1080" s="1245"/>
      <c r="Q1080" s="1245"/>
      <c r="R1080" s="1245"/>
      <c r="S1080" s="1245"/>
      <c r="T1080" s="1671"/>
      <c r="U1080" s="1664" t="str">
        <f>IFERROR(VLOOKUP(B1080,ChiTietDuToan!C:H,5,0),"")</f>
        <v>tấn</v>
      </c>
      <c r="V1080" s="2309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18" t="s">
        <v>637</v>
      </c>
      <c r="B1081" s="1956"/>
      <c r="C1081" s="1189" t="str">
        <f t="shared" ca="1" si="206"/>
        <v xml:space="preserve"> </v>
      </c>
      <c r="D1081" s="1237"/>
      <c r="E1081" s="1666" t="s">
        <v>2526</v>
      </c>
      <c r="F1081" s="1238" t="s">
        <v>2449</v>
      </c>
      <c r="G1081" s="1912"/>
      <c r="H1081" s="1523">
        <f ca="1">SUM(I1081:O1081)+T1081</f>
        <v>0</v>
      </c>
      <c r="I1081" s="1239">
        <f ca="1">SUMIF(chang3pm,chitiet!$A1081,slchang3pm)</f>
        <v>0</v>
      </c>
      <c r="J1081" s="1239">
        <f ca="1">SUMIF(changct,chitiet!$A1081,slchangct)</f>
        <v>0</v>
      </c>
      <c r="K1081" s="1239">
        <f ca="1">SUMIF(chang3p1m,chitiet!$A1081,slchang3p1m)</f>
        <v>0</v>
      </c>
      <c r="L1081" s="1239">
        <f>IFERROR(HLOOKUP(A1081,pp1p!$6:$90,85,0),0)</f>
        <v>0</v>
      </c>
      <c r="M1081" s="1239">
        <f ca="1">SUMIF(changHTHH,chitiet!$A1081,slchangHTHH)</f>
        <v>0</v>
      </c>
      <c r="N1081" s="1239">
        <f ca="1">SUMIF(changHTDL,chitiet!$A1081,slchangHTDL)</f>
        <v>0</v>
      </c>
      <c r="O1081" s="1239"/>
      <c r="P1081" s="1239">
        <f ca="1">H1081+Q1081-R1081</f>
        <v>0</v>
      </c>
      <c r="Q1081" s="1239"/>
      <c r="R1081" s="1239"/>
      <c r="S1081" s="1239"/>
      <c r="T1081" s="1671"/>
      <c r="U1081" s="1664">
        <f>IFERROR(VLOOKUP(B1081,ChiTietDuToan!C:H,5,0),"")</f>
        <v>0</v>
      </c>
      <c r="V1081" s="2309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59" t="s">
        <v>1091</v>
      </c>
      <c r="C1082" s="1189" t="str">
        <f t="shared" ca="1" si="206"/>
        <v xml:space="preserve"> </v>
      </c>
      <c r="D1082" s="1236"/>
      <c r="E1082" s="1248" t="str">
        <f>VLOOKUP($B1082,DG!A:D,DG!$C$2,)</f>
        <v>Boulon mắt 16x250+ 2 long đền vuông D18-50x50x3/Zn</v>
      </c>
      <c r="F1082" s="1236" t="str">
        <f>VLOOKUP($B1082,DG!A:D,DG!$D$2,)</f>
        <v>bộ</v>
      </c>
      <c r="G1082" s="1915">
        <v>1</v>
      </c>
      <c r="H1082" s="1245">
        <f t="shared" ref="H1082:N1082" ca="1" si="217">H$1081*$G1082</f>
        <v>0</v>
      </c>
      <c r="I1082" s="1245">
        <f t="shared" ca="1" si="217"/>
        <v>0</v>
      </c>
      <c r="J1082" s="1245">
        <f t="shared" ca="1" si="217"/>
        <v>0</v>
      </c>
      <c r="K1082" s="1245">
        <f t="shared" ca="1" si="217"/>
        <v>0</v>
      </c>
      <c r="L1082" s="1245">
        <f t="shared" si="217"/>
        <v>0</v>
      </c>
      <c r="M1082" s="1245">
        <f t="shared" ca="1" si="217"/>
        <v>0</v>
      </c>
      <c r="N1082" s="1245">
        <f t="shared" ca="1" si="217"/>
        <v>0</v>
      </c>
      <c r="O1082" s="1245"/>
      <c r="P1082" s="1245">
        <f ca="1">$P$1081*G1082</f>
        <v>0</v>
      </c>
      <c r="Q1082" s="1245"/>
      <c r="R1082" s="1245"/>
      <c r="S1082" s="1245"/>
      <c r="T1082" s="1671"/>
      <c r="U1082" s="1664" t="str">
        <f>IFERROR(VLOOKUP(B1082,ChiTietDuToan!C:H,5,0),"")</f>
        <v/>
      </c>
      <c r="V1082" s="2309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59" t="s">
        <v>112</v>
      </c>
      <c r="C1083" s="1189" t="str">
        <f t="shared" ca="1" si="206"/>
        <v xml:space="preserve"> </v>
      </c>
      <c r="D1083" s="1236"/>
      <c r="E1083" s="1248" t="str">
        <f>VLOOKUP($B1083,DG!A:D,DG!$C$2,)</f>
        <v>Sứ chằng</v>
      </c>
      <c r="F1083" s="1236" t="str">
        <f>VLOOKUP($B1083,DG!A:D,DG!$D$2,)</f>
        <v>cái</v>
      </c>
      <c r="G1083" s="1915">
        <v>1</v>
      </c>
      <c r="H1083" s="1245">
        <f t="shared" ref="H1083:N1088" ca="1" si="218">H$1081*$G1083</f>
        <v>0</v>
      </c>
      <c r="I1083" s="1245">
        <f t="shared" ca="1" si="218"/>
        <v>0</v>
      </c>
      <c r="J1083" s="1245">
        <f t="shared" ca="1" si="218"/>
        <v>0</v>
      </c>
      <c r="K1083" s="1245">
        <f t="shared" ca="1" si="218"/>
        <v>0</v>
      </c>
      <c r="L1083" s="1245">
        <f t="shared" si="218"/>
        <v>0</v>
      </c>
      <c r="M1083" s="1245">
        <f t="shared" ca="1" si="218"/>
        <v>0</v>
      </c>
      <c r="N1083" s="1245">
        <f t="shared" ca="1" si="218"/>
        <v>0</v>
      </c>
      <c r="O1083" s="1245"/>
      <c r="P1083" s="1245">
        <f t="shared" ref="P1083:P1088" ca="1" si="219">$P$1081*G1083</f>
        <v>0</v>
      </c>
      <c r="Q1083" s="1245"/>
      <c r="R1083" s="1245"/>
      <c r="S1083" s="1245"/>
      <c r="T1083" s="1671"/>
      <c r="U1083" s="1664" t="str">
        <f>IFERROR(VLOOKUP(B1083,ChiTietDuToan!C:H,5,0),"")</f>
        <v>cái</v>
      </c>
      <c r="V1083" s="2309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59" t="s">
        <v>1630</v>
      </c>
      <c r="C1084" s="1189" t="str">
        <f t="shared" ca="1" si="206"/>
        <v xml:space="preserve"> </v>
      </c>
      <c r="D1084" s="1236"/>
      <c r="E1084" s="1248" t="str">
        <f>VLOOKUP($B1084,DG!A:D,DG!$C$2,)</f>
        <v>Kẹp cáp 3 boulon</v>
      </c>
      <c r="F1084" s="1236" t="str">
        <f>VLOOKUP($B1084,DG!A:D,DG!$D$2,)</f>
        <v>cái</v>
      </c>
      <c r="G1084" s="1915">
        <v>4</v>
      </c>
      <c r="H1084" s="1245">
        <f t="shared" ca="1" si="218"/>
        <v>0</v>
      </c>
      <c r="I1084" s="1245">
        <f t="shared" ca="1" si="218"/>
        <v>0</v>
      </c>
      <c r="J1084" s="1245">
        <f t="shared" ca="1" si="218"/>
        <v>0</v>
      </c>
      <c r="K1084" s="1245">
        <f t="shared" ca="1" si="218"/>
        <v>0</v>
      </c>
      <c r="L1084" s="1245">
        <f t="shared" si="218"/>
        <v>0</v>
      </c>
      <c r="M1084" s="1245">
        <f t="shared" ca="1" si="218"/>
        <v>0</v>
      </c>
      <c r="N1084" s="1245">
        <f t="shared" ca="1" si="218"/>
        <v>0</v>
      </c>
      <c r="O1084" s="1245"/>
      <c r="P1084" s="1245">
        <f t="shared" ca="1" si="219"/>
        <v>0</v>
      </c>
      <c r="Q1084" s="1245"/>
      <c r="R1084" s="1245"/>
      <c r="S1084" s="1245"/>
      <c r="T1084" s="1671"/>
      <c r="U1084" s="1664" t="str">
        <f>IFERROR(VLOOKUP(B1084,ChiTietDuToan!C:H,5,0),"")</f>
        <v>cái</v>
      </c>
      <c r="V1084" s="2309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59" t="s">
        <v>276</v>
      </c>
      <c r="C1085" s="1189" t="str">
        <f t="shared" ca="1" si="206"/>
        <v xml:space="preserve"> </v>
      </c>
      <c r="D1085" s="1236"/>
      <c r="E1085" s="1248" t="str">
        <f>VLOOKUP($B1085,DG!A:D,DG!$C$2,)</f>
        <v>Cáp thép 3/8"</v>
      </c>
      <c r="F1085" s="1236" t="str">
        <f>VLOOKUP($B1085,DG!A:D,DG!$D$2,)</f>
        <v>kg</v>
      </c>
      <c r="G1085" s="1915">
        <v>4</v>
      </c>
      <c r="H1085" s="1245">
        <f t="shared" ca="1" si="218"/>
        <v>0</v>
      </c>
      <c r="I1085" s="1245">
        <f t="shared" ca="1" si="218"/>
        <v>0</v>
      </c>
      <c r="J1085" s="1245">
        <f t="shared" ca="1" si="218"/>
        <v>0</v>
      </c>
      <c r="K1085" s="1245">
        <f t="shared" ca="1" si="218"/>
        <v>0</v>
      </c>
      <c r="L1085" s="1245">
        <f t="shared" si="218"/>
        <v>0</v>
      </c>
      <c r="M1085" s="1245">
        <f t="shared" ca="1" si="218"/>
        <v>0</v>
      </c>
      <c r="N1085" s="1245">
        <f t="shared" ca="1" si="218"/>
        <v>0</v>
      </c>
      <c r="O1085" s="1245"/>
      <c r="P1085" s="1245">
        <f t="shared" ca="1" si="219"/>
        <v>0</v>
      </c>
      <c r="Q1085" s="1245"/>
      <c r="R1085" s="1245"/>
      <c r="S1085" s="1245"/>
      <c r="T1085" s="1671"/>
      <c r="U1085" s="1664" t="str">
        <f>IFERROR(VLOOKUP(B1085,ChiTietDuToan!C:H,5,0),"")</f>
        <v>mét</v>
      </c>
      <c r="V1085" s="2309">
        <f>IFERROR(VLOOKUP(B1085,ChiTietDuToan!C:H,6,0),"")</f>
        <v>30</v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59" t="s">
        <v>189</v>
      </c>
      <c r="C1086" s="1189" t="str">
        <f t="shared" ca="1" si="206"/>
        <v xml:space="preserve"> </v>
      </c>
      <c r="D1086" s="1236"/>
      <c r="E1086" s="1248" t="str">
        <f>VLOOKUP($B1086,DG!A:D,DG!$C$2,)</f>
        <v>Bộ chống chằng hẹp Ø60/50x1200+2BL12x40+BL16x200/50</v>
      </c>
      <c r="F1086" s="1236" t="str">
        <f>VLOOKUP($B1086,DG!A:D,DG!$D$2,)</f>
        <v>bộ</v>
      </c>
      <c r="G1086" s="1915">
        <v>1</v>
      </c>
      <c r="H1086" s="1245">
        <f t="shared" ca="1" si="218"/>
        <v>0</v>
      </c>
      <c r="I1086" s="1245">
        <f t="shared" ca="1" si="218"/>
        <v>0</v>
      </c>
      <c r="J1086" s="1245">
        <f t="shared" ca="1" si="218"/>
        <v>0</v>
      </c>
      <c r="K1086" s="1245">
        <f t="shared" ca="1" si="218"/>
        <v>0</v>
      </c>
      <c r="L1086" s="1245">
        <f t="shared" si="218"/>
        <v>0</v>
      </c>
      <c r="M1086" s="1245">
        <f t="shared" ca="1" si="218"/>
        <v>0</v>
      </c>
      <c r="N1086" s="1245">
        <f t="shared" ca="1" si="218"/>
        <v>0</v>
      </c>
      <c r="O1086" s="1245"/>
      <c r="P1086" s="1245">
        <f t="shared" ca="1" si="219"/>
        <v>0</v>
      </c>
      <c r="Q1086" s="1245"/>
      <c r="R1086" s="1245"/>
      <c r="S1086" s="1245"/>
      <c r="T1086" s="1671"/>
      <c r="U1086" s="1664" t="str">
        <f>IFERROR(VLOOKUP(B1086,ChiTietDuToan!C:H,5,0),"")</f>
        <v/>
      </c>
      <c r="V1086" s="2309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59" t="s">
        <v>2053</v>
      </c>
      <c r="C1087" s="1189" t="str">
        <f t="shared" ca="1" si="206"/>
        <v xml:space="preserve"> </v>
      </c>
      <c r="D1087" s="1236"/>
      <c r="E1087" s="1248" t="str">
        <f>VLOOKUP($B1087,DG!A:D,DG!$C$2,)</f>
        <v>Yếm cáp dày 2mm</v>
      </c>
      <c r="F1087" s="1236" t="str">
        <f>VLOOKUP($B1087,DG!A:D,DG!$D$2,)</f>
        <v>cái</v>
      </c>
      <c r="G1087" s="1915">
        <v>2</v>
      </c>
      <c r="H1087" s="1245">
        <f t="shared" ca="1" si="218"/>
        <v>0</v>
      </c>
      <c r="I1087" s="1245">
        <f t="shared" ca="1" si="218"/>
        <v>0</v>
      </c>
      <c r="J1087" s="1245">
        <f t="shared" ca="1" si="218"/>
        <v>0</v>
      </c>
      <c r="K1087" s="1245">
        <f t="shared" ca="1" si="218"/>
        <v>0</v>
      </c>
      <c r="L1087" s="1245">
        <f t="shared" si="218"/>
        <v>0</v>
      </c>
      <c r="M1087" s="1245">
        <f t="shared" ca="1" si="218"/>
        <v>0</v>
      </c>
      <c r="N1087" s="1245">
        <f t="shared" ca="1" si="218"/>
        <v>0</v>
      </c>
      <c r="O1087" s="1245"/>
      <c r="P1087" s="1245">
        <f t="shared" ca="1" si="219"/>
        <v>0</v>
      </c>
      <c r="Q1087" s="1245"/>
      <c r="R1087" s="1245"/>
      <c r="S1087" s="1245"/>
      <c r="T1087" s="1671"/>
      <c r="U1087" s="1664" t="str">
        <f>IFERROR(VLOOKUP(B1087,ChiTietDuToan!C:H,5,0),"")</f>
        <v>cái</v>
      </c>
      <c r="V1087" s="2309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59" t="s">
        <v>2054</v>
      </c>
      <c r="C1088" s="1189" t="str">
        <f t="shared" ca="1" si="206"/>
        <v xml:space="preserve"> </v>
      </c>
      <c r="D1088" s="1236"/>
      <c r="E1088" s="1248" t="str">
        <f>VLOOKUP($B1088,DG!A:D,DG!$C$2,)</f>
        <v>Máng che dây chằng dày 1,6mm</v>
      </c>
      <c r="F1088" s="1236" t="str">
        <f>VLOOKUP($B1088,DG!A:D,DG!$D$2,)</f>
        <v>cái</v>
      </c>
      <c r="G1088" s="1915">
        <v>1</v>
      </c>
      <c r="H1088" s="1245">
        <f t="shared" ca="1" si="218"/>
        <v>0</v>
      </c>
      <c r="I1088" s="1245">
        <f t="shared" ca="1" si="218"/>
        <v>0</v>
      </c>
      <c r="J1088" s="1245">
        <f t="shared" ca="1" si="218"/>
        <v>0</v>
      </c>
      <c r="K1088" s="1245">
        <f t="shared" ca="1" si="218"/>
        <v>0</v>
      </c>
      <c r="L1088" s="1245">
        <f t="shared" si="218"/>
        <v>0</v>
      </c>
      <c r="M1088" s="1245">
        <f t="shared" ca="1" si="218"/>
        <v>0</v>
      </c>
      <c r="N1088" s="1245">
        <f t="shared" ca="1" si="218"/>
        <v>0</v>
      </c>
      <c r="O1088" s="1245"/>
      <c r="P1088" s="1245">
        <f t="shared" ca="1" si="219"/>
        <v>0</v>
      </c>
      <c r="Q1088" s="1245"/>
      <c r="R1088" s="1245"/>
      <c r="S1088" s="1245"/>
      <c r="T1088" s="1671"/>
      <c r="U1088" s="1664" t="str">
        <f>IFERROR(VLOOKUP(B1088,ChiTietDuToan!C:H,5,0),"")</f>
        <v>cái</v>
      </c>
      <c r="V1088" s="2309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59" t="s">
        <v>1971</v>
      </c>
      <c r="C1089" s="1189" t="str">
        <f t="shared" si="206"/>
        <v xml:space="preserve"> </v>
      </c>
      <c r="D1089" s="1236" t="str">
        <f>VLOOKUP($B1089,DG!A:D,DG!$B$2,)</f>
        <v>06.3241</v>
      </c>
      <c r="E1089" s="1241" t="str">
        <f>VLOOKUP($B1089,DG!A:D,DG!$C$2,)</f>
        <v>Lắp bộ dây néo</v>
      </c>
      <c r="F1089" s="1236" t="str">
        <f>VLOOKUP($B1089,DG!A:D,DG!$D$2,)</f>
        <v>bộ</v>
      </c>
      <c r="G1089" s="1915">
        <f>G1082</f>
        <v>1</v>
      </c>
      <c r="H1089" s="1250"/>
      <c r="I1089" s="1250"/>
      <c r="J1089" s="1250"/>
      <c r="K1089" s="1250"/>
      <c r="L1089" s="1250"/>
      <c r="M1089" s="1250"/>
      <c r="N1089" s="1250"/>
      <c r="O1089" s="1250"/>
      <c r="P1089" s="1250"/>
      <c r="Q1089" s="1250"/>
      <c r="R1089" s="1250"/>
      <c r="S1089" s="1250"/>
      <c r="T1089" s="1671"/>
      <c r="U1089" s="1664" t="str">
        <f>IFERROR(VLOOKUP(B1089,ChiTietDuToan!C:H,5,0),"")</f>
        <v>bộ</v>
      </c>
      <c r="V1089" s="2309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59" t="s">
        <v>1959</v>
      </c>
      <c r="C1090" s="1189" t="str">
        <f t="shared" si="206"/>
        <v xml:space="preserve"> </v>
      </c>
      <c r="D1090" s="1236" t="str">
        <f>VLOOKUP($B1090,DG!A:D,DG!$B$2,)</f>
        <v>05.6011</v>
      </c>
      <c r="E1090" s="1241" t="str">
        <f>VLOOKUP($B1090,DG!A:D,DG!$C$2,)</f>
        <v>Lắp bộ chống lệch</v>
      </c>
      <c r="F1090" s="1236" t="str">
        <f>VLOOKUP($B1090,DG!A:D,DG!$D$2,)</f>
        <v>bộ</v>
      </c>
      <c r="G1090" s="1915"/>
      <c r="H1090" s="1250"/>
      <c r="I1090" s="1250"/>
      <c r="J1090" s="1250"/>
      <c r="K1090" s="1250"/>
      <c r="L1090" s="1250"/>
      <c r="M1090" s="1250"/>
      <c r="N1090" s="1250"/>
      <c r="O1090" s="1250"/>
      <c r="P1090" s="1250"/>
      <c r="Q1090" s="1250"/>
      <c r="R1090" s="1250"/>
      <c r="S1090" s="1250"/>
      <c r="T1090" s="1671"/>
      <c r="U1090" s="1664" t="str">
        <f>IFERROR(VLOOKUP(B1090,ChiTietDuToan!C:H,5,0),"")</f>
        <v>bộ</v>
      </c>
      <c r="V1090" s="2309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74" t="s">
        <v>357</v>
      </c>
      <c r="C1091" s="1189" t="str">
        <f t="shared" si="206"/>
        <v xml:space="preserve"> </v>
      </c>
      <c r="D1091" s="1236" t="str">
        <f>VLOOKUP($B1091,DG!A:C,2,)</f>
        <v>02.1421</v>
      </c>
      <c r="E1091" s="1241" t="str">
        <f>VLOOKUP($B1091,DG!A:C,3,)</f>
        <v>V/c phụ kiện vào vị trí (cự ly &lt;=100m)</v>
      </c>
      <c r="F1091" s="1236" t="str">
        <f>VLOOKUP($B1091,DG!A:D,4,0)</f>
        <v>tấn</v>
      </c>
      <c r="G1091" s="1914"/>
      <c r="H1091" s="1250"/>
      <c r="I1091" s="1250"/>
      <c r="J1091" s="1250"/>
      <c r="K1091" s="1250"/>
      <c r="L1091" s="1250"/>
      <c r="M1091" s="1250"/>
      <c r="N1091" s="1250"/>
      <c r="O1091" s="1250"/>
      <c r="P1091" s="1250"/>
      <c r="Q1091" s="1250"/>
      <c r="R1091" s="1250"/>
      <c r="S1091" s="1250"/>
      <c r="T1091" s="1671"/>
      <c r="U1091" s="1664" t="str">
        <f>IFERROR(VLOOKUP(B1091,ChiTietDuToan!C:H,5,0),"")</f>
        <v>tấn</v>
      </c>
      <c r="V1091" s="2309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56"/>
      <c r="C1092" s="1189" t="str">
        <f t="shared" ca="1" si="206"/>
        <v xml:space="preserve"> </v>
      </c>
      <c r="D1092" s="1237"/>
      <c r="E1092" s="1666" t="s">
        <v>2527</v>
      </c>
      <c r="F1092" s="1238" t="s">
        <v>2449</v>
      </c>
      <c r="G1092" s="1912"/>
      <c r="H1092" s="1523">
        <f ca="1">SUM(I1092:O1092)+T1092</f>
        <v>0</v>
      </c>
      <c r="I1092" s="1239">
        <f ca="1">SUMIF(chang3pm,chitiet!$A1092,slchang3pm)</f>
        <v>0</v>
      </c>
      <c r="J1092" s="1239">
        <f ca="1">SUMIF(changct,chitiet!$A1092,slchangct)</f>
        <v>0</v>
      </c>
      <c r="K1092" s="1239">
        <f ca="1">SUMIF(chang3p1m,chitiet!$A1092,slchang3p1m)</f>
        <v>0</v>
      </c>
      <c r="L1092" s="1239">
        <f>IFERROR(HLOOKUP(A1092,pp1p!$6:$90,85,0),0)</f>
        <v>0</v>
      </c>
      <c r="M1092" s="1239">
        <f ca="1">SUMIF(changHTHH,chitiet!$A1092,slchangHTHH)</f>
        <v>0</v>
      </c>
      <c r="N1092" s="1239">
        <f ca="1">SUMIF(changHTDL,chitiet!$A1092,slchangHTDL)</f>
        <v>0</v>
      </c>
      <c r="O1092" s="1239"/>
      <c r="P1092" s="1239">
        <f ca="1">H1092+Q1092-R1092</f>
        <v>0</v>
      </c>
      <c r="Q1092" s="1239"/>
      <c r="R1092" s="1239"/>
      <c r="S1092" s="1239"/>
      <c r="T1092" s="1671"/>
      <c r="U1092" s="1664">
        <f>IFERROR(VLOOKUP(B1092,ChiTietDuToan!C:H,5,0),"")</f>
        <v>0</v>
      </c>
      <c r="V1092" s="2309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59" t="s">
        <v>1091</v>
      </c>
      <c r="C1093" s="1189" t="str">
        <f t="shared" ca="1" si="206"/>
        <v xml:space="preserve"> </v>
      </c>
      <c r="D1093" s="1236"/>
      <c r="E1093" s="1248" t="str">
        <f>VLOOKUP($B1093,DG!A:D,DG!$C$2,)</f>
        <v>Boulon mắt 16x250+ 2 long đền vuông D18-50x50x3/Zn</v>
      </c>
      <c r="F1093" s="1236" t="str">
        <f>VLOOKUP($B1093,DG!A:D,DG!$D$2,)</f>
        <v>bộ</v>
      </c>
      <c r="G1093" s="1915">
        <v>1</v>
      </c>
      <c r="H1093" s="1245">
        <f t="shared" ref="H1093:H1098" ca="1" si="220">H$1092*$G1093</f>
        <v>0</v>
      </c>
      <c r="I1093" s="1245">
        <f t="shared" ref="I1093:N1098" ca="1" si="221">I$1092*$G1093</f>
        <v>0</v>
      </c>
      <c r="J1093" s="1245">
        <f t="shared" ca="1" si="221"/>
        <v>0</v>
      </c>
      <c r="K1093" s="1245">
        <f t="shared" ca="1" si="221"/>
        <v>0</v>
      </c>
      <c r="L1093" s="1245">
        <f t="shared" si="221"/>
        <v>0</v>
      </c>
      <c r="M1093" s="1245">
        <f t="shared" ca="1" si="221"/>
        <v>0</v>
      </c>
      <c r="N1093" s="1245">
        <f t="shared" ca="1" si="221"/>
        <v>0</v>
      </c>
      <c r="O1093" s="1245"/>
      <c r="P1093" s="1245"/>
      <c r="Q1093" s="1245"/>
      <c r="R1093" s="1245"/>
      <c r="S1093" s="1245"/>
      <c r="T1093" s="1671"/>
      <c r="U1093" s="1664" t="str">
        <f>IFERROR(VLOOKUP(B1093,ChiTietDuToan!C:H,5,0),"")</f>
        <v/>
      </c>
      <c r="V1093" s="2309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59" t="s">
        <v>112</v>
      </c>
      <c r="C1094" s="1189" t="str">
        <f t="shared" ca="1" si="206"/>
        <v xml:space="preserve"> </v>
      </c>
      <c r="D1094" s="1236"/>
      <c r="E1094" s="1248" t="str">
        <f>VLOOKUP($B1094,DG!A:D,DG!$C$2,)</f>
        <v>Sứ chằng</v>
      </c>
      <c r="F1094" s="1236" t="str">
        <f>VLOOKUP($B1094,DG!A:D,DG!$D$2,)</f>
        <v>cái</v>
      </c>
      <c r="G1094" s="1915">
        <v>1</v>
      </c>
      <c r="H1094" s="1245">
        <f t="shared" ca="1" si="220"/>
        <v>0</v>
      </c>
      <c r="I1094" s="1245">
        <f ca="1">I$1092*$G1094</f>
        <v>0</v>
      </c>
      <c r="J1094" s="1245">
        <f t="shared" ca="1" si="221"/>
        <v>0</v>
      </c>
      <c r="K1094" s="1245">
        <f t="shared" ca="1" si="221"/>
        <v>0</v>
      </c>
      <c r="L1094" s="1245">
        <f t="shared" si="221"/>
        <v>0</v>
      </c>
      <c r="M1094" s="1245">
        <f t="shared" ca="1" si="221"/>
        <v>0</v>
      </c>
      <c r="N1094" s="1245">
        <f t="shared" ca="1" si="221"/>
        <v>0</v>
      </c>
      <c r="O1094" s="1245"/>
      <c r="P1094" s="1245"/>
      <c r="Q1094" s="1245"/>
      <c r="R1094" s="1245"/>
      <c r="S1094" s="1245"/>
      <c r="T1094" s="1671"/>
      <c r="U1094" s="1664" t="str">
        <f>IFERROR(VLOOKUP(B1094,ChiTietDuToan!C:H,5,0),"")</f>
        <v>cái</v>
      </c>
      <c r="V1094" s="2309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59" t="s">
        <v>1630</v>
      </c>
      <c r="C1095" s="1189" t="str">
        <f t="shared" ca="1" si="206"/>
        <v xml:space="preserve"> </v>
      </c>
      <c r="D1095" s="1236"/>
      <c r="E1095" s="1248" t="str">
        <f>VLOOKUP($B1095,DG!A:D,DG!$C$2,)</f>
        <v>Kẹp cáp 3 boulon</v>
      </c>
      <c r="F1095" s="1236" t="str">
        <f>VLOOKUP($B1095,DG!A:D,DG!$D$2,)</f>
        <v>cái</v>
      </c>
      <c r="G1095" s="1915">
        <v>8</v>
      </c>
      <c r="H1095" s="1245">
        <f t="shared" ca="1" si="220"/>
        <v>0</v>
      </c>
      <c r="I1095" s="1245">
        <f ca="1">I$1092*$G1095</f>
        <v>0</v>
      </c>
      <c r="J1095" s="1245">
        <f t="shared" ca="1" si="221"/>
        <v>0</v>
      </c>
      <c r="K1095" s="1245">
        <f t="shared" ca="1" si="221"/>
        <v>0</v>
      </c>
      <c r="L1095" s="1245">
        <f t="shared" si="221"/>
        <v>0</v>
      </c>
      <c r="M1095" s="1245">
        <f t="shared" ca="1" si="221"/>
        <v>0</v>
      </c>
      <c r="N1095" s="1245">
        <f t="shared" ca="1" si="221"/>
        <v>0</v>
      </c>
      <c r="O1095" s="1245"/>
      <c r="P1095" s="1245"/>
      <c r="Q1095" s="1245"/>
      <c r="R1095" s="1245"/>
      <c r="S1095" s="1245"/>
      <c r="T1095" s="1671"/>
      <c r="U1095" s="1664" t="str">
        <f>IFERROR(VLOOKUP(B1095,ChiTietDuToan!C:H,5,0),"")</f>
        <v>cái</v>
      </c>
      <c r="V1095" s="2309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59" t="s">
        <v>276</v>
      </c>
      <c r="C1096" s="1189" t="str">
        <f t="shared" ca="1" si="206"/>
        <v xml:space="preserve"> </v>
      </c>
      <c r="D1096" s="1236"/>
      <c r="E1096" s="1248" t="str">
        <f>VLOOKUP($B1096,DG!A:D,DG!$C$2,)</f>
        <v>Cáp thép 3/8"</v>
      </c>
      <c r="F1096" s="1236" t="str">
        <f>VLOOKUP($B1096,DG!A:D,DG!$D$2,)</f>
        <v>kg</v>
      </c>
      <c r="G1096" s="1915">
        <v>16</v>
      </c>
      <c r="H1096" s="1245">
        <f t="shared" ca="1" si="220"/>
        <v>0</v>
      </c>
      <c r="I1096" s="1245">
        <f ca="1">I$1092*$G1096</f>
        <v>0</v>
      </c>
      <c r="J1096" s="1245">
        <f t="shared" ca="1" si="221"/>
        <v>0</v>
      </c>
      <c r="K1096" s="1245">
        <f t="shared" ca="1" si="221"/>
        <v>0</v>
      </c>
      <c r="L1096" s="1245">
        <f t="shared" si="221"/>
        <v>0</v>
      </c>
      <c r="M1096" s="1245">
        <f t="shared" ca="1" si="221"/>
        <v>0</v>
      </c>
      <c r="N1096" s="1245">
        <f t="shared" ca="1" si="221"/>
        <v>0</v>
      </c>
      <c r="O1096" s="1245"/>
      <c r="P1096" s="1245"/>
      <c r="Q1096" s="1245"/>
      <c r="R1096" s="1245"/>
      <c r="S1096" s="1245"/>
      <c r="T1096" s="1671"/>
      <c r="U1096" s="1664" t="str">
        <f>IFERROR(VLOOKUP(B1096,ChiTietDuToan!C:H,5,0),"")</f>
        <v>mét</v>
      </c>
      <c r="V1096" s="2309">
        <f>IFERROR(VLOOKUP(B1096,ChiTietDuToan!C:H,6,0),"")</f>
        <v>30</v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59" t="s">
        <v>2053</v>
      </c>
      <c r="C1097" s="1189" t="str">
        <f t="shared" ca="1" si="206"/>
        <v xml:space="preserve"> </v>
      </c>
      <c r="D1097" s="1236"/>
      <c r="E1097" s="1248" t="str">
        <f>VLOOKUP($B1097,DG!A:D,DG!$C$2,)</f>
        <v>Yếm cáp dày 2mm</v>
      </c>
      <c r="F1097" s="1236" t="str">
        <f>VLOOKUP($B1097,DG!A:D,DG!$D$2,)</f>
        <v>cái</v>
      </c>
      <c r="G1097" s="1915">
        <v>2</v>
      </c>
      <c r="H1097" s="1245">
        <f t="shared" ca="1" si="220"/>
        <v>0</v>
      </c>
      <c r="I1097" s="1245">
        <f ca="1">I$1092*$G1097</f>
        <v>0</v>
      </c>
      <c r="J1097" s="1245">
        <f ca="1">J$1092*$G1097</f>
        <v>0</v>
      </c>
      <c r="K1097" s="1245">
        <f t="shared" ca="1" si="221"/>
        <v>0</v>
      </c>
      <c r="L1097" s="1245">
        <f t="shared" si="221"/>
        <v>0</v>
      </c>
      <c r="M1097" s="1245">
        <f t="shared" ca="1" si="221"/>
        <v>0</v>
      </c>
      <c r="N1097" s="1245">
        <f t="shared" ca="1" si="221"/>
        <v>0</v>
      </c>
      <c r="O1097" s="1245"/>
      <c r="P1097" s="1245"/>
      <c r="Q1097" s="1245"/>
      <c r="R1097" s="1245"/>
      <c r="S1097" s="1245"/>
      <c r="T1097" s="1671"/>
      <c r="U1097" s="1664" t="str">
        <f>IFERROR(VLOOKUP(B1097,ChiTietDuToan!C:H,5,0),"")</f>
        <v>cái</v>
      </c>
      <c r="V1097" s="2309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59" t="s">
        <v>2054</v>
      </c>
      <c r="C1098" s="1189" t="str">
        <f t="shared" ca="1" si="206"/>
        <v xml:space="preserve"> </v>
      </c>
      <c r="D1098" s="1236"/>
      <c r="E1098" s="1248" t="str">
        <f>VLOOKUP($B1098,DG!A:D,DG!$C$2,)</f>
        <v>Máng che dây chằng dày 1,6mm</v>
      </c>
      <c r="F1098" s="1236" t="str">
        <f>VLOOKUP($B1098,DG!A:D,DG!$D$2,)</f>
        <v>cái</v>
      </c>
      <c r="G1098" s="1915">
        <v>1</v>
      </c>
      <c r="H1098" s="1245">
        <f t="shared" ca="1" si="220"/>
        <v>0</v>
      </c>
      <c r="I1098" s="1245">
        <f t="shared" ca="1" si="221"/>
        <v>0</v>
      </c>
      <c r="J1098" s="1245">
        <f ca="1">J$1092*$G1098</f>
        <v>0</v>
      </c>
      <c r="K1098" s="1245">
        <f t="shared" ca="1" si="221"/>
        <v>0</v>
      </c>
      <c r="L1098" s="1245">
        <f t="shared" si="221"/>
        <v>0</v>
      </c>
      <c r="M1098" s="1245">
        <f t="shared" ca="1" si="221"/>
        <v>0</v>
      </c>
      <c r="N1098" s="1245">
        <f t="shared" ca="1" si="221"/>
        <v>0</v>
      </c>
      <c r="O1098" s="1245"/>
      <c r="P1098" s="1245"/>
      <c r="Q1098" s="1245"/>
      <c r="R1098" s="1245"/>
      <c r="S1098" s="1245"/>
      <c r="T1098" s="1671"/>
      <c r="U1098" s="1664" t="str">
        <f>IFERROR(VLOOKUP(B1098,ChiTietDuToan!C:H,5,0),"")</f>
        <v>cái</v>
      </c>
      <c r="V1098" s="2309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59" t="s">
        <v>1971</v>
      </c>
      <c r="C1099" s="1189" t="str">
        <f t="shared" si="206"/>
        <v xml:space="preserve"> </v>
      </c>
      <c r="D1099" s="1236" t="str">
        <f>VLOOKUP($B1099,DG!A:D,DG!$B$2,)</f>
        <v>06.3241</v>
      </c>
      <c r="E1099" s="1241" t="str">
        <f>VLOOKUP($B1099,DG!A:D,DG!$C$2,)</f>
        <v>Lắp bộ dây néo</v>
      </c>
      <c r="F1099" s="1236" t="str">
        <f>VLOOKUP($B1099,DG!A:D,DG!$D$2,)</f>
        <v>bộ</v>
      </c>
      <c r="G1099" s="1915">
        <f>G1093</f>
        <v>1</v>
      </c>
      <c r="H1099" s="1250"/>
      <c r="I1099" s="1250"/>
      <c r="J1099" s="1250"/>
      <c r="K1099" s="1250"/>
      <c r="L1099" s="1250"/>
      <c r="M1099" s="1250"/>
      <c r="N1099" s="1250"/>
      <c r="O1099" s="1250"/>
      <c r="P1099" s="1250"/>
      <c r="Q1099" s="1250"/>
      <c r="R1099" s="1250"/>
      <c r="S1099" s="1250"/>
      <c r="T1099" s="1671"/>
      <c r="U1099" s="1664" t="str">
        <f>IFERROR(VLOOKUP(B1099,ChiTietDuToan!C:H,5,0),"")</f>
        <v>bộ</v>
      </c>
      <c r="V1099" s="2309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74" t="s">
        <v>357</v>
      </c>
      <c r="C1100" s="1189" t="str">
        <f t="shared" si="206"/>
        <v xml:space="preserve"> </v>
      </c>
      <c r="D1100" s="1236" t="str">
        <f>VLOOKUP($B1100,DG!A:C,2,)</f>
        <v>02.1421</v>
      </c>
      <c r="E1100" s="1241" t="str">
        <f>VLOOKUP($B1100,DG!A:C,3,)</f>
        <v>V/c phụ kiện vào vị trí (cự ly &lt;=100m)</v>
      </c>
      <c r="F1100" s="1236" t="str">
        <f>VLOOKUP($B1100,DG!A:D,4,0)</f>
        <v>tấn</v>
      </c>
      <c r="G1100" s="1914">
        <v>0.02</v>
      </c>
      <c r="H1100" s="1250"/>
      <c r="I1100" s="1250"/>
      <c r="J1100" s="1250"/>
      <c r="K1100" s="1250"/>
      <c r="L1100" s="1250"/>
      <c r="M1100" s="1250"/>
      <c r="N1100" s="1250"/>
      <c r="O1100" s="1250"/>
      <c r="P1100" s="1250"/>
      <c r="Q1100" s="1250"/>
      <c r="R1100" s="1250"/>
      <c r="S1100" s="1250"/>
      <c r="T1100" s="1671"/>
      <c r="U1100" s="1664" t="str">
        <f>IFERROR(VLOOKUP(B1100,ChiTietDuToan!C:H,5,0),"")</f>
        <v>tấn</v>
      </c>
      <c r="V1100" s="2309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56"/>
      <c r="C1101" s="1189" t="str">
        <f t="shared" ca="1" si="206"/>
        <v xml:space="preserve"> </v>
      </c>
      <c r="D1101" s="1237"/>
      <c r="E1101" s="1666" t="s">
        <v>2528</v>
      </c>
      <c r="F1101" s="1238" t="s">
        <v>2449</v>
      </c>
      <c r="G1101" s="1912"/>
      <c r="H1101" s="1523">
        <f ca="1">SUM(I1101:O1101)+T1101</f>
        <v>0</v>
      </c>
      <c r="I1101" s="1239">
        <f ca="1">SUMIF(chang3pm,chitiet!$A1101,slchang3pm)</f>
        <v>0</v>
      </c>
      <c r="J1101" s="1239">
        <f ca="1">SUMIF(changct,chitiet!$A1101,slchangct)</f>
        <v>0</v>
      </c>
      <c r="K1101" s="1239">
        <f ca="1">SUMIF(chang3p1m,chitiet!$A1101,slchang3p1m)</f>
        <v>0</v>
      </c>
      <c r="L1101" s="1239">
        <f>IFERROR(HLOOKUP(A1101,pp1p!$6:$90,85,0),0)</f>
        <v>0</v>
      </c>
      <c r="M1101" s="1239">
        <f ca="1">SUMIF(changHTHH,chitiet!$A1101,slchangHTHH)</f>
        <v>0</v>
      </c>
      <c r="N1101" s="1239">
        <f ca="1">SUMIF(changHTDL,chitiet!$A1101,slchangHTDL)</f>
        <v>0</v>
      </c>
      <c r="O1101" s="1239"/>
      <c r="P1101" s="1239">
        <f ca="1">H1101+Q1101-R1101</f>
        <v>0</v>
      </c>
      <c r="Q1101" s="1239"/>
      <c r="R1101" s="1239"/>
      <c r="S1101" s="1239"/>
      <c r="T1101" s="1671"/>
      <c r="U1101" s="1664">
        <f>IFERROR(VLOOKUP(B1101,ChiTietDuToan!C:H,5,0),"")</f>
        <v>0</v>
      </c>
      <c r="V1101" s="2309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59" t="s">
        <v>420</v>
      </c>
      <c r="C1102" s="1189" t="str">
        <f t="shared" ca="1" si="206"/>
        <v xml:space="preserve"> </v>
      </c>
      <c r="D1102" s="1236"/>
      <c r="E1102" s="1248" t="str">
        <f>VLOOKUP($B1102,DG!A:D,DG!$C$2,)</f>
        <v>Boulon mắt 16x300+ 2 long đền vuông D18-50x50x3/Zn</v>
      </c>
      <c r="F1102" s="1236" t="str">
        <f>VLOOKUP($B1102,DG!A:D,DG!$D$2,)</f>
        <v>bộ</v>
      </c>
      <c r="G1102" s="1915">
        <v>1</v>
      </c>
      <c r="H1102" s="1245">
        <f t="shared" ref="H1102:H1108" ca="1" si="223">H$1101*$G1102</f>
        <v>0</v>
      </c>
      <c r="I1102" s="1245">
        <f t="shared" ref="I1102:N1108" ca="1" si="224">I$1101*$G1102</f>
        <v>0</v>
      </c>
      <c r="J1102" s="1245">
        <f t="shared" ca="1" si="224"/>
        <v>0</v>
      </c>
      <c r="K1102" s="1245">
        <f t="shared" ca="1" si="224"/>
        <v>0</v>
      </c>
      <c r="L1102" s="1245">
        <f t="shared" si="224"/>
        <v>0</v>
      </c>
      <c r="M1102" s="1245">
        <f t="shared" ca="1" si="224"/>
        <v>0</v>
      </c>
      <c r="N1102" s="1245">
        <f t="shared" ca="1" si="224"/>
        <v>0</v>
      </c>
      <c r="O1102" s="1245"/>
      <c r="P1102" s="1245"/>
      <c r="Q1102" s="1245"/>
      <c r="R1102" s="1245"/>
      <c r="S1102" s="1245"/>
      <c r="T1102" s="1671"/>
      <c r="U1102" s="1664" t="str">
        <f>IFERROR(VLOOKUP(B1102,ChiTietDuToan!C:H,5,0),"")</f>
        <v>bộ</v>
      </c>
      <c r="V1102" s="2309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59" t="s">
        <v>112</v>
      </c>
      <c r="C1103" s="1189" t="str">
        <f t="shared" ref="C1103:C1166" ca="1" si="225">IF(OR(P1103&lt;&gt;0,H1103&lt;&gt;0),"x"," ")</f>
        <v xml:space="preserve"> </v>
      </c>
      <c r="D1103" s="1236"/>
      <c r="E1103" s="1248" t="str">
        <f>VLOOKUP($B1103,DG!A:D,DG!$C$2,)</f>
        <v>Sứ chằng</v>
      </c>
      <c r="F1103" s="1236" t="str">
        <f>VLOOKUP($B1103,DG!A:D,DG!$D$2,)</f>
        <v>cái</v>
      </c>
      <c r="G1103" s="1915">
        <v>1</v>
      </c>
      <c r="H1103" s="1245">
        <f t="shared" ca="1" si="223"/>
        <v>0</v>
      </c>
      <c r="I1103" s="1245">
        <f t="shared" ca="1" si="224"/>
        <v>0</v>
      </c>
      <c r="J1103" s="1245">
        <f t="shared" ca="1" si="224"/>
        <v>0</v>
      </c>
      <c r="K1103" s="1245">
        <f t="shared" ca="1" si="224"/>
        <v>0</v>
      </c>
      <c r="L1103" s="1245">
        <f t="shared" si="224"/>
        <v>0</v>
      </c>
      <c r="M1103" s="1245">
        <f t="shared" ca="1" si="224"/>
        <v>0</v>
      </c>
      <c r="N1103" s="1245">
        <f t="shared" ca="1" si="224"/>
        <v>0</v>
      </c>
      <c r="O1103" s="1245"/>
      <c r="P1103" s="1245"/>
      <c r="Q1103" s="1245"/>
      <c r="R1103" s="1245"/>
      <c r="S1103" s="1245"/>
      <c r="T1103" s="1671"/>
      <c r="U1103" s="1664" t="str">
        <f>IFERROR(VLOOKUP(B1103,ChiTietDuToan!C:H,5,0),"")</f>
        <v>cái</v>
      </c>
      <c r="V1103" s="2309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59" t="s">
        <v>1630</v>
      </c>
      <c r="C1104" s="1189" t="str">
        <f t="shared" ca="1" si="225"/>
        <v xml:space="preserve"> </v>
      </c>
      <c r="D1104" s="1236"/>
      <c r="E1104" s="1248" t="str">
        <f>VLOOKUP($B1104,DG!A:D,DG!$C$2,)</f>
        <v>Kẹp cáp 3 boulon</v>
      </c>
      <c r="F1104" s="1236" t="str">
        <f>VLOOKUP($B1104,DG!A:D,DG!$D$2,)</f>
        <v>cái</v>
      </c>
      <c r="G1104" s="1915">
        <v>8</v>
      </c>
      <c r="H1104" s="1245">
        <f t="shared" ca="1" si="223"/>
        <v>0</v>
      </c>
      <c r="I1104" s="1245">
        <f t="shared" ca="1" si="224"/>
        <v>0</v>
      </c>
      <c r="J1104" s="1245">
        <f t="shared" ca="1" si="224"/>
        <v>0</v>
      </c>
      <c r="K1104" s="1245">
        <f t="shared" ca="1" si="224"/>
        <v>0</v>
      </c>
      <c r="L1104" s="1245">
        <f t="shared" si="224"/>
        <v>0</v>
      </c>
      <c r="M1104" s="1245">
        <f t="shared" ca="1" si="224"/>
        <v>0</v>
      </c>
      <c r="N1104" s="1245">
        <f t="shared" ca="1" si="224"/>
        <v>0</v>
      </c>
      <c r="O1104" s="1245"/>
      <c r="P1104" s="1245"/>
      <c r="Q1104" s="1245"/>
      <c r="R1104" s="1245"/>
      <c r="S1104" s="1245"/>
      <c r="T1104" s="1671"/>
      <c r="U1104" s="1664" t="str">
        <f>IFERROR(VLOOKUP(B1104,ChiTietDuToan!C:H,5,0),"")</f>
        <v>cái</v>
      </c>
      <c r="V1104" s="2309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59" t="s">
        <v>276</v>
      </c>
      <c r="C1105" s="1189" t="str">
        <f t="shared" ca="1" si="225"/>
        <v xml:space="preserve"> </v>
      </c>
      <c r="D1105" s="1236"/>
      <c r="E1105" s="1248" t="str">
        <f>VLOOKUP($B1105,DG!A:D,DG!$C$2,)</f>
        <v>Cáp thép 3/8"</v>
      </c>
      <c r="F1105" s="1236" t="str">
        <f>VLOOKUP($B1105,DG!A:D,DG!$D$2,)</f>
        <v>kg</v>
      </c>
      <c r="G1105" s="1915">
        <v>11</v>
      </c>
      <c r="H1105" s="1245">
        <f t="shared" ca="1" si="223"/>
        <v>0</v>
      </c>
      <c r="I1105" s="1245">
        <f t="shared" ca="1" si="224"/>
        <v>0</v>
      </c>
      <c r="J1105" s="1245">
        <f t="shared" ca="1" si="224"/>
        <v>0</v>
      </c>
      <c r="K1105" s="1245">
        <f t="shared" ca="1" si="224"/>
        <v>0</v>
      </c>
      <c r="L1105" s="1245">
        <f t="shared" si="224"/>
        <v>0</v>
      </c>
      <c r="M1105" s="1245">
        <f t="shared" ca="1" si="224"/>
        <v>0</v>
      </c>
      <c r="N1105" s="1245">
        <f t="shared" ca="1" si="224"/>
        <v>0</v>
      </c>
      <c r="O1105" s="1245"/>
      <c r="P1105" s="1245"/>
      <c r="Q1105" s="1245"/>
      <c r="R1105" s="1245"/>
      <c r="S1105" s="1245"/>
      <c r="T1105" s="1671"/>
      <c r="U1105" s="1664" t="str">
        <f>IFERROR(VLOOKUP(B1105,ChiTietDuToan!C:H,5,0),"")</f>
        <v>mét</v>
      </c>
      <c r="V1105" s="2309">
        <f>IFERROR(VLOOKUP(B1105,ChiTietDuToan!C:H,6,0),"")</f>
        <v>30</v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59" t="s">
        <v>612</v>
      </c>
      <c r="C1106" s="1189" t="str">
        <f t="shared" ca="1" si="225"/>
        <v xml:space="preserve"> </v>
      </c>
      <c r="D1106" s="1236"/>
      <c r="E1106" s="1248" t="str">
        <f>VLOOKUP($B1106,DG!A:D,DG!$C$2,)</f>
        <v>Bộ chống chằng hẹp Ø60/50x1500+2BL12x40+BL16x250/80</v>
      </c>
      <c r="F1106" s="1236" t="str">
        <f>VLOOKUP($B1106,DG!A:D,DG!$D$2,)</f>
        <v>bộ</v>
      </c>
      <c r="G1106" s="1915">
        <v>1</v>
      </c>
      <c r="H1106" s="1245">
        <f t="shared" ca="1" si="223"/>
        <v>0</v>
      </c>
      <c r="I1106" s="1245">
        <f t="shared" ca="1" si="224"/>
        <v>0</v>
      </c>
      <c r="J1106" s="1245">
        <f t="shared" ca="1" si="224"/>
        <v>0</v>
      </c>
      <c r="K1106" s="1245">
        <f t="shared" ca="1" si="224"/>
        <v>0</v>
      </c>
      <c r="L1106" s="1245">
        <f t="shared" si="224"/>
        <v>0</v>
      </c>
      <c r="M1106" s="1245">
        <f t="shared" ca="1" si="224"/>
        <v>0</v>
      </c>
      <c r="N1106" s="1245">
        <f t="shared" ca="1" si="224"/>
        <v>0</v>
      </c>
      <c r="O1106" s="1245"/>
      <c r="P1106" s="1245"/>
      <c r="Q1106" s="1245"/>
      <c r="R1106" s="1245"/>
      <c r="S1106" s="1245"/>
      <c r="T1106" s="1671"/>
      <c r="U1106" s="1664" t="str">
        <f>IFERROR(VLOOKUP(B1106,ChiTietDuToan!C:H,5,0),"")</f>
        <v>bộ</v>
      </c>
      <c r="V1106" s="2309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59" t="s">
        <v>2053</v>
      </c>
      <c r="C1107" s="1189" t="str">
        <f t="shared" ca="1" si="225"/>
        <v xml:space="preserve"> </v>
      </c>
      <c r="D1107" s="1236"/>
      <c r="E1107" s="1248" t="str">
        <f>VLOOKUP($B1107,DG!A:D,DG!$C$2,)</f>
        <v>Yếm cáp dày 2mm</v>
      </c>
      <c r="F1107" s="1236" t="str">
        <f>VLOOKUP($B1107,DG!A:D,DG!$D$2,)</f>
        <v>cái</v>
      </c>
      <c r="G1107" s="1915">
        <v>2</v>
      </c>
      <c r="H1107" s="1245">
        <f t="shared" ca="1" si="223"/>
        <v>0</v>
      </c>
      <c r="I1107" s="1245">
        <f ca="1">I$1101*$G1107</f>
        <v>0</v>
      </c>
      <c r="J1107" s="1245">
        <f t="shared" ca="1" si="224"/>
        <v>0</v>
      </c>
      <c r="K1107" s="1245">
        <f t="shared" ca="1" si="224"/>
        <v>0</v>
      </c>
      <c r="L1107" s="1245">
        <f t="shared" si="224"/>
        <v>0</v>
      </c>
      <c r="M1107" s="1245">
        <f t="shared" ca="1" si="224"/>
        <v>0</v>
      </c>
      <c r="N1107" s="1245">
        <f t="shared" ca="1" si="224"/>
        <v>0</v>
      </c>
      <c r="O1107" s="1245"/>
      <c r="P1107" s="1245"/>
      <c r="Q1107" s="1245"/>
      <c r="R1107" s="1245"/>
      <c r="S1107" s="1245"/>
      <c r="T1107" s="1671"/>
      <c r="U1107" s="1664" t="str">
        <f>IFERROR(VLOOKUP(B1107,ChiTietDuToan!C:H,5,0),"")</f>
        <v>cái</v>
      </c>
      <c r="V1107" s="2309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59" t="s">
        <v>2054</v>
      </c>
      <c r="C1108" s="1189" t="str">
        <f t="shared" ca="1" si="225"/>
        <v xml:space="preserve"> </v>
      </c>
      <c r="D1108" s="1236"/>
      <c r="E1108" s="1248" t="str">
        <f>VLOOKUP($B1108,DG!A:D,DG!$C$2,)</f>
        <v>Máng che dây chằng dày 1,6mm</v>
      </c>
      <c r="F1108" s="1236" t="str">
        <f>VLOOKUP($B1108,DG!A:D,DG!$D$2,)</f>
        <v>cái</v>
      </c>
      <c r="G1108" s="1915">
        <v>1</v>
      </c>
      <c r="H1108" s="1245">
        <f t="shared" ca="1" si="223"/>
        <v>0</v>
      </c>
      <c r="I1108" s="1245">
        <f t="shared" ca="1" si="224"/>
        <v>0</v>
      </c>
      <c r="J1108" s="1245">
        <f t="shared" ca="1" si="224"/>
        <v>0</v>
      </c>
      <c r="K1108" s="1245">
        <f t="shared" ca="1" si="224"/>
        <v>0</v>
      </c>
      <c r="L1108" s="1245">
        <f t="shared" si="224"/>
        <v>0</v>
      </c>
      <c r="M1108" s="1245">
        <f t="shared" ca="1" si="224"/>
        <v>0</v>
      </c>
      <c r="N1108" s="1245">
        <f t="shared" ca="1" si="224"/>
        <v>0</v>
      </c>
      <c r="O1108" s="1245"/>
      <c r="P1108" s="1245"/>
      <c r="Q1108" s="1245"/>
      <c r="R1108" s="1245"/>
      <c r="S1108" s="1245"/>
      <c r="T1108" s="1671"/>
      <c r="U1108" s="1664" t="str">
        <f>IFERROR(VLOOKUP(B1108,ChiTietDuToan!C:H,5,0),"")</f>
        <v>cái</v>
      </c>
      <c r="V1108" s="2309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59" t="s">
        <v>1971</v>
      </c>
      <c r="C1109" s="1189" t="str">
        <f t="shared" si="225"/>
        <v xml:space="preserve"> </v>
      </c>
      <c r="D1109" s="1236" t="str">
        <f>VLOOKUP($B1109,DG!A:D,DG!$B$2,)</f>
        <v>06.3241</v>
      </c>
      <c r="E1109" s="1241" t="str">
        <f>VLOOKUP($B1109,DG!A:D,DG!$C$2,)</f>
        <v>Lắp bộ dây néo</v>
      </c>
      <c r="F1109" s="1236" t="str">
        <f>VLOOKUP($B1109,DG!A:D,DG!$D$2,)</f>
        <v>bộ</v>
      </c>
      <c r="G1109" s="1915">
        <f>G1102</f>
        <v>1</v>
      </c>
      <c r="H1109" s="1250"/>
      <c r="I1109" s="1250"/>
      <c r="J1109" s="1250"/>
      <c r="K1109" s="1250"/>
      <c r="L1109" s="1250"/>
      <c r="M1109" s="1250"/>
      <c r="N1109" s="1250"/>
      <c r="O1109" s="1250"/>
      <c r="P1109" s="1250"/>
      <c r="Q1109" s="1250"/>
      <c r="R1109" s="1250"/>
      <c r="S1109" s="1250"/>
      <c r="T1109" s="1671"/>
      <c r="U1109" s="1664" t="str">
        <f>IFERROR(VLOOKUP(B1109,ChiTietDuToan!C:H,5,0),"")</f>
        <v>bộ</v>
      </c>
      <c r="V1109" s="2309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59" t="s">
        <v>1959</v>
      </c>
      <c r="C1110" s="1189" t="str">
        <f t="shared" si="225"/>
        <v xml:space="preserve"> </v>
      </c>
      <c r="D1110" s="1236" t="str">
        <f>VLOOKUP($B1110,DG!A:D,DG!$B$2,)</f>
        <v>05.6011</v>
      </c>
      <c r="E1110" s="1241" t="str">
        <f>VLOOKUP($B1110,DG!A:D,DG!$C$2,)</f>
        <v>Lắp bộ chống lệch</v>
      </c>
      <c r="F1110" s="1236" t="str">
        <f>VLOOKUP($B1110,DG!A:D,DG!$D$2,)</f>
        <v>bộ</v>
      </c>
      <c r="G1110" s="1915">
        <f>G1099</f>
        <v>1</v>
      </c>
      <c r="H1110" s="1250"/>
      <c r="I1110" s="1250"/>
      <c r="J1110" s="1250"/>
      <c r="K1110" s="1250"/>
      <c r="L1110" s="1250"/>
      <c r="M1110" s="1250"/>
      <c r="N1110" s="1250"/>
      <c r="O1110" s="1250"/>
      <c r="P1110" s="1250"/>
      <c r="Q1110" s="1250"/>
      <c r="R1110" s="1250"/>
      <c r="S1110" s="1250"/>
      <c r="T1110" s="1671"/>
      <c r="U1110" s="1664" t="str">
        <f>IFERROR(VLOOKUP(B1110,ChiTietDuToan!C:H,5,0),"")</f>
        <v>bộ</v>
      </c>
      <c r="V1110" s="2309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74" t="s">
        <v>357</v>
      </c>
      <c r="C1111" s="1189" t="str">
        <f t="shared" si="225"/>
        <v xml:space="preserve"> </v>
      </c>
      <c r="D1111" s="1236" t="str">
        <f>VLOOKUP($B1111,DG!A:C,2,)</f>
        <v>02.1421</v>
      </c>
      <c r="E1111" s="1241" t="str">
        <f>VLOOKUP($B1111,DG!A:C,3,)</f>
        <v>V/c phụ kiện vào vị trí (cự ly &lt;=100m)</v>
      </c>
      <c r="F1111" s="1236" t="str">
        <f>VLOOKUP($B1111,DG!A:D,4,0)</f>
        <v>tấn</v>
      </c>
      <c r="G1111" s="1914">
        <v>0.02</v>
      </c>
      <c r="H1111" s="1250"/>
      <c r="I1111" s="1250"/>
      <c r="J1111" s="1250"/>
      <c r="K1111" s="1250"/>
      <c r="L1111" s="1250"/>
      <c r="M1111" s="1250"/>
      <c r="N1111" s="1250"/>
      <c r="O1111" s="1250"/>
      <c r="P1111" s="1250"/>
      <c r="Q1111" s="1250"/>
      <c r="R1111" s="1250"/>
      <c r="S1111" s="1250"/>
      <c r="T1111" s="1671"/>
      <c r="U1111" s="1664" t="str">
        <f>IFERROR(VLOOKUP(B1111,ChiTietDuToan!C:H,5,0),"")</f>
        <v>tấn</v>
      </c>
      <c r="V1111" s="2309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56"/>
      <c r="C1112" s="1189" t="str">
        <f t="shared" ca="1" si="225"/>
        <v xml:space="preserve"> </v>
      </c>
      <c r="D1112" s="1237"/>
      <c r="E1112" s="1666" t="s">
        <v>2529</v>
      </c>
      <c r="F1112" s="1238" t="s">
        <v>2449</v>
      </c>
      <c r="G1112" s="1912"/>
      <c r="H1112" s="1523">
        <f ca="1">SUM(I1112:O1112)+T1112</f>
        <v>0</v>
      </c>
      <c r="I1112" s="1239">
        <f ca="1">SUMIF(chang3pm,chitiet!$A1112,slchang3pm)</f>
        <v>0</v>
      </c>
      <c r="J1112" s="1239">
        <f ca="1">SUMIF(changct,chitiet!$A1112,slchangct)</f>
        <v>0</v>
      </c>
      <c r="K1112" s="1239">
        <f ca="1">SUMIF(chang3p1m,chitiet!$A1112,slchang3p1m)</f>
        <v>0</v>
      </c>
      <c r="L1112" s="1239">
        <f>IFERROR(HLOOKUP(A1112,pp1p!$6:$90,85,0),0)</f>
        <v>0</v>
      </c>
      <c r="M1112" s="1239">
        <f ca="1">SUMIF(changHTHH,chitiet!$A1112,slchangHTHH)</f>
        <v>0</v>
      </c>
      <c r="N1112" s="1239">
        <f ca="1">SUMIF(changHTDL,chitiet!$A1112,slchangHTDL)</f>
        <v>0</v>
      </c>
      <c r="O1112" s="1239"/>
      <c r="P1112" s="1239">
        <f ca="1">H1112+Q1112-R1112</f>
        <v>0</v>
      </c>
      <c r="Q1112" s="1239"/>
      <c r="R1112" s="1239"/>
      <c r="S1112" s="1239"/>
      <c r="T1112" s="1671"/>
      <c r="U1112" s="1664">
        <f>IFERROR(VLOOKUP(B1112,ChiTietDuToan!C:H,5,0),"")</f>
        <v>0</v>
      </c>
      <c r="V1112" s="2309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59" t="s">
        <v>1091</v>
      </c>
      <c r="C1113" s="1189" t="str">
        <f t="shared" ca="1" si="225"/>
        <v xml:space="preserve"> </v>
      </c>
      <c r="D1113" s="1236"/>
      <c r="E1113" s="1248" t="str">
        <f>VLOOKUP($B1113,DG!A:D,DG!$C$2,)</f>
        <v>Boulon mắt 16x250+ 2 long đền vuông D18-50x50x3/Zn</v>
      </c>
      <c r="F1113" s="1236" t="str">
        <f>VLOOKUP($B1113,DG!A:D,DG!$D$2,)</f>
        <v>bộ</v>
      </c>
      <c r="G1113" s="1915">
        <v>2</v>
      </c>
      <c r="H1113" s="1245">
        <f t="shared" ref="H1113:H1118" ca="1" si="226">H$1112*$G1113</f>
        <v>0</v>
      </c>
      <c r="I1113" s="1245">
        <f t="shared" ref="I1113:N1118" ca="1" si="227">I$1112*$G1113</f>
        <v>0</v>
      </c>
      <c r="J1113" s="1245">
        <f t="shared" ca="1" si="227"/>
        <v>0</v>
      </c>
      <c r="K1113" s="1245">
        <f t="shared" ca="1" si="227"/>
        <v>0</v>
      </c>
      <c r="L1113" s="1245">
        <f t="shared" si="227"/>
        <v>0</v>
      </c>
      <c r="M1113" s="1245">
        <f t="shared" ca="1" si="227"/>
        <v>0</v>
      </c>
      <c r="N1113" s="1245">
        <f t="shared" ca="1" si="227"/>
        <v>0</v>
      </c>
      <c r="O1113" s="1245"/>
      <c r="P1113" s="1245"/>
      <c r="Q1113" s="1245"/>
      <c r="R1113" s="1245"/>
      <c r="S1113" s="1245"/>
      <c r="T1113" s="1671"/>
      <c r="U1113" s="1664" t="str">
        <f>IFERROR(VLOOKUP(B1113,ChiTietDuToan!C:H,5,0),"")</f>
        <v/>
      </c>
      <c r="V1113" s="2309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59" t="s">
        <v>112</v>
      </c>
      <c r="C1114" s="1189" t="str">
        <f t="shared" ca="1" si="225"/>
        <v xml:space="preserve"> </v>
      </c>
      <c r="D1114" s="1236"/>
      <c r="E1114" s="1248" t="str">
        <f>VLOOKUP($B1114,DG!A:D,DG!$C$2,)</f>
        <v>Sứ chằng</v>
      </c>
      <c r="F1114" s="1236" t="str">
        <f>VLOOKUP($B1114,DG!A:D,DG!$D$2,)</f>
        <v>cái</v>
      </c>
      <c r="G1114" s="1915">
        <v>2</v>
      </c>
      <c r="H1114" s="1245">
        <f t="shared" ca="1" si="226"/>
        <v>0</v>
      </c>
      <c r="I1114" s="1245">
        <f t="shared" ca="1" si="227"/>
        <v>0</v>
      </c>
      <c r="J1114" s="1245">
        <f t="shared" ca="1" si="227"/>
        <v>0</v>
      </c>
      <c r="K1114" s="1245">
        <f t="shared" ca="1" si="227"/>
        <v>0</v>
      </c>
      <c r="L1114" s="1245">
        <f t="shared" si="227"/>
        <v>0</v>
      </c>
      <c r="M1114" s="1245">
        <f t="shared" ca="1" si="227"/>
        <v>0</v>
      </c>
      <c r="N1114" s="1245">
        <f t="shared" ca="1" si="227"/>
        <v>0</v>
      </c>
      <c r="O1114" s="1245"/>
      <c r="P1114" s="1245"/>
      <c r="Q1114" s="1245"/>
      <c r="R1114" s="1245"/>
      <c r="S1114" s="1245"/>
      <c r="T1114" s="1671"/>
      <c r="U1114" s="1664" t="str">
        <f>IFERROR(VLOOKUP(B1114,ChiTietDuToan!C:H,5,0),"")</f>
        <v>cái</v>
      </c>
      <c r="V1114" s="2309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59" t="s">
        <v>1630</v>
      </c>
      <c r="C1115" s="1189" t="str">
        <f t="shared" ca="1" si="225"/>
        <v xml:space="preserve"> </v>
      </c>
      <c r="D1115" s="1236"/>
      <c r="E1115" s="1248" t="str">
        <f>VLOOKUP($B1115,DG!A:D,DG!$C$2,)</f>
        <v>Kẹp cáp 3 boulon</v>
      </c>
      <c r="F1115" s="1236" t="str">
        <f>VLOOKUP($B1115,DG!A:D,DG!$D$2,)</f>
        <v>cái</v>
      </c>
      <c r="G1115" s="1915">
        <v>16</v>
      </c>
      <c r="H1115" s="1245">
        <f t="shared" ca="1" si="226"/>
        <v>0</v>
      </c>
      <c r="I1115" s="1245">
        <f t="shared" ca="1" si="227"/>
        <v>0</v>
      </c>
      <c r="J1115" s="1245">
        <f t="shared" ca="1" si="227"/>
        <v>0</v>
      </c>
      <c r="K1115" s="1245">
        <f t="shared" ca="1" si="227"/>
        <v>0</v>
      </c>
      <c r="L1115" s="1245">
        <f t="shared" si="227"/>
        <v>0</v>
      </c>
      <c r="M1115" s="1245">
        <f t="shared" ca="1" si="227"/>
        <v>0</v>
      </c>
      <c r="N1115" s="1245">
        <f t="shared" ca="1" si="227"/>
        <v>0</v>
      </c>
      <c r="O1115" s="1245"/>
      <c r="P1115" s="1245"/>
      <c r="Q1115" s="1245"/>
      <c r="R1115" s="1245"/>
      <c r="S1115" s="1245"/>
      <c r="T1115" s="1671"/>
      <c r="U1115" s="1664" t="str">
        <f>IFERROR(VLOOKUP(B1115,ChiTietDuToan!C:H,5,0),"")</f>
        <v>cái</v>
      </c>
      <c r="V1115" s="2309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59" t="s">
        <v>276</v>
      </c>
      <c r="C1116" s="1189" t="str">
        <f t="shared" ca="1" si="225"/>
        <v xml:space="preserve"> </v>
      </c>
      <c r="D1116" s="1236"/>
      <c r="E1116" s="1248" t="str">
        <f>VLOOKUP($B1116,DG!A:D,DG!$C$2,)</f>
        <v>Cáp thép 3/8"</v>
      </c>
      <c r="F1116" s="1236" t="str">
        <f>VLOOKUP($B1116,DG!A:D,DG!$D$2,)</f>
        <v>kg</v>
      </c>
      <c r="G1116" s="1915">
        <v>31</v>
      </c>
      <c r="H1116" s="1245">
        <f t="shared" ca="1" si="226"/>
        <v>0</v>
      </c>
      <c r="I1116" s="1245">
        <f t="shared" ca="1" si="227"/>
        <v>0</v>
      </c>
      <c r="J1116" s="1245">
        <f t="shared" ca="1" si="227"/>
        <v>0</v>
      </c>
      <c r="K1116" s="1245">
        <f t="shared" ca="1" si="227"/>
        <v>0</v>
      </c>
      <c r="L1116" s="1245">
        <f t="shared" si="227"/>
        <v>0</v>
      </c>
      <c r="M1116" s="1245">
        <f t="shared" ca="1" si="227"/>
        <v>0</v>
      </c>
      <c r="N1116" s="1245">
        <f t="shared" ca="1" si="227"/>
        <v>0</v>
      </c>
      <c r="O1116" s="1245"/>
      <c r="P1116" s="1245"/>
      <c r="Q1116" s="1245"/>
      <c r="R1116" s="1245"/>
      <c r="S1116" s="1245"/>
      <c r="T1116" s="1671"/>
      <c r="U1116" s="1664" t="str">
        <f>IFERROR(VLOOKUP(B1116,ChiTietDuToan!C:H,5,0),"")</f>
        <v>mét</v>
      </c>
      <c r="V1116" s="2309">
        <f>IFERROR(VLOOKUP(B1116,ChiTietDuToan!C:H,6,0),"")</f>
        <v>30</v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59" t="s">
        <v>2053</v>
      </c>
      <c r="C1117" s="1189" t="str">
        <f t="shared" ca="1" si="225"/>
        <v xml:space="preserve"> </v>
      </c>
      <c r="D1117" s="1236"/>
      <c r="E1117" s="1248" t="str">
        <f>VLOOKUP($B1117,DG!A:D,DG!$C$2,)</f>
        <v>Yếm cáp dày 2mm</v>
      </c>
      <c r="F1117" s="1236" t="str">
        <f>VLOOKUP($B1117,DG!A:D,DG!$D$2,)</f>
        <v>cái</v>
      </c>
      <c r="G1117" s="1915">
        <v>4</v>
      </c>
      <c r="H1117" s="1245">
        <f t="shared" ca="1" si="226"/>
        <v>0</v>
      </c>
      <c r="I1117" s="1245">
        <f t="shared" ca="1" si="227"/>
        <v>0</v>
      </c>
      <c r="J1117" s="1245">
        <f t="shared" ca="1" si="227"/>
        <v>0</v>
      </c>
      <c r="K1117" s="1245">
        <f t="shared" ca="1" si="227"/>
        <v>0</v>
      </c>
      <c r="L1117" s="1245">
        <f t="shared" si="227"/>
        <v>0</v>
      </c>
      <c r="M1117" s="1245">
        <f t="shared" ca="1" si="227"/>
        <v>0</v>
      </c>
      <c r="N1117" s="1245">
        <f t="shared" ca="1" si="227"/>
        <v>0</v>
      </c>
      <c r="O1117" s="1245"/>
      <c r="P1117" s="1245"/>
      <c r="Q1117" s="1245"/>
      <c r="R1117" s="1245"/>
      <c r="S1117" s="1245"/>
      <c r="T1117" s="1671"/>
      <c r="U1117" s="1664" t="str">
        <f>IFERROR(VLOOKUP(B1117,ChiTietDuToan!C:H,5,0),"")</f>
        <v>cái</v>
      </c>
      <c r="V1117" s="2309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59" t="s">
        <v>2054</v>
      </c>
      <c r="C1118" s="1189" t="str">
        <f t="shared" ca="1" si="225"/>
        <v xml:space="preserve"> </v>
      </c>
      <c r="D1118" s="1236"/>
      <c r="E1118" s="1248" t="str">
        <f>VLOOKUP($B1118,DG!A:D,DG!$C$2,)</f>
        <v>Máng che dây chằng dày 1,6mm</v>
      </c>
      <c r="F1118" s="1236" t="str">
        <f>VLOOKUP($B1118,DG!A:D,DG!$D$2,)</f>
        <v>cái</v>
      </c>
      <c r="G1118" s="1915">
        <v>2</v>
      </c>
      <c r="H1118" s="1245">
        <f t="shared" ca="1" si="226"/>
        <v>0</v>
      </c>
      <c r="I1118" s="1245">
        <f t="shared" ca="1" si="227"/>
        <v>0</v>
      </c>
      <c r="J1118" s="1245">
        <f t="shared" ca="1" si="227"/>
        <v>0</v>
      </c>
      <c r="K1118" s="1245">
        <f t="shared" ca="1" si="227"/>
        <v>0</v>
      </c>
      <c r="L1118" s="1245">
        <f t="shared" si="227"/>
        <v>0</v>
      </c>
      <c r="M1118" s="1245">
        <f t="shared" ca="1" si="227"/>
        <v>0</v>
      </c>
      <c r="N1118" s="1245">
        <f t="shared" ca="1" si="227"/>
        <v>0</v>
      </c>
      <c r="O1118" s="1245"/>
      <c r="P1118" s="1245"/>
      <c r="Q1118" s="1245"/>
      <c r="R1118" s="1245"/>
      <c r="S1118" s="1245"/>
      <c r="T1118" s="1671"/>
      <c r="U1118" s="1664" t="str">
        <f>IFERROR(VLOOKUP(B1118,ChiTietDuToan!C:H,5,0),"")</f>
        <v>cái</v>
      </c>
      <c r="V1118" s="2309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59" t="s">
        <v>1971</v>
      </c>
      <c r="C1119" s="1189" t="str">
        <f t="shared" si="225"/>
        <v xml:space="preserve"> </v>
      </c>
      <c r="D1119" s="1236" t="str">
        <f>VLOOKUP($B1119,DG!A:D,DG!$B$2,)</f>
        <v>06.3241</v>
      </c>
      <c r="E1119" s="1241" t="str">
        <f>VLOOKUP($B1119,DG!A:D,DG!$C$2,)</f>
        <v>Lắp bộ dây néo</v>
      </c>
      <c r="F1119" s="1236" t="str">
        <f>VLOOKUP($B1119,DG!A:D,DG!$D$2,)</f>
        <v>bộ</v>
      </c>
      <c r="G1119" s="1915">
        <f>G1113</f>
        <v>2</v>
      </c>
      <c r="H1119" s="1250"/>
      <c r="I1119" s="1250"/>
      <c r="J1119" s="1250"/>
      <c r="K1119" s="1250"/>
      <c r="L1119" s="1250"/>
      <c r="M1119" s="1250"/>
      <c r="N1119" s="1250"/>
      <c r="O1119" s="1250"/>
      <c r="P1119" s="1250"/>
      <c r="Q1119" s="1250"/>
      <c r="R1119" s="1250"/>
      <c r="S1119" s="1250"/>
      <c r="T1119" s="1671"/>
      <c r="U1119" s="1664" t="str">
        <f>IFERROR(VLOOKUP(B1119,ChiTietDuToan!C:H,5,0),"")</f>
        <v>bộ</v>
      </c>
      <c r="V1119" s="2309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74" t="s">
        <v>357</v>
      </c>
      <c r="C1120" s="1189" t="str">
        <f t="shared" si="225"/>
        <v xml:space="preserve"> </v>
      </c>
      <c r="D1120" s="1236" t="str">
        <f>VLOOKUP($B1120,DG!A:C,2,)</f>
        <v>02.1421</v>
      </c>
      <c r="E1120" s="1241" t="str">
        <f>VLOOKUP($B1120,DG!A:C,3,)</f>
        <v>V/c phụ kiện vào vị trí (cự ly &lt;=100m)</v>
      </c>
      <c r="F1120" s="1236" t="str">
        <f>VLOOKUP($B1120,DG!A:D,4,0)</f>
        <v>tấn</v>
      </c>
      <c r="G1120" s="1914">
        <v>0.02</v>
      </c>
      <c r="H1120" s="1250"/>
      <c r="I1120" s="1250"/>
      <c r="J1120" s="1250"/>
      <c r="K1120" s="1250"/>
      <c r="L1120" s="1250"/>
      <c r="M1120" s="1250"/>
      <c r="N1120" s="1250"/>
      <c r="O1120" s="1250"/>
      <c r="P1120" s="1250"/>
      <c r="Q1120" s="1250"/>
      <c r="R1120" s="1250"/>
      <c r="S1120" s="1250"/>
      <c r="T1120" s="1671"/>
      <c r="U1120" s="1664" t="str">
        <f>IFERROR(VLOOKUP(B1120,ChiTietDuToan!C:H,5,0),"")</f>
        <v>tấn</v>
      </c>
      <c r="V1120" s="2309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56"/>
      <c r="C1121" s="1189" t="str">
        <f t="shared" ca="1" si="225"/>
        <v xml:space="preserve"> </v>
      </c>
      <c r="D1121" s="1237"/>
      <c r="E1121" s="1666" t="s">
        <v>2530</v>
      </c>
      <c r="F1121" s="1238" t="s">
        <v>2449</v>
      </c>
      <c r="G1121" s="1912"/>
      <c r="H1121" s="1523">
        <f ca="1">SUM(I1121:O1121)+T1121</f>
        <v>0</v>
      </c>
      <c r="I1121" s="1239">
        <f ca="1">SUMIF(chang3pm,chitiet!$A1121,slchang3pm)</f>
        <v>0</v>
      </c>
      <c r="J1121" s="1239">
        <f ca="1">SUMIF(changct,chitiet!$A1121,slchangct)</f>
        <v>0</v>
      </c>
      <c r="K1121" s="1239"/>
      <c r="L1121" s="1239">
        <f>IFERROR(HLOOKUP(A1121,pp1p!$6:$90,85,0),0)</f>
        <v>0</v>
      </c>
      <c r="M1121" s="1239">
        <f ca="1">SUMIF(changHTHH,chitiet!$A1121,slchangHTHH)</f>
        <v>0</v>
      </c>
      <c r="N1121" s="1239">
        <f ca="1">SUMIF(changHTDL,chitiet!$A1121,slchangHTDL)</f>
        <v>0</v>
      </c>
      <c r="O1121" s="1239"/>
      <c r="P1121" s="1239">
        <f ca="1">H1121+Q1121-R1121</f>
        <v>0</v>
      </c>
      <c r="Q1121" s="1239"/>
      <c r="R1121" s="1239"/>
      <c r="S1121" s="1239"/>
      <c r="T1121" s="1671"/>
      <c r="U1121" s="1664">
        <f>IFERROR(VLOOKUP(B1121,ChiTietDuToan!C:H,5,0),"")</f>
        <v>0</v>
      </c>
      <c r="V1121" s="2309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59" t="s">
        <v>1971</v>
      </c>
      <c r="C1122" s="1189" t="str">
        <f t="shared" ca="1" si="225"/>
        <v xml:space="preserve"> </v>
      </c>
      <c r="D1122" s="1236"/>
      <c r="E1122" s="1241" t="s">
        <v>2524</v>
      </c>
      <c r="F1122" s="1236" t="str">
        <f>VLOOKUP($B1122,DG!A:D,DG!$D$2,)</f>
        <v>bộ</v>
      </c>
      <c r="G1122" s="1915">
        <v>1</v>
      </c>
      <c r="H1122" s="1245">
        <f t="shared" ref="H1122:N1123" ca="1" si="228">H$1121*$G1122</f>
        <v>0</v>
      </c>
      <c r="I1122" s="1245">
        <f t="shared" ca="1" si="228"/>
        <v>0</v>
      </c>
      <c r="J1122" s="1245">
        <f t="shared" ca="1" si="228"/>
        <v>0</v>
      </c>
      <c r="K1122" s="1245">
        <f t="shared" si="228"/>
        <v>0</v>
      </c>
      <c r="L1122" s="1245">
        <f t="shared" si="228"/>
        <v>0</v>
      </c>
      <c r="M1122" s="1245">
        <f t="shared" ca="1" si="228"/>
        <v>0</v>
      </c>
      <c r="N1122" s="1245">
        <f t="shared" ca="1" si="228"/>
        <v>0</v>
      </c>
      <c r="O1122" s="1245"/>
      <c r="P1122" s="1245"/>
      <c r="Q1122" s="1245"/>
      <c r="R1122" s="1245"/>
      <c r="S1122" s="1245"/>
      <c r="T1122" s="1671"/>
      <c r="U1122" s="1664" t="str">
        <f>IFERROR(VLOOKUP(B1122,ChiTietDuToan!C:H,5,0),"")</f>
        <v>bộ</v>
      </c>
      <c r="V1122" s="2309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74" t="s">
        <v>357</v>
      </c>
      <c r="C1123" s="1189" t="str">
        <f t="shared" ca="1" si="225"/>
        <v xml:space="preserve"> </v>
      </c>
      <c r="D1123" s="1236" t="str">
        <f>VLOOKUP($B1123,DG!A:C,2,)</f>
        <v>02.1421</v>
      </c>
      <c r="E1123" s="1241" t="str">
        <f>VLOOKUP($B1123,DG!A:C,3,)</f>
        <v>V/c phụ kiện vào vị trí (cự ly &lt;=100m)</v>
      </c>
      <c r="F1123" s="1236" t="str">
        <f>VLOOKUP($B1123,DG!A:D,4,0)</f>
        <v>tấn</v>
      </c>
      <c r="G1123" s="1914">
        <v>0.02</v>
      </c>
      <c r="H1123" s="1245">
        <f t="shared" ca="1" si="228"/>
        <v>0</v>
      </c>
      <c r="I1123" s="1245">
        <f t="shared" ca="1" si="228"/>
        <v>0</v>
      </c>
      <c r="J1123" s="1245">
        <f t="shared" ca="1" si="228"/>
        <v>0</v>
      </c>
      <c r="K1123" s="1245">
        <f t="shared" si="228"/>
        <v>0</v>
      </c>
      <c r="L1123" s="1245">
        <f t="shared" si="228"/>
        <v>0</v>
      </c>
      <c r="M1123" s="1245">
        <f t="shared" ca="1" si="228"/>
        <v>0</v>
      </c>
      <c r="N1123" s="1245">
        <f t="shared" ca="1" si="228"/>
        <v>0</v>
      </c>
      <c r="O1123" s="1245"/>
      <c r="P1123" s="1245"/>
      <c r="Q1123" s="1245"/>
      <c r="R1123" s="1245"/>
      <c r="S1123" s="1245"/>
      <c r="T1123" s="1671"/>
      <c r="U1123" s="1664" t="str">
        <f>IFERROR(VLOOKUP(B1123,ChiTietDuToan!C:H,5,0),"")</f>
        <v>tấn</v>
      </c>
      <c r="V1123" s="2309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53" t="s">
        <v>668</v>
      </c>
      <c r="B1124" s="1954" t="str">
        <f>A1124</f>
        <v>CX12-B</v>
      </c>
      <c r="C1124" s="1189" t="str">
        <f t="shared" si="225"/>
        <v xml:space="preserve"> </v>
      </c>
      <c r="D1124" s="1237"/>
      <c r="E1124" s="1666" t="s">
        <v>2531</v>
      </c>
      <c r="F1124" s="1238" t="s">
        <v>2449</v>
      </c>
      <c r="G1124" s="1912"/>
      <c r="H1124" s="1523">
        <f>W1124</f>
        <v>0</v>
      </c>
      <c r="I1124" s="1239">
        <f ca="1">SUMIF(chang3pm,chitiet!$A1124,slchang3pm)</f>
        <v>0</v>
      </c>
      <c r="J1124" s="1239">
        <f ca="1">SUMIF(changct,chitiet!$A1124,slchangct)</f>
        <v>0</v>
      </c>
      <c r="K1124" s="1239">
        <f ca="1">SUMIF(chang3p1m,chitiet!$A1124,slchang3p1m)</f>
        <v>0</v>
      </c>
      <c r="L1124" s="1239">
        <f>IFERROR(HLOOKUP(A1124,pp1p!$6:$90,85,0),0)</f>
        <v>0</v>
      </c>
      <c r="M1124" s="1239">
        <f ca="1">SUMIF(changHTHH,chitiet!$A1124,slchangHTHH)</f>
        <v>0</v>
      </c>
      <c r="N1124" s="1239">
        <f ca="1">SUMIF(changHTDL,chitiet!$A1124,slchangHTDL)</f>
        <v>0</v>
      </c>
      <c r="O1124" s="1239"/>
      <c r="P1124" s="2297">
        <f>H1124+Q1124-R1124</f>
        <v>0</v>
      </c>
      <c r="Q1124" s="1239"/>
      <c r="R1124" s="1239"/>
      <c r="S1124" s="1239"/>
      <c r="T1124" s="1664"/>
      <c r="U1124" s="1664" t="str">
        <f>IFERROR(VLOOKUP(B1124,ChiTietDuToan!C:H,5,0),"")</f>
        <v>Bộ</v>
      </c>
      <c r="V1124" s="2309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52" t="s">
        <v>420</v>
      </c>
      <c r="C1125" s="1189" t="str">
        <f t="shared" si="225"/>
        <v xml:space="preserve"> </v>
      </c>
      <c r="D1125" s="1236"/>
      <c r="E1125" s="1248" t="str">
        <f>VLOOKUP($B1125,DG!A:D,DG!$C$2,)</f>
        <v>Boulon mắt 16x300+ 2 long đền vuông D18-50x50x3/Zn</v>
      </c>
      <c r="F1125" s="1236" t="str">
        <f>VLOOKUP($B1125,DG!A:D,DG!$D$2,)</f>
        <v>bộ</v>
      </c>
      <c r="G1125" s="1915">
        <v>1</v>
      </c>
      <c r="H1125" s="1245">
        <f t="shared" ref="H1125:H1131" si="230">H$1124*$G1125</f>
        <v>0</v>
      </c>
      <c r="I1125" s="1245">
        <f t="shared" ref="I1125:N1130" ca="1" si="231">I$1124*$G1125</f>
        <v>0</v>
      </c>
      <c r="J1125" s="1245">
        <f t="shared" ca="1" si="231"/>
        <v>0</v>
      </c>
      <c r="K1125" s="1245">
        <f t="shared" ca="1" si="231"/>
        <v>0</v>
      </c>
      <c r="L1125" s="1245">
        <f t="shared" si="231"/>
        <v>0</v>
      </c>
      <c r="M1125" s="1245">
        <f t="shared" ca="1" si="231"/>
        <v>0</v>
      </c>
      <c r="N1125" s="1245">
        <f t="shared" ca="1" si="231"/>
        <v>0</v>
      </c>
      <c r="O1125" s="1245"/>
      <c r="P1125" s="1245">
        <f>$P$1124*G1125</f>
        <v>0</v>
      </c>
      <c r="Q1125" s="1245"/>
      <c r="R1125" s="1245">
        <f>$R$1124*G1125</f>
        <v>0</v>
      </c>
      <c r="S1125" s="1245"/>
      <c r="T1125" s="1664"/>
      <c r="U1125" s="1664" t="str">
        <f>IFERROR(VLOOKUP(B1125,ChiTietDuToan!C:H,5,0),"")</f>
        <v>bộ</v>
      </c>
      <c r="V1125" s="2309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52" t="s">
        <v>112</v>
      </c>
      <c r="C1126" s="1189" t="str">
        <f t="shared" si="225"/>
        <v xml:space="preserve"> </v>
      </c>
      <c r="D1126" s="1236"/>
      <c r="E1126" s="1248" t="str">
        <f>VLOOKUP($B1126,DG!A:D,DG!$C$2,)</f>
        <v>Sứ chằng</v>
      </c>
      <c r="F1126" s="1236" t="str">
        <f>VLOOKUP($B1126,DG!A:D,DG!$D$2,)</f>
        <v>cái</v>
      </c>
      <c r="G1126" s="1915">
        <v>1</v>
      </c>
      <c r="H1126" s="1245">
        <f t="shared" si="230"/>
        <v>0</v>
      </c>
      <c r="I1126" s="1245">
        <f t="shared" ca="1" si="231"/>
        <v>0</v>
      </c>
      <c r="J1126" s="1245">
        <f t="shared" ca="1" si="231"/>
        <v>0</v>
      </c>
      <c r="K1126" s="1245">
        <f t="shared" ca="1" si="231"/>
        <v>0</v>
      </c>
      <c r="L1126" s="1245">
        <f t="shared" si="231"/>
        <v>0</v>
      </c>
      <c r="M1126" s="1245">
        <f t="shared" ca="1" si="231"/>
        <v>0</v>
      </c>
      <c r="N1126" s="1245">
        <f t="shared" ca="1" si="231"/>
        <v>0</v>
      </c>
      <c r="O1126" s="1245"/>
      <c r="P1126" s="1245">
        <f t="shared" ref="P1126:P1131" si="232">$P$1124*G1126</f>
        <v>0</v>
      </c>
      <c r="Q1126" s="1245"/>
      <c r="R1126" s="1245">
        <f t="shared" ref="R1126:R1132" si="233">$R$1124*G1126</f>
        <v>0</v>
      </c>
      <c r="S1126" s="1245"/>
      <c r="T1126" s="1664"/>
      <c r="U1126" s="1664" t="str">
        <f>IFERROR(VLOOKUP(B1126,ChiTietDuToan!C:H,5,0),"")</f>
        <v>cái</v>
      </c>
      <c r="V1126" s="2309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52" t="s">
        <v>1630</v>
      </c>
      <c r="C1127" s="1189" t="str">
        <f t="shared" si="225"/>
        <v xml:space="preserve"> </v>
      </c>
      <c r="D1127" s="1236"/>
      <c r="E1127" s="1248" t="str">
        <f>VLOOKUP($B1127,DG!A:D,DG!$C$2,)</f>
        <v>Kẹp cáp 3 boulon</v>
      </c>
      <c r="F1127" s="1236" t="str">
        <f>VLOOKUP($B1127,DG!A:D,DG!$D$2,)</f>
        <v>cái</v>
      </c>
      <c r="G1127" s="1915">
        <v>8</v>
      </c>
      <c r="H1127" s="1245">
        <f t="shared" si="230"/>
        <v>0</v>
      </c>
      <c r="I1127" s="1245">
        <f ca="1">I$1124*$G1127</f>
        <v>0</v>
      </c>
      <c r="J1127" s="1245">
        <f t="shared" ca="1" si="231"/>
        <v>0</v>
      </c>
      <c r="K1127" s="1245">
        <f t="shared" ca="1" si="231"/>
        <v>0</v>
      </c>
      <c r="L1127" s="1245">
        <f t="shared" si="231"/>
        <v>0</v>
      </c>
      <c r="M1127" s="1245">
        <f t="shared" ca="1" si="231"/>
        <v>0</v>
      </c>
      <c r="N1127" s="1245">
        <f t="shared" ca="1" si="231"/>
        <v>0</v>
      </c>
      <c r="O1127" s="1245"/>
      <c r="P1127" s="1245">
        <f t="shared" si="232"/>
        <v>0</v>
      </c>
      <c r="Q1127" s="1245"/>
      <c r="R1127" s="1245">
        <f t="shared" si="233"/>
        <v>0</v>
      </c>
      <c r="S1127" s="1245"/>
      <c r="T1127" s="1664"/>
      <c r="U1127" s="1664" t="str">
        <f>IFERROR(VLOOKUP(B1127,ChiTietDuToan!C:H,5,0),"")</f>
        <v>cái</v>
      </c>
      <c r="V1127" s="2309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52" t="s">
        <v>1392</v>
      </c>
      <c r="C1128" s="1189" t="str">
        <f t="shared" si="225"/>
        <v xml:space="preserve"> </v>
      </c>
      <c r="D1128" s="1236"/>
      <c r="E1128" s="1248" t="str">
        <f>VLOOKUP($B1128,DG!A:D,DG!$C$2,)</f>
        <v>Cáp thép 5/8"</v>
      </c>
      <c r="F1128" s="2311" t="str">
        <f>U1128</f>
        <v>mét</v>
      </c>
      <c r="G1128" s="1925">
        <f>V1128</f>
        <v>16</v>
      </c>
      <c r="H1128" s="1249">
        <f t="shared" si="230"/>
        <v>0</v>
      </c>
      <c r="I1128" s="1245">
        <f t="shared" ca="1" si="231"/>
        <v>0</v>
      </c>
      <c r="J1128" s="1245">
        <f t="shared" ca="1" si="231"/>
        <v>0</v>
      </c>
      <c r="K1128" s="1245">
        <f t="shared" ca="1" si="231"/>
        <v>0</v>
      </c>
      <c r="L1128" s="1245">
        <f t="shared" si="231"/>
        <v>0</v>
      </c>
      <c r="M1128" s="1245">
        <f t="shared" ca="1" si="231"/>
        <v>0</v>
      </c>
      <c r="N1128" s="1245">
        <f t="shared" ca="1" si="231"/>
        <v>0</v>
      </c>
      <c r="O1128" s="1245"/>
      <c r="P1128" s="1249">
        <f t="shared" si="232"/>
        <v>0</v>
      </c>
      <c r="Q1128" s="1249"/>
      <c r="R1128" s="1245">
        <f t="shared" si="233"/>
        <v>0</v>
      </c>
      <c r="S1128" s="1245"/>
      <c r="T1128" s="1664"/>
      <c r="U1128" s="1664" t="str">
        <f>IFERROR(VLOOKUP(B1128,ChiTietDuToan!C:H,5,0),"")</f>
        <v>mét</v>
      </c>
      <c r="V1128" s="2309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52" t="s">
        <v>2053</v>
      </c>
      <c r="C1129" s="1189" t="str">
        <f t="shared" si="225"/>
        <v xml:space="preserve"> </v>
      </c>
      <c r="D1129" s="1236"/>
      <c r="E1129" s="1248" t="str">
        <f>VLOOKUP($B1129,DG!A:D,DG!$C$2,)</f>
        <v>Yếm cáp dày 2mm</v>
      </c>
      <c r="F1129" s="1236" t="str">
        <f>VLOOKUP($B1129,DG!A:D,DG!$D$2,)</f>
        <v>cái</v>
      </c>
      <c r="G1129" s="1915">
        <v>2</v>
      </c>
      <c r="H1129" s="1245">
        <f t="shared" si="230"/>
        <v>0</v>
      </c>
      <c r="I1129" s="1245">
        <f t="shared" ca="1" si="231"/>
        <v>0</v>
      </c>
      <c r="J1129" s="1245">
        <f t="shared" ca="1" si="231"/>
        <v>0</v>
      </c>
      <c r="K1129" s="1245">
        <f t="shared" ca="1" si="231"/>
        <v>0</v>
      </c>
      <c r="L1129" s="1245">
        <f t="shared" si="231"/>
        <v>0</v>
      </c>
      <c r="M1129" s="1245">
        <f t="shared" ca="1" si="231"/>
        <v>0</v>
      </c>
      <c r="N1129" s="1245">
        <f t="shared" ca="1" si="231"/>
        <v>0</v>
      </c>
      <c r="O1129" s="1245"/>
      <c r="P1129" s="1245">
        <f t="shared" si="232"/>
        <v>0</v>
      </c>
      <c r="Q1129" s="1245"/>
      <c r="R1129" s="1245">
        <f t="shared" si="233"/>
        <v>0</v>
      </c>
      <c r="S1129" s="1245"/>
      <c r="T1129" s="1664"/>
      <c r="U1129" s="1664" t="str">
        <f>IFERROR(VLOOKUP(B1129,ChiTietDuToan!C:H,5,0),"")</f>
        <v>cái</v>
      </c>
      <c r="V1129" s="2309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52" t="s">
        <v>2054</v>
      </c>
      <c r="C1130" s="1189" t="str">
        <f t="shared" si="225"/>
        <v xml:space="preserve"> </v>
      </c>
      <c r="D1130" s="1236"/>
      <c r="E1130" s="1248" t="str">
        <f>VLOOKUP($B1130,DG!A:D,DG!$C$2,)</f>
        <v>Máng che dây chằng dày 1,6mm</v>
      </c>
      <c r="F1130" s="1236" t="str">
        <f>VLOOKUP($B1130,DG!A:D,DG!$D$2,)</f>
        <v>cái</v>
      </c>
      <c r="G1130" s="1915">
        <v>1</v>
      </c>
      <c r="H1130" s="1245">
        <f t="shared" si="230"/>
        <v>0</v>
      </c>
      <c r="I1130" s="1245">
        <f t="shared" ca="1" si="231"/>
        <v>0</v>
      </c>
      <c r="J1130" s="1245">
        <f t="shared" ca="1" si="231"/>
        <v>0</v>
      </c>
      <c r="K1130" s="1245">
        <f t="shared" ca="1" si="231"/>
        <v>0</v>
      </c>
      <c r="L1130" s="1245">
        <f t="shared" si="231"/>
        <v>0</v>
      </c>
      <c r="M1130" s="1245">
        <f t="shared" ca="1" si="231"/>
        <v>0</v>
      </c>
      <c r="N1130" s="1245">
        <f t="shared" ca="1" si="231"/>
        <v>0</v>
      </c>
      <c r="O1130" s="1245"/>
      <c r="P1130" s="1245">
        <f t="shared" si="232"/>
        <v>0</v>
      </c>
      <c r="Q1130" s="1245"/>
      <c r="R1130" s="1245">
        <f t="shared" si="233"/>
        <v>0</v>
      </c>
      <c r="S1130" s="1245"/>
      <c r="T1130" s="1664"/>
      <c r="U1130" s="1664" t="str">
        <f>IFERROR(VLOOKUP(B1130,ChiTietDuToan!C:H,5,0),"")</f>
        <v>cái</v>
      </c>
      <c r="V1130" s="2309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52" t="s">
        <v>1971</v>
      </c>
      <c r="C1131" s="1189" t="str">
        <f t="shared" si="225"/>
        <v xml:space="preserve"> </v>
      </c>
      <c r="D1131" s="1236" t="str">
        <f>VLOOKUP($B1131,DG!A:D,DG!$B$2,)</f>
        <v>06.3241</v>
      </c>
      <c r="E1131" s="1241" t="str">
        <f>VLOOKUP($B1131,DG!A:D,DG!$C$2,)</f>
        <v>Lắp bộ dây néo</v>
      </c>
      <c r="F1131" s="1236" t="str">
        <f>VLOOKUP($B1131,DG!A:D,DG!$D$2,)</f>
        <v>bộ</v>
      </c>
      <c r="G1131" s="1915">
        <f>G1125</f>
        <v>1</v>
      </c>
      <c r="H1131" s="1245">
        <f t="shared" si="230"/>
        <v>0</v>
      </c>
      <c r="I1131" s="1250"/>
      <c r="J1131" s="1250"/>
      <c r="K1131" s="1245"/>
      <c r="L1131" s="1250"/>
      <c r="M1131" s="1250"/>
      <c r="N1131" s="1250"/>
      <c r="O1131" s="1250"/>
      <c r="P1131" s="1245">
        <f t="shared" si="232"/>
        <v>0</v>
      </c>
      <c r="Q1131" s="1250"/>
      <c r="R1131" s="1245">
        <f t="shared" si="233"/>
        <v>0</v>
      </c>
      <c r="S1131" s="1250"/>
      <c r="T1131" s="1664"/>
      <c r="U1131" s="1664" t="str">
        <f>IFERROR(VLOOKUP(B1131,ChiTietDuToan!C:H,5,0),"")</f>
        <v>bộ</v>
      </c>
      <c r="V1131" s="2309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59" t="s">
        <v>1971</v>
      </c>
      <c r="C1132" s="1189" t="str">
        <f t="shared" si="225"/>
        <v xml:space="preserve"> </v>
      </c>
      <c r="D1132" s="1236" t="str">
        <f>VLOOKUP($B1132,DG!A:D,DG!$B$2,)</f>
        <v>06.3241</v>
      </c>
      <c r="E1132" s="1241" t="s">
        <v>2532</v>
      </c>
      <c r="F1132" s="1236" t="str">
        <f>VLOOKUP($B1132,DG!A:D,DG!$D$2,)</f>
        <v>bộ</v>
      </c>
      <c r="G1132" s="1915">
        <f>G1126*2</f>
        <v>2</v>
      </c>
      <c r="H1132" s="1245"/>
      <c r="I1132" s="1250"/>
      <c r="J1132" s="1250"/>
      <c r="K1132" s="1245"/>
      <c r="L1132" s="1250"/>
      <c r="M1132" s="1250"/>
      <c r="N1132" s="1250"/>
      <c r="O1132" s="1250"/>
      <c r="P1132" s="1245"/>
      <c r="Q1132" s="1250"/>
      <c r="R1132" s="1245">
        <f t="shared" si="233"/>
        <v>0</v>
      </c>
      <c r="S1132" s="1250"/>
      <c r="T1132" s="1664"/>
      <c r="U1132" s="1664" t="str">
        <f>IFERROR(VLOOKUP(B1132,ChiTietDuToan!C:H,5,0),"")</f>
        <v>bộ</v>
      </c>
      <c r="V1132" s="2309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56"/>
      <c r="C1133" s="1189" t="str">
        <f t="shared" ca="1" si="225"/>
        <v xml:space="preserve"> </v>
      </c>
      <c r="D1133" s="1237"/>
      <c r="E1133" s="1666" t="s">
        <v>2533</v>
      </c>
      <c r="F1133" s="1238" t="s">
        <v>2449</v>
      </c>
      <c r="G1133" s="1912"/>
      <c r="H1133" s="1523">
        <f ca="1">SUM(I1133:O1133)+T1133</f>
        <v>0</v>
      </c>
      <c r="I1133" s="1239">
        <f ca="1">SUMIF(chang3pm,chitiet!$A1133,slchang3pm)</f>
        <v>0</v>
      </c>
      <c r="J1133" s="1239">
        <f ca="1">SUMIF(changct,chitiet!$A1133,slchangct)</f>
        <v>0</v>
      </c>
      <c r="K1133" s="1239"/>
      <c r="L1133" s="1239">
        <f>IFERROR(HLOOKUP(A1133,pp1p!$6:$90,85,0),0)</f>
        <v>0</v>
      </c>
      <c r="M1133" s="1239">
        <f ca="1">SUMIF(changHTHH,chitiet!$A1133,slchangHTHH)</f>
        <v>0</v>
      </c>
      <c r="N1133" s="1239">
        <f ca="1">SUMIF(changHTDL,chitiet!$A1133,slchangHTDL)</f>
        <v>0</v>
      </c>
      <c r="O1133" s="1239"/>
      <c r="P1133" s="1239">
        <f ca="1">H1133+Q1133-R1133</f>
        <v>0</v>
      </c>
      <c r="Q1133" s="1239"/>
      <c r="R1133" s="1239"/>
      <c r="S1133" s="1239"/>
      <c r="T1133" s="1671"/>
      <c r="U1133" s="1664">
        <f>IFERROR(VLOOKUP(B1133,ChiTietDuToan!C:H,5,0),"")</f>
        <v>0</v>
      </c>
      <c r="V1133" s="2309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59" t="s">
        <v>1971</v>
      </c>
      <c r="C1134" s="1189" t="str">
        <f t="shared" ca="1" si="225"/>
        <v xml:space="preserve"> </v>
      </c>
      <c r="D1134" s="1236"/>
      <c r="E1134" s="1241" t="s">
        <v>2524</v>
      </c>
      <c r="F1134" s="1236" t="str">
        <f>VLOOKUP($B1134,DG!A:D,DG!$D$2,)</f>
        <v>bộ</v>
      </c>
      <c r="G1134" s="1915">
        <v>1</v>
      </c>
      <c r="H1134" s="1245">
        <f ca="1">H$1133*$G1134</f>
        <v>0</v>
      </c>
      <c r="I1134" s="1245">
        <f t="shared" ref="I1134:N1136" ca="1" si="234">I$1133*$G1134</f>
        <v>0</v>
      </c>
      <c r="J1134" s="1245">
        <f t="shared" ca="1" si="234"/>
        <v>0</v>
      </c>
      <c r="K1134" s="1245">
        <f t="shared" si="234"/>
        <v>0</v>
      </c>
      <c r="L1134" s="1245">
        <f t="shared" si="234"/>
        <v>0</v>
      </c>
      <c r="M1134" s="1245">
        <f t="shared" ca="1" si="234"/>
        <v>0</v>
      </c>
      <c r="N1134" s="1245">
        <f t="shared" ca="1" si="234"/>
        <v>0</v>
      </c>
      <c r="O1134" s="1245"/>
      <c r="P1134" s="1245"/>
      <c r="Q1134" s="1245"/>
      <c r="R1134" s="1245"/>
      <c r="S1134" s="1245"/>
      <c r="T1134" s="1671"/>
      <c r="U1134" s="1664" t="str">
        <f>IFERROR(VLOOKUP(B1134,ChiTietDuToan!C:H,5,0),"")</f>
        <v>bộ</v>
      </c>
      <c r="V1134" s="2309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59" t="s">
        <v>1959</v>
      </c>
      <c r="C1135" s="1189" t="str">
        <f t="shared" ca="1" si="225"/>
        <v xml:space="preserve"> </v>
      </c>
      <c r="D1135" s="1236"/>
      <c r="E1135" s="1241" t="s">
        <v>2525</v>
      </c>
      <c r="F1135" s="1236" t="str">
        <f>VLOOKUP($B1135,DG!A:D,DG!$D$2,)</f>
        <v>bộ</v>
      </c>
      <c r="G1135" s="1915">
        <v>1</v>
      </c>
      <c r="H1135" s="1245">
        <f ca="1">H$1133*$G1135</f>
        <v>0</v>
      </c>
      <c r="I1135" s="1245">
        <f t="shared" ca="1" si="234"/>
        <v>0</v>
      </c>
      <c r="J1135" s="1245">
        <f t="shared" ca="1" si="234"/>
        <v>0</v>
      </c>
      <c r="K1135" s="1245">
        <f t="shared" si="234"/>
        <v>0</v>
      </c>
      <c r="L1135" s="1245">
        <f t="shared" si="234"/>
        <v>0</v>
      </c>
      <c r="M1135" s="1245">
        <f t="shared" ca="1" si="234"/>
        <v>0</v>
      </c>
      <c r="N1135" s="1245">
        <f t="shared" ca="1" si="234"/>
        <v>0</v>
      </c>
      <c r="O1135" s="1245"/>
      <c r="P1135" s="1245"/>
      <c r="Q1135" s="1245"/>
      <c r="R1135" s="1245"/>
      <c r="S1135" s="1245"/>
      <c r="T1135" s="1671"/>
      <c r="U1135" s="1664" t="str">
        <f>IFERROR(VLOOKUP(B1135,ChiTietDuToan!C:H,5,0),"")</f>
        <v>bộ</v>
      </c>
      <c r="V1135" s="2309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74" t="s">
        <v>357</v>
      </c>
      <c r="C1136" s="1189" t="str">
        <f t="shared" ca="1" si="225"/>
        <v xml:space="preserve"> </v>
      </c>
      <c r="D1136" s="1236" t="str">
        <f>VLOOKUP($B1136,DG!A:C,2,)</f>
        <v>02.1421</v>
      </c>
      <c r="E1136" s="1241" t="str">
        <f>VLOOKUP($B1136,DG!A:C,3,)</f>
        <v>V/c phụ kiện vào vị trí (cự ly &lt;=100m)</v>
      </c>
      <c r="F1136" s="1236" t="str">
        <f>VLOOKUP($B1136,DG!A:D,4,0)</f>
        <v>tấn</v>
      </c>
      <c r="G1136" s="1914">
        <v>0.02</v>
      </c>
      <c r="H1136" s="1245">
        <f ca="1">H$1133*$G1136</f>
        <v>0</v>
      </c>
      <c r="I1136" s="1245">
        <f t="shared" ca="1" si="234"/>
        <v>0</v>
      </c>
      <c r="J1136" s="1245">
        <f t="shared" ca="1" si="234"/>
        <v>0</v>
      </c>
      <c r="K1136" s="1245">
        <f t="shared" si="234"/>
        <v>0</v>
      </c>
      <c r="L1136" s="1245">
        <f t="shared" si="234"/>
        <v>0</v>
      </c>
      <c r="M1136" s="1245">
        <f t="shared" ca="1" si="234"/>
        <v>0</v>
      </c>
      <c r="N1136" s="1245">
        <f t="shared" ca="1" si="234"/>
        <v>0</v>
      </c>
      <c r="O1136" s="1245"/>
      <c r="P1136" s="1245"/>
      <c r="Q1136" s="1245"/>
      <c r="R1136" s="1245"/>
      <c r="S1136" s="1245"/>
      <c r="T1136" s="1671"/>
      <c r="U1136" s="1664" t="str">
        <f>IFERROR(VLOOKUP(B1136,ChiTietDuToan!C:H,5,0),"")</f>
        <v>tấn</v>
      </c>
      <c r="V1136" s="2309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53" t="s">
        <v>669</v>
      </c>
      <c r="B1137" s="1954" t="str">
        <f>A1137</f>
        <v>CL12-B</v>
      </c>
      <c r="C1137" s="1189" t="str">
        <f t="shared" si="225"/>
        <v xml:space="preserve"> </v>
      </c>
      <c r="D1137" s="1237"/>
      <c r="E1137" s="1666" t="s">
        <v>2534</v>
      </c>
      <c r="F1137" s="1238" t="s">
        <v>2449</v>
      </c>
      <c r="G1137" s="1912"/>
      <c r="H1137" s="1523">
        <f>W1137</f>
        <v>0</v>
      </c>
      <c r="I1137" s="1239">
        <f ca="1">SUMIF(chang3pm,chitiet!$A1137,slchang3pm)</f>
        <v>0</v>
      </c>
      <c r="J1137" s="1239">
        <f ca="1">SUMIF(changct,chitiet!$A1137,slchangct)</f>
        <v>0</v>
      </c>
      <c r="K1137" s="1239">
        <f ca="1">SUMIF(chang3p1m,chitiet!$A1137,slchang3p1m)</f>
        <v>0</v>
      </c>
      <c r="L1137" s="1239">
        <f>IFERROR(HLOOKUP(A1137,pp1p!$6:$90,85,0),0)</f>
        <v>0</v>
      </c>
      <c r="M1137" s="1239">
        <f ca="1">SUMIF(changHTHH,chitiet!$A1137,slchangHTHH)</f>
        <v>0</v>
      </c>
      <c r="N1137" s="1239">
        <f ca="1">SUMIF(changHTDL,chitiet!$A1137,slchangHTDL)</f>
        <v>0</v>
      </c>
      <c r="O1137" s="1239"/>
      <c r="P1137" s="2297">
        <f>H1137+Q1137-R1137</f>
        <v>0</v>
      </c>
      <c r="Q1137" s="1239"/>
      <c r="R1137" s="1239"/>
      <c r="S1137" s="1239"/>
      <c r="T1137" s="1664"/>
      <c r="U1137" s="1664" t="str">
        <f>IFERROR(VLOOKUP(B1137,ChiTietDuToan!C:H,5,0),"")</f>
        <v>Bộ</v>
      </c>
      <c r="V1137" s="2309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52" t="s">
        <v>420</v>
      </c>
      <c r="C1138" s="1189" t="str">
        <f t="shared" si="225"/>
        <v xml:space="preserve"> </v>
      </c>
      <c r="D1138" s="1236"/>
      <c r="E1138" s="1248" t="str">
        <f>VLOOKUP($B1138,DG!A:D,DG!$C$2,)</f>
        <v>Boulon mắt 16x300+ 2 long đền vuông D18-50x50x3/Zn</v>
      </c>
      <c r="F1138" s="1236" t="str">
        <f>VLOOKUP($B1138,DG!A:D,DG!$D$2,)</f>
        <v>bộ</v>
      </c>
      <c r="G1138" s="1915">
        <v>1</v>
      </c>
      <c r="H1138" s="1245">
        <f t="shared" ref="H1138:H1145" si="236">H$1137*$G1138</f>
        <v>0</v>
      </c>
      <c r="I1138" s="1245">
        <f t="shared" ref="I1138:N1144" ca="1" si="237">I$1137*$G1138</f>
        <v>0</v>
      </c>
      <c r="J1138" s="1245">
        <f t="shared" ca="1" si="237"/>
        <v>0</v>
      </c>
      <c r="K1138" s="1245">
        <f t="shared" ca="1" si="237"/>
        <v>0</v>
      </c>
      <c r="L1138" s="1245">
        <f t="shared" si="237"/>
        <v>0</v>
      </c>
      <c r="M1138" s="1245">
        <f t="shared" ca="1" si="237"/>
        <v>0</v>
      </c>
      <c r="N1138" s="1245">
        <f t="shared" ca="1" si="237"/>
        <v>0</v>
      </c>
      <c r="O1138" s="1245"/>
      <c r="P1138" s="1245">
        <f>$P$1137*G1138</f>
        <v>0</v>
      </c>
      <c r="Q1138" s="1245">
        <f>$Q$1137*G1138</f>
        <v>0</v>
      </c>
      <c r="R1138" s="1245"/>
      <c r="S1138" s="1245"/>
      <c r="T1138" s="1664"/>
      <c r="U1138" s="1664" t="str">
        <f>IFERROR(VLOOKUP(B1138,ChiTietDuToan!C:H,5,0),"")</f>
        <v>bộ</v>
      </c>
      <c r="V1138" s="2309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52" t="s">
        <v>112</v>
      </c>
      <c r="C1139" s="1189" t="str">
        <f t="shared" si="225"/>
        <v xml:space="preserve"> </v>
      </c>
      <c r="D1139" s="1236"/>
      <c r="E1139" s="1248" t="str">
        <f>VLOOKUP($B1139,DG!A:D,DG!$C$2,)</f>
        <v>Sứ chằng</v>
      </c>
      <c r="F1139" s="1236" t="str">
        <f>VLOOKUP($B1139,DG!A:D,DG!$D$2,)</f>
        <v>cái</v>
      </c>
      <c r="G1139" s="1915">
        <v>1</v>
      </c>
      <c r="H1139" s="1245">
        <f t="shared" si="236"/>
        <v>0</v>
      </c>
      <c r="I1139" s="1245">
        <f t="shared" ca="1" si="237"/>
        <v>0</v>
      </c>
      <c r="J1139" s="1245">
        <f t="shared" ca="1" si="237"/>
        <v>0</v>
      </c>
      <c r="K1139" s="1245">
        <f t="shared" ca="1" si="237"/>
        <v>0</v>
      </c>
      <c r="L1139" s="1245">
        <f t="shared" si="237"/>
        <v>0</v>
      </c>
      <c r="M1139" s="1245">
        <f t="shared" ca="1" si="237"/>
        <v>0</v>
      </c>
      <c r="N1139" s="1245">
        <f t="shared" ca="1" si="237"/>
        <v>0</v>
      </c>
      <c r="O1139" s="1245"/>
      <c r="P1139" s="1245">
        <f t="shared" ref="P1139:P1145" si="238">$P$1137*G1139</f>
        <v>0</v>
      </c>
      <c r="Q1139" s="1245">
        <f t="shared" ref="Q1139:Q1146" si="239">$Q$1137*G1139</f>
        <v>0</v>
      </c>
      <c r="R1139" s="1245"/>
      <c r="S1139" s="1245"/>
      <c r="T1139" s="1664"/>
      <c r="U1139" s="1664" t="str">
        <f>IFERROR(VLOOKUP(B1139,ChiTietDuToan!C:H,5,0),"")</f>
        <v>cái</v>
      </c>
      <c r="V1139" s="2309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52" t="s">
        <v>1630</v>
      </c>
      <c r="C1140" s="1189" t="str">
        <f t="shared" si="225"/>
        <v xml:space="preserve"> </v>
      </c>
      <c r="D1140" s="1236"/>
      <c r="E1140" s="1248" t="str">
        <f>VLOOKUP($B1140,DG!A:D,DG!$C$2,)</f>
        <v>Kẹp cáp 3 boulon</v>
      </c>
      <c r="F1140" s="1236" t="str">
        <f>VLOOKUP($B1140,DG!A:D,DG!$D$2,)</f>
        <v>cái</v>
      </c>
      <c r="G1140" s="1915">
        <v>8</v>
      </c>
      <c r="H1140" s="1245">
        <f t="shared" si="236"/>
        <v>0</v>
      </c>
      <c r="I1140" s="1245">
        <f t="shared" ca="1" si="237"/>
        <v>0</v>
      </c>
      <c r="J1140" s="1245">
        <f t="shared" ca="1" si="237"/>
        <v>0</v>
      </c>
      <c r="K1140" s="1245">
        <f t="shared" ca="1" si="237"/>
        <v>0</v>
      </c>
      <c r="L1140" s="1245">
        <f t="shared" si="237"/>
        <v>0</v>
      </c>
      <c r="M1140" s="1245">
        <f t="shared" ca="1" si="237"/>
        <v>0</v>
      </c>
      <c r="N1140" s="1245">
        <f t="shared" ca="1" si="237"/>
        <v>0</v>
      </c>
      <c r="O1140" s="1245"/>
      <c r="P1140" s="1245">
        <f t="shared" si="238"/>
        <v>0</v>
      </c>
      <c r="Q1140" s="1245">
        <f t="shared" si="239"/>
        <v>0</v>
      </c>
      <c r="R1140" s="1245"/>
      <c r="S1140" s="1245"/>
      <c r="T1140" s="1664"/>
      <c r="U1140" s="1664" t="str">
        <f>IFERROR(VLOOKUP(B1140,ChiTietDuToan!C:H,5,0),"")</f>
        <v>cái</v>
      </c>
      <c r="V1140" s="2309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52" t="s">
        <v>1392</v>
      </c>
      <c r="C1141" s="1189" t="str">
        <f t="shared" si="225"/>
        <v xml:space="preserve"> </v>
      </c>
      <c r="D1141" s="1236"/>
      <c r="E1141" s="1248" t="str">
        <f>VLOOKUP($B1141,DG!A:D,DG!$C$2,)</f>
        <v>Cáp thép 5/8"</v>
      </c>
      <c r="F1141" s="2311" t="str">
        <f>U1141</f>
        <v>mét</v>
      </c>
      <c r="G1141" s="1925">
        <f>V1141</f>
        <v>16</v>
      </c>
      <c r="H1141" s="1245">
        <f t="shared" si="236"/>
        <v>0</v>
      </c>
      <c r="I1141" s="1245">
        <f t="shared" ca="1" si="237"/>
        <v>0</v>
      </c>
      <c r="J1141" s="1245">
        <f t="shared" ca="1" si="237"/>
        <v>0</v>
      </c>
      <c r="K1141" s="1245">
        <f t="shared" ca="1" si="237"/>
        <v>0</v>
      </c>
      <c r="L1141" s="1245">
        <f t="shared" si="237"/>
        <v>0</v>
      </c>
      <c r="M1141" s="1245">
        <f t="shared" ca="1" si="237"/>
        <v>0</v>
      </c>
      <c r="N1141" s="1245">
        <f t="shared" ca="1" si="237"/>
        <v>0</v>
      </c>
      <c r="O1141" s="1245"/>
      <c r="P1141" s="1245">
        <f t="shared" si="238"/>
        <v>0</v>
      </c>
      <c r="Q1141" s="1249">
        <f t="shared" si="239"/>
        <v>0</v>
      </c>
      <c r="R1141" s="1245"/>
      <c r="S1141" s="1245"/>
      <c r="T1141" s="1664"/>
      <c r="U1141" s="1664" t="str">
        <f>IFERROR(VLOOKUP(B1141,ChiTietDuToan!C:H,5,0),"")</f>
        <v>mét</v>
      </c>
      <c r="V1141" s="2309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52" t="s">
        <v>612</v>
      </c>
      <c r="C1142" s="1189" t="str">
        <f t="shared" si="225"/>
        <v xml:space="preserve"> </v>
      </c>
      <c r="D1142" s="1236"/>
      <c r="E1142" s="1248" t="str">
        <f>VLOOKUP($B1142,DG!A:D,DG!$C$2,)</f>
        <v>Bộ chống chằng hẹp Ø60/50x1500+2BL12x40+BL16x250/80</v>
      </c>
      <c r="F1142" s="1236" t="str">
        <f>VLOOKUP($B1142,DG!A:D,DG!$D$2,)</f>
        <v>bộ</v>
      </c>
      <c r="G1142" s="1915">
        <v>1</v>
      </c>
      <c r="H1142" s="1245">
        <f t="shared" si="236"/>
        <v>0</v>
      </c>
      <c r="I1142" s="1245">
        <f t="shared" ca="1" si="237"/>
        <v>0</v>
      </c>
      <c r="J1142" s="1245">
        <f t="shared" ca="1" si="237"/>
        <v>0</v>
      </c>
      <c r="K1142" s="1245">
        <f t="shared" ca="1" si="237"/>
        <v>0</v>
      </c>
      <c r="L1142" s="1245">
        <f t="shared" si="237"/>
        <v>0</v>
      </c>
      <c r="M1142" s="1245">
        <f t="shared" ca="1" si="237"/>
        <v>0</v>
      </c>
      <c r="N1142" s="1245">
        <f t="shared" ca="1" si="237"/>
        <v>0</v>
      </c>
      <c r="O1142" s="1245"/>
      <c r="P1142" s="1245">
        <f t="shared" si="238"/>
        <v>0</v>
      </c>
      <c r="Q1142" s="1245">
        <f t="shared" si="239"/>
        <v>0</v>
      </c>
      <c r="R1142" s="1245"/>
      <c r="S1142" s="1245"/>
      <c r="T1142" s="1664"/>
      <c r="U1142" s="1664" t="str">
        <f>IFERROR(VLOOKUP(B1142,ChiTietDuToan!C:H,5,0),"")</f>
        <v>bộ</v>
      </c>
      <c r="V1142" s="2309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52" t="s">
        <v>2053</v>
      </c>
      <c r="C1143" s="1189" t="str">
        <f t="shared" si="225"/>
        <v xml:space="preserve"> </v>
      </c>
      <c r="D1143" s="1236"/>
      <c r="E1143" s="1248" t="str">
        <f>VLOOKUP($B1143,DG!A:D,DG!$C$2,)</f>
        <v>Yếm cáp dày 2mm</v>
      </c>
      <c r="F1143" s="1236" t="str">
        <f>VLOOKUP($B1143,DG!A:D,DG!$D$2,)</f>
        <v>cái</v>
      </c>
      <c r="G1143" s="1915">
        <v>2</v>
      </c>
      <c r="H1143" s="1245">
        <f t="shared" si="236"/>
        <v>0</v>
      </c>
      <c r="I1143" s="1245">
        <f t="shared" ca="1" si="237"/>
        <v>0</v>
      </c>
      <c r="J1143" s="1245">
        <f t="shared" ca="1" si="237"/>
        <v>0</v>
      </c>
      <c r="K1143" s="1245">
        <f t="shared" ca="1" si="237"/>
        <v>0</v>
      </c>
      <c r="L1143" s="1245">
        <f t="shared" si="237"/>
        <v>0</v>
      </c>
      <c r="M1143" s="1245">
        <f t="shared" ca="1" si="237"/>
        <v>0</v>
      </c>
      <c r="N1143" s="1245">
        <f t="shared" ca="1" si="237"/>
        <v>0</v>
      </c>
      <c r="O1143" s="1245"/>
      <c r="P1143" s="1245">
        <f t="shared" si="238"/>
        <v>0</v>
      </c>
      <c r="Q1143" s="1245">
        <f t="shared" si="239"/>
        <v>0</v>
      </c>
      <c r="R1143" s="1245"/>
      <c r="S1143" s="1245"/>
      <c r="T1143" s="1664"/>
      <c r="U1143" s="1664" t="str">
        <f>IFERROR(VLOOKUP(B1143,ChiTietDuToan!C:H,5,0),"")</f>
        <v>cái</v>
      </c>
      <c r="V1143" s="2309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52" t="s">
        <v>2054</v>
      </c>
      <c r="C1144" s="1189" t="str">
        <f t="shared" si="225"/>
        <v xml:space="preserve"> </v>
      </c>
      <c r="D1144" s="1236"/>
      <c r="E1144" s="1248" t="str">
        <f>VLOOKUP($B1144,DG!A:D,DG!$C$2,)</f>
        <v>Máng che dây chằng dày 1,6mm</v>
      </c>
      <c r="F1144" s="1236" t="str">
        <f>VLOOKUP($B1144,DG!A:D,DG!$D$2,)</f>
        <v>cái</v>
      </c>
      <c r="G1144" s="1915">
        <v>1</v>
      </c>
      <c r="H1144" s="1245">
        <f t="shared" si="236"/>
        <v>0</v>
      </c>
      <c r="I1144" s="1245">
        <f t="shared" ca="1" si="237"/>
        <v>0</v>
      </c>
      <c r="J1144" s="1245">
        <f t="shared" ca="1" si="237"/>
        <v>0</v>
      </c>
      <c r="K1144" s="1245">
        <f t="shared" ca="1" si="237"/>
        <v>0</v>
      </c>
      <c r="L1144" s="1245">
        <f t="shared" si="237"/>
        <v>0</v>
      </c>
      <c r="M1144" s="1245">
        <f t="shared" ca="1" si="237"/>
        <v>0</v>
      </c>
      <c r="N1144" s="1245">
        <f t="shared" ca="1" si="237"/>
        <v>0</v>
      </c>
      <c r="O1144" s="1245"/>
      <c r="P1144" s="1245">
        <f t="shared" si="238"/>
        <v>0</v>
      </c>
      <c r="Q1144" s="1245">
        <f t="shared" si="239"/>
        <v>0</v>
      </c>
      <c r="R1144" s="1245"/>
      <c r="S1144" s="1245"/>
      <c r="T1144" s="1664"/>
      <c r="U1144" s="1664" t="str">
        <f>IFERROR(VLOOKUP(B1144,ChiTietDuToan!C:H,5,0),"")</f>
        <v>cái</v>
      </c>
      <c r="V1144" s="2309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52" t="s">
        <v>1971</v>
      </c>
      <c r="C1145" s="1189" t="str">
        <f t="shared" si="225"/>
        <v xml:space="preserve"> </v>
      </c>
      <c r="D1145" s="1236" t="str">
        <f>VLOOKUP($B1145,DG!A:D,DG!$B$2,)</f>
        <v>06.3241</v>
      </c>
      <c r="E1145" s="1241" t="str">
        <f>VLOOKUP($B1145,DG!A:D,DG!$C$2,)</f>
        <v>Lắp bộ dây néo</v>
      </c>
      <c r="F1145" s="1236" t="str">
        <f>VLOOKUP($B1145,DG!A:D,DG!$D$2,)</f>
        <v>bộ</v>
      </c>
      <c r="G1145" s="1915">
        <v>1</v>
      </c>
      <c r="H1145" s="1245">
        <f t="shared" si="236"/>
        <v>0</v>
      </c>
      <c r="I1145" s="1250"/>
      <c r="J1145" s="1250"/>
      <c r="K1145" s="1250"/>
      <c r="L1145" s="1250"/>
      <c r="M1145" s="1250"/>
      <c r="N1145" s="1250"/>
      <c r="O1145" s="1250"/>
      <c r="P1145" s="1245">
        <f t="shared" si="238"/>
        <v>0</v>
      </c>
      <c r="Q1145" s="1245">
        <f t="shared" si="239"/>
        <v>0</v>
      </c>
      <c r="R1145" s="1250"/>
      <c r="S1145" s="1250"/>
      <c r="T1145" s="1664"/>
      <c r="U1145" s="1664" t="str">
        <f>IFERROR(VLOOKUP(B1145,ChiTietDuToan!C:H,5,0),"")</f>
        <v>bộ</v>
      </c>
      <c r="V1145" s="2309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91"/>
      <c r="B1146" s="1952" t="s">
        <v>1959</v>
      </c>
      <c r="C1146" s="1189" t="str">
        <f t="shared" si="225"/>
        <v xml:space="preserve"> </v>
      </c>
      <c r="D1146" s="1236" t="str">
        <f>VLOOKUP($B1146,DG!A:D,DG!$B$2,)</f>
        <v>05.6011</v>
      </c>
      <c r="E1146" s="1241" t="str">
        <f>VLOOKUP($B1146,DG!A:D,DG!$C$2,)</f>
        <v>Lắp bộ chống lệch</v>
      </c>
      <c r="F1146" s="1236" t="str">
        <f>VLOOKUP($B1146,DG!A:D,DG!$D$2,)</f>
        <v>bộ</v>
      </c>
      <c r="G1146" s="1915">
        <v>1</v>
      </c>
      <c r="H1146" s="1245"/>
      <c r="I1146" s="1250"/>
      <c r="J1146" s="1250"/>
      <c r="K1146" s="1250"/>
      <c r="L1146" s="1250"/>
      <c r="M1146" s="1250"/>
      <c r="N1146" s="1250"/>
      <c r="O1146" s="1250"/>
      <c r="P1146" s="1245"/>
      <c r="Q1146" s="1245">
        <f t="shared" si="239"/>
        <v>0</v>
      </c>
      <c r="R1146" s="1250"/>
      <c r="S1146" s="1250"/>
      <c r="T1146" s="1663"/>
      <c r="U1146" s="1664" t="str">
        <f>IFERROR(VLOOKUP(B1146,ChiTietDuToan!C:H,5,0),"")</f>
        <v>bộ</v>
      </c>
      <c r="V1146" s="2309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74" t="s">
        <v>357</v>
      </c>
      <c r="C1147" s="1189" t="str">
        <f t="shared" si="225"/>
        <v xml:space="preserve"> </v>
      </c>
      <c r="D1147" s="1236" t="str">
        <f>VLOOKUP($B1147,DG!A:C,2,)</f>
        <v>02.1421</v>
      </c>
      <c r="E1147" s="1241" t="str">
        <f>VLOOKUP($B1147,DG!A:C,3,)</f>
        <v>V/c phụ kiện vào vị trí (cự ly &lt;=100m)</v>
      </c>
      <c r="F1147" s="1236" t="str">
        <f>VLOOKUP($B1147,DG!A:D,4,0)</f>
        <v>tấn</v>
      </c>
      <c r="G1147" s="1914"/>
      <c r="H1147" s="1250"/>
      <c r="I1147" s="1250"/>
      <c r="J1147" s="1250"/>
      <c r="K1147" s="1250"/>
      <c r="L1147" s="1250"/>
      <c r="M1147" s="1250"/>
      <c r="N1147" s="1250"/>
      <c r="O1147" s="1250"/>
      <c r="P1147" s="1250"/>
      <c r="Q1147" s="1250"/>
      <c r="R1147" s="1250"/>
      <c r="S1147" s="1250"/>
      <c r="T1147" s="1671"/>
      <c r="U1147" s="1664" t="str">
        <f>IFERROR(VLOOKUP(B1147,ChiTietDuToan!C:H,5,0),"")</f>
        <v>tấn</v>
      </c>
      <c r="V1147" s="2309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56"/>
      <c r="C1148" s="1189" t="str">
        <f t="shared" ca="1" si="225"/>
        <v xml:space="preserve"> </v>
      </c>
      <c r="D1148" s="1237"/>
      <c r="E1148" s="1666" t="s">
        <v>2535</v>
      </c>
      <c r="F1148" s="1238" t="s">
        <v>2449</v>
      </c>
      <c r="G1148" s="1912"/>
      <c r="H1148" s="1523">
        <f ca="1">SUM(I1148:O1148)+T1148</f>
        <v>0</v>
      </c>
      <c r="I1148" s="1239">
        <f ca="1">SUMIF(chang3pm,chitiet!$A1148,slchang3pm)</f>
        <v>0</v>
      </c>
      <c r="J1148" s="1239">
        <f ca="1">SUMIF(changct,chitiet!$A1148,slchangct)</f>
        <v>0</v>
      </c>
      <c r="K1148" s="1239">
        <f ca="1">SUMIF(chang3p1m,chitiet!$A1148,slchang3p1m)</f>
        <v>0</v>
      </c>
      <c r="L1148" s="1239">
        <f>IFERROR(HLOOKUP(A1148,pp1p!$6:$90,85,0),0)</f>
        <v>0</v>
      </c>
      <c r="M1148" s="1239">
        <f ca="1">SUMIF(changHTHH,chitiet!$A1148,slchangHTHH)</f>
        <v>0</v>
      </c>
      <c r="N1148" s="1239">
        <f ca="1">SUMIF(changHTDL,chitiet!$A1148,slchangHTDL)</f>
        <v>0</v>
      </c>
      <c r="O1148" s="1239"/>
      <c r="P1148" s="1239">
        <f ca="1">H1148+Q1148-R1148</f>
        <v>0</v>
      </c>
      <c r="Q1148" s="1239"/>
      <c r="R1148" s="1239"/>
      <c r="S1148" s="1239"/>
      <c r="T1148" s="1671"/>
      <c r="U1148" s="1664">
        <f>IFERROR(VLOOKUP(B1148,ChiTietDuToan!C:H,5,0),"")</f>
        <v>0</v>
      </c>
      <c r="V1148" s="2309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59" t="s">
        <v>1091</v>
      </c>
      <c r="C1149" s="1189" t="str">
        <f t="shared" ca="1" si="225"/>
        <v xml:space="preserve"> </v>
      </c>
      <c r="D1149" s="1236"/>
      <c r="E1149" s="1248" t="str">
        <f>VLOOKUP($B1149,DG!A:D,DG!$C$2,)</f>
        <v>Boulon mắt 16x250+ 2 long đền vuông D18-50x50x3/Zn</v>
      </c>
      <c r="F1149" s="1236" t="str">
        <f>VLOOKUP($B1149,DG!A:D,DG!$D$2,)</f>
        <v>bộ</v>
      </c>
      <c r="G1149" s="1915">
        <v>2</v>
      </c>
      <c r="H1149" s="1245">
        <f t="shared" ref="H1149:H1154" ca="1" si="240">H$1148*$G1149</f>
        <v>0</v>
      </c>
      <c r="I1149" s="1245">
        <f t="shared" ref="I1149:N1154" ca="1" si="241">I$1148*$G1149</f>
        <v>0</v>
      </c>
      <c r="J1149" s="1245">
        <f t="shared" ca="1" si="241"/>
        <v>0</v>
      </c>
      <c r="K1149" s="1245">
        <f t="shared" ca="1" si="241"/>
        <v>0</v>
      </c>
      <c r="L1149" s="1245">
        <f t="shared" si="241"/>
        <v>0</v>
      </c>
      <c r="M1149" s="1245">
        <f t="shared" ca="1" si="241"/>
        <v>0</v>
      </c>
      <c r="N1149" s="1245">
        <f t="shared" ca="1" si="241"/>
        <v>0</v>
      </c>
      <c r="O1149" s="1245"/>
      <c r="P1149" s="1245"/>
      <c r="Q1149" s="1245"/>
      <c r="R1149" s="1245"/>
      <c r="S1149" s="1245"/>
      <c r="T1149" s="1671"/>
      <c r="U1149" s="1664" t="str">
        <f>IFERROR(VLOOKUP(B1149,ChiTietDuToan!C:H,5,0),"")</f>
        <v/>
      </c>
      <c r="V1149" s="2309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59" t="s">
        <v>112</v>
      </c>
      <c r="C1150" s="1189" t="str">
        <f t="shared" ca="1" si="225"/>
        <v xml:space="preserve"> </v>
      </c>
      <c r="D1150" s="1236"/>
      <c r="E1150" s="1248" t="str">
        <f>VLOOKUP($B1150,DG!A:D,DG!$C$2,)</f>
        <v>Sứ chằng</v>
      </c>
      <c r="F1150" s="1236" t="str">
        <f>VLOOKUP($B1150,DG!A:D,DG!$D$2,)</f>
        <v>cái</v>
      </c>
      <c r="G1150" s="1915">
        <v>2</v>
      </c>
      <c r="H1150" s="1245">
        <f t="shared" ca="1" si="240"/>
        <v>0</v>
      </c>
      <c r="I1150" s="1245">
        <f t="shared" ca="1" si="241"/>
        <v>0</v>
      </c>
      <c r="J1150" s="1245">
        <f t="shared" ca="1" si="241"/>
        <v>0</v>
      </c>
      <c r="K1150" s="1245">
        <f t="shared" ca="1" si="241"/>
        <v>0</v>
      </c>
      <c r="L1150" s="1245">
        <f t="shared" si="241"/>
        <v>0</v>
      </c>
      <c r="M1150" s="1245">
        <f t="shared" ca="1" si="241"/>
        <v>0</v>
      </c>
      <c r="N1150" s="1245">
        <f t="shared" ca="1" si="241"/>
        <v>0</v>
      </c>
      <c r="O1150" s="1245"/>
      <c r="P1150" s="1245"/>
      <c r="Q1150" s="1245"/>
      <c r="R1150" s="1245"/>
      <c r="S1150" s="1245"/>
      <c r="T1150" s="1671"/>
      <c r="U1150" s="1664" t="str">
        <f>IFERROR(VLOOKUP(B1150,ChiTietDuToan!C:H,5,0),"")</f>
        <v>cái</v>
      </c>
      <c r="V1150" s="2309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59" t="s">
        <v>1630</v>
      </c>
      <c r="C1151" s="1189" t="str">
        <f t="shared" ca="1" si="225"/>
        <v xml:space="preserve"> </v>
      </c>
      <c r="D1151" s="1236"/>
      <c r="E1151" s="1248" t="str">
        <f>VLOOKUP($B1151,DG!A:D,DG!$C$2,)</f>
        <v>Kẹp cáp 3 boulon</v>
      </c>
      <c r="F1151" s="1236" t="str">
        <f>VLOOKUP($B1151,DG!A:D,DG!$D$2,)</f>
        <v>cái</v>
      </c>
      <c r="G1151" s="1915">
        <v>16</v>
      </c>
      <c r="H1151" s="1245">
        <f t="shared" ca="1" si="240"/>
        <v>0</v>
      </c>
      <c r="I1151" s="1245">
        <f t="shared" ca="1" si="241"/>
        <v>0</v>
      </c>
      <c r="J1151" s="1245">
        <f t="shared" ca="1" si="241"/>
        <v>0</v>
      </c>
      <c r="K1151" s="1245">
        <f t="shared" ca="1" si="241"/>
        <v>0</v>
      </c>
      <c r="L1151" s="1245">
        <f t="shared" si="241"/>
        <v>0</v>
      </c>
      <c r="M1151" s="1245">
        <f t="shared" ca="1" si="241"/>
        <v>0</v>
      </c>
      <c r="N1151" s="1245">
        <f t="shared" ca="1" si="241"/>
        <v>0</v>
      </c>
      <c r="O1151" s="1245"/>
      <c r="P1151" s="1245"/>
      <c r="Q1151" s="1245"/>
      <c r="R1151" s="1245"/>
      <c r="S1151" s="1245"/>
      <c r="T1151" s="1671"/>
      <c r="U1151" s="1664" t="str">
        <f>IFERROR(VLOOKUP(B1151,ChiTietDuToan!C:H,5,0),"")</f>
        <v>cái</v>
      </c>
      <c r="V1151" s="2309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59" t="s">
        <v>1392</v>
      </c>
      <c r="C1152" s="1189" t="str">
        <f t="shared" ca="1" si="225"/>
        <v xml:space="preserve"> </v>
      </c>
      <c r="D1152" s="1236"/>
      <c r="E1152" s="1248" t="str">
        <f>VLOOKUP($B1152,DG!A:D,DG!$C$2,)</f>
        <v>Cáp thép 5/8"</v>
      </c>
      <c r="F1152" s="1236" t="str">
        <f>VLOOKUP($B1152,DG!A:D,DG!$D$2,)</f>
        <v>kg</v>
      </c>
      <c r="G1152" s="1915">
        <v>35</v>
      </c>
      <c r="H1152" s="1245">
        <f t="shared" ca="1" si="240"/>
        <v>0</v>
      </c>
      <c r="I1152" s="1245">
        <f ca="1">I$1148*$G1152</f>
        <v>0</v>
      </c>
      <c r="J1152" s="1245">
        <f t="shared" ca="1" si="241"/>
        <v>0</v>
      </c>
      <c r="K1152" s="1245">
        <f t="shared" ca="1" si="241"/>
        <v>0</v>
      </c>
      <c r="L1152" s="1245">
        <f t="shared" si="241"/>
        <v>0</v>
      </c>
      <c r="M1152" s="1245">
        <f t="shared" ca="1" si="241"/>
        <v>0</v>
      </c>
      <c r="N1152" s="1245">
        <f t="shared" ca="1" si="241"/>
        <v>0</v>
      </c>
      <c r="O1152" s="1245"/>
      <c r="P1152" s="1245"/>
      <c r="Q1152" s="1245"/>
      <c r="R1152" s="1245"/>
      <c r="S1152" s="1245"/>
      <c r="T1152" s="1671"/>
      <c r="U1152" s="1664" t="str">
        <f>IFERROR(VLOOKUP(B1152,ChiTietDuToan!C:H,5,0),"")</f>
        <v>mét</v>
      </c>
      <c r="V1152" s="2309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59" t="s">
        <v>2053</v>
      </c>
      <c r="C1153" s="1189" t="str">
        <f t="shared" ca="1" si="225"/>
        <v xml:space="preserve"> </v>
      </c>
      <c r="D1153" s="1236"/>
      <c r="E1153" s="1248" t="str">
        <f>VLOOKUP($B1153,DG!A:D,DG!$C$2,)</f>
        <v>Yếm cáp dày 2mm</v>
      </c>
      <c r="F1153" s="1236" t="str">
        <f>VLOOKUP($B1153,DG!A:D,DG!$D$2,)</f>
        <v>cái</v>
      </c>
      <c r="G1153" s="1915">
        <v>4</v>
      </c>
      <c r="H1153" s="1245">
        <f t="shared" ca="1" si="240"/>
        <v>0</v>
      </c>
      <c r="I1153" s="1245">
        <f t="shared" ca="1" si="241"/>
        <v>0</v>
      </c>
      <c r="J1153" s="1245">
        <f t="shared" ca="1" si="241"/>
        <v>0</v>
      </c>
      <c r="K1153" s="1245">
        <f t="shared" ca="1" si="241"/>
        <v>0</v>
      </c>
      <c r="L1153" s="1245">
        <f t="shared" si="241"/>
        <v>0</v>
      </c>
      <c r="M1153" s="1245">
        <f t="shared" ca="1" si="241"/>
        <v>0</v>
      </c>
      <c r="N1153" s="1245">
        <f t="shared" ca="1" si="241"/>
        <v>0</v>
      </c>
      <c r="O1153" s="1245"/>
      <c r="P1153" s="1245"/>
      <c r="Q1153" s="1245"/>
      <c r="R1153" s="1245"/>
      <c r="S1153" s="1245"/>
      <c r="T1153" s="1671"/>
      <c r="U1153" s="1664" t="str">
        <f>IFERROR(VLOOKUP(B1153,ChiTietDuToan!C:H,5,0),"")</f>
        <v>cái</v>
      </c>
      <c r="V1153" s="2309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59" t="s">
        <v>2054</v>
      </c>
      <c r="C1154" s="1189" t="str">
        <f t="shared" ca="1" si="225"/>
        <v xml:space="preserve"> </v>
      </c>
      <c r="D1154" s="1236"/>
      <c r="E1154" s="1248" t="str">
        <f>VLOOKUP($B1154,DG!A:D,DG!$C$2,)</f>
        <v>Máng che dây chằng dày 1,6mm</v>
      </c>
      <c r="F1154" s="1236" t="str">
        <f>VLOOKUP($B1154,DG!A:D,DG!$D$2,)</f>
        <v>cái</v>
      </c>
      <c r="G1154" s="1915">
        <v>2</v>
      </c>
      <c r="H1154" s="1245">
        <f t="shared" ca="1" si="240"/>
        <v>0</v>
      </c>
      <c r="I1154" s="1245">
        <f t="shared" ca="1" si="241"/>
        <v>0</v>
      </c>
      <c r="J1154" s="1245">
        <f t="shared" ca="1" si="241"/>
        <v>0</v>
      </c>
      <c r="K1154" s="1245">
        <f t="shared" ca="1" si="241"/>
        <v>0</v>
      </c>
      <c r="L1154" s="1245">
        <f t="shared" si="241"/>
        <v>0</v>
      </c>
      <c r="M1154" s="1245">
        <f t="shared" ca="1" si="241"/>
        <v>0</v>
      </c>
      <c r="N1154" s="1245">
        <f t="shared" ca="1" si="241"/>
        <v>0</v>
      </c>
      <c r="O1154" s="1245"/>
      <c r="P1154" s="1245"/>
      <c r="Q1154" s="1245"/>
      <c r="R1154" s="1245"/>
      <c r="S1154" s="1245"/>
      <c r="T1154" s="1671"/>
      <c r="U1154" s="1664" t="str">
        <f>IFERROR(VLOOKUP(B1154,ChiTietDuToan!C:H,5,0),"")</f>
        <v>cái</v>
      </c>
      <c r="V1154" s="2309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59" t="s">
        <v>1971</v>
      </c>
      <c r="C1155" s="1189" t="str">
        <f t="shared" si="225"/>
        <v xml:space="preserve"> </v>
      </c>
      <c r="D1155" s="1236" t="str">
        <f>VLOOKUP($B1155,DG!A:D,DG!$B$2,)</f>
        <v>06.3241</v>
      </c>
      <c r="E1155" s="1241" t="str">
        <f>VLOOKUP($B1155,DG!A:D,DG!$C$2,)</f>
        <v>Lắp bộ dây néo</v>
      </c>
      <c r="F1155" s="1236" t="str">
        <f>VLOOKUP($B1155,DG!A:D,DG!$D$2,)</f>
        <v>bộ</v>
      </c>
      <c r="G1155" s="1915">
        <v>2</v>
      </c>
      <c r="H1155" s="1250"/>
      <c r="I1155" s="1250"/>
      <c r="J1155" s="1250"/>
      <c r="K1155" s="1250"/>
      <c r="L1155" s="1250"/>
      <c r="M1155" s="1250"/>
      <c r="N1155" s="1250"/>
      <c r="O1155" s="1250"/>
      <c r="P1155" s="1250"/>
      <c r="Q1155" s="1250"/>
      <c r="R1155" s="1250"/>
      <c r="S1155" s="1250"/>
      <c r="T1155" s="1671"/>
      <c r="U1155" s="1664" t="str">
        <f>IFERROR(VLOOKUP(B1155,ChiTietDuToan!C:H,5,0),"")</f>
        <v>bộ</v>
      </c>
      <c r="V1155" s="2309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74" t="s">
        <v>357</v>
      </c>
      <c r="C1156" s="1189" t="str">
        <f t="shared" si="225"/>
        <v xml:space="preserve"> </v>
      </c>
      <c r="D1156" s="1236" t="str">
        <f>VLOOKUP($B1156,DG!A:C,2,)</f>
        <v>02.1421</v>
      </c>
      <c r="E1156" s="1241" t="str">
        <f>VLOOKUP($B1156,DG!A:C,3,)</f>
        <v>V/c phụ kiện vào vị trí (cự ly &lt;=100m)</v>
      </c>
      <c r="F1156" s="1236" t="str">
        <f>VLOOKUP($B1156,DG!A:D,4,0)</f>
        <v>tấn</v>
      </c>
      <c r="G1156" s="1914">
        <v>0.02</v>
      </c>
      <c r="H1156" s="1250"/>
      <c r="I1156" s="1250"/>
      <c r="J1156" s="1250"/>
      <c r="K1156" s="1250"/>
      <c r="L1156" s="1250"/>
      <c r="M1156" s="1250"/>
      <c r="N1156" s="1250"/>
      <c r="O1156" s="1250"/>
      <c r="P1156" s="1250"/>
      <c r="Q1156" s="1250"/>
      <c r="R1156" s="1250"/>
      <c r="S1156" s="1250"/>
      <c r="T1156" s="1671"/>
      <c r="U1156" s="1664" t="str">
        <f>IFERROR(VLOOKUP(B1156,ChiTietDuToan!C:H,5,0),"")</f>
        <v>tấn</v>
      </c>
      <c r="V1156" s="2309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54" t="str">
        <f>A1157</f>
        <v>CX14-B</v>
      </c>
      <c r="C1157" s="1189" t="str">
        <f t="shared" si="225"/>
        <v xml:space="preserve"> </v>
      </c>
      <c r="D1157" s="1237"/>
      <c r="E1157" s="1666" t="s">
        <v>2536</v>
      </c>
      <c r="F1157" s="1238" t="s">
        <v>2449</v>
      </c>
      <c r="G1157" s="1912"/>
      <c r="H1157" s="1523">
        <f>W1157</f>
        <v>0</v>
      </c>
      <c r="I1157" s="1239">
        <f ca="1">SUMIF(chang3pm,chitiet!$A1157,slchang3pm)</f>
        <v>0</v>
      </c>
      <c r="J1157" s="1239">
        <f ca="1">SUMIF(changct,chitiet!$A1157,slchangct)</f>
        <v>0</v>
      </c>
      <c r="K1157" s="1239">
        <f ca="1">SUMIF(chang3p1m,chitiet!$A1157,slchang3p1m)</f>
        <v>0</v>
      </c>
      <c r="L1157" s="1239">
        <f>IFERROR(HLOOKUP(A1157,pp1p!$6:$90,85,0),0)</f>
        <v>0</v>
      </c>
      <c r="M1157" s="1239">
        <f ca="1">SUMIF(changHTHH,chitiet!$A1157,slchangHTHH)</f>
        <v>0</v>
      </c>
      <c r="N1157" s="1239">
        <f ca="1">SUMIF(changHTDL,chitiet!$A1157,slchangHTDL)</f>
        <v>0</v>
      </c>
      <c r="O1157" s="1239"/>
      <c r="P1157" s="2297">
        <f>H1157+Q1157-R1157</f>
        <v>0</v>
      </c>
      <c r="Q1157" s="1239"/>
      <c r="R1157" s="1239"/>
      <c r="S1157" s="1239"/>
      <c r="T1157" s="1671"/>
      <c r="U1157" s="1664" t="str">
        <f>IFERROR(VLOOKUP(B1157,ChiTietDuToan!C:H,5,0),"")</f>
        <v>Bộ</v>
      </c>
      <c r="V1157" s="2309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59" t="s">
        <v>1091</v>
      </c>
      <c r="C1158" s="1189" t="str">
        <f t="shared" si="225"/>
        <v xml:space="preserve"> </v>
      </c>
      <c r="D1158" s="1236"/>
      <c r="E1158" s="1248" t="str">
        <f>VLOOKUP($B1158,DG!A:D,DG!$C$2,)</f>
        <v>Boulon mắt 16x250+ 2 long đền vuông D18-50x50x3/Zn</v>
      </c>
      <c r="F1158" s="1236" t="str">
        <f>VLOOKUP($B1158,DG!A:D,DG!$D$2,)</f>
        <v>bộ</v>
      </c>
      <c r="G1158" s="1915">
        <v>1</v>
      </c>
      <c r="H1158" s="1245">
        <f t="shared" ref="H1158:H1163" si="243">H$1157*$G1158</f>
        <v>0</v>
      </c>
      <c r="I1158" s="1245">
        <f t="shared" ref="I1158:N1163" ca="1" si="244">I$1157*$G1158</f>
        <v>0</v>
      </c>
      <c r="J1158" s="1245">
        <f t="shared" ca="1" si="244"/>
        <v>0</v>
      </c>
      <c r="K1158" s="1245">
        <f t="shared" ca="1" si="244"/>
        <v>0</v>
      </c>
      <c r="L1158" s="1245">
        <f t="shared" si="244"/>
        <v>0</v>
      </c>
      <c r="M1158" s="1245">
        <f t="shared" ca="1" si="244"/>
        <v>0</v>
      </c>
      <c r="N1158" s="1245">
        <f t="shared" ca="1" si="244"/>
        <v>0</v>
      </c>
      <c r="O1158" s="1245"/>
      <c r="P1158" s="1245">
        <f t="shared" ref="P1158:Q1163" si="245">P$1157*$G1158</f>
        <v>0</v>
      </c>
      <c r="Q1158" s="1245">
        <f t="shared" si="245"/>
        <v>0</v>
      </c>
      <c r="R1158" s="1245"/>
      <c r="S1158" s="1245"/>
      <c r="T1158" s="1671"/>
      <c r="U1158" s="1664" t="str">
        <f>IFERROR(VLOOKUP(B1158,ChiTietDuToan!C:H,5,0),"")</f>
        <v/>
      </c>
      <c r="V1158" s="2309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59" t="s">
        <v>112</v>
      </c>
      <c r="C1159" s="1189" t="str">
        <f t="shared" si="225"/>
        <v xml:space="preserve"> </v>
      </c>
      <c r="D1159" s="1236"/>
      <c r="E1159" s="1248" t="str">
        <f>VLOOKUP($B1159,DG!A:D,DG!$C$2,)</f>
        <v>Sứ chằng</v>
      </c>
      <c r="F1159" s="1236" t="str">
        <f>VLOOKUP($B1159,DG!A:D,DG!$D$2,)</f>
        <v>cái</v>
      </c>
      <c r="G1159" s="1915">
        <v>1</v>
      </c>
      <c r="H1159" s="1245">
        <f>H$1157*$G1159</f>
        <v>0</v>
      </c>
      <c r="I1159" s="1245">
        <f ca="1">I$1157*$G1159</f>
        <v>0</v>
      </c>
      <c r="J1159" s="1245">
        <f t="shared" ca="1" si="244"/>
        <v>0</v>
      </c>
      <c r="K1159" s="1245">
        <f t="shared" ca="1" si="244"/>
        <v>0</v>
      </c>
      <c r="L1159" s="1245">
        <f t="shared" si="244"/>
        <v>0</v>
      </c>
      <c r="M1159" s="1245">
        <f t="shared" ca="1" si="244"/>
        <v>0</v>
      </c>
      <c r="N1159" s="1245">
        <f t="shared" ca="1" si="244"/>
        <v>0</v>
      </c>
      <c r="O1159" s="1245"/>
      <c r="P1159" s="1245">
        <f t="shared" si="245"/>
        <v>0</v>
      </c>
      <c r="Q1159" s="1245">
        <f t="shared" si="245"/>
        <v>0</v>
      </c>
      <c r="R1159" s="1245"/>
      <c r="S1159" s="1245"/>
      <c r="T1159" s="1671"/>
      <c r="U1159" s="1664" t="str">
        <f>IFERROR(VLOOKUP(B1159,ChiTietDuToan!C:H,5,0),"")</f>
        <v>cái</v>
      </c>
      <c r="V1159" s="2309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59" t="s">
        <v>1630</v>
      </c>
      <c r="C1160" s="1189" t="str">
        <f t="shared" si="225"/>
        <v xml:space="preserve"> </v>
      </c>
      <c r="D1160" s="1236"/>
      <c r="E1160" s="1248" t="str">
        <f>VLOOKUP($B1160,DG!A:D,DG!$C$2,)</f>
        <v>Kẹp cáp 3 boulon</v>
      </c>
      <c r="F1160" s="1236" t="str">
        <f>VLOOKUP($B1160,DG!A:D,DG!$D$2,)</f>
        <v>cái</v>
      </c>
      <c r="G1160" s="1915">
        <v>8</v>
      </c>
      <c r="H1160" s="1245">
        <f t="shared" si="243"/>
        <v>0</v>
      </c>
      <c r="I1160" s="1245">
        <f ca="1">I$1157*$G1160</f>
        <v>0</v>
      </c>
      <c r="J1160" s="1245">
        <f t="shared" ca="1" si="244"/>
        <v>0</v>
      </c>
      <c r="K1160" s="1245">
        <f t="shared" ca="1" si="244"/>
        <v>0</v>
      </c>
      <c r="L1160" s="1245">
        <f t="shared" si="244"/>
        <v>0</v>
      </c>
      <c r="M1160" s="1245">
        <f t="shared" ca="1" si="244"/>
        <v>0</v>
      </c>
      <c r="N1160" s="1245">
        <f t="shared" ca="1" si="244"/>
        <v>0</v>
      </c>
      <c r="O1160" s="1245"/>
      <c r="P1160" s="1245">
        <f t="shared" si="245"/>
        <v>0</v>
      </c>
      <c r="Q1160" s="1245">
        <f t="shared" si="245"/>
        <v>0</v>
      </c>
      <c r="R1160" s="1245"/>
      <c r="S1160" s="1245"/>
      <c r="T1160" s="1671"/>
      <c r="U1160" s="1664" t="str">
        <f>IFERROR(VLOOKUP(B1160,ChiTietDuToan!C:H,5,0),"")</f>
        <v>cái</v>
      </c>
      <c r="V1160" s="2309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59" t="s">
        <v>276</v>
      </c>
      <c r="C1161" s="1189" t="str">
        <f t="shared" si="225"/>
        <v xml:space="preserve"> </v>
      </c>
      <c r="D1161" s="1236"/>
      <c r="E1161" s="1248" t="str">
        <f>VLOOKUP($B1161,DG!A:D,DG!$C$2,)</f>
        <v>Cáp thép 3/8"</v>
      </c>
      <c r="F1161" s="2311" t="str">
        <f>U1161</f>
        <v>mét</v>
      </c>
      <c r="G1161" s="1925">
        <f>V1161</f>
        <v>30</v>
      </c>
      <c r="H1161" s="1245">
        <f t="shared" si="243"/>
        <v>0</v>
      </c>
      <c r="I1161" s="1245">
        <f ca="1">I$1157*$G1161</f>
        <v>0</v>
      </c>
      <c r="J1161" s="1245">
        <f ca="1">J$1157*$G1161</f>
        <v>0</v>
      </c>
      <c r="K1161" s="1245">
        <f t="shared" ca="1" si="244"/>
        <v>0</v>
      </c>
      <c r="L1161" s="1245">
        <f t="shared" si="244"/>
        <v>0</v>
      </c>
      <c r="M1161" s="1245">
        <f t="shared" ca="1" si="244"/>
        <v>0</v>
      </c>
      <c r="N1161" s="1245">
        <f t="shared" ca="1" si="244"/>
        <v>0</v>
      </c>
      <c r="O1161" s="1245"/>
      <c r="P1161" s="1245">
        <f t="shared" si="245"/>
        <v>0</v>
      </c>
      <c r="Q1161" s="1245">
        <f t="shared" si="245"/>
        <v>0</v>
      </c>
      <c r="R1161" s="1245"/>
      <c r="S1161" s="1245"/>
      <c r="T1161" s="1671"/>
      <c r="U1161" s="1664" t="str">
        <f>IFERROR(VLOOKUP(B1161,ChiTietDuToan!C:H,5,0),"")</f>
        <v>mét</v>
      </c>
      <c r="V1161" s="2309">
        <f>IFERROR(VLOOKUP(B1161,ChiTietDuToan!C:H,6,0),"")</f>
        <v>30</v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59" t="s">
        <v>2053</v>
      </c>
      <c r="C1162" s="1189" t="str">
        <f t="shared" si="225"/>
        <v xml:space="preserve"> </v>
      </c>
      <c r="D1162" s="1236"/>
      <c r="E1162" s="1248" t="str">
        <f>VLOOKUP($B1162,DG!A:D,DG!$C$2,)</f>
        <v>Yếm cáp dày 2mm</v>
      </c>
      <c r="F1162" s="1236" t="str">
        <f>VLOOKUP($B1162,DG!A:D,DG!$D$2,)</f>
        <v>cái</v>
      </c>
      <c r="G1162" s="1915">
        <v>2</v>
      </c>
      <c r="H1162" s="1245">
        <f t="shared" si="243"/>
        <v>0</v>
      </c>
      <c r="I1162" s="1245">
        <f t="shared" ca="1" si="244"/>
        <v>0</v>
      </c>
      <c r="J1162" s="1245">
        <f t="shared" ca="1" si="244"/>
        <v>0</v>
      </c>
      <c r="K1162" s="1245">
        <f t="shared" ca="1" si="244"/>
        <v>0</v>
      </c>
      <c r="L1162" s="1245">
        <f t="shared" si="244"/>
        <v>0</v>
      </c>
      <c r="M1162" s="1245">
        <f t="shared" ca="1" si="244"/>
        <v>0</v>
      </c>
      <c r="N1162" s="1245">
        <f t="shared" ca="1" si="244"/>
        <v>0</v>
      </c>
      <c r="O1162" s="1245"/>
      <c r="P1162" s="1245">
        <f t="shared" si="245"/>
        <v>0</v>
      </c>
      <c r="Q1162" s="1245">
        <f t="shared" si="245"/>
        <v>0</v>
      </c>
      <c r="R1162" s="1245"/>
      <c r="S1162" s="1245"/>
      <c r="T1162" s="1671"/>
      <c r="U1162" s="1664" t="str">
        <f>IFERROR(VLOOKUP(B1162,ChiTietDuToan!C:H,5,0),"")</f>
        <v>cái</v>
      </c>
      <c r="V1162" s="2309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59" t="s">
        <v>2054</v>
      </c>
      <c r="C1163" s="1189" t="str">
        <f t="shared" si="225"/>
        <v xml:space="preserve"> </v>
      </c>
      <c r="D1163" s="1236"/>
      <c r="E1163" s="1248" t="str">
        <f>VLOOKUP($B1163,DG!A:D,DG!$C$2,)</f>
        <v>Máng che dây chằng dày 1,6mm</v>
      </c>
      <c r="F1163" s="1236" t="str">
        <f>VLOOKUP($B1163,DG!A:D,DG!$D$2,)</f>
        <v>cái</v>
      </c>
      <c r="G1163" s="1915">
        <v>1</v>
      </c>
      <c r="H1163" s="1245">
        <f t="shared" si="243"/>
        <v>0</v>
      </c>
      <c r="I1163" s="1245">
        <f t="shared" ca="1" si="244"/>
        <v>0</v>
      </c>
      <c r="J1163" s="1245">
        <f t="shared" ca="1" si="244"/>
        <v>0</v>
      </c>
      <c r="K1163" s="1245">
        <f t="shared" ca="1" si="244"/>
        <v>0</v>
      </c>
      <c r="L1163" s="1245">
        <f t="shared" si="244"/>
        <v>0</v>
      </c>
      <c r="M1163" s="1245">
        <f t="shared" ca="1" si="244"/>
        <v>0</v>
      </c>
      <c r="N1163" s="1245">
        <f t="shared" ca="1" si="244"/>
        <v>0</v>
      </c>
      <c r="O1163" s="1245"/>
      <c r="P1163" s="1245">
        <f t="shared" si="245"/>
        <v>0</v>
      </c>
      <c r="Q1163" s="1245">
        <f t="shared" si="245"/>
        <v>0</v>
      </c>
      <c r="R1163" s="1245"/>
      <c r="S1163" s="1245"/>
      <c r="T1163" s="1671"/>
      <c r="U1163" s="1664" t="str">
        <f>IFERROR(VLOOKUP(B1163,ChiTietDuToan!C:H,5,0),"")</f>
        <v>cái</v>
      </c>
      <c r="V1163" s="2309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59" t="s">
        <v>1971</v>
      </c>
      <c r="C1164" s="1189" t="str">
        <f t="shared" si="225"/>
        <v xml:space="preserve"> </v>
      </c>
      <c r="D1164" s="1236" t="str">
        <f>VLOOKUP($B1164,DG!A:D,DG!$B$2,)</f>
        <v>06.3241</v>
      </c>
      <c r="E1164" s="1241" t="str">
        <f>VLOOKUP($B1164,DG!A:D,DG!$C$2,)</f>
        <v>Lắp bộ dây néo</v>
      </c>
      <c r="F1164" s="1236" t="str">
        <f>VLOOKUP($B1164,DG!A:D,DG!$D$2,)</f>
        <v>bộ</v>
      </c>
      <c r="G1164" s="1915">
        <f>G1158</f>
        <v>1</v>
      </c>
      <c r="H1164" s="1250"/>
      <c r="I1164" s="1250"/>
      <c r="J1164" s="1250"/>
      <c r="K1164" s="1250"/>
      <c r="L1164" s="1250"/>
      <c r="M1164" s="1250"/>
      <c r="N1164" s="1250"/>
      <c r="O1164" s="1250"/>
      <c r="P1164" s="1250"/>
      <c r="Q1164" s="1250"/>
      <c r="R1164" s="1250"/>
      <c r="S1164" s="1250"/>
      <c r="T1164" s="1671"/>
      <c r="U1164" s="1664" t="str">
        <f>IFERROR(VLOOKUP(B1164,ChiTietDuToan!C:H,5,0),"")</f>
        <v>bộ</v>
      </c>
      <c r="V1164" s="2309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74" t="s">
        <v>357</v>
      </c>
      <c r="C1165" s="1189" t="str">
        <f t="shared" si="225"/>
        <v xml:space="preserve"> </v>
      </c>
      <c r="D1165" s="1236" t="str">
        <f>VLOOKUP($B1165,DG!A:C,2,)</f>
        <v>02.1421</v>
      </c>
      <c r="E1165" s="1241" t="str">
        <f>VLOOKUP($B1165,DG!A:C,3,)</f>
        <v>V/c phụ kiện vào vị trí (cự ly &lt;=100m)</v>
      </c>
      <c r="F1165" s="1236" t="str">
        <f>VLOOKUP($B1165,DG!A:D,4,0)</f>
        <v>tấn</v>
      </c>
      <c r="G1165" s="1914"/>
      <c r="H1165" s="1250"/>
      <c r="I1165" s="1250"/>
      <c r="J1165" s="1250"/>
      <c r="K1165" s="1250"/>
      <c r="L1165" s="1250"/>
      <c r="M1165" s="1250"/>
      <c r="N1165" s="1250"/>
      <c r="O1165" s="1250"/>
      <c r="P1165" s="1250"/>
      <c r="Q1165" s="1250"/>
      <c r="R1165" s="1250"/>
      <c r="S1165" s="1250"/>
      <c r="T1165" s="1671"/>
      <c r="U1165" s="1664" t="str">
        <f>IFERROR(VLOOKUP(B1165,ChiTietDuToan!C:H,5,0),"")</f>
        <v>tấn</v>
      </c>
      <c r="V1165" s="2309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56"/>
      <c r="C1166" s="1189" t="str">
        <f t="shared" ca="1" si="225"/>
        <v xml:space="preserve"> </v>
      </c>
      <c r="D1166" s="1237"/>
      <c r="E1166" s="1666" t="s">
        <v>2537</v>
      </c>
      <c r="F1166" s="1238" t="s">
        <v>2449</v>
      </c>
      <c r="G1166" s="1912"/>
      <c r="H1166" s="1523">
        <f ca="1">SUM(I1166:O1166)+T1166</f>
        <v>0</v>
      </c>
      <c r="I1166" s="1239">
        <f ca="1">SUMIF(chang3pm,chitiet!$A1166,slchang3pm)</f>
        <v>0</v>
      </c>
      <c r="J1166" s="1239">
        <f ca="1">SUMIF(changct,chitiet!$A1166,slchangct)</f>
        <v>0</v>
      </c>
      <c r="K1166" s="1239">
        <f ca="1">+SUMIF(chang3p1m,chitiet!$A1166,slchang3p1m)</f>
        <v>0</v>
      </c>
      <c r="L1166" s="1239">
        <f>IFERROR(HLOOKUP(A1166,pp1p!$6:$90,85,0),0)</f>
        <v>0</v>
      </c>
      <c r="M1166" s="1239">
        <f ca="1">SUMIF(changHTHH,chitiet!$A1166,slchangHTHH)</f>
        <v>0</v>
      </c>
      <c r="N1166" s="1239">
        <f ca="1">SUMIF(changHTDL,chitiet!$A1166,slchangHTDL)</f>
        <v>0</v>
      </c>
      <c r="O1166" s="1239"/>
      <c r="P1166" s="1239">
        <f ca="1">H1166+Q1166-R1166</f>
        <v>0</v>
      </c>
      <c r="Q1166" s="1239"/>
      <c r="R1166" s="1239"/>
      <c r="S1166" s="1239"/>
      <c r="T1166" s="1671"/>
      <c r="U1166" s="1664">
        <f>IFERROR(VLOOKUP(B1166,ChiTietDuToan!C:H,5,0),"")</f>
        <v>0</v>
      </c>
      <c r="V1166" s="2309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59" t="s">
        <v>1091</v>
      </c>
      <c r="C1167" s="1189" t="str">
        <f t="shared" ref="C1167:C1230" ca="1" si="246">IF(OR(P1167&lt;&gt;0,H1167&lt;&gt;0),"x"," ")</f>
        <v xml:space="preserve"> </v>
      </c>
      <c r="D1167" s="1236"/>
      <c r="E1167" s="1248" t="str">
        <f>VLOOKUP($B1167,DG!A:D,DG!$C$2,)</f>
        <v>Boulon mắt 16x250+ 2 long đền vuông D18-50x50x3/Zn</v>
      </c>
      <c r="F1167" s="1236" t="str">
        <f>VLOOKUP($B1167,DG!A:D,DG!$D$2,)</f>
        <v>bộ</v>
      </c>
      <c r="G1167" s="1915">
        <v>1</v>
      </c>
      <c r="H1167" s="1245">
        <f t="shared" ref="H1167:I1171" ca="1" si="247">H$1166*$G1167</f>
        <v>0</v>
      </c>
      <c r="I1167" s="1245">
        <f t="shared" ca="1" si="247"/>
        <v>0</v>
      </c>
      <c r="J1167" s="1245">
        <f t="shared" ref="I1167:N1173" ca="1" si="248">J$1166*$G1167</f>
        <v>0</v>
      </c>
      <c r="K1167" s="1245">
        <f t="shared" ca="1" si="248"/>
        <v>0</v>
      </c>
      <c r="L1167" s="1245">
        <f t="shared" si="248"/>
        <v>0</v>
      </c>
      <c r="M1167" s="1245">
        <f t="shared" ca="1" si="248"/>
        <v>0</v>
      </c>
      <c r="N1167" s="1245">
        <f t="shared" ca="1" si="248"/>
        <v>0</v>
      </c>
      <c r="O1167" s="1245"/>
      <c r="P1167" s="1245"/>
      <c r="Q1167" s="1245"/>
      <c r="R1167" s="1245"/>
      <c r="S1167" s="1245"/>
      <c r="T1167" s="1671"/>
      <c r="U1167" s="1664" t="str">
        <f>IFERROR(VLOOKUP(B1167,ChiTietDuToan!C:H,5,0),"")</f>
        <v/>
      </c>
      <c r="V1167" s="2309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59" t="s">
        <v>112</v>
      </c>
      <c r="C1168" s="1189" t="str">
        <f t="shared" ca="1" si="246"/>
        <v xml:space="preserve"> </v>
      </c>
      <c r="D1168" s="1236"/>
      <c r="E1168" s="1248" t="str">
        <f>VLOOKUP($B1168,DG!A:D,DG!$C$2,)</f>
        <v>Sứ chằng</v>
      </c>
      <c r="F1168" s="1236" t="str">
        <f>VLOOKUP($B1168,DG!A:D,DG!$D$2,)</f>
        <v>cái</v>
      </c>
      <c r="G1168" s="1915">
        <v>1</v>
      </c>
      <c r="H1168" s="1245">
        <f t="shared" ca="1" si="247"/>
        <v>0</v>
      </c>
      <c r="I1168" s="1245">
        <f t="shared" ca="1" si="247"/>
        <v>0</v>
      </c>
      <c r="J1168" s="1245">
        <f t="shared" ca="1" si="248"/>
        <v>0</v>
      </c>
      <c r="K1168" s="1245">
        <f t="shared" ca="1" si="248"/>
        <v>0</v>
      </c>
      <c r="L1168" s="1245">
        <f t="shared" si="248"/>
        <v>0</v>
      </c>
      <c r="M1168" s="1245">
        <f t="shared" ca="1" si="248"/>
        <v>0</v>
      </c>
      <c r="N1168" s="1245">
        <f t="shared" ca="1" si="248"/>
        <v>0</v>
      </c>
      <c r="O1168" s="1245"/>
      <c r="P1168" s="1245"/>
      <c r="Q1168" s="1245"/>
      <c r="R1168" s="1245"/>
      <c r="S1168" s="1245"/>
      <c r="T1168" s="1671"/>
      <c r="U1168" s="1664" t="str">
        <f>IFERROR(VLOOKUP(B1168,ChiTietDuToan!C:H,5,0),"")</f>
        <v>cái</v>
      </c>
      <c r="V1168" s="2309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59" t="s">
        <v>1630</v>
      </c>
      <c r="C1169" s="1189" t="str">
        <f t="shared" ca="1" si="246"/>
        <v xml:space="preserve"> </v>
      </c>
      <c r="D1169" s="1236"/>
      <c r="E1169" s="1248" t="str">
        <f>VLOOKUP($B1169,DG!A:D,DG!$C$2,)</f>
        <v>Kẹp cáp 3 boulon</v>
      </c>
      <c r="F1169" s="1236" t="str">
        <f>VLOOKUP($B1169,DG!A:D,DG!$D$2,)</f>
        <v>cái</v>
      </c>
      <c r="G1169" s="1915">
        <v>8</v>
      </c>
      <c r="H1169" s="1245">
        <f t="shared" ca="1" si="247"/>
        <v>0</v>
      </c>
      <c r="I1169" s="1245">
        <f t="shared" ca="1" si="247"/>
        <v>0</v>
      </c>
      <c r="J1169" s="1245">
        <f t="shared" ca="1" si="248"/>
        <v>0</v>
      </c>
      <c r="K1169" s="1245">
        <f t="shared" ca="1" si="248"/>
        <v>0</v>
      </c>
      <c r="L1169" s="1245">
        <f t="shared" si="248"/>
        <v>0</v>
      </c>
      <c r="M1169" s="1245">
        <f t="shared" ca="1" si="248"/>
        <v>0</v>
      </c>
      <c r="N1169" s="1245">
        <f t="shared" ca="1" si="248"/>
        <v>0</v>
      </c>
      <c r="O1169" s="1245"/>
      <c r="P1169" s="1245"/>
      <c r="Q1169" s="1245"/>
      <c r="R1169" s="1245"/>
      <c r="S1169" s="1245"/>
      <c r="T1169" s="1671"/>
      <c r="U1169" s="1664" t="str">
        <f>IFERROR(VLOOKUP(B1169,ChiTietDuToan!C:H,5,0),"")</f>
        <v>cái</v>
      </c>
      <c r="V1169" s="2309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59" t="s">
        <v>276</v>
      </c>
      <c r="C1170" s="1189" t="str">
        <f t="shared" ca="1" si="246"/>
        <v xml:space="preserve"> </v>
      </c>
      <c r="D1170" s="1236"/>
      <c r="E1170" s="1248" t="str">
        <f>VLOOKUP($B1170,DG!A:D,DG!$C$2,)</f>
        <v>Cáp thép 3/8"</v>
      </c>
      <c r="F1170" s="1236" t="str">
        <f>VLOOKUP($B1170,DG!A:D,DG!$D$2,)</f>
        <v>kg</v>
      </c>
      <c r="G1170" s="1915">
        <v>15</v>
      </c>
      <c r="H1170" s="1245">
        <f t="shared" ca="1" si="247"/>
        <v>0</v>
      </c>
      <c r="I1170" s="1245">
        <f t="shared" ca="1" si="247"/>
        <v>0</v>
      </c>
      <c r="J1170" s="1245">
        <f t="shared" ca="1" si="248"/>
        <v>0</v>
      </c>
      <c r="K1170" s="1245">
        <f t="shared" ca="1" si="248"/>
        <v>0</v>
      </c>
      <c r="L1170" s="1245">
        <f t="shared" si="248"/>
        <v>0</v>
      </c>
      <c r="M1170" s="1245">
        <f t="shared" ca="1" si="248"/>
        <v>0</v>
      </c>
      <c r="N1170" s="1245">
        <f t="shared" ca="1" si="248"/>
        <v>0</v>
      </c>
      <c r="O1170" s="1245"/>
      <c r="P1170" s="1245"/>
      <c r="Q1170" s="1245"/>
      <c r="R1170" s="1245"/>
      <c r="S1170" s="1245"/>
      <c r="T1170" s="1671"/>
      <c r="U1170" s="1664" t="str">
        <f>IFERROR(VLOOKUP(B1170,ChiTietDuToan!C:H,5,0),"")</f>
        <v>mét</v>
      </c>
      <c r="V1170" s="2309">
        <f>IFERROR(VLOOKUP(B1170,ChiTietDuToan!C:H,6,0),"")</f>
        <v>30</v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59" t="s">
        <v>612</v>
      </c>
      <c r="C1171" s="1189" t="str">
        <f t="shared" ca="1" si="246"/>
        <v xml:space="preserve"> </v>
      </c>
      <c r="D1171" s="1236"/>
      <c r="E1171" s="1248" t="str">
        <f>VLOOKUP($B1171,DG!A:D,DG!$C$2,)</f>
        <v>Bộ chống chằng hẹp Ø60/50x1500+2BL12x40+BL16x250/80</v>
      </c>
      <c r="F1171" s="1236" t="str">
        <f>VLOOKUP($B1171,DG!A:D,DG!$D$2,)</f>
        <v>bộ</v>
      </c>
      <c r="G1171" s="1915">
        <v>1</v>
      </c>
      <c r="H1171" s="1245">
        <f t="shared" ca="1" si="247"/>
        <v>0</v>
      </c>
      <c r="I1171" s="1245">
        <f t="shared" ca="1" si="247"/>
        <v>0</v>
      </c>
      <c r="J1171" s="1245">
        <f t="shared" ca="1" si="248"/>
        <v>0</v>
      </c>
      <c r="K1171" s="1245">
        <f t="shared" ca="1" si="248"/>
        <v>0</v>
      </c>
      <c r="L1171" s="1245">
        <f t="shared" si="248"/>
        <v>0</v>
      </c>
      <c r="M1171" s="1245">
        <f t="shared" ca="1" si="248"/>
        <v>0</v>
      </c>
      <c r="N1171" s="1245">
        <f t="shared" ca="1" si="248"/>
        <v>0</v>
      </c>
      <c r="O1171" s="1245"/>
      <c r="P1171" s="1245"/>
      <c r="Q1171" s="1245"/>
      <c r="R1171" s="1245"/>
      <c r="S1171" s="1245"/>
      <c r="T1171" s="1671"/>
      <c r="U1171" s="1664" t="str">
        <f>IFERROR(VLOOKUP(B1171,ChiTietDuToan!C:H,5,0),"")</f>
        <v>bộ</v>
      </c>
      <c r="V1171" s="2309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59" t="s">
        <v>2053</v>
      </c>
      <c r="C1172" s="1189" t="str">
        <f t="shared" ca="1" si="246"/>
        <v xml:space="preserve"> </v>
      </c>
      <c r="D1172" s="1236"/>
      <c r="E1172" s="1248" t="str">
        <f>VLOOKUP($B1172,DG!A:D,DG!$C$2,)</f>
        <v>Yếm cáp dày 2mm</v>
      </c>
      <c r="F1172" s="1236" t="str">
        <f>VLOOKUP($B1172,DG!A:D,DG!$D$2,)</f>
        <v>cái</v>
      </c>
      <c r="G1172" s="1915">
        <v>2</v>
      </c>
      <c r="H1172" s="1245">
        <f ca="1">H$1166*$G1172</f>
        <v>0</v>
      </c>
      <c r="I1172" s="1245">
        <f t="shared" ca="1" si="248"/>
        <v>0</v>
      </c>
      <c r="J1172" s="1245">
        <f t="shared" ca="1" si="248"/>
        <v>0</v>
      </c>
      <c r="K1172" s="1245">
        <f t="shared" ca="1" si="248"/>
        <v>0</v>
      </c>
      <c r="L1172" s="1245">
        <f t="shared" si="248"/>
        <v>0</v>
      </c>
      <c r="M1172" s="1245">
        <f t="shared" ca="1" si="248"/>
        <v>0</v>
      </c>
      <c r="N1172" s="1245">
        <f t="shared" ca="1" si="248"/>
        <v>0</v>
      </c>
      <c r="O1172" s="1245"/>
      <c r="P1172" s="1245"/>
      <c r="Q1172" s="1245"/>
      <c r="R1172" s="1245"/>
      <c r="S1172" s="1245"/>
      <c r="T1172" s="1671"/>
      <c r="U1172" s="1664" t="str">
        <f>IFERROR(VLOOKUP(B1172,ChiTietDuToan!C:H,5,0),"")</f>
        <v>cái</v>
      </c>
      <c r="V1172" s="2309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59" t="s">
        <v>2054</v>
      </c>
      <c r="C1173" s="1189" t="str">
        <f t="shared" ca="1" si="246"/>
        <v xml:space="preserve"> </v>
      </c>
      <c r="D1173" s="1236"/>
      <c r="E1173" s="1248" t="str">
        <f>VLOOKUP($B1173,DG!A:D,DG!$C$2,)</f>
        <v>Máng che dây chằng dày 1,6mm</v>
      </c>
      <c r="F1173" s="1236" t="str">
        <f>VLOOKUP($B1173,DG!A:D,DG!$D$2,)</f>
        <v>cái</v>
      </c>
      <c r="G1173" s="1915">
        <v>1</v>
      </c>
      <c r="H1173" s="1245">
        <f ca="1">H$1166*$G1173</f>
        <v>0</v>
      </c>
      <c r="I1173" s="1245">
        <f t="shared" ca="1" si="248"/>
        <v>0</v>
      </c>
      <c r="J1173" s="1245">
        <f t="shared" ca="1" si="248"/>
        <v>0</v>
      </c>
      <c r="K1173" s="1245">
        <f t="shared" ca="1" si="248"/>
        <v>0</v>
      </c>
      <c r="L1173" s="1245">
        <f t="shared" si="248"/>
        <v>0</v>
      </c>
      <c r="M1173" s="1245">
        <f t="shared" ca="1" si="248"/>
        <v>0</v>
      </c>
      <c r="N1173" s="1245">
        <f t="shared" ca="1" si="248"/>
        <v>0</v>
      </c>
      <c r="O1173" s="1245"/>
      <c r="P1173" s="1245"/>
      <c r="Q1173" s="1245"/>
      <c r="R1173" s="1245"/>
      <c r="S1173" s="1245"/>
      <c r="T1173" s="1671"/>
      <c r="U1173" s="1664" t="str">
        <f>IFERROR(VLOOKUP(B1173,ChiTietDuToan!C:H,5,0),"")</f>
        <v>cái</v>
      </c>
      <c r="V1173" s="2309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59" t="s">
        <v>1971</v>
      </c>
      <c r="C1174" s="1189" t="str">
        <f t="shared" si="246"/>
        <v xml:space="preserve"> </v>
      </c>
      <c r="D1174" s="1236" t="str">
        <f>VLOOKUP($B1174,DG!A:D,DG!$B$2,)</f>
        <v>06.3241</v>
      </c>
      <c r="E1174" s="1241" t="str">
        <f>VLOOKUP($B1174,DG!A:D,DG!$C$2,)</f>
        <v>Lắp bộ dây néo</v>
      </c>
      <c r="F1174" s="1236" t="str">
        <f>VLOOKUP($B1174,DG!A:D,DG!$D$2,)</f>
        <v>bộ</v>
      </c>
      <c r="G1174" s="1915">
        <v>1</v>
      </c>
      <c r="H1174" s="1250"/>
      <c r="I1174" s="1250"/>
      <c r="J1174" s="1250"/>
      <c r="K1174" s="1250"/>
      <c r="L1174" s="1250"/>
      <c r="M1174" s="1250"/>
      <c r="N1174" s="1250"/>
      <c r="O1174" s="1250"/>
      <c r="P1174" s="1250"/>
      <c r="Q1174" s="1250"/>
      <c r="R1174" s="1250"/>
      <c r="S1174" s="1250"/>
      <c r="T1174" s="1671"/>
      <c r="U1174" s="1664" t="str">
        <f>IFERROR(VLOOKUP(B1174,ChiTietDuToan!C:H,5,0),"")</f>
        <v>bộ</v>
      </c>
      <c r="V1174" s="2309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59" t="s">
        <v>1959</v>
      </c>
      <c r="C1175" s="1189" t="str">
        <f t="shared" si="246"/>
        <v xml:space="preserve"> </v>
      </c>
      <c r="D1175" s="1236" t="str">
        <f>VLOOKUP($B1175,DG!A:D,DG!$B$2,)</f>
        <v>05.6011</v>
      </c>
      <c r="E1175" s="1241" t="str">
        <f>VLOOKUP($B1175,DG!A:D,DG!$C$2,)</f>
        <v>Lắp bộ chống lệch</v>
      </c>
      <c r="F1175" s="1236" t="str">
        <f>VLOOKUP($B1175,DG!A:D,DG!$D$2,)</f>
        <v>bộ</v>
      </c>
      <c r="G1175" s="1915">
        <v>1</v>
      </c>
      <c r="H1175" s="1250"/>
      <c r="I1175" s="1250"/>
      <c r="J1175" s="1250"/>
      <c r="K1175" s="1250"/>
      <c r="L1175" s="1250"/>
      <c r="M1175" s="1250"/>
      <c r="N1175" s="1250"/>
      <c r="O1175" s="1250"/>
      <c r="P1175" s="1250"/>
      <c r="Q1175" s="1250"/>
      <c r="R1175" s="1250"/>
      <c r="S1175" s="1250"/>
      <c r="T1175" s="1671"/>
      <c r="U1175" s="1664" t="str">
        <f>IFERROR(VLOOKUP(B1175,ChiTietDuToan!C:H,5,0),"")</f>
        <v>bộ</v>
      </c>
      <c r="V1175" s="2309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74" t="s">
        <v>357</v>
      </c>
      <c r="C1176" s="1189" t="str">
        <f t="shared" si="246"/>
        <v xml:space="preserve"> </v>
      </c>
      <c r="D1176" s="1236" t="str">
        <f>VLOOKUP($B1176,DG!A:C,2,)</f>
        <v>02.1421</v>
      </c>
      <c r="E1176" s="1241" t="str">
        <f>VLOOKUP($B1176,DG!A:C,3,)</f>
        <v>V/c phụ kiện vào vị trí (cự ly &lt;=100m)</v>
      </c>
      <c r="F1176" s="1236" t="str">
        <f>VLOOKUP($B1176,DG!A:D,4,0)</f>
        <v>tấn</v>
      </c>
      <c r="G1176" s="1914">
        <v>0.02</v>
      </c>
      <c r="H1176" s="1250"/>
      <c r="I1176" s="1250"/>
      <c r="J1176" s="1250"/>
      <c r="K1176" s="1250"/>
      <c r="L1176" s="1250"/>
      <c r="M1176" s="1250"/>
      <c r="N1176" s="1250"/>
      <c r="O1176" s="1250"/>
      <c r="P1176" s="1250"/>
      <c r="Q1176" s="1250"/>
      <c r="R1176" s="1250"/>
      <c r="S1176" s="1250"/>
      <c r="T1176" s="1671"/>
      <c r="U1176" s="1664" t="str">
        <f>IFERROR(VLOOKUP(B1176,ChiTietDuToan!C:H,5,0),"")</f>
        <v>tấn</v>
      </c>
      <c r="V1176" s="2309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54" t="str">
        <f>A1177</f>
        <v>CXX14-B</v>
      </c>
      <c r="C1177" s="1189" t="str">
        <f t="shared" si="246"/>
        <v xml:space="preserve"> </v>
      </c>
      <c r="D1177" s="1237"/>
      <c r="E1177" s="1666" t="s">
        <v>2538</v>
      </c>
      <c r="F1177" s="1238" t="s">
        <v>2449</v>
      </c>
      <c r="G1177" s="1912"/>
      <c r="H1177" s="1523">
        <f>W1177</f>
        <v>0</v>
      </c>
      <c r="I1177" s="1239">
        <f ca="1">SUMIF(chang3pm,chitiet!$A1177,slchang3pm)</f>
        <v>0</v>
      </c>
      <c r="J1177" s="1239">
        <f ca="1">SUMIF(changct,chitiet!$A1177,slchangct)</f>
        <v>0</v>
      </c>
      <c r="K1177" s="1239">
        <f ca="1">SUMIF(chang3p1m,chitiet!$A1177,slchang3p1m)</f>
        <v>0</v>
      </c>
      <c r="L1177" s="1239">
        <f>IFERROR(HLOOKUP(A1177,pp1p!$6:$90,85,0),0)</f>
        <v>0</v>
      </c>
      <c r="M1177" s="1239">
        <f ca="1">SUMIF(changHTHH,chitiet!$A1177,slchangHTHH)</f>
        <v>0</v>
      </c>
      <c r="N1177" s="1239">
        <f ca="1">SUMIF(changHTDL,chitiet!$A1177,slchangHTDL)</f>
        <v>0</v>
      </c>
      <c r="O1177" s="1239"/>
      <c r="P1177" s="2297">
        <f>H1177+Q1177-R1177</f>
        <v>0</v>
      </c>
      <c r="Q1177" s="1239"/>
      <c r="R1177" s="1239"/>
      <c r="S1177" s="1239"/>
      <c r="T1177" s="1671"/>
      <c r="U1177" s="1664" t="str">
        <f>IFERROR(VLOOKUP(B1177,ChiTietDuToan!C:H,5,0),"")</f>
        <v>Bộ</v>
      </c>
      <c r="V1177" s="2309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59" t="s">
        <v>1091</v>
      </c>
      <c r="C1178" s="1189" t="str">
        <f t="shared" si="246"/>
        <v xml:space="preserve"> </v>
      </c>
      <c r="D1178" s="1236"/>
      <c r="E1178" s="1248" t="str">
        <f>VLOOKUP($B1178,DG!A:D,DG!$C$2,)</f>
        <v>Boulon mắt 16x250+ 2 long đền vuông D18-50x50x3/Zn</v>
      </c>
      <c r="F1178" s="1236" t="str">
        <f>VLOOKUP($B1178,DG!A:D,DG!$D$2,)</f>
        <v>bộ</v>
      </c>
      <c r="G1178" s="1915">
        <v>2</v>
      </c>
      <c r="H1178" s="1245">
        <f t="shared" ref="H1178:H1183" si="251">H$1177*$G1178</f>
        <v>0</v>
      </c>
      <c r="I1178" s="1245">
        <f t="shared" ref="I1178:N1183" ca="1" si="252">I$1177*$G1178</f>
        <v>0</v>
      </c>
      <c r="J1178" s="1245">
        <f t="shared" ca="1" si="252"/>
        <v>0</v>
      </c>
      <c r="K1178" s="1245">
        <f t="shared" ca="1" si="252"/>
        <v>0</v>
      </c>
      <c r="L1178" s="1245">
        <f t="shared" si="252"/>
        <v>0</v>
      </c>
      <c r="M1178" s="1245">
        <f t="shared" ca="1" si="252"/>
        <v>0</v>
      </c>
      <c r="N1178" s="1245">
        <f t="shared" ca="1" si="252"/>
        <v>0</v>
      </c>
      <c r="O1178" s="1245"/>
      <c r="P1178" s="1245">
        <f t="shared" ref="P1178:Q1183" si="253">P$1177*$G1178</f>
        <v>0</v>
      </c>
      <c r="Q1178" s="1245">
        <f t="shared" si="253"/>
        <v>0</v>
      </c>
      <c r="R1178" s="1245"/>
      <c r="S1178" s="1245"/>
      <c r="T1178" s="1671"/>
      <c r="U1178" s="1664" t="str">
        <f>IFERROR(VLOOKUP(B1178,ChiTietDuToan!C:H,5,0),"")</f>
        <v/>
      </c>
      <c r="V1178" s="2309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59" t="s">
        <v>112</v>
      </c>
      <c r="C1179" s="1189" t="str">
        <f t="shared" si="246"/>
        <v xml:space="preserve"> </v>
      </c>
      <c r="D1179" s="1236"/>
      <c r="E1179" s="1248" t="str">
        <f>VLOOKUP($B1179,DG!A:D,DG!$C$2,)</f>
        <v>Sứ chằng</v>
      </c>
      <c r="F1179" s="1236" t="str">
        <f>VLOOKUP($B1179,DG!A:D,DG!$D$2,)</f>
        <v>cái</v>
      </c>
      <c r="G1179" s="1915">
        <v>2</v>
      </c>
      <c r="H1179" s="1245">
        <f t="shared" si="251"/>
        <v>0</v>
      </c>
      <c r="I1179" s="1245">
        <f t="shared" ca="1" si="252"/>
        <v>0</v>
      </c>
      <c r="J1179" s="1245">
        <f t="shared" ca="1" si="252"/>
        <v>0</v>
      </c>
      <c r="K1179" s="1245">
        <f t="shared" ca="1" si="252"/>
        <v>0</v>
      </c>
      <c r="L1179" s="1245">
        <f t="shared" si="252"/>
        <v>0</v>
      </c>
      <c r="M1179" s="1245">
        <f t="shared" ca="1" si="252"/>
        <v>0</v>
      </c>
      <c r="N1179" s="1245">
        <f t="shared" ca="1" si="252"/>
        <v>0</v>
      </c>
      <c r="O1179" s="1245"/>
      <c r="P1179" s="1245">
        <f t="shared" si="253"/>
        <v>0</v>
      </c>
      <c r="Q1179" s="1245">
        <f t="shared" si="253"/>
        <v>0</v>
      </c>
      <c r="R1179" s="1245"/>
      <c r="S1179" s="1245"/>
      <c r="T1179" s="1671"/>
      <c r="U1179" s="1664" t="str">
        <f>IFERROR(VLOOKUP(B1179,ChiTietDuToan!C:H,5,0),"")</f>
        <v>cái</v>
      </c>
      <c r="V1179" s="2309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59" t="s">
        <v>1630</v>
      </c>
      <c r="C1180" s="1189" t="str">
        <f t="shared" si="246"/>
        <v xml:space="preserve"> </v>
      </c>
      <c r="D1180" s="1236"/>
      <c r="E1180" s="1248" t="str">
        <f>VLOOKUP($B1180,DG!A:D,DG!$C$2,)</f>
        <v>Kẹp cáp 3 boulon</v>
      </c>
      <c r="F1180" s="1236" t="str">
        <f>VLOOKUP($B1180,DG!A:D,DG!$D$2,)</f>
        <v>cái</v>
      </c>
      <c r="G1180" s="1915">
        <v>16</v>
      </c>
      <c r="H1180" s="1245">
        <f>H$1177*$G1180</f>
        <v>0</v>
      </c>
      <c r="I1180" s="1245">
        <f t="shared" ca="1" si="252"/>
        <v>0</v>
      </c>
      <c r="J1180" s="1245">
        <f t="shared" ca="1" si="252"/>
        <v>0</v>
      </c>
      <c r="K1180" s="1245">
        <f t="shared" ca="1" si="252"/>
        <v>0</v>
      </c>
      <c r="L1180" s="1245">
        <f t="shared" si="252"/>
        <v>0</v>
      </c>
      <c r="M1180" s="1245">
        <f t="shared" ca="1" si="252"/>
        <v>0</v>
      </c>
      <c r="N1180" s="1245">
        <f t="shared" ca="1" si="252"/>
        <v>0</v>
      </c>
      <c r="O1180" s="1245"/>
      <c r="P1180" s="1245">
        <f t="shared" si="253"/>
        <v>0</v>
      </c>
      <c r="Q1180" s="1245">
        <f t="shared" si="253"/>
        <v>0</v>
      </c>
      <c r="R1180" s="1245"/>
      <c r="S1180" s="1245"/>
      <c r="T1180" s="1671"/>
      <c r="U1180" s="1664" t="str">
        <f>IFERROR(VLOOKUP(B1180,ChiTietDuToan!C:H,5,0),"")</f>
        <v>cái</v>
      </c>
      <c r="V1180" s="2309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59" t="s">
        <v>1392</v>
      </c>
      <c r="C1181" s="1189" t="str">
        <f t="shared" si="246"/>
        <v xml:space="preserve"> </v>
      </c>
      <c r="D1181" s="1236"/>
      <c r="E1181" s="1248" t="str">
        <f>VLOOKUP($B1181,DG!A:D,DG!$C$2,)</f>
        <v>Cáp thép 5/8"</v>
      </c>
      <c r="F1181" s="2311" t="str">
        <f>U1181</f>
        <v>mét</v>
      </c>
      <c r="G1181" s="1925">
        <f>V1181</f>
        <v>16</v>
      </c>
      <c r="H1181" s="1245">
        <f t="shared" si="251"/>
        <v>0</v>
      </c>
      <c r="I1181" s="1245">
        <f t="shared" ca="1" si="252"/>
        <v>0</v>
      </c>
      <c r="J1181" s="1245">
        <f t="shared" ca="1" si="252"/>
        <v>0</v>
      </c>
      <c r="K1181" s="1245">
        <f t="shared" ca="1" si="252"/>
        <v>0</v>
      </c>
      <c r="L1181" s="1245">
        <f t="shared" si="252"/>
        <v>0</v>
      </c>
      <c r="M1181" s="1245">
        <f t="shared" ca="1" si="252"/>
        <v>0</v>
      </c>
      <c r="N1181" s="1245">
        <f t="shared" ca="1" si="252"/>
        <v>0</v>
      </c>
      <c r="O1181" s="1245"/>
      <c r="P1181" s="1245">
        <f t="shared" si="253"/>
        <v>0</v>
      </c>
      <c r="Q1181" s="1245">
        <f t="shared" si="253"/>
        <v>0</v>
      </c>
      <c r="R1181" s="1245"/>
      <c r="S1181" s="1245"/>
      <c r="T1181" s="1671"/>
      <c r="U1181" s="1664" t="str">
        <f>IFERROR(VLOOKUP(B1181,ChiTietDuToan!C:H,5,0),"")</f>
        <v>mét</v>
      </c>
      <c r="V1181" s="2309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59" t="s">
        <v>2053</v>
      </c>
      <c r="C1182" s="1189" t="str">
        <f t="shared" si="246"/>
        <v xml:space="preserve"> </v>
      </c>
      <c r="D1182" s="1236"/>
      <c r="E1182" s="1248" t="str">
        <f>VLOOKUP($B1182,DG!A:D,DG!$C$2,)</f>
        <v>Yếm cáp dày 2mm</v>
      </c>
      <c r="F1182" s="1236" t="str">
        <f>VLOOKUP($B1182,DG!A:D,DG!$D$2,)</f>
        <v>cái</v>
      </c>
      <c r="G1182" s="1915">
        <v>4</v>
      </c>
      <c r="H1182" s="1245">
        <f t="shared" si="251"/>
        <v>0</v>
      </c>
      <c r="I1182" s="1245">
        <f t="shared" ca="1" si="252"/>
        <v>0</v>
      </c>
      <c r="J1182" s="1245">
        <f t="shared" ca="1" si="252"/>
        <v>0</v>
      </c>
      <c r="K1182" s="1245">
        <f t="shared" ca="1" si="252"/>
        <v>0</v>
      </c>
      <c r="L1182" s="1245">
        <f t="shared" si="252"/>
        <v>0</v>
      </c>
      <c r="M1182" s="1245">
        <f t="shared" ca="1" si="252"/>
        <v>0</v>
      </c>
      <c r="N1182" s="1245">
        <f t="shared" ca="1" si="252"/>
        <v>0</v>
      </c>
      <c r="O1182" s="1245"/>
      <c r="P1182" s="1245">
        <f t="shared" si="253"/>
        <v>0</v>
      </c>
      <c r="Q1182" s="1245">
        <f t="shared" si="253"/>
        <v>0</v>
      </c>
      <c r="R1182" s="1245"/>
      <c r="S1182" s="1245"/>
      <c r="T1182" s="1671"/>
      <c r="U1182" s="1664" t="str">
        <f>IFERROR(VLOOKUP(B1182,ChiTietDuToan!C:H,5,0),"")</f>
        <v>cái</v>
      </c>
      <c r="V1182" s="2309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59" t="s">
        <v>2054</v>
      </c>
      <c r="C1183" s="1189" t="str">
        <f t="shared" si="246"/>
        <v xml:space="preserve"> </v>
      </c>
      <c r="D1183" s="1236"/>
      <c r="E1183" s="1248" t="str">
        <f>VLOOKUP($B1183,DG!A:D,DG!$C$2,)</f>
        <v>Máng che dây chằng dày 1,6mm</v>
      </c>
      <c r="F1183" s="1236" t="str">
        <f>VLOOKUP($B1183,DG!A:D,DG!$D$2,)</f>
        <v>cái</v>
      </c>
      <c r="G1183" s="1915">
        <v>2</v>
      </c>
      <c r="H1183" s="1245">
        <f t="shared" si="251"/>
        <v>0</v>
      </c>
      <c r="I1183" s="1245">
        <f t="shared" ca="1" si="252"/>
        <v>0</v>
      </c>
      <c r="J1183" s="1245">
        <f t="shared" ca="1" si="252"/>
        <v>0</v>
      </c>
      <c r="K1183" s="1245">
        <f t="shared" ca="1" si="252"/>
        <v>0</v>
      </c>
      <c r="L1183" s="1245">
        <f t="shared" si="252"/>
        <v>0</v>
      </c>
      <c r="M1183" s="1245">
        <f t="shared" ca="1" si="252"/>
        <v>0</v>
      </c>
      <c r="N1183" s="1245">
        <f t="shared" ca="1" si="252"/>
        <v>0</v>
      </c>
      <c r="O1183" s="1245"/>
      <c r="P1183" s="1245">
        <f t="shared" si="253"/>
        <v>0</v>
      </c>
      <c r="Q1183" s="1245">
        <f t="shared" si="253"/>
        <v>0</v>
      </c>
      <c r="R1183" s="1245"/>
      <c r="S1183" s="1245"/>
      <c r="T1183" s="1671"/>
      <c r="U1183" s="1664" t="str">
        <f>IFERROR(VLOOKUP(B1183,ChiTietDuToan!C:H,5,0),"")</f>
        <v>cái</v>
      </c>
      <c r="V1183" s="2309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59" t="s">
        <v>1971</v>
      </c>
      <c r="C1184" s="1189" t="str">
        <f t="shared" si="246"/>
        <v xml:space="preserve"> </v>
      </c>
      <c r="D1184" s="1236" t="str">
        <f>VLOOKUP($B1184,DG!A:D,DG!$B$2,)</f>
        <v>06.3241</v>
      </c>
      <c r="E1184" s="1241" t="str">
        <f>VLOOKUP($B1184,DG!A:D,DG!$C$2,)</f>
        <v>Lắp bộ dây néo</v>
      </c>
      <c r="F1184" s="1236" t="str">
        <f>VLOOKUP($B1184,DG!A:D,DG!$D$2,)</f>
        <v>bộ</v>
      </c>
      <c r="G1184" s="1915">
        <v>2</v>
      </c>
      <c r="H1184" s="1250"/>
      <c r="I1184" s="1250"/>
      <c r="J1184" s="1250"/>
      <c r="K1184" s="1250"/>
      <c r="L1184" s="1250"/>
      <c r="M1184" s="1250"/>
      <c r="N1184" s="1250"/>
      <c r="O1184" s="1250"/>
      <c r="P1184" s="1250"/>
      <c r="Q1184" s="1250"/>
      <c r="R1184" s="1250"/>
      <c r="S1184" s="1250"/>
      <c r="T1184" s="1671"/>
      <c r="U1184" s="1664" t="str">
        <f>IFERROR(VLOOKUP(B1184,ChiTietDuToan!C:H,5,0),"")</f>
        <v>bộ</v>
      </c>
      <c r="V1184" s="2309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74" t="s">
        <v>357</v>
      </c>
      <c r="C1185" s="1189" t="str">
        <f t="shared" si="246"/>
        <v xml:space="preserve"> </v>
      </c>
      <c r="D1185" s="1236" t="str">
        <f>VLOOKUP($B1185,DG!A:C,2,)</f>
        <v>02.1421</v>
      </c>
      <c r="E1185" s="1241" t="str">
        <f>VLOOKUP($B1185,DG!A:C,3,)</f>
        <v>V/c phụ kiện vào vị trí (cự ly &lt;=100m)</v>
      </c>
      <c r="F1185" s="1236" t="str">
        <f>VLOOKUP($B1185,DG!A:D,4,0)</f>
        <v>tấn</v>
      </c>
      <c r="G1185" s="1914">
        <v>0.02</v>
      </c>
      <c r="H1185" s="1250"/>
      <c r="I1185" s="1250"/>
      <c r="J1185" s="1250"/>
      <c r="K1185" s="1250"/>
      <c r="L1185" s="1250"/>
      <c r="M1185" s="1250"/>
      <c r="N1185" s="1250"/>
      <c r="O1185" s="1250"/>
      <c r="P1185" s="1250"/>
      <c r="Q1185" s="1250"/>
      <c r="R1185" s="1250"/>
      <c r="S1185" s="1250"/>
      <c r="T1185" s="1671"/>
      <c r="U1185" s="1664" t="str">
        <f>IFERROR(VLOOKUP(B1185,ChiTietDuToan!C:H,5,0),"")</f>
        <v>tấn</v>
      </c>
      <c r="V1185" s="2309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54" t="str">
        <f>A1186</f>
        <v>CK-B</v>
      </c>
      <c r="C1186" s="1189" t="str">
        <f t="shared" si="246"/>
        <v xml:space="preserve"> </v>
      </c>
      <c r="D1186" s="1237"/>
      <c r="E1186" s="1666" t="s">
        <v>2539</v>
      </c>
      <c r="F1186" s="1238" t="s">
        <v>2449</v>
      </c>
      <c r="G1186" s="1912"/>
      <c r="H1186" s="1523">
        <f>W1186</f>
        <v>0</v>
      </c>
      <c r="I1186" s="1239">
        <f ca="1">SUMIF(chang3pm,chitiet!$A1186,slchang3pm)</f>
        <v>0</v>
      </c>
      <c r="J1186" s="1239">
        <f ca="1">SUMIF(changct,chitiet!$A1186,slchangct)</f>
        <v>0</v>
      </c>
      <c r="K1186" s="1239">
        <f ca="1">SUMIF(chang3p1m,chitiet!$A1186,slchang3p1m)</f>
        <v>0</v>
      </c>
      <c r="L1186" s="1239">
        <f>IFERROR(HLOOKUP(A1186,pp1p!$6:$90,85,0),0)</f>
        <v>0</v>
      </c>
      <c r="M1186" s="1239">
        <f ca="1">SUMIF(changHTHH,chitiet!$A1186,slchangHTHH)</f>
        <v>0</v>
      </c>
      <c r="N1186" s="1239">
        <f ca="1">SUMIF(changHTDL,chitiet!$A1186,slchangHTDL)</f>
        <v>0</v>
      </c>
      <c r="O1186" s="1239"/>
      <c r="P1186" s="2297">
        <f>H1186+Q1186-R1186</f>
        <v>0</v>
      </c>
      <c r="Q1186" s="1239"/>
      <c r="R1186" s="1239"/>
      <c r="S1186" s="1239"/>
      <c r="T1186" s="1671"/>
      <c r="U1186" s="1664" t="str">
        <f>IFERROR(VLOOKUP(B1186,ChiTietDuToan!C:H,5,0),"")</f>
        <v>Bộ</v>
      </c>
      <c r="V1186" s="2309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59" t="s">
        <v>1091</v>
      </c>
      <c r="C1187" s="1189" t="str">
        <f t="shared" si="246"/>
        <v xml:space="preserve"> </v>
      </c>
      <c r="D1187" s="1236"/>
      <c r="E1187" s="1248" t="str">
        <f>VLOOKUP($B1187,DG!A:D,DG!$C$2,)</f>
        <v>Boulon mắt 16x250+ 2 long đền vuông D18-50x50x3/Zn</v>
      </c>
      <c r="F1187" s="1236" t="str">
        <f>VLOOKUP($B1187,DG!A:D,DG!$D$2,)</f>
        <v>bộ</v>
      </c>
      <c r="G1187" s="1915">
        <v>2</v>
      </c>
      <c r="H1187" s="1245">
        <f>H$1186*$G1187</f>
        <v>0</v>
      </c>
      <c r="I1187" s="1245">
        <f t="shared" ref="I1187:N1191" ca="1" si="255">I$1186*$G1187</f>
        <v>0</v>
      </c>
      <c r="J1187" s="1245">
        <f t="shared" ca="1" si="255"/>
        <v>0</v>
      </c>
      <c r="K1187" s="1245">
        <f t="shared" ca="1" si="255"/>
        <v>0</v>
      </c>
      <c r="L1187" s="1245">
        <f t="shared" si="255"/>
        <v>0</v>
      </c>
      <c r="M1187" s="1245">
        <f t="shared" ca="1" si="255"/>
        <v>0</v>
      </c>
      <c r="N1187" s="1245">
        <f t="shared" ca="1" si="255"/>
        <v>0</v>
      </c>
      <c r="O1187" s="1245"/>
      <c r="P1187" s="1245">
        <f t="shared" ref="P1187:Q1191" si="256">P$1186*$G1187</f>
        <v>0</v>
      </c>
      <c r="Q1187" s="1245">
        <f t="shared" si="256"/>
        <v>0</v>
      </c>
      <c r="R1187" s="1245"/>
      <c r="S1187" s="1245"/>
      <c r="T1187" s="1671"/>
      <c r="U1187" s="1664" t="str">
        <f>IFERROR(VLOOKUP(B1187,ChiTietDuToan!C:H,5,0),"")</f>
        <v/>
      </c>
      <c r="V1187" s="2309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59" t="s">
        <v>112</v>
      </c>
      <c r="C1188" s="1189" t="str">
        <f t="shared" si="246"/>
        <v xml:space="preserve"> </v>
      </c>
      <c r="D1188" s="1236"/>
      <c r="E1188" s="1248" t="str">
        <f>VLOOKUP($B1188,DG!A:D,DG!$C$2,)</f>
        <v>Sứ chằng</v>
      </c>
      <c r="F1188" s="1236" t="str">
        <f>VLOOKUP($B1188,DG!A:D,DG!$D$2,)</f>
        <v>cái</v>
      </c>
      <c r="G1188" s="1915">
        <v>2</v>
      </c>
      <c r="H1188" s="1245">
        <f>H$1186*$G1188</f>
        <v>0</v>
      </c>
      <c r="I1188" s="1245">
        <f t="shared" ca="1" si="255"/>
        <v>0</v>
      </c>
      <c r="J1188" s="1245">
        <f t="shared" ca="1" si="255"/>
        <v>0</v>
      </c>
      <c r="K1188" s="1245">
        <f t="shared" ca="1" si="255"/>
        <v>0</v>
      </c>
      <c r="L1188" s="1245">
        <f t="shared" si="255"/>
        <v>0</v>
      </c>
      <c r="M1188" s="1245">
        <f t="shared" ca="1" si="255"/>
        <v>0</v>
      </c>
      <c r="N1188" s="1245">
        <f t="shared" ca="1" si="255"/>
        <v>0</v>
      </c>
      <c r="O1188" s="1245"/>
      <c r="P1188" s="1245">
        <f t="shared" si="256"/>
        <v>0</v>
      </c>
      <c r="Q1188" s="1245">
        <f t="shared" si="256"/>
        <v>0</v>
      </c>
      <c r="R1188" s="1245"/>
      <c r="S1188" s="1245"/>
      <c r="T1188" s="1671"/>
      <c r="U1188" s="1664" t="str">
        <f>IFERROR(VLOOKUP(B1188,ChiTietDuToan!C:H,5,0),"")</f>
        <v>cái</v>
      </c>
      <c r="V1188" s="2309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59" t="s">
        <v>1630</v>
      </c>
      <c r="C1189" s="1189" t="str">
        <f t="shared" si="246"/>
        <v xml:space="preserve"> </v>
      </c>
      <c r="D1189" s="1236"/>
      <c r="E1189" s="1248" t="str">
        <f>VLOOKUP($B1189,DG!A:D,DG!$C$2,)</f>
        <v>Kẹp cáp 3 boulon</v>
      </c>
      <c r="F1189" s="1236" t="str">
        <f>VLOOKUP($B1189,DG!A:D,DG!$D$2,)</f>
        <v>cái</v>
      </c>
      <c r="G1189" s="1915">
        <v>12</v>
      </c>
      <c r="H1189" s="1245">
        <f>H$1186*$G1189</f>
        <v>0</v>
      </c>
      <c r="I1189" s="1245">
        <f ca="1">I$1186*$G1189</f>
        <v>0</v>
      </c>
      <c r="J1189" s="1245">
        <f t="shared" ca="1" si="255"/>
        <v>0</v>
      </c>
      <c r="K1189" s="1245">
        <f t="shared" ca="1" si="255"/>
        <v>0</v>
      </c>
      <c r="L1189" s="1245">
        <f t="shared" si="255"/>
        <v>0</v>
      </c>
      <c r="M1189" s="1245">
        <f t="shared" ca="1" si="255"/>
        <v>0</v>
      </c>
      <c r="N1189" s="1245">
        <f t="shared" ca="1" si="255"/>
        <v>0</v>
      </c>
      <c r="O1189" s="1245"/>
      <c r="P1189" s="1245">
        <f t="shared" si="256"/>
        <v>0</v>
      </c>
      <c r="Q1189" s="1245">
        <f t="shared" si="256"/>
        <v>0</v>
      </c>
      <c r="R1189" s="1245"/>
      <c r="S1189" s="1245"/>
      <c r="T1189" s="1671"/>
      <c r="U1189" s="1664" t="str">
        <f>IFERROR(VLOOKUP(B1189,ChiTietDuToan!C:H,5,0),"")</f>
        <v>cái</v>
      </c>
      <c r="V1189" s="2309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59" t="s">
        <v>1392</v>
      </c>
      <c r="C1190" s="1189" t="str">
        <f t="shared" si="246"/>
        <v xml:space="preserve"> </v>
      </c>
      <c r="D1190" s="1236"/>
      <c r="E1190" s="1248" t="str">
        <f>VLOOKUP($B1190,DG!A:D,DG!$C$2,)</f>
        <v>Cáp thép 5/8"</v>
      </c>
      <c r="F1190" s="2311" t="str">
        <f>U1190</f>
        <v>mét</v>
      </c>
      <c r="G1190" s="1925">
        <f>V1190</f>
        <v>16</v>
      </c>
      <c r="H1190" s="1245">
        <f>H$1186*$G1190</f>
        <v>0</v>
      </c>
      <c r="I1190" s="1245">
        <f t="shared" ca="1" si="255"/>
        <v>0</v>
      </c>
      <c r="J1190" s="1245">
        <f t="shared" ca="1" si="255"/>
        <v>0</v>
      </c>
      <c r="K1190" s="1245">
        <f t="shared" ca="1" si="255"/>
        <v>0</v>
      </c>
      <c r="L1190" s="1245">
        <f t="shared" si="255"/>
        <v>0</v>
      </c>
      <c r="M1190" s="1245">
        <f t="shared" ca="1" si="255"/>
        <v>0</v>
      </c>
      <c r="N1190" s="1245">
        <f t="shared" ca="1" si="255"/>
        <v>0</v>
      </c>
      <c r="O1190" s="1245"/>
      <c r="P1190" s="1245">
        <f t="shared" si="256"/>
        <v>0</v>
      </c>
      <c r="Q1190" s="1245">
        <f t="shared" si="256"/>
        <v>0</v>
      </c>
      <c r="R1190" s="1245"/>
      <c r="S1190" s="1245"/>
      <c r="T1190" s="1671"/>
      <c r="U1190" s="1664" t="str">
        <f>IFERROR(VLOOKUP(B1190,ChiTietDuToan!C:H,5,0),"")</f>
        <v>mét</v>
      </c>
      <c r="V1190" s="2309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59" t="s">
        <v>2053</v>
      </c>
      <c r="C1191" s="1189" t="str">
        <f t="shared" si="246"/>
        <v xml:space="preserve"> </v>
      </c>
      <c r="D1191" s="1236"/>
      <c r="E1191" s="1248" t="str">
        <f>VLOOKUP($B1191,DG!A:D,DG!$C$2,)</f>
        <v>Yếm cáp dày 2mm</v>
      </c>
      <c r="F1191" s="1236" t="str">
        <f>VLOOKUP($B1191,DG!A:D,DG!$D$2,)</f>
        <v>cái</v>
      </c>
      <c r="G1191" s="1915">
        <v>2</v>
      </c>
      <c r="H1191" s="1245">
        <f>H$1186*$G1191</f>
        <v>0</v>
      </c>
      <c r="I1191" s="1245">
        <f t="shared" ca="1" si="255"/>
        <v>0</v>
      </c>
      <c r="J1191" s="1245">
        <f t="shared" ca="1" si="255"/>
        <v>0</v>
      </c>
      <c r="K1191" s="1245">
        <f t="shared" ca="1" si="255"/>
        <v>0</v>
      </c>
      <c r="L1191" s="1245">
        <f t="shared" si="255"/>
        <v>0</v>
      </c>
      <c r="M1191" s="1245">
        <f t="shared" ca="1" si="255"/>
        <v>0</v>
      </c>
      <c r="N1191" s="1245">
        <f t="shared" ca="1" si="255"/>
        <v>0</v>
      </c>
      <c r="O1191" s="1245"/>
      <c r="P1191" s="1245">
        <f t="shared" si="256"/>
        <v>0</v>
      </c>
      <c r="Q1191" s="1245">
        <f t="shared" si="256"/>
        <v>0</v>
      </c>
      <c r="R1191" s="1245"/>
      <c r="S1191" s="1245"/>
      <c r="T1191" s="1671"/>
      <c r="U1191" s="1664" t="str">
        <f>IFERROR(VLOOKUP(B1191,ChiTietDuToan!C:H,5,0),"")</f>
        <v>cái</v>
      </c>
      <c r="V1191" s="2309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59" t="s">
        <v>1971</v>
      </c>
      <c r="C1192" s="1189" t="str">
        <f t="shared" si="246"/>
        <v xml:space="preserve"> </v>
      </c>
      <c r="D1192" s="1236" t="str">
        <f>VLOOKUP($B1192,DG!A:D,DG!$B$2,)</f>
        <v>06.3241</v>
      </c>
      <c r="E1192" s="1241" t="str">
        <f>VLOOKUP($B1192,DG!A:D,DG!$C$2,)</f>
        <v>Lắp bộ dây néo</v>
      </c>
      <c r="F1192" s="1236" t="str">
        <f>VLOOKUP($B1192,DG!A:D,DG!$D$2,)</f>
        <v>bộ</v>
      </c>
      <c r="G1192" s="1915">
        <v>2</v>
      </c>
      <c r="H1192" s="1250"/>
      <c r="I1192" s="1250"/>
      <c r="J1192" s="1250"/>
      <c r="K1192" s="1250"/>
      <c r="L1192" s="1250"/>
      <c r="M1192" s="1250"/>
      <c r="N1192" s="1250"/>
      <c r="O1192" s="1250"/>
      <c r="P1192" s="1250"/>
      <c r="Q1192" s="1250"/>
      <c r="R1192" s="1250"/>
      <c r="S1192" s="1250"/>
      <c r="T1192" s="1671"/>
      <c r="U1192" s="1664" t="str">
        <f>IFERROR(VLOOKUP(B1192,ChiTietDuToan!C:H,5,0),"")</f>
        <v>bộ</v>
      </c>
      <c r="V1192" s="2309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74" t="s">
        <v>357</v>
      </c>
      <c r="C1193" s="1189" t="str">
        <f t="shared" si="246"/>
        <v xml:space="preserve"> </v>
      </c>
      <c r="D1193" s="1236" t="str">
        <f>VLOOKUP($B1193,DG!A:C,2,)</f>
        <v>02.1421</v>
      </c>
      <c r="E1193" s="1241" t="str">
        <f>VLOOKUP($B1193,DG!A:C,3,)</f>
        <v>V/c phụ kiện vào vị trí (cự ly &lt;=100m)</v>
      </c>
      <c r="F1193" s="1236" t="str">
        <f>VLOOKUP($B1193,DG!A:D,4,0)</f>
        <v>tấn</v>
      </c>
      <c r="G1193" s="1914">
        <v>0.02</v>
      </c>
      <c r="H1193" s="1250"/>
      <c r="I1193" s="1250"/>
      <c r="J1193" s="1250"/>
      <c r="K1193" s="1250"/>
      <c r="L1193" s="1250"/>
      <c r="M1193" s="1250"/>
      <c r="N1193" s="1250"/>
      <c r="O1193" s="1250"/>
      <c r="P1193" s="1250"/>
      <c r="Q1193" s="1250"/>
      <c r="R1193" s="1250"/>
      <c r="S1193" s="1250"/>
      <c r="T1193" s="1671"/>
      <c r="U1193" s="1664" t="str">
        <f>IFERROR(VLOOKUP(B1193,ChiTietDuToan!C:H,5,0),"")</f>
        <v>tấn</v>
      </c>
      <c r="V1193" s="2309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56"/>
      <c r="C1194" s="1189" t="str">
        <f t="shared" ca="1" si="246"/>
        <v xml:space="preserve"> </v>
      </c>
      <c r="D1194" s="1237"/>
      <c r="E1194" s="1666" t="s">
        <v>2540</v>
      </c>
      <c r="F1194" s="1238" t="s">
        <v>2449</v>
      </c>
      <c r="G1194" s="1912"/>
      <c r="H1194" s="1523">
        <f ca="1">SUM(I1194:O1194)+T1194</f>
        <v>0</v>
      </c>
      <c r="I1194" s="1239">
        <f ca="1">SUMIF(chang3pm,chitiet!$A1194,slchang3pm)</f>
        <v>0</v>
      </c>
      <c r="J1194" s="1239">
        <f ca="1">SUMIF(changct,chitiet!$A1194,slchangct)</f>
        <v>0</v>
      </c>
      <c r="K1194" s="1239">
        <f ca="1">SUMIF(chang3p1m,chitiet!$A1194,slchang3p1m)</f>
        <v>0</v>
      </c>
      <c r="L1194" s="1239">
        <f>IFERROR(HLOOKUP(A1194,pp1p!$6:$90,85,0),0)</f>
        <v>0</v>
      </c>
      <c r="M1194" s="1239">
        <f ca="1">SUMIF(changHTHH,chitiet!$A1194,slchangHTHH)</f>
        <v>0</v>
      </c>
      <c r="N1194" s="1239">
        <f ca="1">SUMIF(changHTDL,chitiet!$A1194,slchangHTDL)</f>
        <v>0</v>
      </c>
      <c r="O1194" s="1239"/>
      <c r="P1194" s="1239">
        <f ca="1">H1194+Q1194-R1194</f>
        <v>0</v>
      </c>
      <c r="Q1194" s="1239"/>
      <c r="R1194" s="1239"/>
      <c r="S1194" s="1239"/>
      <c r="T1194" s="1671"/>
      <c r="U1194" s="1664">
        <f>IFERROR(VLOOKUP(B1194,ChiTietDuToan!C:H,5,0),"")</f>
        <v>0</v>
      </c>
      <c r="V1194" s="2309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59" t="s">
        <v>1091</v>
      </c>
      <c r="C1195" s="1189" t="str">
        <f t="shared" ca="1" si="246"/>
        <v xml:space="preserve"> </v>
      </c>
      <c r="D1195" s="1236"/>
      <c r="E1195" s="1248" t="str">
        <f>VLOOKUP($B1195,DG!A:D,DG!$C$2,)</f>
        <v>Boulon mắt 16x250+ 2 long đền vuông D18-50x50x3/Zn</v>
      </c>
      <c r="F1195" s="1236" t="str">
        <f>VLOOKUP($B1195,DG!A:D,DG!$D$2,)</f>
        <v>bộ</v>
      </c>
      <c r="G1195" s="1915">
        <v>4</v>
      </c>
      <c r="H1195" s="1245">
        <f t="shared" ref="H1195:N1199" ca="1" si="257">H$1194*$G1195</f>
        <v>0</v>
      </c>
      <c r="I1195" s="1245">
        <f t="shared" ca="1" si="257"/>
        <v>0</v>
      </c>
      <c r="J1195" s="1245">
        <f t="shared" ca="1" si="257"/>
        <v>0</v>
      </c>
      <c r="K1195" s="1245">
        <f t="shared" ca="1" si="257"/>
        <v>0</v>
      </c>
      <c r="L1195" s="1245">
        <f t="shared" si="257"/>
        <v>0</v>
      </c>
      <c r="M1195" s="1245">
        <f t="shared" ca="1" si="257"/>
        <v>0</v>
      </c>
      <c r="N1195" s="1245">
        <f t="shared" ca="1" si="257"/>
        <v>0</v>
      </c>
      <c r="O1195" s="1245"/>
      <c r="P1195" s="1245"/>
      <c r="Q1195" s="1245"/>
      <c r="R1195" s="1245"/>
      <c r="S1195" s="1245"/>
      <c r="T1195" s="1671"/>
      <c r="U1195" s="1664" t="str">
        <f>IFERROR(VLOOKUP(B1195,ChiTietDuToan!C:H,5,0),"")</f>
        <v/>
      </c>
      <c r="V1195" s="2309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59" t="s">
        <v>112</v>
      </c>
      <c r="C1196" s="1189" t="str">
        <f t="shared" ca="1" si="246"/>
        <v xml:space="preserve"> </v>
      </c>
      <c r="D1196" s="1236"/>
      <c r="E1196" s="1248" t="str">
        <f>VLOOKUP($B1196,DG!A:D,DG!$C$2,)</f>
        <v>Sứ chằng</v>
      </c>
      <c r="F1196" s="1236" t="str">
        <f>VLOOKUP($B1196,DG!A:D,DG!$D$2,)</f>
        <v>cái</v>
      </c>
      <c r="G1196" s="1915">
        <v>4</v>
      </c>
      <c r="H1196" s="1245">
        <f t="shared" ca="1" si="257"/>
        <v>0</v>
      </c>
      <c r="I1196" s="1245">
        <f t="shared" ca="1" si="257"/>
        <v>0</v>
      </c>
      <c r="J1196" s="1245">
        <f t="shared" ca="1" si="257"/>
        <v>0</v>
      </c>
      <c r="K1196" s="1245">
        <f t="shared" ca="1" si="257"/>
        <v>0</v>
      </c>
      <c r="L1196" s="1245">
        <f t="shared" si="257"/>
        <v>0</v>
      </c>
      <c r="M1196" s="1245">
        <f t="shared" ca="1" si="257"/>
        <v>0</v>
      </c>
      <c r="N1196" s="1245">
        <f t="shared" ca="1" si="257"/>
        <v>0</v>
      </c>
      <c r="O1196" s="1245"/>
      <c r="P1196" s="1245"/>
      <c r="Q1196" s="1245"/>
      <c r="R1196" s="1245"/>
      <c r="S1196" s="1245"/>
      <c r="T1196" s="1671"/>
      <c r="U1196" s="1664" t="str">
        <f>IFERROR(VLOOKUP(B1196,ChiTietDuToan!C:H,5,0),"")</f>
        <v>cái</v>
      </c>
      <c r="V1196" s="2309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59" t="s">
        <v>1630</v>
      </c>
      <c r="C1197" s="1189" t="str">
        <f t="shared" ca="1" si="246"/>
        <v xml:space="preserve"> </v>
      </c>
      <c r="D1197" s="1236"/>
      <c r="E1197" s="1248" t="str">
        <f>VLOOKUP($B1197,DG!A:D,DG!$C$2,)</f>
        <v>Kẹp cáp 3 boulon</v>
      </c>
      <c r="F1197" s="1236" t="str">
        <f>VLOOKUP($B1197,DG!A:D,DG!$D$2,)</f>
        <v>cái</v>
      </c>
      <c r="G1197" s="1915">
        <v>24</v>
      </c>
      <c r="H1197" s="1245">
        <f t="shared" ca="1" si="257"/>
        <v>0</v>
      </c>
      <c r="I1197" s="1245">
        <f t="shared" ca="1" si="257"/>
        <v>0</v>
      </c>
      <c r="J1197" s="1245">
        <f t="shared" ca="1" si="257"/>
        <v>0</v>
      </c>
      <c r="K1197" s="1245">
        <f t="shared" ca="1" si="257"/>
        <v>0</v>
      </c>
      <c r="L1197" s="1245">
        <f t="shared" si="257"/>
        <v>0</v>
      </c>
      <c r="M1197" s="1245">
        <f t="shared" ca="1" si="257"/>
        <v>0</v>
      </c>
      <c r="N1197" s="1245">
        <f t="shared" ca="1" si="257"/>
        <v>0</v>
      </c>
      <c r="O1197" s="1245"/>
      <c r="P1197" s="1245"/>
      <c r="Q1197" s="1245"/>
      <c r="R1197" s="1245"/>
      <c r="S1197" s="1245"/>
      <c r="T1197" s="1671"/>
      <c r="U1197" s="1664" t="str">
        <f>IFERROR(VLOOKUP(B1197,ChiTietDuToan!C:H,5,0),"")</f>
        <v>cái</v>
      </c>
      <c r="V1197" s="2309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59" t="s">
        <v>1392</v>
      </c>
      <c r="C1198" s="1189" t="str">
        <f t="shared" ca="1" si="246"/>
        <v xml:space="preserve"> </v>
      </c>
      <c r="D1198" s="1236"/>
      <c r="E1198" s="1248" t="str">
        <f>VLOOKUP($B1198,DG!A:D,DG!$C$2,)</f>
        <v>Cáp thép 5/8"</v>
      </c>
      <c r="F1198" s="1236" t="str">
        <f>VLOOKUP($B1198,DG!A:D,DG!$D$2,)</f>
        <v>kg</v>
      </c>
      <c r="G1198" s="1915">
        <v>12</v>
      </c>
      <c r="H1198" s="1245">
        <f t="shared" ca="1" si="257"/>
        <v>0</v>
      </c>
      <c r="I1198" s="1245">
        <f t="shared" ca="1" si="257"/>
        <v>0</v>
      </c>
      <c r="J1198" s="1245">
        <f t="shared" ca="1" si="257"/>
        <v>0</v>
      </c>
      <c r="K1198" s="1245">
        <f t="shared" ca="1" si="257"/>
        <v>0</v>
      </c>
      <c r="L1198" s="1245">
        <f t="shared" si="257"/>
        <v>0</v>
      </c>
      <c r="M1198" s="1245">
        <f t="shared" ca="1" si="257"/>
        <v>0</v>
      </c>
      <c r="N1198" s="1245">
        <f t="shared" ca="1" si="257"/>
        <v>0</v>
      </c>
      <c r="O1198" s="1245"/>
      <c r="P1198" s="1245"/>
      <c r="Q1198" s="1245"/>
      <c r="R1198" s="1245"/>
      <c r="S1198" s="1245"/>
      <c r="T1198" s="1671"/>
      <c r="U1198" s="1664" t="str">
        <f>IFERROR(VLOOKUP(B1198,ChiTietDuToan!C:H,5,0),"")</f>
        <v>mét</v>
      </c>
      <c r="V1198" s="2309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59" t="s">
        <v>2053</v>
      </c>
      <c r="C1199" s="1189" t="str">
        <f t="shared" ca="1" si="246"/>
        <v xml:space="preserve"> </v>
      </c>
      <c r="D1199" s="1236"/>
      <c r="E1199" s="1248" t="str">
        <f>VLOOKUP($B1199,DG!A:D,DG!$C$2,)</f>
        <v>Yếm cáp dày 2mm</v>
      </c>
      <c r="F1199" s="1236" t="str">
        <f>VLOOKUP($B1199,DG!A:D,DG!$D$2,)</f>
        <v>cái</v>
      </c>
      <c r="G1199" s="1915">
        <v>4</v>
      </c>
      <c r="H1199" s="1245">
        <f t="shared" ca="1" si="257"/>
        <v>0</v>
      </c>
      <c r="I1199" s="1245">
        <f t="shared" ca="1" si="257"/>
        <v>0</v>
      </c>
      <c r="J1199" s="1245">
        <f t="shared" ca="1" si="257"/>
        <v>0</v>
      </c>
      <c r="K1199" s="1245">
        <f t="shared" ca="1" si="257"/>
        <v>0</v>
      </c>
      <c r="L1199" s="1245">
        <f t="shared" si="257"/>
        <v>0</v>
      </c>
      <c r="M1199" s="1245">
        <f t="shared" ca="1" si="257"/>
        <v>0</v>
      </c>
      <c r="N1199" s="1245">
        <f t="shared" ca="1" si="257"/>
        <v>0</v>
      </c>
      <c r="O1199" s="1245"/>
      <c r="P1199" s="1245"/>
      <c r="Q1199" s="1245"/>
      <c r="R1199" s="1245"/>
      <c r="S1199" s="1245"/>
      <c r="T1199" s="1671"/>
      <c r="U1199" s="1664" t="str">
        <f>IFERROR(VLOOKUP(B1199,ChiTietDuToan!C:H,5,0),"")</f>
        <v>cái</v>
      </c>
      <c r="V1199" s="2309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59" t="s">
        <v>1971</v>
      </c>
      <c r="C1200" s="1189" t="str">
        <f t="shared" si="246"/>
        <v xml:space="preserve"> </v>
      </c>
      <c r="D1200" s="1236" t="str">
        <f>VLOOKUP($B1200,DG!A:D,DG!$B$2,)</f>
        <v>06.3241</v>
      </c>
      <c r="E1200" s="1241" t="str">
        <f>VLOOKUP($B1200,DG!A:D,DG!$C$2,)</f>
        <v>Lắp bộ dây néo</v>
      </c>
      <c r="F1200" s="1236" t="str">
        <f>VLOOKUP($B1200,DG!A:D,DG!$D$2,)</f>
        <v>bộ</v>
      </c>
      <c r="G1200" s="1915">
        <v>2</v>
      </c>
      <c r="H1200" s="1250"/>
      <c r="I1200" s="1250"/>
      <c r="J1200" s="1250"/>
      <c r="K1200" s="1250"/>
      <c r="L1200" s="1250"/>
      <c r="M1200" s="1250"/>
      <c r="N1200" s="1250"/>
      <c r="O1200" s="1250"/>
      <c r="P1200" s="1250"/>
      <c r="Q1200" s="1250"/>
      <c r="R1200" s="1250"/>
      <c r="S1200" s="1250"/>
      <c r="T1200" s="1671"/>
      <c r="U1200" s="1664" t="str">
        <f>IFERROR(VLOOKUP(B1200,ChiTietDuToan!C:H,5,0),"")</f>
        <v>bộ</v>
      </c>
      <c r="V1200" s="2309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74" t="s">
        <v>357</v>
      </c>
      <c r="C1201" s="1189" t="str">
        <f t="shared" si="246"/>
        <v xml:space="preserve"> </v>
      </c>
      <c r="D1201" s="1236" t="str">
        <f>VLOOKUP($B1201,DG!A:C,2,)</f>
        <v>02.1421</v>
      </c>
      <c r="E1201" s="1241" t="str">
        <f>VLOOKUP($B1201,DG!A:C,3,)</f>
        <v>V/c phụ kiện vào vị trí (cự ly &lt;=100m)</v>
      </c>
      <c r="F1201" s="1236" t="str">
        <f>VLOOKUP($B1201,DG!A:D,4,0)</f>
        <v>tấn</v>
      </c>
      <c r="G1201" s="1914">
        <v>0.02</v>
      </c>
      <c r="H1201" s="1250"/>
      <c r="I1201" s="1250"/>
      <c r="J1201" s="1250"/>
      <c r="K1201" s="1250"/>
      <c r="L1201" s="1250"/>
      <c r="M1201" s="1250"/>
      <c r="N1201" s="1250"/>
      <c r="O1201" s="1250"/>
      <c r="P1201" s="1250"/>
      <c r="Q1201" s="1250"/>
      <c r="R1201" s="1250"/>
      <c r="S1201" s="1250"/>
      <c r="T1201" s="1671"/>
      <c r="U1201" s="1664" t="str">
        <f>IFERROR(VLOOKUP(B1201,ChiTietDuToan!C:H,5,0),"")</f>
        <v>tấn</v>
      </c>
      <c r="V1201" s="2309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56"/>
      <c r="C1202" s="1189" t="str">
        <f t="shared" ca="1" si="246"/>
        <v xml:space="preserve"> </v>
      </c>
      <c r="D1202" s="1237"/>
      <c r="E1202" s="1666" t="s">
        <v>2541</v>
      </c>
      <c r="F1202" s="1238" t="s">
        <v>2449</v>
      </c>
      <c r="G1202" s="1912"/>
      <c r="H1202" s="1523">
        <f ca="1">SUM(I1202:O1202)+T1202</f>
        <v>0</v>
      </c>
      <c r="I1202" s="1239">
        <f ca="1">SUMIF(chang3pm,chitiet!$A1202,slchang3pm)</f>
        <v>0</v>
      </c>
      <c r="J1202" s="1239">
        <f ca="1">SUMIF(changct,chitiet!$A1202,slchangct)</f>
        <v>0</v>
      </c>
      <c r="K1202" s="1239"/>
      <c r="L1202" s="1239">
        <f>IFERROR(HLOOKUP(A1202,pp1p!$6:$90,85,0),0)</f>
        <v>0</v>
      </c>
      <c r="M1202" s="1239"/>
      <c r="N1202" s="1239"/>
      <c r="O1202" s="1239"/>
      <c r="P1202" s="1239">
        <f ca="1">H1202+Q1202-R1202</f>
        <v>0</v>
      </c>
      <c r="Q1202" s="1239"/>
      <c r="R1202" s="1239"/>
      <c r="S1202" s="1239"/>
      <c r="T1202" s="1671"/>
      <c r="U1202" s="1664">
        <f>IFERROR(VLOOKUP(B1202,ChiTietDuToan!C:H,5,0),"")</f>
        <v>0</v>
      </c>
      <c r="V1202" s="2309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59" t="s">
        <v>674</v>
      </c>
      <c r="C1203" s="1189" t="str">
        <f t="shared" ca="1" si="246"/>
        <v xml:space="preserve"> </v>
      </c>
      <c r="D1203" s="1236"/>
      <c r="E1203" s="1248" t="str">
        <f>VLOOKUP($B1203,DG!A:D,DG!$C$2,)&amp;"-Fe8x100 nhuùng keõm"</f>
        <v>Cổ dê Ø 195 nẹp trụ-Fe8x100 nhuùng keõm</v>
      </c>
      <c r="F1203" s="1236" t="str">
        <f>VLOOKUP($B1203,DG!A:D,DG!$D$2,)</f>
        <v>bộ</v>
      </c>
      <c r="G1203" s="1915">
        <v>1</v>
      </c>
      <c r="H1203" s="1245">
        <f t="shared" ref="H1203:H1211" ca="1" si="258">H$1202*$G1203</f>
        <v>0</v>
      </c>
      <c r="I1203" s="1245">
        <f t="shared" ref="I1203:N1211" ca="1" si="259">I$1202*$G1203</f>
        <v>0</v>
      </c>
      <c r="J1203" s="1245">
        <f t="shared" ca="1" si="259"/>
        <v>0</v>
      </c>
      <c r="K1203" s="1245">
        <f t="shared" si="259"/>
        <v>0</v>
      </c>
      <c r="L1203" s="1245">
        <f t="shared" si="259"/>
        <v>0</v>
      </c>
      <c r="M1203" s="1245">
        <f t="shared" si="259"/>
        <v>0</v>
      </c>
      <c r="N1203" s="1245">
        <f t="shared" si="259"/>
        <v>0</v>
      </c>
      <c r="O1203" s="1245"/>
      <c r="P1203" s="1245"/>
      <c r="Q1203" s="1245"/>
      <c r="R1203" s="1245"/>
      <c r="S1203" s="1245"/>
      <c r="T1203" s="1671"/>
      <c r="U1203" s="1664" t="str">
        <f>IFERROR(VLOOKUP(B1203,ChiTietDuToan!C:H,5,0),"")</f>
        <v/>
      </c>
      <c r="V1203" s="2309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59" t="s">
        <v>112</v>
      </c>
      <c r="C1204" s="1189" t="str">
        <f t="shared" ca="1" si="246"/>
        <v xml:space="preserve"> </v>
      </c>
      <c r="D1204" s="1236"/>
      <c r="E1204" s="1248" t="str">
        <f>VLOOKUP($B1204,DG!A:D,DG!$C$2,)</f>
        <v>Sứ chằng</v>
      </c>
      <c r="F1204" s="1236" t="str">
        <f>VLOOKUP($B1204,DG!A:D,DG!$D$2,)</f>
        <v>cái</v>
      </c>
      <c r="G1204" s="1915">
        <v>1</v>
      </c>
      <c r="H1204" s="1245">
        <f t="shared" ca="1" si="258"/>
        <v>0</v>
      </c>
      <c r="I1204" s="1245">
        <f t="shared" ca="1" si="259"/>
        <v>0</v>
      </c>
      <c r="J1204" s="1245">
        <f t="shared" ca="1" si="259"/>
        <v>0</v>
      </c>
      <c r="K1204" s="1245">
        <f t="shared" si="259"/>
        <v>0</v>
      </c>
      <c r="L1204" s="1245">
        <f t="shared" si="259"/>
        <v>0</v>
      </c>
      <c r="M1204" s="1245">
        <f t="shared" si="259"/>
        <v>0</v>
      </c>
      <c r="N1204" s="1245">
        <f t="shared" si="259"/>
        <v>0</v>
      </c>
      <c r="O1204" s="1245"/>
      <c r="P1204" s="1245"/>
      <c r="Q1204" s="1245"/>
      <c r="R1204" s="1245"/>
      <c r="S1204" s="1245"/>
      <c r="T1204" s="1671"/>
      <c r="U1204" s="1664" t="str">
        <f>IFERROR(VLOOKUP(B1204,ChiTietDuToan!C:H,5,0),"")</f>
        <v>cái</v>
      </c>
      <c r="V1204" s="2309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59" t="s">
        <v>1630</v>
      </c>
      <c r="C1205" s="1189" t="str">
        <f t="shared" ca="1" si="246"/>
        <v xml:space="preserve"> </v>
      </c>
      <c r="D1205" s="1236"/>
      <c r="E1205" s="1248" t="str">
        <f>VLOOKUP($B1205,DG!A:D,DG!$C$2,)</f>
        <v>Kẹp cáp 3 boulon</v>
      </c>
      <c r="F1205" s="1236" t="str">
        <f>VLOOKUP($B1205,DG!A:D,DG!$D$2,)</f>
        <v>cái</v>
      </c>
      <c r="G1205" s="1915">
        <v>8</v>
      </c>
      <c r="H1205" s="1245">
        <f t="shared" ca="1" si="258"/>
        <v>0</v>
      </c>
      <c r="I1205" s="1245">
        <f t="shared" ca="1" si="259"/>
        <v>0</v>
      </c>
      <c r="J1205" s="1245">
        <f t="shared" ca="1" si="259"/>
        <v>0</v>
      </c>
      <c r="K1205" s="1245">
        <f t="shared" si="259"/>
        <v>0</v>
      </c>
      <c r="L1205" s="1245">
        <f t="shared" si="259"/>
        <v>0</v>
      </c>
      <c r="M1205" s="1245">
        <f t="shared" si="259"/>
        <v>0</v>
      </c>
      <c r="N1205" s="1245">
        <f t="shared" si="259"/>
        <v>0</v>
      </c>
      <c r="O1205" s="1245"/>
      <c r="P1205" s="1245"/>
      <c r="Q1205" s="1245"/>
      <c r="R1205" s="1245"/>
      <c r="S1205" s="1245"/>
      <c r="T1205" s="1671"/>
      <c r="U1205" s="1664" t="str">
        <f>IFERROR(VLOOKUP(B1205,ChiTietDuToan!C:H,5,0),"")</f>
        <v>cái</v>
      </c>
      <c r="V1205" s="2309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80" t="str">
        <f>$B$1549</f>
        <v>KH4/0</v>
      </c>
      <c r="C1206" s="1189" t="str">
        <f t="shared" ca="1" si="246"/>
        <v xml:space="preserve"> </v>
      </c>
      <c r="D1206" s="1236"/>
      <c r="E1206" s="1248" t="str">
        <f>VLOOKUP($B1206,DG!A:D,DG!$C$2,)</f>
        <v>Kẹp hotline 4/0</v>
      </c>
      <c r="F1206" s="1236" t="str">
        <f>VLOOKUP($B1206,DG!A:D,DG!$D$2,)</f>
        <v>cái</v>
      </c>
      <c r="G1206" s="1915">
        <v>15</v>
      </c>
      <c r="H1206" s="1245">
        <f t="shared" ca="1" si="258"/>
        <v>0</v>
      </c>
      <c r="I1206" s="1245">
        <f t="shared" ca="1" si="259"/>
        <v>0</v>
      </c>
      <c r="J1206" s="1245">
        <f t="shared" ca="1" si="259"/>
        <v>0</v>
      </c>
      <c r="K1206" s="1245">
        <f t="shared" si="259"/>
        <v>0</v>
      </c>
      <c r="L1206" s="1245">
        <f t="shared" si="259"/>
        <v>0</v>
      </c>
      <c r="M1206" s="1245">
        <f t="shared" si="259"/>
        <v>0</v>
      </c>
      <c r="N1206" s="1245">
        <f t="shared" si="259"/>
        <v>0</v>
      </c>
      <c r="O1206" s="1245"/>
      <c r="P1206" s="1245"/>
      <c r="Q1206" s="1245"/>
      <c r="R1206" s="1245"/>
      <c r="S1206" s="1245"/>
      <c r="T1206" s="1671"/>
      <c r="U1206" s="1664" t="str">
        <f>IFERROR(VLOOKUP(B1206,ChiTietDuToan!C:H,5,0),"")</f>
        <v>cái</v>
      </c>
      <c r="V1206" s="2309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59" t="s">
        <v>280</v>
      </c>
      <c r="C1207" s="1189" t="str">
        <f t="shared" ca="1" si="246"/>
        <v xml:space="preserve"> </v>
      </c>
      <c r="D1207" s="1236"/>
      <c r="E1207" s="1248" t="str">
        <f>VLOOKUP($B1207,DG!A:D,DG!$C$2,)</f>
        <v>Sắt dẹt 60 x 6</v>
      </c>
      <c r="F1207" s="1236" t="str">
        <f>VLOOKUP($B1207,DG!A:D,DG!$D$2,)</f>
        <v>kg</v>
      </c>
      <c r="G1207" s="1915">
        <v>2</v>
      </c>
      <c r="H1207" s="1245">
        <f t="shared" ca="1" si="258"/>
        <v>0</v>
      </c>
      <c r="I1207" s="1245">
        <f t="shared" ca="1" si="259"/>
        <v>0</v>
      </c>
      <c r="J1207" s="1245">
        <f t="shared" ca="1" si="259"/>
        <v>0</v>
      </c>
      <c r="K1207" s="1245">
        <f t="shared" si="259"/>
        <v>0</v>
      </c>
      <c r="L1207" s="1245">
        <f t="shared" si="259"/>
        <v>0</v>
      </c>
      <c r="M1207" s="1245">
        <f t="shared" si="259"/>
        <v>0</v>
      </c>
      <c r="N1207" s="1245">
        <f t="shared" si="259"/>
        <v>0</v>
      </c>
      <c r="O1207" s="1245"/>
      <c r="P1207" s="1245"/>
      <c r="Q1207" s="1245"/>
      <c r="R1207" s="1245"/>
      <c r="S1207" s="1245"/>
      <c r="T1207" s="1671"/>
      <c r="U1207" s="1664" t="str">
        <f>IFERROR(VLOOKUP(B1207,ChiTietDuToan!C:H,5,0),"")</f>
        <v/>
      </c>
      <c r="V1207" s="2309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59" t="s">
        <v>1404</v>
      </c>
      <c r="C1208" s="1189" t="str">
        <f t="shared" ca="1" si="246"/>
        <v xml:space="preserve"> </v>
      </c>
      <c r="D1208" s="1236"/>
      <c r="E1208" s="1248" t="str">
        <f>VLOOKUP($B1208,DG!A:D,DG!$C$2,)</f>
        <v xml:space="preserve">Móc treo chữ U </v>
      </c>
      <c r="F1208" s="1236" t="str">
        <f>VLOOKUP($B1208,DG!A:D,DG!$D$2,)</f>
        <v>cái</v>
      </c>
      <c r="G1208" s="1915">
        <v>1</v>
      </c>
      <c r="H1208" s="1245">
        <f t="shared" ca="1" si="258"/>
        <v>0</v>
      </c>
      <c r="I1208" s="1245">
        <f ca="1">I$1202*$G1208</f>
        <v>0</v>
      </c>
      <c r="J1208" s="1245">
        <f t="shared" ca="1" si="259"/>
        <v>0</v>
      </c>
      <c r="K1208" s="1245">
        <f t="shared" si="259"/>
        <v>0</v>
      </c>
      <c r="L1208" s="1245">
        <f t="shared" si="259"/>
        <v>0</v>
      </c>
      <c r="M1208" s="1245">
        <f t="shared" si="259"/>
        <v>0</v>
      </c>
      <c r="N1208" s="1245">
        <f t="shared" si="259"/>
        <v>0</v>
      </c>
      <c r="O1208" s="1245"/>
      <c r="P1208" s="1245"/>
      <c r="Q1208" s="1245"/>
      <c r="R1208" s="1245"/>
      <c r="S1208" s="1245"/>
      <c r="T1208" s="1671"/>
      <c r="U1208" s="1664" t="str">
        <f>IFERROR(VLOOKUP(B1208,ChiTietDuToan!C:H,5,0),"")</f>
        <v>cái</v>
      </c>
      <c r="V1208" s="2309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81" t="s">
        <v>1944</v>
      </c>
      <c r="C1209" s="1189" t="str">
        <f t="shared" ca="1" si="246"/>
        <v xml:space="preserve"> </v>
      </c>
      <c r="D1209" s="1236"/>
      <c r="E1209" s="1248" t="str">
        <f>VLOOKUP($B1209,DG!A:D,DG!$C$2,)</f>
        <v>Boulon 16x100VRS+ 4 long đền vuông D18-50x50x3/Zn</v>
      </c>
      <c r="F1209" s="1236" t="str">
        <f>VLOOKUP($B1209,DG!A:D,DG!$D$2,)</f>
        <v>bộ</v>
      </c>
      <c r="G1209" s="1915">
        <v>2</v>
      </c>
      <c r="H1209" s="1245">
        <f t="shared" ca="1" si="258"/>
        <v>0</v>
      </c>
      <c r="I1209" s="1245">
        <f t="shared" ca="1" si="259"/>
        <v>0</v>
      </c>
      <c r="J1209" s="1245">
        <f t="shared" ca="1" si="259"/>
        <v>0</v>
      </c>
      <c r="K1209" s="1245">
        <f t="shared" si="259"/>
        <v>0</v>
      </c>
      <c r="L1209" s="1245">
        <f t="shared" si="259"/>
        <v>0</v>
      </c>
      <c r="M1209" s="1245">
        <f t="shared" si="259"/>
        <v>0</v>
      </c>
      <c r="N1209" s="1245">
        <f t="shared" si="259"/>
        <v>0</v>
      </c>
      <c r="O1209" s="1245"/>
      <c r="P1209" s="1245"/>
      <c r="Q1209" s="1245"/>
      <c r="R1209" s="1245"/>
      <c r="S1209" s="1245"/>
      <c r="T1209" s="1671"/>
      <c r="U1209" s="1664" t="str">
        <f>IFERROR(VLOOKUP(B1209,ChiTietDuToan!C:H,5,0),"")</f>
        <v/>
      </c>
      <c r="V1209" s="2309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59" t="s">
        <v>2053</v>
      </c>
      <c r="C1210" s="1189" t="str">
        <f t="shared" ca="1" si="246"/>
        <v xml:space="preserve"> </v>
      </c>
      <c r="D1210" s="1236"/>
      <c r="E1210" s="1248" t="str">
        <f>VLOOKUP($B1210,DG!A:D,DG!$C$2,)</f>
        <v>Yếm cáp dày 2mm</v>
      </c>
      <c r="F1210" s="1236" t="str">
        <f>VLOOKUP($B1210,DG!A:D,DG!$D$2,)</f>
        <v>cái</v>
      </c>
      <c r="G1210" s="1915">
        <v>2</v>
      </c>
      <c r="H1210" s="1245">
        <f t="shared" ca="1" si="258"/>
        <v>0</v>
      </c>
      <c r="I1210" s="1245">
        <f t="shared" ca="1" si="259"/>
        <v>0</v>
      </c>
      <c r="J1210" s="1245">
        <f t="shared" ca="1" si="259"/>
        <v>0</v>
      </c>
      <c r="K1210" s="1245">
        <f t="shared" si="259"/>
        <v>0</v>
      </c>
      <c r="L1210" s="1245">
        <f t="shared" si="259"/>
        <v>0</v>
      </c>
      <c r="M1210" s="1245">
        <f t="shared" si="259"/>
        <v>0</v>
      </c>
      <c r="N1210" s="1245">
        <f t="shared" si="259"/>
        <v>0</v>
      </c>
      <c r="O1210" s="1245"/>
      <c r="P1210" s="1245"/>
      <c r="Q1210" s="1245"/>
      <c r="R1210" s="1245"/>
      <c r="S1210" s="1245"/>
      <c r="T1210" s="1671"/>
      <c r="U1210" s="1664" t="str">
        <f>IFERROR(VLOOKUP(B1210,ChiTietDuToan!C:H,5,0),"")</f>
        <v>cái</v>
      </c>
      <c r="V1210" s="2309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59" t="s">
        <v>2054</v>
      </c>
      <c r="C1211" s="1189" t="str">
        <f t="shared" ca="1" si="246"/>
        <v xml:space="preserve"> </v>
      </c>
      <c r="D1211" s="1236"/>
      <c r="E1211" s="1248" t="str">
        <f>VLOOKUP($B1211,DG!A:D,DG!$C$2,)</f>
        <v>Máng che dây chằng dày 1,6mm</v>
      </c>
      <c r="F1211" s="1236" t="str">
        <f>VLOOKUP($B1211,DG!A:D,DG!$D$2,)</f>
        <v>cái</v>
      </c>
      <c r="G1211" s="1915">
        <v>1</v>
      </c>
      <c r="H1211" s="1245">
        <f t="shared" ca="1" si="258"/>
        <v>0</v>
      </c>
      <c r="I1211" s="1245">
        <f t="shared" ca="1" si="259"/>
        <v>0</v>
      </c>
      <c r="J1211" s="1245">
        <f t="shared" ca="1" si="259"/>
        <v>0</v>
      </c>
      <c r="K1211" s="1245">
        <f t="shared" si="259"/>
        <v>0</v>
      </c>
      <c r="L1211" s="1245">
        <f t="shared" si="259"/>
        <v>0</v>
      </c>
      <c r="M1211" s="1245">
        <f t="shared" si="259"/>
        <v>0</v>
      </c>
      <c r="N1211" s="1245">
        <f t="shared" si="259"/>
        <v>0</v>
      </c>
      <c r="O1211" s="1245"/>
      <c r="P1211" s="1245"/>
      <c r="Q1211" s="1245"/>
      <c r="R1211" s="1245"/>
      <c r="S1211" s="1245"/>
      <c r="T1211" s="1671"/>
      <c r="U1211" s="1664" t="str">
        <f>IFERROR(VLOOKUP(B1211,ChiTietDuToan!C:H,5,0),"")</f>
        <v>cái</v>
      </c>
      <c r="V1211" s="2309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59" t="s">
        <v>1971</v>
      </c>
      <c r="C1212" s="1189" t="str">
        <f t="shared" si="246"/>
        <v xml:space="preserve"> </v>
      </c>
      <c r="D1212" s="1236" t="str">
        <f>VLOOKUP($B1212,DG!A:D,DG!$B$2,)</f>
        <v>06.3241</v>
      </c>
      <c r="E1212" s="1241" t="str">
        <f>VLOOKUP($B1212,DG!A:D,DG!$C$2,)</f>
        <v>Lắp bộ dây néo</v>
      </c>
      <c r="F1212" s="1236" t="str">
        <f>VLOOKUP($B1212,DG!A:D,DG!$D$2,)</f>
        <v>bộ</v>
      </c>
      <c r="G1212" s="1915">
        <v>1</v>
      </c>
      <c r="H1212" s="1250"/>
      <c r="I1212" s="1250"/>
      <c r="J1212" s="1250"/>
      <c r="K1212" s="1250"/>
      <c r="L1212" s="1250"/>
      <c r="M1212" s="1250"/>
      <c r="N1212" s="1250"/>
      <c r="O1212" s="1250"/>
      <c r="P1212" s="1250"/>
      <c r="Q1212" s="1250"/>
      <c r="R1212" s="1250"/>
      <c r="S1212" s="1250"/>
      <c r="T1212" s="1671"/>
      <c r="U1212" s="1664" t="str">
        <f>IFERROR(VLOOKUP(B1212,ChiTietDuToan!C:H,5,0),"")</f>
        <v>bộ</v>
      </c>
      <c r="V1212" s="2309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59" t="s">
        <v>686</v>
      </c>
      <c r="C1213" s="1189" t="str">
        <f t="shared" si="246"/>
        <v xml:space="preserve"> </v>
      </c>
      <c r="D1213" s="1236" t="str">
        <f>VLOOKUP($B1213,DG!A:D,DG!$B$2,)</f>
        <v>06.2110</v>
      </c>
      <c r="E1213" s="1241" t="str">
        <f>VLOOKUP($B1213,DG!A:D,DG!$C$2,)</f>
        <v>Lắp cổ dề</v>
      </c>
      <c r="F1213" s="1236" t="str">
        <f>VLOOKUP($B1213,DG!A:D,DG!$D$2,)</f>
        <v>cái</v>
      </c>
      <c r="G1213" s="1915">
        <v>1</v>
      </c>
      <c r="H1213" s="1250"/>
      <c r="I1213" s="1250"/>
      <c r="J1213" s="1250"/>
      <c r="K1213" s="1250"/>
      <c r="L1213" s="1250"/>
      <c r="M1213" s="1250"/>
      <c r="N1213" s="1250"/>
      <c r="O1213" s="1250"/>
      <c r="P1213" s="1250"/>
      <c r="Q1213" s="1250"/>
      <c r="R1213" s="1250"/>
      <c r="S1213" s="1250"/>
      <c r="T1213" s="1671"/>
      <c r="U1213" s="1664" t="str">
        <f>IFERROR(VLOOKUP(B1213,ChiTietDuToan!C:H,5,0),"")</f>
        <v/>
      </c>
      <c r="V1213" s="2309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74" t="s">
        <v>357</v>
      </c>
      <c r="C1214" s="1189" t="str">
        <f t="shared" si="246"/>
        <v xml:space="preserve"> </v>
      </c>
      <c r="D1214" s="1236" t="str">
        <f>VLOOKUP($B1214,DG!A:C,2,)</f>
        <v>02.1421</v>
      </c>
      <c r="E1214" s="1241" t="str">
        <f>VLOOKUP($B1214,DG!A:C,3,)</f>
        <v>V/c phụ kiện vào vị trí (cự ly &lt;=100m)</v>
      </c>
      <c r="F1214" s="1236" t="str">
        <f>VLOOKUP($B1214,DG!A:D,4,0)</f>
        <v>tấn</v>
      </c>
      <c r="G1214" s="1914">
        <v>0.02</v>
      </c>
      <c r="H1214" s="1250"/>
      <c r="I1214" s="1250"/>
      <c r="J1214" s="1250"/>
      <c r="K1214" s="1250"/>
      <c r="L1214" s="1250"/>
      <c r="M1214" s="1250"/>
      <c r="N1214" s="1250"/>
      <c r="O1214" s="1250"/>
      <c r="P1214" s="1250"/>
      <c r="Q1214" s="1250"/>
      <c r="R1214" s="1250"/>
      <c r="S1214" s="1250"/>
      <c r="T1214" s="1671"/>
      <c r="U1214" s="1664" t="str">
        <f>IFERROR(VLOOKUP(B1214,ChiTietDuToan!C:H,5,0),"")</f>
        <v>tấn</v>
      </c>
      <c r="V1214" s="2309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56"/>
      <c r="C1215" s="1189" t="str">
        <f t="shared" ca="1" si="246"/>
        <v xml:space="preserve"> </v>
      </c>
      <c r="D1215" s="1237"/>
      <c r="E1215" s="1666" t="s">
        <v>2542</v>
      </c>
      <c r="F1215" s="1238" t="s">
        <v>2449</v>
      </c>
      <c r="G1215" s="1912"/>
      <c r="H1215" s="1523">
        <f ca="1">SUM(I1215:O1215)+T1215</f>
        <v>0</v>
      </c>
      <c r="I1215" s="1239">
        <f ca="1">SUMIF(chang3pm,chitiet!$A1215,slchang3pm)</f>
        <v>0</v>
      </c>
      <c r="J1215" s="1239">
        <f ca="1">SUMIF(changct,chitiet!$A1215,slchangct)</f>
        <v>0</v>
      </c>
      <c r="K1215" s="1239"/>
      <c r="L1215" s="1239">
        <f>IFERROR(HLOOKUP(A1215,pp1p!$6:$90,85,0),0)</f>
        <v>0</v>
      </c>
      <c r="M1215" s="1239"/>
      <c r="N1215" s="1239"/>
      <c r="O1215" s="1239"/>
      <c r="P1215" s="1239">
        <f ca="1">H1215+Q1215-R1215</f>
        <v>0</v>
      </c>
      <c r="Q1215" s="1239"/>
      <c r="R1215" s="1239"/>
      <c r="S1215" s="1239"/>
      <c r="T1215" s="1671"/>
      <c r="U1215" s="1664">
        <f>IFERROR(VLOOKUP(B1215,ChiTietDuToan!C:H,5,0),"")</f>
        <v>0</v>
      </c>
      <c r="V1215" s="2309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59" t="s">
        <v>674</v>
      </c>
      <c r="C1216" s="1189" t="str">
        <f t="shared" ca="1" si="246"/>
        <v xml:space="preserve"> </v>
      </c>
      <c r="D1216" s="1236"/>
      <c r="E1216" s="1248" t="str">
        <f>VLOOKUP($B1216,DG!A:D,DG!$C$2,)&amp;"-Fe8x100 nhuùng keõm"</f>
        <v>Cổ dê Ø 195 nẹp trụ-Fe8x100 nhuùng keõm</v>
      </c>
      <c r="F1216" s="1236" t="str">
        <f>VLOOKUP($B1216,DG!A:D,DG!$D$2,)</f>
        <v>bộ</v>
      </c>
      <c r="G1216" s="1915">
        <v>1</v>
      </c>
      <c r="H1216" s="1245">
        <f t="shared" ref="H1216:H1225" ca="1" si="260">H$1215*$G1216</f>
        <v>0</v>
      </c>
      <c r="I1216" s="1245">
        <f t="shared" ref="I1216:N1225" ca="1" si="261">I$1215*$G1216</f>
        <v>0</v>
      </c>
      <c r="J1216" s="1245">
        <f t="shared" ca="1" si="261"/>
        <v>0</v>
      </c>
      <c r="K1216" s="1245">
        <f t="shared" si="261"/>
        <v>0</v>
      </c>
      <c r="L1216" s="1245">
        <f t="shared" si="261"/>
        <v>0</v>
      </c>
      <c r="M1216" s="1245">
        <f t="shared" si="261"/>
        <v>0</v>
      </c>
      <c r="N1216" s="1245">
        <f t="shared" si="261"/>
        <v>0</v>
      </c>
      <c r="O1216" s="1245"/>
      <c r="P1216" s="1245"/>
      <c r="Q1216" s="1245"/>
      <c r="R1216" s="1245"/>
      <c r="S1216" s="1245"/>
      <c r="T1216" s="1671"/>
      <c r="U1216" s="1664" t="str">
        <f>IFERROR(VLOOKUP(B1216,ChiTietDuToan!C:H,5,0),"")</f>
        <v/>
      </c>
      <c r="V1216" s="2309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59" t="s">
        <v>112</v>
      </c>
      <c r="C1217" s="1189" t="str">
        <f t="shared" ca="1" si="246"/>
        <v xml:space="preserve"> </v>
      </c>
      <c r="D1217" s="1236"/>
      <c r="E1217" s="1248" t="str">
        <f>VLOOKUP($B1217,DG!A:D,DG!$C$2,)</f>
        <v>Sứ chằng</v>
      </c>
      <c r="F1217" s="1236" t="str">
        <f>VLOOKUP($B1217,DG!A:D,DG!$D$2,)</f>
        <v>cái</v>
      </c>
      <c r="G1217" s="1915">
        <v>1</v>
      </c>
      <c r="H1217" s="1245">
        <f t="shared" ca="1" si="260"/>
        <v>0</v>
      </c>
      <c r="I1217" s="1245">
        <f t="shared" ca="1" si="261"/>
        <v>0</v>
      </c>
      <c r="J1217" s="1245">
        <f t="shared" ca="1" si="261"/>
        <v>0</v>
      </c>
      <c r="K1217" s="1245">
        <f t="shared" si="261"/>
        <v>0</v>
      </c>
      <c r="L1217" s="1245">
        <f t="shared" si="261"/>
        <v>0</v>
      </c>
      <c r="M1217" s="1245">
        <f t="shared" si="261"/>
        <v>0</v>
      </c>
      <c r="N1217" s="1245">
        <f t="shared" si="261"/>
        <v>0</v>
      </c>
      <c r="O1217" s="1245"/>
      <c r="P1217" s="1245"/>
      <c r="Q1217" s="1245"/>
      <c r="R1217" s="1245"/>
      <c r="S1217" s="1245"/>
      <c r="T1217" s="1671"/>
      <c r="U1217" s="1664" t="str">
        <f>IFERROR(VLOOKUP(B1217,ChiTietDuToan!C:H,5,0),"")</f>
        <v>cái</v>
      </c>
      <c r="V1217" s="2309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59" t="s">
        <v>1630</v>
      </c>
      <c r="C1218" s="1189" t="str">
        <f t="shared" ca="1" si="246"/>
        <v xml:space="preserve"> </v>
      </c>
      <c r="D1218" s="1236"/>
      <c r="E1218" s="1248" t="str">
        <f>VLOOKUP($B1218,DG!A:D,DG!$C$2,)</f>
        <v>Kẹp cáp 3 boulon</v>
      </c>
      <c r="F1218" s="1236" t="str">
        <f>VLOOKUP($B1218,DG!A:D,DG!$D$2,)</f>
        <v>cái</v>
      </c>
      <c r="G1218" s="1915">
        <v>8</v>
      </c>
      <c r="H1218" s="1245">
        <f t="shared" ca="1" si="260"/>
        <v>0</v>
      </c>
      <c r="I1218" s="1245">
        <f t="shared" ca="1" si="261"/>
        <v>0</v>
      </c>
      <c r="J1218" s="1245">
        <f t="shared" ca="1" si="261"/>
        <v>0</v>
      </c>
      <c r="K1218" s="1245">
        <f t="shared" si="261"/>
        <v>0</v>
      </c>
      <c r="L1218" s="1245">
        <f t="shared" si="261"/>
        <v>0</v>
      </c>
      <c r="M1218" s="1245">
        <f t="shared" si="261"/>
        <v>0</v>
      </c>
      <c r="N1218" s="1245">
        <f t="shared" si="261"/>
        <v>0</v>
      </c>
      <c r="O1218" s="1245"/>
      <c r="P1218" s="1245"/>
      <c r="Q1218" s="1245"/>
      <c r="R1218" s="1245"/>
      <c r="S1218" s="1245"/>
      <c r="T1218" s="1671"/>
      <c r="U1218" s="1664" t="str">
        <f>IFERROR(VLOOKUP(B1218,ChiTietDuToan!C:H,5,0),"")</f>
        <v>cái</v>
      </c>
      <c r="V1218" s="2309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80" t="str">
        <f>$B$1549</f>
        <v>KH4/0</v>
      </c>
      <c r="C1219" s="1189" t="str">
        <f t="shared" ca="1" si="246"/>
        <v xml:space="preserve"> </v>
      </c>
      <c r="D1219" s="1236"/>
      <c r="E1219" s="1248" t="str">
        <f>VLOOKUP($B1219,DG!A:D,DG!$C$2,)</f>
        <v>Kẹp hotline 4/0</v>
      </c>
      <c r="F1219" s="1236" t="str">
        <f>VLOOKUP($B1219,DG!A:D,DG!$D$2,)</f>
        <v>cái</v>
      </c>
      <c r="G1219" s="1915">
        <v>11</v>
      </c>
      <c r="H1219" s="1245">
        <f t="shared" ca="1" si="260"/>
        <v>0</v>
      </c>
      <c r="I1219" s="1245">
        <f t="shared" ca="1" si="261"/>
        <v>0</v>
      </c>
      <c r="J1219" s="1245">
        <f t="shared" ca="1" si="261"/>
        <v>0</v>
      </c>
      <c r="K1219" s="1245">
        <f t="shared" si="261"/>
        <v>0</v>
      </c>
      <c r="L1219" s="1245">
        <f t="shared" si="261"/>
        <v>0</v>
      </c>
      <c r="M1219" s="1245">
        <f t="shared" si="261"/>
        <v>0</v>
      </c>
      <c r="N1219" s="1245">
        <f t="shared" si="261"/>
        <v>0</v>
      </c>
      <c r="O1219" s="1245"/>
      <c r="P1219" s="1245"/>
      <c r="Q1219" s="1245"/>
      <c r="R1219" s="1245"/>
      <c r="S1219" s="1245"/>
      <c r="T1219" s="1671"/>
      <c r="U1219" s="1664" t="str">
        <f>IFERROR(VLOOKUP(B1219,ChiTietDuToan!C:H,5,0),"")</f>
        <v>cái</v>
      </c>
      <c r="V1219" s="2309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59" t="s">
        <v>612</v>
      </c>
      <c r="C1220" s="1189" t="str">
        <f t="shared" ca="1" si="246"/>
        <v xml:space="preserve"> </v>
      </c>
      <c r="D1220" s="1236"/>
      <c r="E1220" s="1248" t="str">
        <f>VLOOKUP($B1220,DG!A:D,DG!$C$2,)</f>
        <v>Bộ chống chằng hẹp Ø60/50x1500+2BL12x40+BL16x250/80</v>
      </c>
      <c r="F1220" s="1236" t="str">
        <f>VLOOKUP($B1220,DG!A:D,DG!$D$2,)</f>
        <v>bộ</v>
      </c>
      <c r="G1220" s="1915">
        <v>1</v>
      </c>
      <c r="H1220" s="1245">
        <f t="shared" ca="1" si="260"/>
        <v>0</v>
      </c>
      <c r="I1220" s="1245">
        <f t="shared" ca="1" si="261"/>
        <v>0</v>
      </c>
      <c r="J1220" s="1245">
        <f t="shared" ca="1" si="261"/>
        <v>0</v>
      </c>
      <c r="K1220" s="1245">
        <f t="shared" si="261"/>
        <v>0</v>
      </c>
      <c r="L1220" s="1245">
        <f t="shared" si="261"/>
        <v>0</v>
      </c>
      <c r="M1220" s="1245">
        <f t="shared" si="261"/>
        <v>0</v>
      </c>
      <c r="N1220" s="1245">
        <f t="shared" si="261"/>
        <v>0</v>
      </c>
      <c r="O1220" s="1245"/>
      <c r="P1220" s="1245"/>
      <c r="Q1220" s="1245"/>
      <c r="R1220" s="1245"/>
      <c r="S1220" s="1245"/>
      <c r="T1220" s="1671"/>
      <c r="U1220" s="1664" t="str">
        <f>IFERROR(VLOOKUP(B1220,ChiTietDuToan!C:H,5,0),"")</f>
        <v>bộ</v>
      </c>
      <c r="V1220" s="2309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59" t="s">
        <v>280</v>
      </c>
      <c r="C1221" s="1189" t="str">
        <f t="shared" ca="1" si="246"/>
        <v xml:space="preserve"> </v>
      </c>
      <c r="D1221" s="1236"/>
      <c r="E1221" s="1248" t="str">
        <f>VLOOKUP($B1221,DG!A:D,DG!$C$2,)</f>
        <v>Sắt dẹt 60 x 6</v>
      </c>
      <c r="F1221" s="1236" t="str">
        <f>VLOOKUP($B1221,DG!A:D,DG!$D$2,)</f>
        <v>kg</v>
      </c>
      <c r="G1221" s="1915">
        <v>2</v>
      </c>
      <c r="H1221" s="1245">
        <f t="shared" ca="1" si="260"/>
        <v>0</v>
      </c>
      <c r="I1221" s="1245">
        <f t="shared" ca="1" si="261"/>
        <v>0</v>
      </c>
      <c r="J1221" s="1245">
        <f t="shared" ca="1" si="261"/>
        <v>0</v>
      </c>
      <c r="K1221" s="1245">
        <f t="shared" si="261"/>
        <v>0</v>
      </c>
      <c r="L1221" s="1245">
        <f t="shared" si="261"/>
        <v>0</v>
      </c>
      <c r="M1221" s="1245">
        <f t="shared" si="261"/>
        <v>0</v>
      </c>
      <c r="N1221" s="1245">
        <f t="shared" si="261"/>
        <v>0</v>
      </c>
      <c r="O1221" s="1245"/>
      <c r="P1221" s="1245"/>
      <c r="Q1221" s="1245"/>
      <c r="R1221" s="1245"/>
      <c r="S1221" s="1245"/>
      <c r="T1221" s="1671"/>
      <c r="U1221" s="1664" t="str">
        <f>IFERROR(VLOOKUP(B1221,ChiTietDuToan!C:H,5,0),"")</f>
        <v/>
      </c>
      <c r="V1221" s="2309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59" t="s">
        <v>1404</v>
      </c>
      <c r="C1222" s="1189" t="str">
        <f t="shared" ca="1" si="246"/>
        <v xml:space="preserve"> </v>
      </c>
      <c r="D1222" s="1236"/>
      <c r="E1222" s="1248" t="str">
        <f>VLOOKUP($B1222,DG!A:D,DG!$C$2,)</f>
        <v xml:space="preserve">Móc treo chữ U </v>
      </c>
      <c r="F1222" s="1236" t="str">
        <f>VLOOKUP($B1222,DG!A:D,DG!$D$2,)</f>
        <v>cái</v>
      </c>
      <c r="G1222" s="1915">
        <v>1</v>
      </c>
      <c r="H1222" s="1245">
        <f t="shared" ca="1" si="260"/>
        <v>0</v>
      </c>
      <c r="I1222" s="1245">
        <f t="shared" ca="1" si="261"/>
        <v>0</v>
      </c>
      <c r="J1222" s="1245">
        <f t="shared" ca="1" si="261"/>
        <v>0</v>
      </c>
      <c r="K1222" s="1245">
        <f t="shared" si="261"/>
        <v>0</v>
      </c>
      <c r="L1222" s="1245">
        <f t="shared" si="261"/>
        <v>0</v>
      </c>
      <c r="M1222" s="1245">
        <f t="shared" si="261"/>
        <v>0</v>
      </c>
      <c r="N1222" s="1245">
        <f t="shared" si="261"/>
        <v>0</v>
      </c>
      <c r="O1222" s="1245"/>
      <c r="P1222" s="1245"/>
      <c r="Q1222" s="1245"/>
      <c r="R1222" s="1245"/>
      <c r="S1222" s="1245"/>
      <c r="T1222" s="1671"/>
      <c r="U1222" s="1664" t="str">
        <f>IFERROR(VLOOKUP(B1222,ChiTietDuToan!C:H,5,0),"")</f>
        <v>cái</v>
      </c>
      <c r="V1222" s="2309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81" t="s">
        <v>1944</v>
      </c>
      <c r="C1223" s="1189" t="str">
        <f t="shared" ca="1" si="246"/>
        <v xml:space="preserve"> </v>
      </c>
      <c r="D1223" s="1236"/>
      <c r="E1223" s="1248" t="str">
        <f>VLOOKUP($B1223,DG!A:D,DG!$C$2,)</f>
        <v>Boulon 16x100VRS+ 4 long đền vuông D18-50x50x3/Zn</v>
      </c>
      <c r="F1223" s="1236" t="str">
        <f>VLOOKUP($B1223,DG!A:D,DG!$D$2,)</f>
        <v>bộ</v>
      </c>
      <c r="G1223" s="1915">
        <v>2</v>
      </c>
      <c r="H1223" s="1245">
        <f t="shared" ca="1" si="260"/>
        <v>0</v>
      </c>
      <c r="I1223" s="1245">
        <f t="shared" ca="1" si="261"/>
        <v>0</v>
      </c>
      <c r="J1223" s="1245">
        <f t="shared" ca="1" si="261"/>
        <v>0</v>
      </c>
      <c r="K1223" s="1245">
        <f t="shared" si="261"/>
        <v>0</v>
      </c>
      <c r="L1223" s="1245">
        <f t="shared" si="261"/>
        <v>0</v>
      </c>
      <c r="M1223" s="1245">
        <f t="shared" si="261"/>
        <v>0</v>
      </c>
      <c r="N1223" s="1245">
        <f t="shared" si="261"/>
        <v>0</v>
      </c>
      <c r="O1223" s="1245"/>
      <c r="P1223" s="1245"/>
      <c r="Q1223" s="1245"/>
      <c r="R1223" s="1245"/>
      <c r="S1223" s="1245"/>
      <c r="T1223" s="1671"/>
      <c r="U1223" s="1664" t="str">
        <f>IFERROR(VLOOKUP(B1223,ChiTietDuToan!C:H,5,0),"")</f>
        <v/>
      </c>
      <c r="V1223" s="2309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59" t="s">
        <v>2053</v>
      </c>
      <c r="C1224" s="1189" t="str">
        <f t="shared" ca="1" si="246"/>
        <v xml:space="preserve"> </v>
      </c>
      <c r="D1224" s="1236"/>
      <c r="E1224" s="1248" t="str">
        <f>VLOOKUP($B1224,DG!A:D,DG!$C$2,)</f>
        <v>Yếm cáp dày 2mm</v>
      </c>
      <c r="F1224" s="1236" t="str">
        <f>VLOOKUP($B1224,DG!A:D,DG!$D$2,)</f>
        <v>cái</v>
      </c>
      <c r="G1224" s="1915">
        <v>2</v>
      </c>
      <c r="H1224" s="1245">
        <f t="shared" ca="1" si="260"/>
        <v>0</v>
      </c>
      <c r="I1224" s="1245">
        <f t="shared" ca="1" si="261"/>
        <v>0</v>
      </c>
      <c r="J1224" s="1245">
        <f t="shared" ca="1" si="261"/>
        <v>0</v>
      </c>
      <c r="K1224" s="1245">
        <f t="shared" si="261"/>
        <v>0</v>
      </c>
      <c r="L1224" s="1245">
        <f t="shared" si="261"/>
        <v>0</v>
      </c>
      <c r="M1224" s="1245">
        <f t="shared" si="261"/>
        <v>0</v>
      </c>
      <c r="N1224" s="1245">
        <f t="shared" si="261"/>
        <v>0</v>
      </c>
      <c r="O1224" s="1245"/>
      <c r="P1224" s="1245"/>
      <c r="Q1224" s="1245"/>
      <c r="R1224" s="1245"/>
      <c r="S1224" s="1245"/>
      <c r="T1224" s="1671"/>
      <c r="U1224" s="1664" t="str">
        <f>IFERROR(VLOOKUP(B1224,ChiTietDuToan!C:H,5,0),"")</f>
        <v>cái</v>
      </c>
      <c r="V1224" s="2309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59" t="s">
        <v>2054</v>
      </c>
      <c r="C1225" s="1189" t="str">
        <f t="shared" ca="1" si="246"/>
        <v xml:space="preserve"> </v>
      </c>
      <c r="D1225" s="1236"/>
      <c r="E1225" s="1248" t="str">
        <f>VLOOKUP($B1225,DG!A:D,DG!$C$2,)</f>
        <v>Máng che dây chằng dày 1,6mm</v>
      </c>
      <c r="F1225" s="1236" t="str">
        <f>VLOOKUP($B1225,DG!A:D,DG!$D$2,)</f>
        <v>cái</v>
      </c>
      <c r="G1225" s="1915">
        <v>1</v>
      </c>
      <c r="H1225" s="1245">
        <f t="shared" ca="1" si="260"/>
        <v>0</v>
      </c>
      <c r="I1225" s="1245">
        <f t="shared" ca="1" si="261"/>
        <v>0</v>
      </c>
      <c r="J1225" s="1245">
        <f t="shared" ca="1" si="261"/>
        <v>0</v>
      </c>
      <c r="K1225" s="1245">
        <f t="shared" si="261"/>
        <v>0</v>
      </c>
      <c r="L1225" s="1245">
        <f t="shared" si="261"/>
        <v>0</v>
      </c>
      <c r="M1225" s="1245">
        <f t="shared" si="261"/>
        <v>0</v>
      </c>
      <c r="N1225" s="1245">
        <f t="shared" si="261"/>
        <v>0</v>
      </c>
      <c r="O1225" s="1245"/>
      <c r="P1225" s="1245"/>
      <c r="Q1225" s="1245"/>
      <c r="R1225" s="1245"/>
      <c r="S1225" s="1245"/>
      <c r="T1225" s="1671"/>
      <c r="U1225" s="1664" t="str">
        <f>IFERROR(VLOOKUP(B1225,ChiTietDuToan!C:H,5,0),"")</f>
        <v>cái</v>
      </c>
      <c r="V1225" s="2309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59" t="s">
        <v>1971</v>
      </c>
      <c r="C1226" s="1189" t="str">
        <f t="shared" si="246"/>
        <v xml:space="preserve"> </v>
      </c>
      <c r="D1226" s="1236" t="str">
        <f>VLOOKUP($B1226,DG!A:D,DG!$B$2,)</f>
        <v>06.3241</v>
      </c>
      <c r="E1226" s="1241" t="str">
        <f>VLOOKUP($B1226,DG!A:D,DG!$C$2,)</f>
        <v>Lắp bộ dây néo</v>
      </c>
      <c r="F1226" s="1236" t="str">
        <f>VLOOKUP($B1226,DG!A:D,DG!$D$2,)</f>
        <v>bộ</v>
      </c>
      <c r="G1226" s="1915">
        <v>1</v>
      </c>
      <c r="H1226" s="1250"/>
      <c r="I1226" s="1250"/>
      <c r="J1226" s="1250"/>
      <c r="K1226" s="1250"/>
      <c r="L1226" s="1250"/>
      <c r="M1226" s="1250"/>
      <c r="N1226" s="1250"/>
      <c r="O1226" s="1250"/>
      <c r="P1226" s="1250"/>
      <c r="Q1226" s="1250"/>
      <c r="R1226" s="1250"/>
      <c r="S1226" s="1250"/>
      <c r="T1226" s="1671"/>
      <c r="U1226" s="1664" t="str">
        <f>IFERROR(VLOOKUP(B1226,ChiTietDuToan!C:H,5,0),"")</f>
        <v>bộ</v>
      </c>
      <c r="V1226" s="2309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59" t="s">
        <v>686</v>
      </c>
      <c r="C1227" s="1189" t="str">
        <f t="shared" si="246"/>
        <v xml:space="preserve"> </v>
      </c>
      <c r="D1227" s="1236" t="str">
        <f>VLOOKUP($B1227,DG!A:D,DG!$B$2,)</f>
        <v>06.2110</v>
      </c>
      <c r="E1227" s="1241" t="str">
        <f>VLOOKUP($B1227,DG!A:D,DG!$C$2,)</f>
        <v>Lắp cổ dề</v>
      </c>
      <c r="F1227" s="1236" t="str">
        <f>VLOOKUP($B1227,DG!A:D,DG!$D$2,)</f>
        <v>cái</v>
      </c>
      <c r="G1227" s="1915">
        <v>1</v>
      </c>
      <c r="H1227" s="1250"/>
      <c r="I1227" s="1250"/>
      <c r="J1227" s="1250"/>
      <c r="K1227" s="1250"/>
      <c r="L1227" s="1250"/>
      <c r="M1227" s="1250"/>
      <c r="N1227" s="1250"/>
      <c r="O1227" s="1250"/>
      <c r="P1227" s="1250"/>
      <c r="Q1227" s="1250"/>
      <c r="R1227" s="1250"/>
      <c r="S1227" s="1250"/>
      <c r="T1227" s="1671"/>
      <c r="U1227" s="1664" t="str">
        <f>IFERROR(VLOOKUP(B1227,ChiTietDuToan!C:H,5,0),"")</f>
        <v/>
      </c>
      <c r="V1227" s="2309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59" t="s">
        <v>1959</v>
      </c>
      <c r="C1228" s="1189" t="str">
        <f t="shared" si="246"/>
        <v xml:space="preserve"> </v>
      </c>
      <c r="D1228" s="1236" t="str">
        <f>VLOOKUP($B1228,DG!A:D,DG!$B$2,)</f>
        <v>05.6011</v>
      </c>
      <c r="E1228" s="1241" t="str">
        <f>VLOOKUP($B1228,DG!A:D,DG!$C$2,)</f>
        <v>Lắp bộ chống lệch</v>
      </c>
      <c r="F1228" s="1236" t="str">
        <f>VLOOKUP($B1228,DG!A:D,DG!$D$2,)</f>
        <v>bộ</v>
      </c>
      <c r="G1228" s="1915">
        <v>1</v>
      </c>
      <c r="H1228" s="1250"/>
      <c r="I1228" s="1250"/>
      <c r="J1228" s="1250"/>
      <c r="K1228" s="1250"/>
      <c r="L1228" s="1250"/>
      <c r="M1228" s="1250"/>
      <c r="N1228" s="1250"/>
      <c r="O1228" s="1250"/>
      <c r="P1228" s="1250"/>
      <c r="Q1228" s="1250"/>
      <c r="R1228" s="1250"/>
      <c r="S1228" s="1250"/>
      <c r="T1228" s="1671"/>
      <c r="U1228" s="1664" t="str">
        <f>IFERROR(VLOOKUP(B1228,ChiTietDuToan!C:H,5,0),"")</f>
        <v>bộ</v>
      </c>
      <c r="V1228" s="2309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74" t="s">
        <v>357</v>
      </c>
      <c r="C1229" s="1189" t="str">
        <f t="shared" si="246"/>
        <v xml:space="preserve"> </v>
      </c>
      <c r="D1229" s="1236" t="str">
        <f>VLOOKUP($B1229,DG!A:C,2,)</f>
        <v>02.1421</v>
      </c>
      <c r="E1229" s="1241" t="str">
        <f>VLOOKUP($B1229,DG!A:C,3,)</f>
        <v>V/c phụ kiện vào vị trí (cự ly &lt;=100m)</v>
      </c>
      <c r="F1229" s="1236" t="str">
        <f>VLOOKUP($B1229,DG!A:D,4,0)</f>
        <v>tấn</v>
      </c>
      <c r="G1229" s="1914">
        <v>0.02</v>
      </c>
      <c r="H1229" s="1250"/>
      <c r="I1229" s="1250"/>
      <c r="J1229" s="1250"/>
      <c r="K1229" s="1250"/>
      <c r="L1229" s="1250"/>
      <c r="M1229" s="1250"/>
      <c r="N1229" s="1250"/>
      <c r="O1229" s="1250"/>
      <c r="P1229" s="1250"/>
      <c r="Q1229" s="1250"/>
      <c r="R1229" s="1250"/>
      <c r="S1229" s="1250"/>
      <c r="T1229" s="1671"/>
      <c r="U1229" s="1664" t="str">
        <f>IFERROR(VLOOKUP(B1229,ChiTietDuToan!C:H,5,0),"")</f>
        <v>tấn</v>
      </c>
      <c r="V1229" s="2309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56"/>
      <c r="C1230" s="1189" t="str">
        <f t="shared" ca="1" si="246"/>
        <v xml:space="preserve"> </v>
      </c>
      <c r="D1230" s="1237"/>
      <c r="E1230" s="1666" t="s">
        <v>2543</v>
      </c>
      <c r="F1230" s="1238" t="s">
        <v>2449</v>
      </c>
      <c r="G1230" s="1912"/>
      <c r="H1230" s="1523">
        <f ca="1">SUM(I1230:O1230)+T1230</f>
        <v>0</v>
      </c>
      <c r="I1230" s="1239">
        <f ca="1">SUMIF(chang3pm,chitiet!$A1230,slchang3pm)</f>
        <v>0</v>
      </c>
      <c r="J1230" s="1239">
        <f ca="1">SUMIF(changct,chitiet!$A1230,slchangct)</f>
        <v>0</v>
      </c>
      <c r="K1230" s="1239"/>
      <c r="L1230" s="1239">
        <f>IFERROR(HLOOKUP(A1230,pp1p!$6:$90,85,0),0)</f>
        <v>0</v>
      </c>
      <c r="M1230" s="1239"/>
      <c r="N1230" s="1239"/>
      <c r="O1230" s="1239"/>
      <c r="P1230" s="1239">
        <f ca="1">H1230+Q1230-R1230</f>
        <v>0</v>
      </c>
      <c r="Q1230" s="1239"/>
      <c r="R1230" s="1239"/>
      <c r="S1230" s="1239"/>
      <c r="T1230" s="1671"/>
      <c r="U1230" s="1664">
        <f>IFERROR(VLOOKUP(B1230,ChiTietDuToan!C:H,5,0),"")</f>
        <v>0</v>
      </c>
      <c r="V1230" s="2309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59" t="s">
        <v>674</v>
      </c>
      <c r="C1231" s="1189" t="str">
        <f t="shared" ref="C1231:C1294" ca="1" si="262">IF(OR(P1231&lt;&gt;0,H1231&lt;&gt;0),"x"," ")</f>
        <v xml:space="preserve"> </v>
      </c>
      <c r="D1231" s="1236"/>
      <c r="E1231" s="1248" t="str">
        <f>VLOOKUP($B1231,DG!A:D,DG!$C$2,)&amp;"-Fe8x100 nhuùng keõm"</f>
        <v>Cổ dê Ø 195 nẹp trụ-Fe8x100 nhuùng keõm</v>
      </c>
      <c r="F1231" s="1236" t="str">
        <f>VLOOKUP($B1231,DG!A:D,DG!$D$2,)</f>
        <v>bộ</v>
      </c>
      <c r="G1231" s="1915">
        <v>1</v>
      </c>
      <c r="H1231" s="1245">
        <f t="shared" ref="H1231:H1240" ca="1" si="263">H$1230*$G1231</f>
        <v>0</v>
      </c>
      <c r="I1231" s="1245">
        <f t="shared" ref="I1231:N1240" ca="1" si="264">I$1230*$G1231</f>
        <v>0</v>
      </c>
      <c r="J1231" s="1245">
        <f t="shared" ca="1" si="264"/>
        <v>0</v>
      </c>
      <c r="K1231" s="1245">
        <f t="shared" si="264"/>
        <v>0</v>
      </c>
      <c r="L1231" s="1245">
        <f t="shared" si="264"/>
        <v>0</v>
      </c>
      <c r="M1231" s="1245">
        <f t="shared" si="264"/>
        <v>0</v>
      </c>
      <c r="N1231" s="1245">
        <f t="shared" si="264"/>
        <v>0</v>
      </c>
      <c r="O1231" s="1245"/>
      <c r="P1231" s="1245"/>
      <c r="Q1231" s="1245"/>
      <c r="R1231" s="1245"/>
      <c r="S1231" s="1245"/>
      <c r="T1231" s="1671"/>
      <c r="U1231" s="1664" t="str">
        <f>IFERROR(VLOOKUP(B1231,ChiTietDuToan!C:H,5,0),"")</f>
        <v/>
      </c>
      <c r="V1231" s="2309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59" t="s">
        <v>1518</v>
      </c>
      <c r="C1232" s="1189" t="str">
        <f t="shared" ca="1" si="262"/>
        <v xml:space="preserve"> </v>
      </c>
      <c r="D1232" s="1236"/>
      <c r="E1232" s="1248" t="str">
        <f>VLOOKUP($B1232,DG!A:D,DG!$C$2,)&amp;"-Fe8x100 nhuùng keõm"</f>
        <v>Cổ dê Ø 220 nẹp trụ-Fe8x100 nhuùng keõm</v>
      </c>
      <c r="F1232" s="1236" t="str">
        <f>VLOOKUP($B1232,DG!A:D,DG!$D$2,)</f>
        <v>bộ</v>
      </c>
      <c r="G1232" s="1915">
        <v>1</v>
      </c>
      <c r="H1232" s="1245">
        <f t="shared" ref="H1232:N1232" ca="1" si="265">H$1315*$G1232</f>
        <v>0</v>
      </c>
      <c r="I1232" s="1245">
        <f t="shared" ca="1" si="265"/>
        <v>0</v>
      </c>
      <c r="J1232" s="1245">
        <f t="shared" ca="1" si="265"/>
        <v>0</v>
      </c>
      <c r="K1232" s="1245">
        <f t="shared" si="265"/>
        <v>0</v>
      </c>
      <c r="L1232" s="1245">
        <f t="shared" si="265"/>
        <v>0</v>
      </c>
      <c r="M1232" s="1245">
        <f t="shared" si="265"/>
        <v>0</v>
      </c>
      <c r="N1232" s="1245">
        <f t="shared" si="265"/>
        <v>0</v>
      </c>
      <c r="O1232" s="1245"/>
      <c r="P1232" s="1245"/>
      <c r="Q1232" s="1245"/>
      <c r="R1232" s="1245"/>
      <c r="S1232" s="1245"/>
      <c r="T1232" s="1671"/>
      <c r="U1232" s="1664" t="str">
        <f>IFERROR(VLOOKUP(B1232,ChiTietDuToan!C:H,5,0),"")</f>
        <v/>
      </c>
      <c r="V1232" s="2309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59" t="s">
        <v>112</v>
      </c>
      <c r="C1233" s="1189" t="str">
        <f t="shared" ca="1" si="262"/>
        <v xml:space="preserve"> </v>
      </c>
      <c r="D1233" s="1236"/>
      <c r="E1233" s="1248" t="str">
        <f>VLOOKUP($B1233,DG!A:D,DG!$C$2,)</f>
        <v>Sứ chằng</v>
      </c>
      <c r="F1233" s="1236" t="str">
        <f>VLOOKUP($B1233,DG!A:D,DG!$D$2,)</f>
        <v>cái</v>
      </c>
      <c r="G1233" s="1915">
        <v>2</v>
      </c>
      <c r="H1233" s="1245">
        <f t="shared" ca="1" si="263"/>
        <v>0</v>
      </c>
      <c r="I1233" s="1245">
        <f t="shared" ca="1" si="264"/>
        <v>0</v>
      </c>
      <c r="J1233" s="1245">
        <f t="shared" ca="1" si="264"/>
        <v>0</v>
      </c>
      <c r="K1233" s="1245">
        <f t="shared" si="264"/>
        <v>0</v>
      </c>
      <c r="L1233" s="1245">
        <f t="shared" si="264"/>
        <v>0</v>
      </c>
      <c r="M1233" s="1245">
        <f t="shared" si="264"/>
        <v>0</v>
      </c>
      <c r="N1233" s="1245">
        <f t="shared" si="264"/>
        <v>0</v>
      </c>
      <c r="O1233" s="1245"/>
      <c r="P1233" s="1245"/>
      <c r="Q1233" s="1245"/>
      <c r="R1233" s="1245"/>
      <c r="S1233" s="1245"/>
      <c r="T1233" s="1671"/>
      <c r="U1233" s="1664" t="str">
        <f>IFERROR(VLOOKUP(B1233,ChiTietDuToan!C:H,5,0),"")</f>
        <v>cái</v>
      </c>
      <c r="V1233" s="2309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59" t="s">
        <v>1630</v>
      </c>
      <c r="C1234" s="1189" t="str">
        <f t="shared" ca="1" si="262"/>
        <v xml:space="preserve"> </v>
      </c>
      <c r="D1234" s="1236"/>
      <c r="E1234" s="1248" t="str">
        <f>VLOOKUP($B1234,DG!A:D,DG!$C$2,)</f>
        <v>Kẹp cáp 3 boulon</v>
      </c>
      <c r="F1234" s="1236" t="str">
        <f>VLOOKUP($B1234,DG!A:D,DG!$D$2,)</f>
        <v>cái</v>
      </c>
      <c r="G1234" s="1915">
        <v>16</v>
      </c>
      <c r="H1234" s="1245">
        <f t="shared" ca="1" si="263"/>
        <v>0</v>
      </c>
      <c r="I1234" s="1245">
        <f t="shared" ca="1" si="264"/>
        <v>0</v>
      </c>
      <c r="J1234" s="1245">
        <f t="shared" ca="1" si="264"/>
        <v>0</v>
      </c>
      <c r="K1234" s="1245">
        <f t="shared" si="264"/>
        <v>0</v>
      </c>
      <c r="L1234" s="1245">
        <f t="shared" si="264"/>
        <v>0</v>
      </c>
      <c r="M1234" s="1245">
        <f t="shared" si="264"/>
        <v>0</v>
      </c>
      <c r="N1234" s="1245">
        <f t="shared" si="264"/>
        <v>0</v>
      </c>
      <c r="O1234" s="1245"/>
      <c r="P1234" s="1245"/>
      <c r="Q1234" s="1245"/>
      <c r="R1234" s="1245"/>
      <c r="S1234" s="1245"/>
      <c r="T1234" s="1671"/>
      <c r="U1234" s="1664" t="str">
        <f>IFERROR(VLOOKUP(B1234,ChiTietDuToan!C:H,5,0),"")</f>
        <v>cái</v>
      </c>
      <c r="V1234" s="2309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80" t="str">
        <f>$B$1549</f>
        <v>KH4/0</v>
      </c>
      <c r="C1235" s="1189" t="str">
        <f t="shared" ca="1" si="262"/>
        <v xml:space="preserve"> </v>
      </c>
      <c r="D1235" s="1236"/>
      <c r="E1235" s="1248" t="str">
        <f>VLOOKUP($B1235,DG!A:D,DG!$C$2,)</f>
        <v>Kẹp hotline 4/0</v>
      </c>
      <c r="F1235" s="1236" t="str">
        <f>VLOOKUP($B1235,DG!A:D,DG!$D$2,)</f>
        <v>cái</v>
      </c>
      <c r="G1235" s="1915">
        <v>26</v>
      </c>
      <c r="H1235" s="1245">
        <f t="shared" ca="1" si="263"/>
        <v>0</v>
      </c>
      <c r="I1235" s="1245">
        <f t="shared" ca="1" si="264"/>
        <v>0</v>
      </c>
      <c r="J1235" s="1245">
        <f t="shared" ca="1" si="264"/>
        <v>0</v>
      </c>
      <c r="K1235" s="1245">
        <f t="shared" si="264"/>
        <v>0</v>
      </c>
      <c r="L1235" s="1245">
        <f t="shared" si="264"/>
        <v>0</v>
      </c>
      <c r="M1235" s="1245">
        <f t="shared" si="264"/>
        <v>0</v>
      </c>
      <c r="N1235" s="1245">
        <f t="shared" si="264"/>
        <v>0</v>
      </c>
      <c r="O1235" s="1245"/>
      <c r="P1235" s="1245"/>
      <c r="Q1235" s="1245"/>
      <c r="R1235" s="1245"/>
      <c r="S1235" s="1245"/>
      <c r="T1235" s="1671"/>
      <c r="U1235" s="1664" t="str">
        <f>IFERROR(VLOOKUP(B1235,ChiTietDuToan!C:H,5,0),"")</f>
        <v>cái</v>
      </c>
      <c r="V1235" s="2309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59" t="s">
        <v>280</v>
      </c>
      <c r="C1236" s="1189" t="str">
        <f t="shared" ca="1" si="262"/>
        <v xml:space="preserve"> </v>
      </c>
      <c r="D1236" s="1236"/>
      <c r="E1236" s="1248" t="str">
        <f>VLOOKUP($B1236,DG!A:D,DG!$C$2,)</f>
        <v>Sắt dẹt 60 x 6</v>
      </c>
      <c r="F1236" s="1236" t="str">
        <f>VLOOKUP($B1236,DG!A:D,DG!$D$2,)</f>
        <v>kg</v>
      </c>
      <c r="G1236" s="1915">
        <v>4</v>
      </c>
      <c r="H1236" s="1245">
        <f t="shared" ca="1" si="263"/>
        <v>0</v>
      </c>
      <c r="I1236" s="1245">
        <f t="shared" ca="1" si="264"/>
        <v>0</v>
      </c>
      <c r="J1236" s="1245">
        <f t="shared" ca="1" si="264"/>
        <v>0</v>
      </c>
      <c r="K1236" s="1245">
        <f t="shared" si="264"/>
        <v>0</v>
      </c>
      <c r="L1236" s="1245">
        <f t="shared" si="264"/>
        <v>0</v>
      </c>
      <c r="M1236" s="1245">
        <f t="shared" si="264"/>
        <v>0</v>
      </c>
      <c r="N1236" s="1245">
        <f t="shared" si="264"/>
        <v>0</v>
      </c>
      <c r="O1236" s="1245"/>
      <c r="P1236" s="1245"/>
      <c r="Q1236" s="1245"/>
      <c r="R1236" s="1245"/>
      <c r="S1236" s="1245"/>
      <c r="T1236" s="1671"/>
      <c r="U1236" s="1664" t="str">
        <f>IFERROR(VLOOKUP(B1236,ChiTietDuToan!C:H,5,0),"")</f>
        <v/>
      </c>
      <c r="V1236" s="2309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59" t="s">
        <v>1404</v>
      </c>
      <c r="C1237" s="1189" t="str">
        <f t="shared" ca="1" si="262"/>
        <v xml:space="preserve"> </v>
      </c>
      <c r="D1237" s="1236"/>
      <c r="E1237" s="1248" t="str">
        <f>VLOOKUP($B1237,DG!A:D,DG!$C$2,)</f>
        <v xml:space="preserve">Móc treo chữ U </v>
      </c>
      <c r="F1237" s="1236" t="str">
        <f>VLOOKUP($B1237,DG!A:D,DG!$D$2,)</f>
        <v>cái</v>
      </c>
      <c r="G1237" s="1915">
        <v>2</v>
      </c>
      <c r="H1237" s="1245">
        <f t="shared" ca="1" si="263"/>
        <v>0</v>
      </c>
      <c r="I1237" s="1245">
        <f t="shared" ca="1" si="264"/>
        <v>0</v>
      </c>
      <c r="J1237" s="1245">
        <f t="shared" ca="1" si="264"/>
        <v>0</v>
      </c>
      <c r="K1237" s="1245">
        <f t="shared" si="264"/>
        <v>0</v>
      </c>
      <c r="L1237" s="1245">
        <f t="shared" si="264"/>
        <v>0</v>
      </c>
      <c r="M1237" s="1245">
        <f t="shared" si="264"/>
        <v>0</v>
      </c>
      <c r="N1237" s="1245">
        <f t="shared" si="264"/>
        <v>0</v>
      </c>
      <c r="O1237" s="1245"/>
      <c r="P1237" s="1245"/>
      <c r="Q1237" s="1245"/>
      <c r="R1237" s="1245"/>
      <c r="S1237" s="1245"/>
      <c r="T1237" s="1671"/>
      <c r="U1237" s="1664" t="str">
        <f>IFERROR(VLOOKUP(B1237,ChiTietDuToan!C:H,5,0),"")</f>
        <v>cái</v>
      </c>
      <c r="V1237" s="2309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81" t="s">
        <v>1944</v>
      </c>
      <c r="C1238" s="1189" t="str">
        <f t="shared" ca="1" si="262"/>
        <v xml:space="preserve"> </v>
      </c>
      <c r="D1238" s="1236"/>
      <c r="E1238" s="1248" t="str">
        <f>VLOOKUP($B1238,DG!A:D,DG!$C$2,)</f>
        <v>Boulon 16x100VRS+ 4 long đền vuông D18-50x50x3/Zn</v>
      </c>
      <c r="F1238" s="1236" t="str">
        <f>VLOOKUP($B1238,DG!A:D,DG!$D$2,)</f>
        <v>bộ</v>
      </c>
      <c r="G1238" s="1915">
        <v>4</v>
      </c>
      <c r="H1238" s="1245">
        <f t="shared" ca="1" si="263"/>
        <v>0</v>
      </c>
      <c r="I1238" s="1245">
        <f t="shared" ca="1" si="264"/>
        <v>0</v>
      </c>
      <c r="J1238" s="1245">
        <f t="shared" ca="1" si="264"/>
        <v>0</v>
      </c>
      <c r="K1238" s="1245">
        <f t="shared" si="264"/>
        <v>0</v>
      </c>
      <c r="L1238" s="1245">
        <f t="shared" si="264"/>
        <v>0</v>
      </c>
      <c r="M1238" s="1245">
        <f t="shared" si="264"/>
        <v>0</v>
      </c>
      <c r="N1238" s="1245">
        <f t="shared" si="264"/>
        <v>0</v>
      </c>
      <c r="O1238" s="1245"/>
      <c r="P1238" s="1245"/>
      <c r="Q1238" s="1245"/>
      <c r="R1238" s="1245"/>
      <c r="S1238" s="1245"/>
      <c r="T1238" s="1671"/>
      <c r="U1238" s="1664" t="str">
        <f>IFERROR(VLOOKUP(B1238,ChiTietDuToan!C:H,5,0),"")</f>
        <v/>
      </c>
      <c r="V1238" s="2309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59" t="s">
        <v>2053</v>
      </c>
      <c r="C1239" s="1189" t="str">
        <f t="shared" ca="1" si="262"/>
        <v xml:space="preserve"> </v>
      </c>
      <c r="D1239" s="1236"/>
      <c r="E1239" s="1248" t="str">
        <f>VLOOKUP($B1239,DG!A:D,DG!$C$2,)</f>
        <v>Yếm cáp dày 2mm</v>
      </c>
      <c r="F1239" s="1236" t="str">
        <f>VLOOKUP($B1239,DG!A:D,DG!$D$2,)</f>
        <v>cái</v>
      </c>
      <c r="G1239" s="1915">
        <v>4</v>
      </c>
      <c r="H1239" s="1245">
        <f t="shared" ca="1" si="263"/>
        <v>0</v>
      </c>
      <c r="I1239" s="1245">
        <f t="shared" ca="1" si="264"/>
        <v>0</v>
      </c>
      <c r="J1239" s="1245">
        <f t="shared" ca="1" si="264"/>
        <v>0</v>
      </c>
      <c r="K1239" s="1245">
        <f t="shared" si="264"/>
        <v>0</v>
      </c>
      <c r="L1239" s="1245">
        <f t="shared" si="264"/>
        <v>0</v>
      </c>
      <c r="M1239" s="1245">
        <f t="shared" si="264"/>
        <v>0</v>
      </c>
      <c r="N1239" s="1245">
        <f t="shared" si="264"/>
        <v>0</v>
      </c>
      <c r="O1239" s="1245"/>
      <c r="P1239" s="1245"/>
      <c r="Q1239" s="1245"/>
      <c r="R1239" s="1245"/>
      <c r="S1239" s="1245"/>
      <c r="T1239" s="1671"/>
      <c r="U1239" s="1664" t="str">
        <f>IFERROR(VLOOKUP(B1239,ChiTietDuToan!C:H,5,0),"")</f>
        <v>cái</v>
      </c>
      <c r="V1239" s="2309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59" t="s">
        <v>2054</v>
      </c>
      <c r="C1240" s="1189" t="str">
        <f t="shared" ca="1" si="262"/>
        <v xml:space="preserve"> </v>
      </c>
      <c r="D1240" s="1236"/>
      <c r="E1240" s="1248" t="str">
        <f>VLOOKUP($B1240,DG!A:D,DG!$C$2,)</f>
        <v>Máng che dây chằng dày 1,6mm</v>
      </c>
      <c r="F1240" s="1236" t="str">
        <f>VLOOKUP($B1240,DG!A:D,DG!$D$2,)</f>
        <v>cái</v>
      </c>
      <c r="G1240" s="1915">
        <v>2</v>
      </c>
      <c r="H1240" s="1245">
        <f t="shared" ca="1" si="263"/>
        <v>0</v>
      </c>
      <c r="I1240" s="1245">
        <f t="shared" ca="1" si="264"/>
        <v>0</v>
      </c>
      <c r="J1240" s="1245">
        <f t="shared" ca="1" si="264"/>
        <v>0</v>
      </c>
      <c r="K1240" s="1245">
        <f t="shared" si="264"/>
        <v>0</v>
      </c>
      <c r="L1240" s="1245">
        <f t="shared" si="264"/>
        <v>0</v>
      </c>
      <c r="M1240" s="1245">
        <f t="shared" si="264"/>
        <v>0</v>
      </c>
      <c r="N1240" s="1245">
        <f t="shared" si="264"/>
        <v>0</v>
      </c>
      <c r="O1240" s="1245"/>
      <c r="P1240" s="1245"/>
      <c r="Q1240" s="1245"/>
      <c r="R1240" s="1245"/>
      <c r="S1240" s="1245"/>
      <c r="T1240" s="1671"/>
      <c r="U1240" s="1664" t="str">
        <f>IFERROR(VLOOKUP(B1240,ChiTietDuToan!C:H,5,0),"")</f>
        <v>cái</v>
      </c>
      <c r="V1240" s="2309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59" t="s">
        <v>1971</v>
      </c>
      <c r="C1241" s="1189" t="str">
        <f t="shared" si="262"/>
        <v xml:space="preserve"> </v>
      </c>
      <c r="D1241" s="1236" t="str">
        <f>VLOOKUP($B1241,DG!A:D,DG!$B$2,)</f>
        <v>06.3241</v>
      </c>
      <c r="E1241" s="1241" t="str">
        <f>VLOOKUP($B1241,DG!A:D,DG!$C$2,)</f>
        <v>Lắp bộ dây néo</v>
      </c>
      <c r="F1241" s="1236" t="str">
        <f>VLOOKUP($B1241,DG!A:D,DG!$D$2,)</f>
        <v>bộ</v>
      </c>
      <c r="G1241" s="1915">
        <v>2</v>
      </c>
      <c r="H1241" s="1250"/>
      <c r="I1241" s="1250"/>
      <c r="J1241" s="1250"/>
      <c r="K1241" s="1250"/>
      <c r="L1241" s="1250"/>
      <c r="M1241" s="1250"/>
      <c r="N1241" s="1250"/>
      <c r="O1241" s="1250"/>
      <c r="P1241" s="1250"/>
      <c r="Q1241" s="1250"/>
      <c r="R1241" s="1250"/>
      <c r="S1241" s="1250"/>
      <c r="T1241" s="1671"/>
      <c r="U1241" s="1664" t="str">
        <f>IFERROR(VLOOKUP(B1241,ChiTietDuToan!C:H,5,0),"")</f>
        <v>bộ</v>
      </c>
      <c r="V1241" s="2309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59" t="s">
        <v>686</v>
      </c>
      <c r="C1242" s="1189" t="str">
        <f t="shared" si="262"/>
        <v xml:space="preserve"> </v>
      </c>
      <c r="D1242" s="1236" t="str">
        <f>VLOOKUP($B1242,DG!A:D,DG!$B$2,)</f>
        <v>06.2110</v>
      </c>
      <c r="E1242" s="1241" t="str">
        <f>VLOOKUP($B1242,DG!A:D,DG!$C$2,)</f>
        <v>Lắp cổ dề</v>
      </c>
      <c r="F1242" s="1236" t="str">
        <f>VLOOKUP($B1242,DG!A:D,DG!$D$2,)</f>
        <v>cái</v>
      </c>
      <c r="G1242" s="1915">
        <v>2</v>
      </c>
      <c r="H1242" s="1250"/>
      <c r="I1242" s="1250"/>
      <c r="J1242" s="1250"/>
      <c r="K1242" s="1250"/>
      <c r="L1242" s="1250"/>
      <c r="M1242" s="1250"/>
      <c r="N1242" s="1250"/>
      <c r="O1242" s="1250"/>
      <c r="P1242" s="1250"/>
      <c r="Q1242" s="1250"/>
      <c r="R1242" s="1250"/>
      <c r="S1242" s="1250"/>
      <c r="T1242" s="1671"/>
      <c r="U1242" s="1664" t="str">
        <f>IFERROR(VLOOKUP(B1242,ChiTietDuToan!C:H,5,0),"")</f>
        <v/>
      </c>
      <c r="V1242" s="2309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74" t="s">
        <v>357</v>
      </c>
      <c r="C1243" s="1189" t="str">
        <f t="shared" si="262"/>
        <v xml:space="preserve"> </v>
      </c>
      <c r="D1243" s="1236" t="str">
        <f>VLOOKUP($B1243,DG!A:C,2,)</f>
        <v>02.1421</v>
      </c>
      <c r="E1243" s="1241" t="str">
        <f>VLOOKUP($B1243,DG!A:C,3,)</f>
        <v>V/c phụ kiện vào vị trí (cự ly &lt;=100m)</v>
      </c>
      <c r="F1243" s="1236" t="str">
        <f>VLOOKUP($B1243,DG!A:D,4,0)</f>
        <v>tấn</v>
      </c>
      <c r="G1243" s="1914">
        <v>0.02</v>
      </c>
      <c r="H1243" s="1250"/>
      <c r="I1243" s="1250"/>
      <c r="J1243" s="1250"/>
      <c r="K1243" s="1250"/>
      <c r="L1243" s="1250"/>
      <c r="M1243" s="1250"/>
      <c r="N1243" s="1250"/>
      <c r="O1243" s="1250"/>
      <c r="P1243" s="1250"/>
      <c r="Q1243" s="1250"/>
      <c r="R1243" s="1250"/>
      <c r="S1243" s="1250"/>
      <c r="T1243" s="1671"/>
      <c r="U1243" s="1664" t="str">
        <f>IFERROR(VLOOKUP(B1243,ChiTietDuToan!C:H,5,0),"")</f>
        <v>tấn</v>
      </c>
      <c r="V1243" s="2309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56"/>
      <c r="C1244" s="1189" t="str">
        <f t="shared" ca="1" si="262"/>
        <v xml:space="preserve"> </v>
      </c>
      <c r="D1244" s="1237"/>
      <c r="E1244" s="1666" t="s">
        <v>2544</v>
      </c>
      <c r="F1244" s="1238" t="s">
        <v>2449</v>
      </c>
      <c r="G1244" s="1912"/>
      <c r="H1244" s="1523">
        <f ca="1">SUM(I1244:O1244)+T1244</f>
        <v>0</v>
      </c>
      <c r="I1244" s="1239">
        <f ca="1">SUMIF(chang3pm,chitiet!$A1244,slchang3pm)</f>
        <v>0</v>
      </c>
      <c r="J1244" s="1239">
        <f ca="1">SUMIF(changct,chitiet!$A1244,slchangct)</f>
        <v>0</v>
      </c>
      <c r="K1244" s="1239"/>
      <c r="L1244" s="1239">
        <f>IFERROR(HLOOKUP(A1244,pp1p!$6:$90,85,0),0)</f>
        <v>0</v>
      </c>
      <c r="M1244" s="1239"/>
      <c r="N1244" s="1239"/>
      <c r="O1244" s="1239"/>
      <c r="P1244" s="1239">
        <f ca="1">H1244+Q1244-R1244</f>
        <v>0</v>
      </c>
      <c r="Q1244" s="1239"/>
      <c r="R1244" s="1239"/>
      <c r="S1244" s="1239"/>
      <c r="T1244" s="1671"/>
      <c r="U1244" s="1664">
        <f>IFERROR(VLOOKUP(B1244,ChiTietDuToan!C:H,5,0),"")</f>
        <v>0</v>
      </c>
      <c r="V1244" s="2309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59" t="s">
        <v>674</v>
      </c>
      <c r="C1245" s="1189" t="str">
        <f t="shared" ca="1" si="262"/>
        <v xml:space="preserve"> </v>
      </c>
      <c r="D1245" s="1236"/>
      <c r="E1245" s="1248" t="str">
        <f>VLOOKUP($B1245,DG!A:D,DG!$C$2,)&amp;"-Fe8x100 nhuùng keõm"</f>
        <v>Cổ dê Ø 195 nẹp trụ-Fe8x100 nhuùng keõm</v>
      </c>
      <c r="F1245" s="1236" t="str">
        <f>VLOOKUP($B1245,DG!A:D,DG!$D$2,)</f>
        <v>bộ</v>
      </c>
      <c r="G1245" s="1915">
        <v>1</v>
      </c>
      <c r="H1245" s="1245">
        <f t="shared" ref="H1245:H1253" ca="1" si="267">H$1244*$G1245</f>
        <v>0</v>
      </c>
      <c r="I1245" s="1245">
        <f t="shared" ref="I1245:N1253" ca="1" si="268">I$1244*$G1245</f>
        <v>0</v>
      </c>
      <c r="J1245" s="1245">
        <f t="shared" ca="1" si="268"/>
        <v>0</v>
      </c>
      <c r="K1245" s="1245">
        <f t="shared" si="268"/>
        <v>0</v>
      </c>
      <c r="L1245" s="1245">
        <f t="shared" si="268"/>
        <v>0</v>
      </c>
      <c r="M1245" s="1245">
        <f t="shared" si="268"/>
        <v>0</v>
      </c>
      <c r="N1245" s="1245">
        <f t="shared" si="268"/>
        <v>0</v>
      </c>
      <c r="O1245" s="1245"/>
      <c r="P1245" s="1245"/>
      <c r="Q1245" s="1245"/>
      <c r="R1245" s="1245"/>
      <c r="S1245" s="1245"/>
      <c r="T1245" s="1671"/>
      <c r="U1245" s="1664" t="str">
        <f>IFERROR(VLOOKUP(B1245,ChiTietDuToan!C:H,5,0),"")</f>
        <v/>
      </c>
      <c r="V1245" s="2309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59" t="s">
        <v>112</v>
      </c>
      <c r="C1246" s="1189" t="str">
        <f t="shared" ca="1" si="262"/>
        <v xml:space="preserve"> </v>
      </c>
      <c r="D1246" s="1236"/>
      <c r="E1246" s="1248" t="str">
        <f>VLOOKUP($B1246,DG!A:D,DG!$C$2,)</f>
        <v>Sứ chằng</v>
      </c>
      <c r="F1246" s="1236" t="str">
        <f>VLOOKUP($B1246,DG!A:D,DG!$D$2,)</f>
        <v>cái</v>
      </c>
      <c r="G1246" s="1915">
        <v>1</v>
      </c>
      <c r="H1246" s="1245">
        <f t="shared" ca="1" si="267"/>
        <v>0</v>
      </c>
      <c r="I1246" s="1245">
        <f t="shared" ca="1" si="268"/>
        <v>0</v>
      </c>
      <c r="J1246" s="1245">
        <f t="shared" ca="1" si="268"/>
        <v>0</v>
      </c>
      <c r="K1246" s="1245">
        <f t="shared" si="268"/>
        <v>0</v>
      </c>
      <c r="L1246" s="1245">
        <f t="shared" si="268"/>
        <v>0</v>
      </c>
      <c r="M1246" s="1245">
        <f t="shared" si="268"/>
        <v>0</v>
      </c>
      <c r="N1246" s="1245">
        <f t="shared" si="268"/>
        <v>0</v>
      </c>
      <c r="O1246" s="1245"/>
      <c r="P1246" s="1245"/>
      <c r="Q1246" s="1245"/>
      <c r="R1246" s="1245"/>
      <c r="S1246" s="1245"/>
      <c r="T1246" s="1671"/>
      <c r="U1246" s="1664" t="str">
        <f>IFERROR(VLOOKUP(B1246,ChiTietDuToan!C:H,5,0),"")</f>
        <v>cái</v>
      </c>
      <c r="V1246" s="2309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59" t="s">
        <v>1630</v>
      </c>
      <c r="C1247" s="1189" t="str">
        <f t="shared" ca="1" si="262"/>
        <v xml:space="preserve"> </v>
      </c>
      <c r="D1247" s="1236"/>
      <c r="E1247" s="1248" t="str">
        <f>VLOOKUP($B1247,DG!A:D,DG!$C$2,)</f>
        <v>Kẹp cáp 3 boulon</v>
      </c>
      <c r="F1247" s="1236" t="str">
        <f>VLOOKUP($B1247,DG!A:D,DG!$D$2,)</f>
        <v>cái</v>
      </c>
      <c r="G1247" s="1915">
        <v>8</v>
      </c>
      <c r="H1247" s="1245">
        <f t="shared" ca="1" si="267"/>
        <v>0</v>
      </c>
      <c r="I1247" s="1245">
        <f t="shared" ca="1" si="268"/>
        <v>0</v>
      </c>
      <c r="J1247" s="1245">
        <f t="shared" ca="1" si="268"/>
        <v>0</v>
      </c>
      <c r="K1247" s="1245">
        <f t="shared" si="268"/>
        <v>0</v>
      </c>
      <c r="L1247" s="1245">
        <f t="shared" si="268"/>
        <v>0</v>
      </c>
      <c r="M1247" s="1245">
        <f t="shared" si="268"/>
        <v>0</v>
      </c>
      <c r="N1247" s="1245">
        <f t="shared" si="268"/>
        <v>0</v>
      </c>
      <c r="O1247" s="1245"/>
      <c r="P1247" s="1245"/>
      <c r="Q1247" s="1245"/>
      <c r="R1247" s="1245"/>
      <c r="S1247" s="1245"/>
      <c r="T1247" s="1671"/>
      <c r="U1247" s="1664" t="str">
        <f>IFERROR(VLOOKUP(B1247,ChiTietDuToan!C:H,5,0),"")</f>
        <v>cái</v>
      </c>
      <c r="V1247" s="2309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80" t="str">
        <f>$B$1549</f>
        <v>KH4/0</v>
      </c>
      <c r="C1248" s="1189" t="str">
        <f t="shared" ca="1" si="262"/>
        <v xml:space="preserve"> </v>
      </c>
      <c r="D1248" s="1236"/>
      <c r="E1248" s="1248" t="str">
        <f>VLOOKUP($B1248,DG!A:D,DG!$C$2,)</f>
        <v>Kẹp hotline 4/0</v>
      </c>
      <c r="F1248" s="1236" t="str">
        <f>VLOOKUP($B1248,DG!A:D,DG!$D$2,)</f>
        <v>cái</v>
      </c>
      <c r="G1248" s="1915">
        <v>17</v>
      </c>
      <c r="H1248" s="1245">
        <f t="shared" ca="1" si="267"/>
        <v>0</v>
      </c>
      <c r="I1248" s="1245">
        <f ca="1">I$1244*$G1248</f>
        <v>0</v>
      </c>
      <c r="J1248" s="1245">
        <f t="shared" ca="1" si="268"/>
        <v>0</v>
      </c>
      <c r="K1248" s="1245">
        <f t="shared" si="268"/>
        <v>0</v>
      </c>
      <c r="L1248" s="1245">
        <f t="shared" si="268"/>
        <v>0</v>
      </c>
      <c r="M1248" s="1245">
        <f t="shared" si="268"/>
        <v>0</v>
      </c>
      <c r="N1248" s="1245">
        <f t="shared" si="268"/>
        <v>0</v>
      </c>
      <c r="O1248" s="1245"/>
      <c r="P1248" s="1245"/>
      <c r="Q1248" s="1245"/>
      <c r="R1248" s="1245"/>
      <c r="S1248" s="1245"/>
      <c r="T1248" s="1671"/>
      <c r="U1248" s="1664" t="str">
        <f>IFERROR(VLOOKUP(B1248,ChiTietDuToan!C:H,5,0),"")</f>
        <v>cái</v>
      </c>
      <c r="V1248" s="2309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59" t="s">
        <v>280</v>
      </c>
      <c r="C1249" s="1189" t="str">
        <f t="shared" ca="1" si="262"/>
        <v xml:space="preserve"> </v>
      </c>
      <c r="D1249" s="1236"/>
      <c r="E1249" s="1248" t="str">
        <f>VLOOKUP($B1249,DG!A:D,DG!$C$2,)</f>
        <v>Sắt dẹt 60 x 6</v>
      </c>
      <c r="F1249" s="1236" t="str">
        <f>VLOOKUP($B1249,DG!A:D,DG!$D$2,)</f>
        <v>kg</v>
      </c>
      <c r="G1249" s="1915">
        <v>2</v>
      </c>
      <c r="H1249" s="1245">
        <f t="shared" ca="1" si="267"/>
        <v>0</v>
      </c>
      <c r="I1249" s="1245">
        <f t="shared" ca="1" si="268"/>
        <v>0</v>
      </c>
      <c r="J1249" s="1245">
        <f t="shared" ca="1" si="268"/>
        <v>0</v>
      </c>
      <c r="K1249" s="1245">
        <f t="shared" si="268"/>
        <v>0</v>
      </c>
      <c r="L1249" s="1245">
        <f t="shared" si="268"/>
        <v>0</v>
      </c>
      <c r="M1249" s="1245">
        <f t="shared" si="268"/>
        <v>0</v>
      </c>
      <c r="N1249" s="1245">
        <f t="shared" si="268"/>
        <v>0</v>
      </c>
      <c r="O1249" s="1245"/>
      <c r="P1249" s="1245"/>
      <c r="Q1249" s="1245"/>
      <c r="R1249" s="1245"/>
      <c r="S1249" s="1245"/>
      <c r="T1249" s="1671"/>
      <c r="U1249" s="1664" t="str">
        <f>IFERROR(VLOOKUP(B1249,ChiTietDuToan!C:H,5,0),"")</f>
        <v/>
      </c>
      <c r="V1249" s="2309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59" t="s">
        <v>1404</v>
      </c>
      <c r="C1250" s="1189" t="str">
        <f t="shared" ca="1" si="262"/>
        <v xml:space="preserve"> </v>
      </c>
      <c r="D1250" s="1236"/>
      <c r="E1250" s="1248" t="str">
        <f>VLOOKUP($B1250,DG!A:D,DG!$C$2,)</f>
        <v xml:space="preserve">Móc treo chữ U </v>
      </c>
      <c r="F1250" s="1236" t="str">
        <f>VLOOKUP($B1250,DG!A:D,DG!$D$2,)</f>
        <v>cái</v>
      </c>
      <c r="G1250" s="1915">
        <v>1</v>
      </c>
      <c r="H1250" s="1245">
        <f t="shared" ca="1" si="267"/>
        <v>0</v>
      </c>
      <c r="I1250" s="1245">
        <f t="shared" ca="1" si="268"/>
        <v>0</v>
      </c>
      <c r="J1250" s="1245">
        <f t="shared" ca="1" si="268"/>
        <v>0</v>
      </c>
      <c r="K1250" s="1245">
        <f t="shared" si="268"/>
        <v>0</v>
      </c>
      <c r="L1250" s="1245">
        <f t="shared" si="268"/>
        <v>0</v>
      </c>
      <c r="M1250" s="1245">
        <f t="shared" si="268"/>
        <v>0</v>
      </c>
      <c r="N1250" s="1245">
        <f t="shared" si="268"/>
        <v>0</v>
      </c>
      <c r="O1250" s="1245"/>
      <c r="P1250" s="1245"/>
      <c r="Q1250" s="1245"/>
      <c r="R1250" s="1245"/>
      <c r="S1250" s="1245"/>
      <c r="T1250" s="1671"/>
      <c r="U1250" s="1664" t="str">
        <f>IFERROR(VLOOKUP(B1250,ChiTietDuToan!C:H,5,0),"")</f>
        <v>cái</v>
      </c>
      <c r="V1250" s="2309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81" t="s">
        <v>1944</v>
      </c>
      <c r="C1251" s="1189" t="str">
        <f t="shared" ca="1" si="262"/>
        <v xml:space="preserve"> </v>
      </c>
      <c r="D1251" s="1236"/>
      <c r="E1251" s="1248" t="str">
        <f>VLOOKUP($B1251,DG!A:D,DG!$C$2,)</f>
        <v>Boulon 16x100VRS+ 4 long đền vuông D18-50x50x3/Zn</v>
      </c>
      <c r="F1251" s="1236" t="str">
        <f>VLOOKUP($B1251,DG!A:D,DG!$D$2,)</f>
        <v>bộ</v>
      </c>
      <c r="G1251" s="1915">
        <v>2</v>
      </c>
      <c r="H1251" s="1245">
        <f t="shared" ca="1" si="267"/>
        <v>0</v>
      </c>
      <c r="I1251" s="1245">
        <f t="shared" ca="1" si="268"/>
        <v>0</v>
      </c>
      <c r="J1251" s="1245">
        <f t="shared" ca="1" si="268"/>
        <v>0</v>
      </c>
      <c r="K1251" s="1245">
        <f t="shared" si="268"/>
        <v>0</v>
      </c>
      <c r="L1251" s="1245">
        <f t="shared" si="268"/>
        <v>0</v>
      </c>
      <c r="M1251" s="1245">
        <f t="shared" si="268"/>
        <v>0</v>
      </c>
      <c r="N1251" s="1245">
        <f t="shared" si="268"/>
        <v>0</v>
      </c>
      <c r="O1251" s="1245"/>
      <c r="P1251" s="1245"/>
      <c r="Q1251" s="1245"/>
      <c r="R1251" s="1245"/>
      <c r="S1251" s="1245"/>
      <c r="T1251" s="1671"/>
      <c r="U1251" s="1664" t="str">
        <f>IFERROR(VLOOKUP(B1251,ChiTietDuToan!C:H,5,0),"")</f>
        <v/>
      </c>
      <c r="V1251" s="2309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59" t="s">
        <v>2053</v>
      </c>
      <c r="C1252" s="1189" t="str">
        <f t="shared" ca="1" si="262"/>
        <v xml:space="preserve"> </v>
      </c>
      <c r="D1252" s="1236"/>
      <c r="E1252" s="1248" t="str">
        <f>VLOOKUP($B1252,DG!A:D,DG!$C$2,)</f>
        <v>Yếm cáp dày 2mm</v>
      </c>
      <c r="F1252" s="1236" t="str">
        <f>VLOOKUP($B1252,DG!A:D,DG!$D$2,)</f>
        <v>cái</v>
      </c>
      <c r="G1252" s="1915">
        <v>2</v>
      </c>
      <c r="H1252" s="1245">
        <f t="shared" ca="1" si="267"/>
        <v>0</v>
      </c>
      <c r="I1252" s="1245">
        <f t="shared" ca="1" si="268"/>
        <v>0</v>
      </c>
      <c r="J1252" s="1245">
        <f t="shared" ca="1" si="268"/>
        <v>0</v>
      </c>
      <c r="K1252" s="1245">
        <f t="shared" si="268"/>
        <v>0</v>
      </c>
      <c r="L1252" s="1245">
        <f t="shared" si="268"/>
        <v>0</v>
      </c>
      <c r="M1252" s="1245">
        <f t="shared" si="268"/>
        <v>0</v>
      </c>
      <c r="N1252" s="1245">
        <f t="shared" si="268"/>
        <v>0</v>
      </c>
      <c r="O1252" s="1245"/>
      <c r="P1252" s="1245"/>
      <c r="Q1252" s="1245"/>
      <c r="R1252" s="1245"/>
      <c r="S1252" s="1245"/>
      <c r="T1252" s="1671"/>
      <c r="U1252" s="1664" t="str">
        <f>IFERROR(VLOOKUP(B1252,ChiTietDuToan!C:H,5,0),"")</f>
        <v>cái</v>
      </c>
      <c r="V1252" s="2309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59" t="s">
        <v>2054</v>
      </c>
      <c r="C1253" s="1189" t="str">
        <f t="shared" ca="1" si="262"/>
        <v xml:space="preserve"> </v>
      </c>
      <c r="D1253" s="1236"/>
      <c r="E1253" s="1248" t="str">
        <f>VLOOKUP($B1253,DG!A:D,DG!$C$2,)</f>
        <v>Máng che dây chằng dày 1,6mm</v>
      </c>
      <c r="F1253" s="1236" t="str">
        <f>VLOOKUP($B1253,DG!A:D,DG!$D$2,)</f>
        <v>cái</v>
      </c>
      <c r="G1253" s="1915">
        <v>1</v>
      </c>
      <c r="H1253" s="1245">
        <f t="shared" ca="1" si="267"/>
        <v>0</v>
      </c>
      <c r="I1253" s="1245">
        <f t="shared" ca="1" si="268"/>
        <v>0</v>
      </c>
      <c r="J1253" s="1245">
        <f t="shared" ca="1" si="268"/>
        <v>0</v>
      </c>
      <c r="K1253" s="1245">
        <f t="shared" si="268"/>
        <v>0</v>
      </c>
      <c r="L1253" s="1245">
        <f t="shared" si="268"/>
        <v>0</v>
      </c>
      <c r="M1253" s="1245">
        <f t="shared" si="268"/>
        <v>0</v>
      </c>
      <c r="N1253" s="1245">
        <f t="shared" si="268"/>
        <v>0</v>
      </c>
      <c r="O1253" s="1245"/>
      <c r="P1253" s="1245"/>
      <c r="Q1253" s="1245"/>
      <c r="R1253" s="1245"/>
      <c r="S1253" s="1245"/>
      <c r="T1253" s="1671"/>
      <c r="U1253" s="1664" t="str">
        <f>IFERROR(VLOOKUP(B1253,ChiTietDuToan!C:H,5,0),"")</f>
        <v>cái</v>
      </c>
      <c r="V1253" s="2309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59" t="s">
        <v>1971</v>
      </c>
      <c r="C1254" s="1189" t="str">
        <f t="shared" si="262"/>
        <v xml:space="preserve"> </v>
      </c>
      <c r="D1254" s="1236" t="str">
        <f>VLOOKUP($B1254,DG!A:D,DG!$B$2,)</f>
        <v>06.3241</v>
      </c>
      <c r="E1254" s="1241" t="str">
        <f>VLOOKUP($B1254,DG!A:D,DG!$C$2,)</f>
        <v>Lắp bộ dây néo</v>
      </c>
      <c r="F1254" s="1236" t="str">
        <f>VLOOKUP($B1254,DG!A:D,DG!$D$2,)</f>
        <v>bộ</v>
      </c>
      <c r="G1254" s="1915">
        <f>G1245</f>
        <v>1</v>
      </c>
      <c r="H1254" s="1250"/>
      <c r="I1254" s="1250"/>
      <c r="J1254" s="1250"/>
      <c r="K1254" s="1250"/>
      <c r="L1254" s="1250"/>
      <c r="M1254" s="1250"/>
      <c r="N1254" s="1250"/>
      <c r="O1254" s="1250"/>
      <c r="P1254" s="1250"/>
      <c r="Q1254" s="1250"/>
      <c r="R1254" s="1250"/>
      <c r="S1254" s="1250"/>
      <c r="T1254" s="1671"/>
      <c r="U1254" s="1664" t="str">
        <f>IFERROR(VLOOKUP(B1254,ChiTietDuToan!C:H,5,0),"")</f>
        <v>bộ</v>
      </c>
      <c r="V1254" s="2309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59" t="s">
        <v>686</v>
      </c>
      <c r="C1255" s="1189" t="str">
        <f t="shared" si="262"/>
        <v xml:space="preserve"> </v>
      </c>
      <c r="D1255" s="1236" t="str">
        <f>VLOOKUP($B1255,DG!A:D,DG!$B$2,)</f>
        <v>06.2110</v>
      </c>
      <c r="E1255" s="1241" t="str">
        <f>VLOOKUP($B1255,DG!A:D,DG!$C$2,)</f>
        <v>Lắp cổ dề</v>
      </c>
      <c r="F1255" s="1236" t="str">
        <f>VLOOKUP($B1255,DG!A:D,DG!$D$2,)</f>
        <v>cái</v>
      </c>
      <c r="G1255" s="1915">
        <v>1</v>
      </c>
      <c r="H1255" s="1250"/>
      <c r="I1255" s="1250"/>
      <c r="J1255" s="1250"/>
      <c r="K1255" s="1250"/>
      <c r="L1255" s="1250"/>
      <c r="M1255" s="1250"/>
      <c r="N1255" s="1250"/>
      <c r="O1255" s="1250"/>
      <c r="P1255" s="1250"/>
      <c r="Q1255" s="1250"/>
      <c r="R1255" s="1250"/>
      <c r="S1255" s="1250"/>
      <c r="T1255" s="1671"/>
      <c r="U1255" s="1664" t="str">
        <f>IFERROR(VLOOKUP(B1255,ChiTietDuToan!C:H,5,0),"")</f>
        <v/>
      </c>
      <c r="V1255" s="2309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74" t="s">
        <v>357</v>
      </c>
      <c r="C1256" s="1189" t="str">
        <f t="shared" si="262"/>
        <v xml:space="preserve"> </v>
      </c>
      <c r="D1256" s="1236" t="str">
        <f>VLOOKUP($B1256,DG!A:C,2,)</f>
        <v>02.1421</v>
      </c>
      <c r="E1256" s="1241" t="str">
        <f>VLOOKUP($B1256,DG!A:C,3,)</f>
        <v>V/c phụ kiện vào vị trí (cự ly &lt;=100m)</v>
      </c>
      <c r="F1256" s="1236" t="str">
        <f>VLOOKUP($B1256,DG!A:D,4,0)</f>
        <v>tấn</v>
      </c>
      <c r="G1256" s="1914">
        <v>0.02</v>
      </c>
      <c r="H1256" s="1250"/>
      <c r="I1256" s="1250"/>
      <c r="J1256" s="1250"/>
      <c r="K1256" s="1250"/>
      <c r="L1256" s="1250"/>
      <c r="M1256" s="1250"/>
      <c r="N1256" s="1250"/>
      <c r="O1256" s="1250"/>
      <c r="P1256" s="1250"/>
      <c r="Q1256" s="1250"/>
      <c r="R1256" s="1250"/>
      <c r="S1256" s="1250"/>
      <c r="T1256" s="1671"/>
      <c r="U1256" s="1664" t="str">
        <f>IFERROR(VLOOKUP(B1256,ChiTietDuToan!C:H,5,0),"")</f>
        <v>tấn</v>
      </c>
      <c r="V1256" s="2309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56"/>
      <c r="C1257" s="1189" t="str">
        <f t="shared" ca="1" si="262"/>
        <v xml:space="preserve"> </v>
      </c>
      <c r="D1257" s="1237"/>
      <c r="E1257" s="1666" t="s">
        <v>2545</v>
      </c>
      <c r="F1257" s="1238" t="s">
        <v>2449</v>
      </c>
      <c r="G1257" s="1912"/>
      <c r="H1257" s="1523">
        <f ca="1">SUM(I1257:O1257)+T1257</f>
        <v>0</v>
      </c>
      <c r="I1257" s="1239">
        <f ca="1">SUMIF(chang3pm,chitiet!$A1257,slchang3pm)</f>
        <v>0</v>
      </c>
      <c r="J1257" s="1239">
        <f ca="1">SUMIF(changct,chitiet!$A1257,slchangct)</f>
        <v>0</v>
      </c>
      <c r="K1257" s="1239"/>
      <c r="L1257" s="1239">
        <f>IFERROR(HLOOKUP(A1257,pp1p!$6:$90,85,0),0)</f>
        <v>0</v>
      </c>
      <c r="M1257" s="1239"/>
      <c r="N1257" s="1239"/>
      <c r="O1257" s="1239"/>
      <c r="P1257" s="1239">
        <f ca="1">H1257+Q1257-R1257</f>
        <v>0</v>
      </c>
      <c r="Q1257" s="1239"/>
      <c r="R1257" s="1239"/>
      <c r="S1257" s="1239"/>
      <c r="T1257" s="1671"/>
      <c r="U1257" s="1664">
        <f>IFERROR(VLOOKUP(B1257,ChiTietDuToan!C:H,5,0),"")</f>
        <v>0</v>
      </c>
      <c r="V1257" s="2309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59" t="s">
        <v>674</v>
      </c>
      <c r="C1258" s="1189" t="str">
        <f t="shared" ca="1" si="262"/>
        <v xml:space="preserve"> </v>
      </c>
      <c r="D1258" s="1236"/>
      <c r="E1258" s="1248" t="str">
        <f>VLOOKUP($B1258,DG!A:D,DG!$C$2,)&amp;"-Fe8x100 nhuùng keõm"</f>
        <v>Cổ dê Ø 195 nẹp trụ-Fe8x100 nhuùng keõm</v>
      </c>
      <c r="F1258" s="1236" t="str">
        <f>VLOOKUP($B1258,DG!A:D,DG!$D$2,)</f>
        <v>bộ</v>
      </c>
      <c r="G1258" s="1915">
        <v>1</v>
      </c>
      <c r="H1258" s="1245">
        <f t="shared" ref="H1258:H1267" ca="1" si="269">H$1257*$G1258</f>
        <v>0</v>
      </c>
      <c r="I1258" s="1245">
        <f t="shared" ref="I1258:N1267" ca="1" si="270">I$1257*$G1258</f>
        <v>0</v>
      </c>
      <c r="J1258" s="1245">
        <f t="shared" ca="1" si="270"/>
        <v>0</v>
      </c>
      <c r="K1258" s="1245">
        <f t="shared" si="270"/>
        <v>0</v>
      </c>
      <c r="L1258" s="1245">
        <f t="shared" si="270"/>
        <v>0</v>
      </c>
      <c r="M1258" s="1245">
        <f t="shared" si="270"/>
        <v>0</v>
      </c>
      <c r="N1258" s="1245">
        <f t="shared" si="270"/>
        <v>0</v>
      </c>
      <c r="O1258" s="1245"/>
      <c r="P1258" s="1245"/>
      <c r="Q1258" s="1245"/>
      <c r="R1258" s="1245"/>
      <c r="S1258" s="1245"/>
      <c r="T1258" s="1671"/>
      <c r="U1258" s="1664" t="str">
        <f>IFERROR(VLOOKUP(B1258,ChiTietDuToan!C:H,5,0),"")</f>
        <v/>
      </c>
      <c r="V1258" s="2309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59" t="s">
        <v>112</v>
      </c>
      <c r="C1259" s="1189" t="str">
        <f t="shared" ca="1" si="262"/>
        <v xml:space="preserve"> </v>
      </c>
      <c r="D1259" s="1236"/>
      <c r="E1259" s="1248" t="str">
        <f>VLOOKUP($B1259,DG!A:D,DG!$C$2,)</f>
        <v>Sứ chằng</v>
      </c>
      <c r="F1259" s="1236" t="str">
        <f>VLOOKUP($B1259,DG!A:D,DG!$D$2,)</f>
        <v>cái</v>
      </c>
      <c r="G1259" s="1915">
        <v>1</v>
      </c>
      <c r="H1259" s="1245">
        <f t="shared" ca="1" si="269"/>
        <v>0</v>
      </c>
      <c r="I1259" s="1245">
        <f t="shared" ca="1" si="270"/>
        <v>0</v>
      </c>
      <c r="J1259" s="1245">
        <f t="shared" ca="1" si="270"/>
        <v>0</v>
      </c>
      <c r="K1259" s="1245">
        <f t="shared" si="270"/>
        <v>0</v>
      </c>
      <c r="L1259" s="1245">
        <f t="shared" si="270"/>
        <v>0</v>
      </c>
      <c r="M1259" s="1245">
        <f t="shared" si="270"/>
        <v>0</v>
      </c>
      <c r="N1259" s="1245">
        <f t="shared" si="270"/>
        <v>0</v>
      </c>
      <c r="O1259" s="1245"/>
      <c r="P1259" s="1245"/>
      <c r="Q1259" s="1245"/>
      <c r="R1259" s="1245"/>
      <c r="S1259" s="1245"/>
      <c r="T1259" s="1671"/>
      <c r="U1259" s="1664" t="str">
        <f>IFERROR(VLOOKUP(B1259,ChiTietDuToan!C:H,5,0),"")</f>
        <v>cái</v>
      </c>
      <c r="V1259" s="2309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59" t="s">
        <v>1630</v>
      </c>
      <c r="C1260" s="1189" t="str">
        <f t="shared" ca="1" si="262"/>
        <v xml:space="preserve"> </v>
      </c>
      <c r="D1260" s="1236"/>
      <c r="E1260" s="1248" t="str">
        <f>VLOOKUP($B1260,DG!A:D,DG!$C$2,)</f>
        <v>Kẹp cáp 3 boulon</v>
      </c>
      <c r="F1260" s="1236" t="str">
        <f>VLOOKUP($B1260,DG!A:D,DG!$D$2,)</f>
        <v>cái</v>
      </c>
      <c r="G1260" s="1915">
        <v>8</v>
      </c>
      <c r="H1260" s="1245">
        <f t="shared" ca="1" si="269"/>
        <v>0</v>
      </c>
      <c r="I1260" s="1245">
        <f t="shared" ca="1" si="270"/>
        <v>0</v>
      </c>
      <c r="J1260" s="1245">
        <f t="shared" ca="1" si="270"/>
        <v>0</v>
      </c>
      <c r="K1260" s="1245">
        <f t="shared" si="270"/>
        <v>0</v>
      </c>
      <c r="L1260" s="1245">
        <f t="shared" si="270"/>
        <v>0</v>
      </c>
      <c r="M1260" s="1245">
        <f t="shared" si="270"/>
        <v>0</v>
      </c>
      <c r="N1260" s="1245">
        <f t="shared" si="270"/>
        <v>0</v>
      </c>
      <c r="O1260" s="1245"/>
      <c r="P1260" s="1245"/>
      <c r="Q1260" s="1245"/>
      <c r="R1260" s="1245"/>
      <c r="S1260" s="1245"/>
      <c r="T1260" s="1671"/>
      <c r="U1260" s="1664" t="str">
        <f>IFERROR(VLOOKUP(B1260,ChiTietDuToan!C:H,5,0),"")</f>
        <v>cái</v>
      </c>
      <c r="V1260" s="2309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80" t="str">
        <f>$B$1549</f>
        <v>KH4/0</v>
      </c>
      <c r="C1261" s="1189" t="str">
        <f t="shared" ca="1" si="262"/>
        <v xml:space="preserve"> </v>
      </c>
      <c r="D1261" s="1236"/>
      <c r="E1261" s="1248" t="str">
        <f>VLOOKUP($B1261,DG!A:D,DG!$C$2,)</f>
        <v>Kẹp hotline 4/0</v>
      </c>
      <c r="F1261" s="1236" t="str">
        <f>VLOOKUP($B1261,DG!A:D,DG!$D$2,)</f>
        <v>cái</v>
      </c>
      <c r="G1261" s="1915">
        <v>13</v>
      </c>
      <c r="H1261" s="1245">
        <f t="shared" ca="1" si="269"/>
        <v>0</v>
      </c>
      <c r="I1261" s="1245">
        <f t="shared" ca="1" si="270"/>
        <v>0</v>
      </c>
      <c r="J1261" s="1245">
        <f t="shared" ca="1" si="270"/>
        <v>0</v>
      </c>
      <c r="K1261" s="1245">
        <f t="shared" si="270"/>
        <v>0</v>
      </c>
      <c r="L1261" s="1245">
        <f t="shared" si="270"/>
        <v>0</v>
      </c>
      <c r="M1261" s="1245">
        <f t="shared" si="270"/>
        <v>0</v>
      </c>
      <c r="N1261" s="1245">
        <f t="shared" si="270"/>
        <v>0</v>
      </c>
      <c r="O1261" s="1245"/>
      <c r="P1261" s="1245"/>
      <c r="Q1261" s="1245"/>
      <c r="R1261" s="1245"/>
      <c r="S1261" s="1245"/>
      <c r="T1261" s="1671"/>
      <c r="U1261" s="1664" t="str">
        <f>IFERROR(VLOOKUP(B1261,ChiTietDuToan!C:H,5,0),"")</f>
        <v>cái</v>
      </c>
      <c r="V1261" s="2309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59" t="s">
        <v>612</v>
      </c>
      <c r="C1262" s="1189" t="str">
        <f t="shared" ca="1" si="262"/>
        <v xml:space="preserve"> </v>
      </c>
      <c r="D1262" s="1236"/>
      <c r="E1262" s="1248" t="str">
        <f>VLOOKUP($B1262,DG!A:D,DG!$C$2,)</f>
        <v>Bộ chống chằng hẹp Ø60/50x1500+2BL12x40+BL16x250/80</v>
      </c>
      <c r="F1262" s="1236" t="str">
        <f>VLOOKUP($B1262,DG!A:D,DG!$D$2,)</f>
        <v>bộ</v>
      </c>
      <c r="G1262" s="1915">
        <v>1</v>
      </c>
      <c r="H1262" s="1245">
        <f t="shared" ca="1" si="269"/>
        <v>0</v>
      </c>
      <c r="I1262" s="1245">
        <f t="shared" ca="1" si="270"/>
        <v>0</v>
      </c>
      <c r="J1262" s="1245">
        <f t="shared" ca="1" si="270"/>
        <v>0</v>
      </c>
      <c r="K1262" s="1245">
        <f t="shared" si="270"/>
        <v>0</v>
      </c>
      <c r="L1262" s="1245">
        <f t="shared" si="270"/>
        <v>0</v>
      </c>
      <c r="M1262" s="1245">
        <f t="shared" si="270"/>
        <v>0</v>
      </c>
      <c r="N1262" s="1245">
        <f t="shared" si="270"/>
        <v>0</v>
      </c>
      <c r="O1262" s="1245"/>
      <c r="P1262" s="1245"/>
      <c r="Q1262" s="1245"/>
      <c r="R1262" s="1245"/>
      <c r="S1262" s="1245"/>
      <c r="T1262" s="1671"/>
      <c r="U1262" s="1664" t="str">
        <f>IFERROR(VLOOKUP(B1262,ChiTietDuToan!C:H,5,0),"")</f>
        <v>bộ</v>
      </c>
      <c r="V1262" s="2309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59" t="s">
        <v>280</v>
      </c>
      <c r="C1263" s="1189" t="str">
        <f t="shared" ca="1" si="262"/>
        <v xml:space="preserve"> </v>
      </c>
      <c r="D1263" s="1236"/>
      <c r="E1263" s="1248" t="str">
        <f>VLOOKUP($B1263,DG!A:D,DG!$C$2,)</f>
        <v>Sắt dẹt 60 x 6</v>
      </c>
      <c r="F1263" s="1236" t="str">
        <f>VLOOKUP($B1263,DG!A:D,DG!$D$2,)</f>
        <v>kg</v>
      </c>
      <c r="G1263" s="1915">
        <v>2</v>
      </c>
      <c r="H1263" s="1245">
        <f t="shared" ca="1" si="269"/>
        <v>0</v>
      </c>
      <c r="I1263" s="1245">
        <f t="shared" ca="1" si="270"/>
        <v>0</v>
      </c>
      <c r="J1263" s="1245">
        <f t="shared" ca="1" si="270"/>
        <v>0</v>
      </c>
      <c r="K1263" s="1245">
        <f t="shared" si="270"/>
        <v>0</v>
      </c>
      <c r="L1263" s="1245">
        <f t="shared" si="270"/>
        <v>0</v>
      </c>
      <c r="M1263" s="1245">
        <f t="shared" si="270"/>
        <v>0</v>
      </c>
      <c r="N1263" s="1245">
        <f t="shared" si="270"/>
        <v>0</v>
      </c>
      <c r="O1263" s="1245"/>
      <c r="P1263" s="1245"/>
      <c r="Q1263" s="1245"/>
      <c r="R1263" s="1245"/>
      <c r="S1263" s="1245"/>
      <c r="T1263" s="1671"/>
      <c r="U1263" s="1664" t="str">
        <f>IFERROR(VLOOKUP(B1263,ChiTietDuToan!C:H,5,0),"")</f>
        <v/>
      </c>
      <c r="V1263" s="2309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59" t="s">
        <v>1404</v>
      </c>
      <c r="C1264" s="1189" t="str">
        <f t="shared" ca="1" si="262"/>
        <v xml:space="preserve"> </v>
      </c>
      <c r="D1264" s="1236"/>
      <c r="E1264" s="1248" t="str">
        <f>VLOOKUP($B1264,DG!A:D,DG!$C$2,)</f>
        <v xml:space="preserve">Móc treo chữ U </v>
      </c>
      <c r="F1264" s="1236" t="str">
        <f>VLOOKUP($B1264,DG!A:D,DG!$D$2,)</f>
        <v>cái</v>
      </c>
      <c r="G1264" s="1915">
        <v>1</v>
      </c>
      <c r="H1264" s="1245">
        <f t="shared" ca="1" si="269"/>
        <v>0</v>
      </c>
      <c r="I1264" s="1245">
        <f t="shared" ca="1" si="270"/>
        <v>0</v>
      </c>
      <c r="J1264" s="1245">
        <f t="shared" ca="1" si="270"/>
        <v>0</v>
      </c>
      <c r="K1264" s="1245">
        <f t="shared" si="270"/>
        <v>0</v>
      </c>
      <c r="L1264" s="1245">
        <f t="shared" si="270"/>
        <v>0</v>
      </c>
      <c r="M1264" s="1245">
        <f t="shared" si="270"/>
        <v>0</v>
      </c>
      <c r="N1264" s="1245">
        <f t="shared" si="270"/>
        <v>0</v>
      </c>
      <c r="O1264" s="1245"/>
      <c r="P1264" s="1245"/>
      <c r="Q1264" s="1245"/>
      <c r="R1264" s="1245"/>
      <c r="S1264" s="1245"/>
      <c r="T1264" s="1671"/>
      <c r="U1264" s="1664" t="str">
        <f>IFERROR(VLOOKUP(B1264,ChiTietDuToan!C:H,5,0),"")</f>
        <v>cái</v>
      </c>
      <c r="V1264" s="2309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81" t="s">
        <v>1944</v>
      </c>
      <c r="C1265" s="1189" t="str">
        <f t="shared" ca="1" si="262"/>
        <v xml:space="preserve"> </v>
      </c>
      <c r="D1265" s="1236"/>
      <c r="E1265" s="1248" t="str">
        <f>VLOOKUP($B1265,DG!A:D,DG!$C$2,)</f>
        <v>Boulon 16x100VRS+ 4 long đền vuông D18-50x50x3/Zn</v>
      </c>
      <c r="F1265" s="1236" t="str">
        <f>VLOOKUP($B1265,DG!A:D,DG!$D$2,)</f>
        <v>bộ</v>
      </c>
      <c r="G1265" s="1915">
        <v>2</v>
      </c>
      <c r="H1265" s="1245">
        <f t="shared" ca="1" si="269"/>
        <v>0</v>
      </c>
      <c r="I1265" s="1245">
        <f t="shared" ca="1" si="270"/>
        <v>0</v>
      </c>
      <c r="J1265" s="1245">
        <f t="shared" ca="1" si="270"/>
        <v>0</v>
      </c>
      <c r="K1265" s="1245">
        <f t="shared" si="270"/>
        <v>0</v>
      </c>
      <c r="L1265" s="1245">
        <f t="shared" si="270"/>
        <v>0</v>
      </c>
      <c r="M1265" s="1245">
        <f t="shared" si="270"/>
        <v>0</v>
      </c>
      <c r="N1265" s="1245">
        <f t="shared" si="270"/>
        <v>0</v>
      </c>
      <c r="O1265" s="1245"/>
      <c r="P1265" s="1245"/>
      <c r="Q1265" s="1245"/>
      <c r="R1265" s="1245"/>
      <c r="S1265" s="1245"/>
      <c r="T1265" s="1671"/>
      <c r="U1265" s="1664" t="str">
        <f>IFERROR(VLOOKUP(B1265,ChiTietDuToan!C:H,5,0),"")</f>
        <v/>
      </c>
      <c r="V1265" s="2309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59" t="s">
        <v>2053</v>
      </c>
      <c r="C1266" s="1189" t="str">
        <f t="shared" ca="1" si="262"/>
        <v xml:space="preserve"> </v>
      </c>
      <c r="D1266" s="1236"/>
      <c r="E1266" s="1248" t="str">
        <f>VLOOKUP($B1266,DG!A:D,DG!$C$2,)</f>
        <v>Yếm cáp dày 2mm</v>
      </c>
      <c r="F1266" s="1236" t="str">
        <f>VLOOKUP($B1266,DG!A:D,DG!$D$2,)</f>
        <v>cái</v>
      </c>
      <c r="G1266" s="1915">
        <v>2</v>
      </c>
      <c r="H1266" s="1245">
        <f t="shared" ca="1" si="269"/>
        <v>0</v>
      </c>
      <c r="I1266" s="1245">
        <f t="shared" ca="1" si="270"/>
        <v>0</v>
      </c>
      <c r="J1266" s="1245">
        <f t="shared" ca="1" si="270"/>
        <v>0</v>
      </c>
      <c r="K1266" s="1245">
        <f t="shared" si="270"/>
        <v>0</v>
      </c>
      <c r="L1266" s="1245">
        <f t="shared" si="270"/>
        <v>0</v>
      </c>
      <c r="M1266" s="1245">
        <f t="shared" si="270"/>
        <v>0</v>
      </c>
      <c r="N1266" s="1245">
        <f t="shared" si="270"/>
        <v>0</v>
      </c>
      <c r="O1266" s="1245"/>
      <c r="P1266" s="1245"/>
      <c r="Q1266" s="1245"/>
      <c r="R1266" s="1245"/>
      <c r="S1266" s="1245"/>
      <c r="T1266" s="1671"/>
      <c r="U1266" s="1664" t="str">
        <f>IFERROR(VLOOKUP(B1266,ChiTietDuToan!C:H,5,0),"")</f>
        <v>cái</v>
      </c>
      <c r="V1266" s="2309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59" t="s">
        <v>2054</v>
      </c>
      <c r="C1267" s="1189" t="str">
        <f t="shared" ca="1" si="262"/>
        <v xml:space="preserve"> </v>
      </c>
      <c r="D1267" s="1236"/>
      <c r="E1267" s="1248" t="str">
        <f>VLOOKUP($B1267,DG!A:D,DG!$C$2,)</f>
        <v>Máng che dây chằng dày 1,6mm</v>
      </c>
      <c r="F1267" s="1236" t="str">
        <f>VLOOKUP($B1267,DG!A:D,DG!$D$2,)</f>
        <v>cái</v>
      </c>
      <c r="G1267" s="1915">
        <v>1</v>
      </c>
      <c r="H1267" s="1245">
        <f t="shared" ca="1" si="269"/>
        <v>0</v>
      </c>
      <c r="I1267" s="1245">
        <f t="shared" ca="1" si="270"/>
        <v>0</v>
      </c>
      <c r="J1267" s="1245">
        <f t="shared" ca="1" si="270"/>
        <v>0</v>
      </c>
      <c r="K1267" s="1245">
        <f t="shared" si="270"/>
        <v>0</v>
      </c>
      <c r="L1267" s="1245">
        <f t="shared" si="270"/>
        <v>0</v>
      </c>
      <c r="M1267" s="1245">
        <f t="shared" si="270"/>
        <v>0</v>
      </c>
      <c r="N1267" s="1245">
        <f t="shared" si="270"/>
        <v>0</v>
      </c>
      <c r="O1267" s="1245"/>
      <c r="P1267" s="1245"/>
      <c r="Q1267" s="1245"/>
      <c r="R1267" s="1245"/>
      <c r="S1267" s="1245"/>
      <c r="T1267" s="1671"/>
      <c r="U1267" s="1664" t="str">
        <f>IFERROR(VLOOKUP(B1267,ChiTietDuToan!C:H,5,0),"")</f>
        <v>cái</v>
      </c>
      <c r="V1267" s="2309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59" t="s">
        <v>1971</v>
      </c>
      <c r="C1268" s="1189" t="str">
        <f t="shared" si="262"/>
        <v xml:space="preserve"> </v>
      </c>
      <c r="D1268" s="1236" t="str">
        <f>VLOOKUP($B1268,DG!A:D,DG!$B$2,)</f>
        <v>06.3241</v>
      </c>
      <c r="E1268" s="1241" t="str">
        <f>VLOOKUP($B1268,DG!A:D,DG!$C$2,)</f>
        <v>Lắp bộ dây néo</v>
      </c>
      <c r="F1268" s="1236" t="str">
        <f>VLOOKUP($B1268,DG!A:D,DG!$D$2,)</f>
        <v>bộ</v>
      </c>
      <c r="G1268" s="1915">
        <f>G1258</f>
        <v>1</v>
      </c>
      <c r="H1268" s="1250"/>
      <c r="I1268" s="1250"/>
      <c r="J1268" s="1250"/>
      <c r="K1268" s="1250"/>
      <c r="L1268" s="1250"/>
      <c r="M1268" s="1250"/>
      <c r="N1268" s="1250"/>
      <c r="O1268" s="1250"/>
      <c r="P1268" s="1250"/>
      <c r="Q1268" s="1250"/>
      <c r="R1268" s="1250"/>
      <c r="S1268" s="1250"/>
      <c r="T1268" s="1671"/>
      <c r="U1268" s="1664" t="str">
        <f>IFERROR(VLOOKUP(B1268,ChiTietDuToan!C:H,5,0),"")</f>
        <v>bộ</v>
      </c>
      <c r="V1268" s="2309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59" t="s">
        <v>686</v>
      </c>
      <c r="C1269" s="1189" t="str">
        <f t="shared" si="262"/>
        <v xml:space="preserve"> </v>
      </c>
      <c r="D1269" s="1236" t="str">
        <f>VLOOKUP($B1269,DG!A:D,DG!$B$2,)</f>
        <v>06.2110</v>
      </c>
      <c r="E1269" s="1241" t="str">
        <f>VLOOKUP($B1269,DG!A:D,DG!$C$2,)</f>
        <v>Lắp cổ dề</v>
      </c>
      <c r="F1269" s="1236" t="str">
        <f>VLOOKUP($B1269,DG!A:D,DG!$D$2,)</f>
        <v>cái</v>
      </c>
      <c r="G1269" s="1915">
        <v>1</v>
      </c>
      <c r="H1269" s="1250"/>
      <c r="I1269" s="1250"/>
      <c r="J1269" s="1250"/>
      <c r="K1269" s="1250"/>
      <c r="L1269" s="1250"/>
      <c r="M1269" s="1250"/>
      <c r="N1269" s="1250"/>
      <c r="O1269" s="1250"/>
      <c r="P1269" s="1250"/>
      <c r="Q1269" s="1250"/>
      <c r="R1269" s="1250"/>
      <c r="S1269" s="1250"/>
      <c r="T1269" s="1671"/>
      <c r="U1269" s="1664" t="str">
        <f>IFERROR(VLOOKUP(B1269,ChiTietDuToan!C:H,5,0),"")</f>
        <v/>
      </c>
      <c r="V1269" s="2309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59" t="s">
        <v>1959</v>
      </c>
      <c r="C1270" s="1189" t="str">
        <f t="shared" si="262"/>
        <v xml:space="preserve"> </v>
      </c>
      <c r="D1270" s="1236" t="str">
        <f>VLOOKUP($B1270,DG!A:D,DG!$B$2,)</f>
        <v>05.6011</v>
      </c>
      <c r="E1270" s="1241" t="str">
        <f>VLOOKUP($B1270,DG!A:D,DG!$C$2,)</f>
        <v>Lắp bộ chống lệch</v>
      </c>
      <c r="F1270" s="1236" t="str">
        <f>VLOOKUP($B1270,DG!A:D,DG!$D$2,)</f>
        <v>bộ</v>
      </c>
      <c r="G1270" s="1915">
        <f>G1254</f>
        <v>1</v>
      </c>
      <c r="H1270" s="1250"/>
      <c r="I1270" s="1250"/>
      <c r="J1270" s="1250"/>
      <c r="K1270" s="1250"/>
      <c r="L1270" s="1250"/>
      <c r="M1270" s="1250"/>
      <c r="N1270" s="1250"/>
      <c r="O1270" s="1250"/>
      <c r="P1270" s="1250"/>
      <c r="Q1270" s="1250"/>
      <c r="R1270" s="1250"/>
      <c r="S1270" s="1250"/>
      <c r="T1270" s="1671"/>
      <c r="U1270" s="1664" t="str">
        <f>IFERROR(VLOOKUP(B1270,ChiTietDuToan!C:H,5,0),"")</f>
        <v>bộ</v>
      </c>
      <c r="V1270" s="2309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74" t="s">
        <v>357</v>
      </c>
      <c r="C1271" s="1189" t="str">
        <f t="shared" si="262"/>
        <v xml:space="preserve"> </v>
      </c>
      <c r="D1271" s="1236" t="str">
        <f>VLOOKUP($B1271,DG!A:C,2,)</f>
        <v>02.1421</v>
      </c>
      <c r="E1271" s="1241" t="str">
        <f>VLOOKUP($B1271,DG!A:C,3,)</f>
        <v>V/c phụ kiện vào vị trí (cự ly &lt;=100m)</v>
      </c>
      <c r="F1271" s="1236" t="str">
        <f>VLOOKUP($B1271,DG!A:D,4,0)</f>
        <v>tấn</v>
      </c>
      <c r="G1271" s="1914">
        <v>0.02</v>
      </c>
      <c r="H1271" s="1250"/>
      <c r="I1271" s="1250"/>
      <c r="J1271" s="1250"/>
      <c r="K1271" s="1250"/>
      <c r="L1271" s="1250"/>
      <c r="M1271" s="1250"/>
      <c r="N1271" s="1250"/>
      <c r="O1271" s="1250"/>
      <c r="P1271" s="1250"/>
      <c r="Q1271" s="1250"/>
      <c r="R1271" s="1250"/>
      <c r="S1271" s="1250"/>
      <c r="T1271" s="1671"/>
      <c r="U1271" s="1664" t="str">
        <f>IFERROR(VLOOKUP(B1271,ChiTietDuToan!C:H,5,0),"")</f>
        <v>tấn</v>
      </c>
      <c r="V1271" s="2309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56"/>
      <c r="C1272" s="1189" t="str">
        <f t="shared" ca="1" si="262"/>
        <v xml:space="preserve"> </v>
      </c>
      <c r="D1272" s="1237"/>
      <c r="E1272" s="1666" t="s">
        <v>2546</v>
      </c>
      <c r="F1272" s="1238" t="s">
        <v>2449</v>
      </c>
      <c r="G1272" s="1912"/>
      <c r="H1272" s="1523">
        <f ca="1">SUM(I1272:O1272)+T1272</f>
        <v>0</v>
      </c>
      <c r="I1272" s="1239">
        <f ca="1">SUMIF(chang3pm,chitiet!$A1272,slchang3pm)</f>
        <v>0</v>
      </c>
      <c r="J1272" s="1239">
        <f ca="1">SUMIF(changct,chitiet!$A1272,slchangct)</f>
        <v>0</v>
      </c>
      <c r="K1272" s="1239"/>
      <c r="L1272" s="1239">
        <f>IFERROR(HLOOKUP(A1272,pp1p!$6:$90,85,0),0)</f>
        <v>0</v>
      </c>
      <c r="M1272" s="1239"/>
      <c r="N1272" s="1239"/>
      <c r="O1272" s="1239"/>
      <c r="P1272" s="1239">
        <f ca="1">H1272+Q1272-R1272</f>
        <v>0</v>
      </c>
      <c r="Q1272" s="1239"/>
      <c r="R1272" s="1239"/>
      <c r="S1272" s="1239"/>
      <c r="T1272" s="1671"/>
      <c r="U1272" s="1664">
        <f>IFERROR(VLOOKUP(B1272,ChiTietDuToan!C:H,5,0),"")</f>
        <v>0</v>
      </c>
      <c r="V1272" s="2309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59" t="s">
        <v>674</v>
      </c>
      <c r="C1273" s="1189" t="str">
        <f t="shared" ca="1" si="262"/>
        <v xml:space="preserve"> </v>
      </c>
      <c r="D1273" s="1236"/>
      <c r="E1273" s="1248" t="str">
        <f>VLOOKUP($B1273,DG!A:D,DG!$C$2,)&amp;"-Fe8x100 nhuùng keõm"</f>
        <v>Cổ dê Ø 195 nẹp trụ-Fe8x100 nhuùng keõm</v>
      </c>
      <c r="F1273" s="1236" t="str">
        <f>VLOOKUP($B1273,DG!A:D,DG!$D$2,)</f>
        <v>bộ</v>
      </c>
      <c r="G1273" s="1915">
        <v>1</v>
      </c>
      <c r="H1273" s="1245">
        <f t="shared" ref="H1273:H1282" ca="1" si="271">H$1272*$G1273</f>
        <v>0</v>
      </c>
      <c r="I1273" s="1245">
        <f t="shared" ref="I1273:N1282" ca="1" si="272">I$1272*$G1273</f>
        <v>0</v>
      </c>
      <c r="J1273" s="1245">
        <f t="shared" ca="1" si="272"/>
        <v>0</v>
      </c>
      <c r="K1273" s="1245">
        <f t="shared" si="272"/>
        <v>0</v>
      </c>
      <c r="L1273" s="1245">
        <f t="shared" si="272"/>
        <v>0</v>
      </c>
      <c r="M1273" s="1245">
        <f t="shared" si="272"/>
        <v>0</v>
      </c>
      <c r="N1273" s="1245">
        <f t="shared" si="272"/>
        <v>0</v>
      </c>
      <c r="O1273" s="1245"/>
      <c r="P1273" s="1245"/>
      <c r="Q1273" s="1245"/>
      <c r="R1273" s="1245"/>
      <c r="S1273" s="1245"/>
      <c r="T1273" s="1671"/>
      <c r="U1273" s="1664" t="str">
        <f>IFERROR(VLOOKUP(B1273,ChiTietDuToan!C:H,5,0),"")</f>
        <v/>
      </c>
      <c r="V1273" s="2309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59" t="s">
        <v>1518</v>
      </c>
      <c r="C1274" s="1189" t="str">
        <f t="shared" ca="1" si="262"/>
        <v xml:space="preserve"> </v>
      </c>
      <c r="D1274" s="1236"/>
      <c r="E1274" s="1248" t="str">
        <f>VLOOKUP($B1274,DG!A:D,DG!$C$2,)&amp;"-Fe8x100 nhuùng keõm"</f>
        <v>Cổ dê Ø 220 nẹp trụ-Fe8x100 nhuùng keõm</v>
      </c>
      <c r="F1274" s="1236" t="str">
        <f>VLOOKUP($B1274,DG!A:D,DG!$D$2,)</f>
        <v>bộ</v>
      </c>
      <c r="G1274" s="1915">
        <v>1</v>
      </c>
      <c r="H1274" s="1245">
        <f t="shared" ref="H1274:N1274" ca="1" si="273">H$1315*$G1274</f>
        <v>0</v>
      </c>
      <c r="I1274" s="1245">
        <f t="shared" ca="1" si="273"/>
        <v>0</v>
      </c>
      <c r="J1274" s="1245">
        <f t="shared" ca="1" si="273"/>
        <v>0</v>
      </c>
      <c r="K1274" s="1245">
        <f t="shared" si="273"/>
        <v>0</v>
      </c>
      <c r="L1274" s="1245">
        <f t="shared" si="273"/>
        <v>0</v>
      </c>
      <c r="M1274" s="1245">
        <f t="shared" si="273"/>
        <v>0</v>
      </c>
      <c r="N1274" s="1245">
        <f t="shared" si="273"/>
        <v>0</v>
      </c>
      <c r="O1274" s="1245"/>
      <c r="P1274" s="1245"/>
      <c r="Q1274" s="1245"/>
      <c r="R1274" s="1245"/>
      <c r="S1274" s="1245"/>
      <c r="T1274" s="1671"/>
      <c r="U1274" s="1664" t="str">
        <f>IFERROR(VLOOKUP(B1274,ChiTietDuToan!C:H,5,0),"")</f>
        <v/>
      </c>
      <c r="V1274" s="2309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59" t="s">
        <v>112</v>
      </c>
      <c r="C1275" s="1189" t="str">
        <f t="shared" ca="1" si="262"/>
        <v xml:space="preserve"> </v>
      </c>
      <c r="D1275" s="1236"/>
      <c r="E1275" s="1248" t="str">
        <f>VLOOKUP($B1275,DG!A:D,DG!$C$2,)</f>
        <v>Sứ chằng</v>
      </c>
      <c r="F1275" s="1236" t="str">
        <f>VLOOKUP($B1275,DG!A:D,DG!$D$2,)</f>
        <v>cái</v>
      </c>
      <c r="G1275" s="1915">
        <v>2</v>
      </c>
      <c r="H1275" s="1245">
        <f t="shared" ca="1" si="271"/>
        <v>0</v>
      </c>
      <c r="I1275" s="1245">
        <f t="shared" ca="1" si="272"/>
        <v>0</v>
      </c>
      <c r="J1275" s="1245">
        <f t="shared" ca="1" si="272"/>
        <v>0</v>
      </c>
      <c r="K1275" s="1245">
        <f t="shared" si="272"/>
        <v>0</v>
      </c>
      <c r="L1275" s="1245">
        <f t="shared" si="272"/>
        <v>0</v>
      </c>
      <c r="M1275" s="1245">
        <f t="shared" si="272"/>
        <v>0</v>
      </c>
      <c r="N1275" s="1245">
        <f t="shared" si="272"/>
        <v>0</v>
      </c>
      <c r="O1275" s="1245"/>
      <c r="P1275" s="1245"/>
      <c r="Q1275" s="1245"/>
      <c r="R1275" s="1245"/>
      <c r="S1275" s="1245"/>
      <c r="T1275" s="1671"/>
      <c r="U1275" s="1664" t="str">
        <f>IFERROR(VLOOKUP(B1275,ChiTietDuToan!C:H,5,0),"")</f>
        <v>cái</v>
      </c>
      <c r="V1275" s="2309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59" t="s">
        <v>1630</v>
      </c>
      <c r="C1276" s="1189" t="str">
        <f t="shared" ca="1" si="262"/>
        <v xml:space="preserve"> </v>
      </c>
      <c r="D1276" s="1236"/>
      <c r="E1276" s="1248" t="str">
        <f>VLOOKUP($B1276,DG!A:D,DG!$C$2,)</f>
        <v>Kẹp cáp 3 boulon</v>
      </c>
      <c r="F1276" s="1236" t="str">
        <f>VLOOKUP($B1276,DG!A:D,DG!$D$2,)</f>
        <v>cái</v>
      </c>
      <c r="G1276" s="1915">
        <v>16</v>
      </c>
      <c r="H1276" s="1245">
        <f t="shared" ca="1" si="271"/>
        <v>0</v>
      </c>
      <c r="I1276" s="1245">
        <f t="shared" ca="1" si="272"/>
        <v>0</v>
      </c>
      <c r="J1276" s="1245">
        <f t="shared" ca="1" si="272"/>
        <v>0</v>
      </c>
      <c r="K1276" s="1245">
        <f t="shared" si="272"/>
        <v>0</v>
      </c>
      <c r="L1276" s="1245">
        <f t="shared" si="272"/>
        <v>0</v>
      </c>
      <c r="M1276" s="1245">
        <f t="shared" si="272"/>
        <v>0</v>
      </c>
      <c r="N1276" s="1245">
        <f t="shared" si="272"/>
        <v>0</v>
      </c>
      <c r="O1276" s="1245"/>
      <c r="P1276" s="1245"/>
      <c r="Q1276" s="1245"/>
      <c r="R1276" s="1245"/>
      <c r="S1276" s="1245"/>
      <c r="T1276" s="1671"/>
      <c r="U1276" s="1664" t="str">
        <f>IFERROR(VLOOKUP(B1276,ChiTietDuToan!C:H,5,0),"")</f>
        <v>cái</v>
      </c>
      <c r="V1276" s="2309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80" t="str">
        <f>$B$1549</f>
        <v>KH4/0</v>
      </c>
      <c r="C1277" s="1189" t="str">
        <f t="shared" ca="1" si="262"/>
        <v xml:space="preserve"> </v>
      </c>
      <c r="D1277" s="1236"/>
      <c r="E1277" s="1248" t="str">
        <f>VLOOKUP($B1277,DG!A:D,DG!$C$2,)</f>
        <v>Kẹp hotline 4/0</v>
      </c>
      <c r="F1277" s="1236" t="str">
        <f>VLOOKUP($B1277,DG!A:D,DG!$D$2,)</f>
        <v>cái</v>
      </c>
      <c r="G1277" s="1915">
        <v>30</v>
      </c>
      <c r="H1277" s="1245">
        <f t="shared" ca="1" si="271"/>
        <v>0</v>
      </c>
      <c r="I1277" s="1245">
        <f t="shared" ca="1" si="272"/>
        <v>0</v>
      </c>
      <c r="J1277" s="1245">
        <f t="shared" ca="1" si="272"/>
        <v>0</v>
      </c>
      <c r="K1277" s="1245">
        <f t="shared" si="272"/>
        <v>0</v>
      </c>
      <c r="L1277" s="1245">
        <f t="shared" si="272"/>
        <v>0</v>
      </c>
      <c r="M1277" s="1245">
        <f t="shared" si="272"/>
        <v>0</v>
      </c>
      <c r="N1277" s="1245">
        <f t="shared" si="272"/>
        <v>0</v>
      </c>
      <c r="O1277" s="1245"/>
      <c r="P1277" s="1245"/>
      <c r="Q1277" s="1245"/>
      <c r="R1277" s="1245"/>
      <c r="S1277" s="1245"/>
      <c r="T1277" s="1671"/>
      <c r="U1277" s="1664" t="str">
        <f>IFERROR(VLOOKUP(B1277,ChiTietDuToan!C:H,5,0),"")</f>
        <v>cái</v>
      </c>
      <c r="V1277" s="2309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59" t="s">
        <v>280</v>
      </c>
      <c r="C1278" s="1189" t="str">
        <f t="shared" ca="1" si="262"/>
        <v xml:space="preserve"> </v>
      </c>
      <c r="D1278" s="1236"/>
      <c r="E1278" s="1248" t="str">
        <f>VLOOKUP($B1278,DG!A:D,DG!$C$2,)</f>
        <v>Sắt dẹt 60 x 6</v>
      </c>
      <c r="F1278" s="1236" t="str">
        <f>VLOOKUP($B1278,DG!A:D,DG!$D$2,)</f>
        <v>kg</v>
      </c>
      <c r="G1278" s="1915">
        <v>4</v>
      </c>
      <c r="H1278" s="1245">
        <f t="shared" ca="1" si="271"/>
        <v>0</v>
      </c>
      <c r="I1278" s="1245">
        <f t="shared" ca="1" si="272"/>
        <v>0</v>
      </c>
      <c r="J1278" s="1245">
        <f t="shared" ca="1" si="272"/>
        <v>0</v>
      </c>
      <c r="K1278" s="1245">
        <f t="shared" si="272"/>
        <v>0</v>
      </c>
      <c r="L1278" s="1245">
        <f t="shared" si="272"/>
        <v>0</v>
      </c>
      <c r="M1278" s="1245">
        <f t="shared" si="272"/>
        <v>0</v>
      </c>
      <c r="N1278" s="1245">
        <f t="shared" si="272"/>
        <v>0</v>
      </c>
      <c r="O1278" s="1245"/>
      <c r="P1278" s="1245"/>
      <c r="Q1278" s="1245"/>
      <c r="R1278" s="1245"/>
      <c r="S1278" s="1245"/>
      <c r="T1278" s="1671"/>
      <c r="U1278" s="1664" t="str">
        <f>IFERROR(VLOOKUP(B1278,ChiTietDuToan!C:H,5,0),"")</f>
        <v/>
      </c>
      <c r="V1278" s="2309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59" t="s">
        <v>1404</v>
      </c>
      <c r="C1279" s="1189" t="str">
        <f t="shared" ca="1" si="262"/>
        <v xml:space="preserve"> </v>
      </c>
      <c r="D1279" s="1236"/>
      <c r="E1279" s="1248" t="str">
        <f>VLOOKUP($B1279,DG!A:D,DG!$C$2,)</f>
        <v xml:space="preserve">Móc treo chữ U </v>
      </c>
      <c r="F1279" s="1236" t="str">
        <f>VLOOKUP($B1279,DG!A:D,DG!$D$2,)</f>
        <v>cái</v>
      </c>
      <c r="G1279" s="1915">
        <v>2</v>
      </c>
      <c r="H1279" s="1245">
        <f t="shared" ca="1" si="271"/>
        <v>0</v>
      </c>
      <c r="I1279" s="1245">
        <f t="shared" ca="1" si="272"/>
        <v>0</v>
      </c>
      <c r="J1279" s="1245">
        <f t="shared" ca="1" si="272"/>
        <v>0</v>
      </c>
      <c r="K1279" s="1245">
        <f t="shared" si="272"/>
        <v>0</v>
      </c>
      <c r="L1279" s="1245">
        <f t="shared" si="272"/>
        <v>0</v>
      </c>
      <c r="M1279" s="1245">
        <f t="shared" si="272"/>
        <v>0</v>
      </c>
      <c r="N1279" s="1245">
        <f t="shared" si="272"/>
        <v>0</v>
      </c>
      <c r="O1279" s="1245"/>
      <c r="P1279" s="1245"/>
      <c r="Q1279" s="1245"/>
      <c r="R1279" s="1245"/>
      <c r="S1279" s="1245"/>
      <c r="T1279" s="1671"/>
      <c r="U1279" s="1664" t="str">
        <f>IFERROR(VLOOKUP(B1279,ChiTietDuToan!C:H,5,0),"")</f>
        <v>cái</v>
      </c>
      <c r="V1279" s="2309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81" t="s">
        <v>1944</v>
      </c>
      <c r="C1280" s="1189" t="str">
        <f t="shared" ca="1" si="262"/>
        <v xml:space="preserve"> </v>
      </c>
      <c r="D1280" s="1236"/>
      <c r="E1280" s="1248" t="str">
        <f>VLOOKUP($B1280,DG!A:D,DG!$C$2,)</f>
        <v>Boulon 16x100VRS+ 4 long đền vuông D18-50x50x3/Zn</v>
      </c>
      <c r="F1280" s="1236" t="str">
        <f>VLOOKUP($B1280,DG!A:D,DG!$D$2,)</f>
        <v>bộ</v>
      </c>
      <c r="G1280" s="1915">
        <v>4</v>
      </c>
      <c r="H1280" s="1245">
        <f t="shared" ca="1" si="271"/>
        <v>0</v>
      </c>
      <c r="I1280" s="1245">
        <f t="shared" ca="1" si="272"/>
        <v>0</v>
      </c>
      <c r="J1280" s="1245">
        <f t="shared" ca="1" si="272"/>
        <v>0</v>
      </c>
      <c r="K1280" s="1245">
        <f t="shared" si="272"/>
        <v>0</v>
      </c>
      <c r="L1280" s="1245">
        <f t="shared" si="272"/>
        <v>0</v>
      </c>
      <c r="M1280" s="1245">
        <f t="shared" si="272"/>
        <v>0</v>
      </c>
      <c r="N1280" s="1245">
        <f t="shared" si="272"/>
        <v>0</v>
      </c>
      <c r="O1280" s="1245"/>
      <c r="P1280" s="1245"/>
      <c r="Q1280" s="1245"/>
      <c r="R1280" s="1245"/>
      <c r="S1280" s="1245"/>
      <c r="T1280" s="1671"/>
      <c r="U1280" s="1664" t="str">
        <f>IFERROR(VLOOKUP(B1280,ChiTietDuToan!C:H,5,0),"")</f>
        <v/>
      </c>
      <c r="V1280" s="2309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59" t="s">
        <v>2053</v>
      </c>
      <c r="C1281" s="1189" t="str">
        <f t="shared" ca="1" si="262"/>
        <v xml:space="preserve"> </v>
      </c>
      <c r="D1281" s="1236"/>
      <c r="E1281" s="1248" t="str">
        <f>VLOOKUP($B1281,DG!A:D,DG!$C$2,)</f>
        <v>Yếm cáp dày 2mm</v>
      </c>
      <c r="F1281" s="1236" t="str">
        <f>VLOOKUP($B1281,DG!A:D,DG!$D$2,)</f>
        <v>cái</v>
      </c>
      <c r="G1281" s="1915">
        <v>4</v>
      </c>
      <c r="H1281" s="1245">
        <f t="shared" ca="1" si="271"/>
        <v>0</v>
      </c>
      <c r="I1281" s="1245">
        <f t="shared" ca="1" si="272"/>
        <v>0</v>
      </c>
      <c r="J1281" s="1245">
        <f t="shared" ca="1" si="272"/>
        <v>0</v>
      </c>
      <c r="K1281" s="1245">
        <f t="shared" si="272"/>
        <v>0</v>
      </c>
      <c r="L1281" s="1245">
        <f t="shared" si="272"/>
        <v>0</v>
      </c>
      <c r="M1281" s="1245">
        <f t="shared" si="272"/>
        <v>0</v>
      </c>
      <c r="N1281" s="1245">
        <f t="shared" si="272"/>
        <v>0</v>
      </c>
      <c r="O1281" s="1245"/>
      <c r="P1281" s="1245"/>
      <c r="Q1281" s="1245"/>
      <c r="R1281" s="1245"/>
      <c r="S1281" s="1245"/>
      <c r="T1281" s="1671"/>
      <c r="U1281" s="1664" t="str">
        <f>IFERROR(VLOOKUP(B1281,ChiTietDuToan!C:H,5,0),"")</f>
        <v>cái</v>
      </c>
      <c r="V1281" s="2309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59" t="s">
        <v>2054</v>
      </c>
      <c r="C1282" s="1189" t="str">
        <f t="shared" ca="1" si="262"/>
        <v xml:space="preserve"> </v>
      </c>
      <c r="D1282" s="1236"/>
      <c r="E1282" s="1248" t="str">
        <f>VLOOKUP($B1282,DG!A:D,DG!$C$2,)</f>
        <v>Máng che dây chằng dày 1,6mm</v>
      </c>
      <c r="F1282" s="1236" t="str">
        <f>VLOOKUP($B1282,DG!A:D,DG!$D$2,)</f>
        <v>cái</v>
      </c>
      <c r="G1282" s="1915">
        <v>2</v>
      </c>
      <c r="H1282" s="1245">
        <f t="shared" ca="1" si="271"/>
        <v>0</v>
      </c>
      <c r="I1282" s="1245">
        <f t="shared" ca="1" si="272"/>
        <v>0</v>
      </c>
      <c r="J1282" s="1245">
        <f t="shared" ca="1" si="272"/>
        <v>0</v>
      </c>
      <c r="K1282" s="1245">
        <f t="shared" si="272"/>
        <v>0</v>
      </c>
      <c r="L1282" s="1245">
        <f t="shared" si="272"/>
        <v>0</v>
      </c>
      <c r="M1282" s="1245">
        <f t="shared" si="272"/>
        <v>0</v>
      </c>
      <c r="N1282" s="1245">
        <f t="shared" si="272"/>
        <v>0</v>
      </c>
      <c r="O1282" s="1245"/>
      <c r="P1282" s="1245"/>
      <c r="Q1282" s="1245"/>
      <c r="R1282" s="1245"/>
      <c r="S1282" s="1245"/>
      <c r="T1282" s="1671"/>
      <c r="U1282" s="1664" t="str">
        <f>IFERROR(VLOOKUP(B1282,ChiTietDuToan!C:H,5,0),"")</f>
        <v>cái</v>
      </c>
      <c r="V1282" s="2309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59" t="s">
        <v>1971</v>
      </c>
      <c r="C1283" s="1189" t="str">
        <f t="shared" si="262"/>
        <v xml:space="preserve"> </v>
      </c>
      <c r="D1283" s="1236" t="str">
        <f>VLOOKUP($B1283,DG!A:D,DG!$B$2,)</f>
        <v>06.3241</v>
      </c>
      <c r="E1283" s="1241" t="str">
        <f>VLOOKUP($B1283,DG!A:D,DG!$C$2,)</f>
        <v>Lắp bộ dây néo</v>
      </c>
      <c r="F1283" s="1236" t="str">
        <f>VLOOKUP($B1283,DG!A:D,DG!$D$2,)</f>
        <v>bộ</v>
      </c>
      <c r="G1283" s="1915">
        <f>G1273</f>
        <v>1</v>
      </c>
      <c r="H1283" s="1250"/>
      <c r="I1283" s="1250"/>
      <c r="J1283" s="1250"/>
      <c r="K1283" s="1250"/>
      <c r="L1283" s="1250"/>
      <c r="M1283" s="1250"/>
      <c r="N1283" s="1250"/>
      <c r="O1283" s="1250"/>
      <c r="P1283" s="1250"/>
      <c r="Q1283" s="1250"/>
      <c r="R1283" s="1250"/>
      <c r="S1283" s="1250"/>
      <c r="T1283" s="1671"/>
      <c r="U1283" s="1664" t="str">
        <f>IFERROR(VLOOKUP(B1283,ChiTietDuToan!C:H,5,0),"")</f>
        <v>bộ</v>
      </c>
      <c r="V1283" s="2309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59" t="s">
        <v>686</v>
      </c>
      <c r="C1284" s="1189" t="str">
        <f t="shared" si="262"/>
        <v xml:space="preserve"> </v>
      </c>
      <c r="D1284" s="1236" t="str">
        <f>VLOOKUP($B1284,DG!A:D,DG!$B$2,)</f>
        <v>06.2110</v>
      </c>
      <c r="E1284" s="1241" t="str">
        <f>VLOOKUP($B1284,DG!A:D,DG!$C$2,)</f>
        <v>Lắp cổ dề</v>
      </c>
      <c r="F1284" s="1236" t="str">
        <f>VLOOKUP($B1284,DG!A:D,DG!$D$2,)</f>
        <v>cái</v>
      </c>
      <c r="G1284" s="1915">
        <v>2</v>
      </c>
      <c r="H1284" s="1250"/>
      <c r="I1284" s="1250"/>
      <c r="J1284" s="1250"/>
      <c r="K1284" s="1250"/>
      <c r="L1284" s="1250"/>
      <c r="M1284" s="1250"/>
      <c r="N1284" s="1250"/>
      <c r="O1284" s="1250"/>
      <c r="P1284" s="1250"/>
      <c r="Q1284" s="1250"/>
      <c r="R1284" s="1250"/>
      <c r="S1284" s="1250"/>
      <c r="T1284" s="1671"/>
      <c r="U1284" s="1664" t="str">
        <f>IFERROR(VLOOKUP(B1284,ChiTietDuToan!C:H,5,0),"")</f>
        <v/>
      </c>
      <c r="V1284" s="2309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74" t="s">
        <v>357</v>
      </c>
      <c r="C1285" s="1189" t="str">
        <f t="shared" si="262"/>
        <v xml:space="preserve"> </v>
      </c>
      <c r="D1285" s="1236" t="str">
        <f>VLOOKUP($B1285,DG!A:C,2,)</f>
        <v>02.1421</v>
      </c>
      <c r="E1285" s="1241" t="str">
        <f>VLOOKUP($B1285,DG!A:C,3,)</f>
        <v>V/c phụ kiện vào vị trí (cự ly &lt;=100m)</v>
      </c>
      <c r="F1285" s="1236" t="str">
        <f>VLOOKUP($B1285,DG!A:D,4,0)</f>
        <v>tấn</v>
      </c>
      <c r="G1285" s="1914">
        <v>0.02</v>
      </c>
      <c r="H1285" s="1250"/>
      <c r="I1285" s="1250"/>
      <c r="J1285" s="1250"/>
      <c r="K1285" s="1250"/>
      <c r="L1285" s="1250"/>
      <c r="M1285" s="1250"/>
      <c r="N1285" s="1250"/>
      <c r="O1285" s="1250"/>
      <c r="P1285" s="1250"/>
      <c r="Q1285" s="1250"/>
      <c r="R1285" s="1250"/>
      <c r="S1285" s="1250"/>
      <c r="T1285" s="1671"/>
      <c r="U1285" s="1664" t="str">
        <f>IFERROR(VLOOKUP(B1285,ChiTietDuToan!C:H,5,0),"")</f>
        <v>tấn</v>
      </c>
      <c r="V1285" s="2309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56"/>
      <c r="C1286" s="1189" t="str">
        <f t="shared" ca="1" si="262"/>
        <v xml:space="preserve"> </v>
      </c>
      <c r="D1286" s="1237"/>
      <c r="E1286" s="1666" t="s">
        <v>2547</v>
      </c>
      <c r="F1286" s="1238" t="s">
        <v>2449</v>
      </c>
      <c r="G1286" s="1912"/>
      <c r="H1286" s="1523">
        <f ca="1">SUM(I1286:O1286)+T1286</f>
        <v>0</v>
      </c>
      <c r="I1286" s="1239">
        <f ca="1">SUMIF(chang3pm,chitiet!$A1286,slchang3pm)</f>
        <v>0</v>
      </c>
      <c r="J1286" s="1239">
        <f ca="1">SUMIF(changct,chitiet!$A1286,slchangct)</f>
        <v>0</v>
      </c>
      <c r="K1286" s="1239"/>
      <c r="L1286" s="1239">
        <f>IFERROR(HLOOKUP(A1286,pp1p!$6:$90,85,0),0)</f>
        <v>0</v>
      </c>
      <c r="M1286" s="1239"/>
      <c r="N1286" s="1239"/>
      <c r="O1286" s="1239"/>
      <c r="P1286" s="1239">
        <f ca="1">H1286+Q1286-R1286</f>
        <v>0</v>
      </c>
      <c r="Q1286" s="1239"/>
      <c r="R1286" s="1239"/>
      <c r="S1286" s="1239"/>
      <c r="T1286" s="1671"/>
      <c r="U1286" s="1664">
        <f>IFERROR(VLOOKUP(B1286,ChiTietDuToan!C:H,5,0),"")</f>
        <v>0</v>
      </c>
      <c r="V1286" s="2309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59" t="s">
        <v>674</v>
      </c>
      <c r="C1287" s="1189" t="str">
        <f t="shared" ca="1" si="262"/>
        <v xml:space="preserve"> </v>
      </c>
      <c r="D1287" s="1236"/>
      <c r="E1287" s="1248" t="str">
        <f>VLOOKUP($B1287,DG!A:D,DG!$C$2,)&amp;"-Fe8x100 nhuùng keõm"</f>
        <v>Cổ dê Ø 195 nẹp trụ-Fe8x100 nhuùng keõm</v>
      </c>
      <c r="F1287" s="1236" t="str">
        <f>VLOOKUP($B1287,DG!A:D,DG!$D$2,)</f>
        <v>bộ</v>
      </c>
      <c r="G1287" s="1915">
        <v>1</v>
      </c>
      <c r="H1287" s="1245">
        <f t="shared" ref="H1287:H1295" ca="1" si="274">H$1286*$G1287</f>
        <v>0</v>
      </c>
      <c r="I1287" s="1245">
        <f t="shared" ref="I1287:N1295" ca="1" si="275">I$1286*$G1287</f>
        <v>0</v>
      </c>
      <c r="J1287" s="1245">
        <f t="shared" ca="1" si="275"/>
        <v>0</v>
      </c>
      <c r="K1287" s="1245">
        <f t="shared" si="275"/>
        <v>0</v>
      </c>
      <c r="L1287" s="1245">
        <f t="shared" si="275"/>
        <v>0</v>
      </c>
      <c r="M1287" s="1245">
        <f t="shared" si="275"/>
        <v>0</v>
      </c>
      <c r="N1287" s="1245">
        <f t="shared" si="275"/>
        <v>0</v>
      </c>
      <c r="O1287" s="1245"/>
      <c r="P1287" s="1245"/>
      <c r="Q1287" s="1245"/>
      <c r="R1287" s="1245"/>
      <c r="S1287" s="1245"/>
      <c r="T1287" s="1671"/>
      <c r="U1287" s="1664" t="str">
        <f>IFERROR(VLOOKUP(B1287,ChiTietDuToan!C:H,5,0),"")</f>
        <v/>
      </c>
      <c r="V1287" s="2309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59" t="s">
        <v>112</v>
      </c>
      <c r="C1288" s="1189" t="str">
        <f t="shared" ca="1" si="262"/>
        <v xml:space="preserve"> </v>
      </c>
      <c r="D1288" s="1236"/>
      <c r="E1288" s="1248" t="str">
        <f>VLOOKUP($B1288,DG!A:D,DG!$C$2,)</f>
        <v>Sứ chằng</v>
      </c>
      <c r="F1288" s="1236" t="str">
        <f>VLOOKUP($B1288,DG!A:D,DG!$D$2,)</f>
        <v>cái</v>
      </c>
      <c r="G1288" s="1915">
        <v>2</v>
      </c>
      <c r="H1288" s="1245">
        <f t="shared" ca="1" si="274"/>
        <v>0</v>
      </c>
      <c r="I1288" s="1245">
        <f t="shared" ca="1" si="275"/>
        <v>0</v>
      </c>
      <c r="J1288" s="1245">
        <f t="shared" ca="1" si="275"/>
        <v>0</v>
      </c>
      <c r="K1288" s="1245">
        <f t="shared" si="275"/>
        <v>0</v>
      </c>
      <c r="L1288" s="1245">
        <f t="shared" si="275"/>
        <v>0</v>
      </c>
      <c r="M1288" s="1245">
        <f t="shared" si="275"/>
        <v>0</v>
      </c>
      <c r="N1288" s="1245">
        <f t="shared" si="275"/>
        <v>0</v>
      </c>
      <c r="O1288" s="1245"/>
      <c r="P1288" s="1245"/>
      <c r="Q1288" s="1245"/>
      <c r="R1288" s="1245"/>
      <c r="S1288" s="1245"/>
      <c r="T1288" s="1671"/>
      <c r="U1288" s="1664" t="str">
        <f>IFERROR(VLOOKUP(B1288,ChiTietDuToan!C:H,5,0),"")</f>
        <v>cái</v>
      </c>
      <c r="V1288" s="2309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59" t="s">
        <v>1630</v>
      </c>
      <c r="C1289" s="1189" t="str">
        <f t="shared" ca="1" si="262"/>
        <v xml:space="preserve"> </v>
      </c>
      <c r="D1289" s="1236"/>
      <c r="E1289" s="1248" t="str">
        <f>VLOOKUP($B1289,DG!A:D,DG!$C$2,)</f>
        <v>Kẹp cáp 3 boulon</v>
      </c>
      <c r="F1289" s="1236" t="str">
        <f>VLOOKUP($B1289,DG!A:D,DG!$D$2,)</f>
        <v>cái</v>
      </c>
      <c r="G1289" s="1915">
        <v>8</v>
      </c>
      <c r="H1289" s="1245">
        <f t="shared" ca="1" si="274"/>
        <v>0</v>
      </c>
      <c r="I1289" s="1245">
        <f t="shared" ca="1" si="275"/>
        <v>0</v>
      </c>
      <c r="J1289" s="1245">
        <f t="shared" ca="1" si="275"/>
        <v>0</v>
      </c>
      <c r="K1289" s="1245">
        <f t="shared" si="275"/>
        <v>0</v>
      </c>
      <c r="L1289" s="1245">
        <f t="shared" si="275"/>
        <v>0</v>
      </c>
      <c r="M1289" s="1245">
        <f t="shared" si="275"/>
        <v>0</v>
      </c>
      <c r="N1289" s="1245">
        <f t="shared" si="275"/>
        <v>0</v>
      </c>
      <c r="O1289" s="1245"/>
      <c r="P1289" s="1245"/>
      <c r="Q1289" s="1245"/>
      <c r="R1289" s="1245"/>
      <c r="S1289" s="1245"/>
      <c r="T1289" s="1671"/>
      <c r="U1289" s="1664" t="str">
        <f>IFERROR(VLOOKUP(B1289,ChiTietDuToan!C:H,5,0),"")</f>
        <v>cái</v>
      </c>
      <c r="V1289" s="2309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80" t="str">
        <f>$B$1549</f>
        <v>KH4/0</v>
      </c>
      <c r="C1290" s="1189" t="str">
        <f t="shared" ca="1" si="262"/>
        <v xml:space="preserve"> </v>
      </c>
      <c r="D1290" s="1236"/>
      <c r="E1290" s="1248" t="str">
        <f>VLOOKUP($B1290,DG!A:D,DG!$C$2,)</f>
        <v>Kẹp hotline 4/0</v>
      </c>
      <c r="F1290" s="1236" t="str">
        <f>VLOOKUP($B1290,DG!A:D,DG!$D$2,)</f>
        <v>cái</v>
      </c>
      <c r="G1290" s="1915">
        <v>19</v>
      </c>
      <c r="H1290" s="1245">
        <f t="shared" ca="1" si="274"/>
        <v>0</v>
      </c>
      <c r="I1290" s="1245">
        <f t="shared" ca="1" si="275"/>
        <v>0</v>
      </c>
      <c r="J1290" s="1245">
        <f t="shared" ca="1" si="275"/>
        <v>0</v>
      </c>
      <c r="K1290" s="1245">
        <f t="shared" si="275"/>
        <v>0</v>
      </c>
      <c r="L1290" s="1245">
        <f t="shared" si="275"/>
        <v>0</v>
      </c>
      <c r="M1290" s="1245">
        <f t="shared" si="275"/>
        <v>0</v>
      </c>
      <c r="N1290" s="1245">
        <f t="shared" si="275"/>
        <v>0</v>
      </c>
      <c r="O1290" s="1245"/>
      <c r="P1290" s="1245"/>
      <c r="Q1290" s="1245"/>
      <c r="R1290" s="1245"/>
      <c r="S1290" s="1245"/>
      <c r="T1290" s="1671"/>
      <c r="U1290" s="1664" t="str">
        <f>IFERROR(VLOOKUP(B1290,ChiTietDuToan!C:H,5,0),"")</f>
        <v>cái</v>
      </c>
      <c r="V1290" s="2309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59" t="s">
        <v>280</v>
      </c>
      <c r="C1291" s="1189" t="str">
        <f t="shared" ca="1" si="262"/>
        <v xml:space="preserve"> </v>
      </c>
      <c r="D1291" s="1236"/>
      <c r="E1291" s="1248" t="str">
        <f>VLOOKUP($B1291,DG!A:D,DG!$C$2,)</f>
        <v>Sắt dẹt 60 x 6</v>
      </c>
      <c r="F1291" s="1236" t="str">
        <f>VLOOKUP($B1291,DG!A:D,DG!$D$2,)</f>
        <v>kg</v>
      </c>
      <c r="G1291" s="1915">
        <v>2</v>
      </c>
      <c r="H1291" s="1245">
        <f t="shared" ca="1" si="274"/>
        <v>0</v>
      </c>
      <c r="I1291" s="1245">
        <f ca="1">I$1286*$G1291</f>
        <v>0</v>
      </c>
      <c r="J1291" s="1245">
        <f t="shared" ca="1" si="275"/>
        <v>0</v>
      </c>
      <c r="K1291" s="1245">
        <f t="shared" si="275"/>
        <v>0</v>
      </c>
      <c r="L1291" s="1245">
        <f t="shared" si="275"/>
        <v>0</v>
      </c>
      <c r="M1291" s="1245">
        <f t="shared" si="275"/>
        <v>0</v>
      </c>
      <c r="N1291" s="1245">
        <f t="shared" si="275"/>
        <v>0</v>
      </c>
      <c r="O1291" s="1245"/>
      <c r="P1291" s="1245"/>
      <c r="Q1291" s="1245"/>
      <c r="R1291" s="1245"/>
      <c r="S1291" s="1245"/>
      <c r="T1291" s="1671"/>
      <c r="U1291" s="1664" t="str">
        <f>IFERROR(VLOOKUP(B1291,ChiTietDuToan!C:H,5,0),"")</f>
        <v/>
      </c>
      <c r="V1291" s="2309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59" t="s">
        <v>1404</v>
      </c>
      <c r="C1292" s="1189" t="str">
        <f t="shared" ca="1" si="262"/>
        <v xml:space="preserve"> </v>
      </c>
      <c r="D1292" s="1236"/>
      <c r="E1292" s="1248" t="str">
        <f>VLOOKUP($B1292,DG!A:D,DG!$C$2,)</f>
        <v xml:space="preserve">Móc treo chữ U </v>
      </c>
      <c r="F1292" s="1236" t="str">
        <f>VLOOKUP($B1292,DG!A:D,DG!$D$2,)</f>
        <v>cái</v>
      </c>
      <c r="G1292" s="1915">
        <v>1</v>
      </c>
      <c r="H1292" s="1245">
        <f t="shared" ca="1" si="274"/>
        <v>0</v>
      </c>
      <c r="I1292" s="1245">
        <f t="shared" ca="1" si="275"/>
        <v>0</v>
      </c>
      <c r="J1292" s="1245">
        <f t="shared" ca="1" si="275"/>
        <v>0</v>
      </c>
      <c r="K1292" s="1245">
        <f t="shared" si="275"/>
        <v>0</v>
      </c>
      <c r="L1292" s="1245">
        <f t="shared" si="275"/>
        <v>0</v>
      </c>
      <c r="M1292" s="1245">
        <f t="shared" si="275"/>
        <v>0</v>
      </c>
      <c r="N1292" s="1245">
        <f t="shared" si="275"/>
        <v>0</v>
      </c>
      <c r="O1292" s="1245"/>
      <c r="P1292" s="1245"/>
      <c r="Q1292" s="1245"/>
      <c r="R1292" s="1245"/>
      <c r="S1292" s="1245"/>
      <c r="T1292" s="1671"/>
      <c r="U1292" s="1664" t="str">
        <f>IFERROR(VLOOKUP(B1292,ChiTietDuToan!C:H,5,0),"")</f>
        <v>cái</v>
      </c>
      <c r="V1292" s="2309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81" t="s">
        <v>1944</v>
      </c>
      <c r="C1293" s="1189" t="str">
        <f t="shared" ca="1" si="262"/>
        <v xml:space="preserve"> </v>
      </c>
      <c r="D1293" s="1236"/>
      <c r="E1293" s="1248" t="str">
        <f>VLOOKUP($B1293,DG!A:D,DG!$C$2,)</f>
        <v>Boulon 16x100VRS+ 4 long đền vuông D18-50x50x3/Zn</v>
      </c>
      <c r="F1293" s="1236" t="str">
        <f>VLOOKUP($B1293,DG!A:D,DG!$D$2,)</f>
        <v>bộ</v>
      </c>
      <c r="G1293" s="1915">
        <v>2</v>
      </c>
      <c r="H1293" s="1245">
        <f t="shared" ca="1" si="274"/>
        <v>0</v>
      </c>
      <c r="I1293" s="1245">
        <f t="shared" ca="1" si="275"/>
        <v>0</v>
      </c>
      <c r="J1293" s="1245">
        <f t="shared" ca="1" si="275"/>
        <v>0</v>
      </c>
      <c r="K1293" s="1245">
        <f t="shared" si="275"/>
        <v>0</v>
      </c>
      <c r="L1293" s="1245">
        <f t="shared" si="275"/>
        <v>0</v>
      </c>
      <c r="M1293" s="1245">
        <f t="shared" si="275"/>
        <v>0</v>
      </c>
      <c r="N1293" s="1245">
        <f t="shared" si="275"/>
        <v>0</v>
      </c>
      <c r="O1293" s="1245"/>
      <c r="P1293" s="1245"/>
      <c r="Q1293" s="1245"/>
      <c r="R1293" s="1245"/>
      <c r="S1293" s="1245"/>
      <c r="T1293" s="1671"/>
      <c r="U1293" s="1664" t="str">
        <f>IFERROR(VLOOKUP(B1293,ChiTietDuToan!C:H,5,0),"")</f>
        <v/>
      </c>
      <c r="V1293" s="2309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59" t="s">
        <v>2053</v>
      </c>
      <c r="C1294" s="1189" t="str">
        <f t="shared" ca="1" si="262"/>
        <v xml:space="preserve"> </v>
      </c>
      <c r="D1294" s="1236"/>
      <c r="E1294" s="1248" t="str">
        <f>VLOOKUP($B1294,DG!A:D,DG!$C$2,)</f>
        <v>Yếm cáp dày 2mm</v>
      </c>
      <c r="F1294" s="1236" t="str">
        <f>VLOOKUP($B1294,DG!A:D,DG!$D$2,)</f>
        <v>cái</v>
      </c>
      <c r="G1294" s="1915">
        <v>2</v>
      </c>
      <c r="H1294" s="1245">
        <f t="shared" ca="1" si="274"/>
        <v>0</v>
      </c>
      <c r="I1294" s="1245">
        <f t="shared" ca="1" si="275"/>
        <v>0</v>
      </c>
      <c r="J1294" s="1245">
        <f t="shared" ca="1" si="275"/>
        <v>0</v>
      </c>
      <c r="K1294" s="1245">
        <f t="shared" si="275"/>
        <v>0</v>
      </c>
      <c r="L1294" s="1245">
        <f t="shared" si="275"/>
        <v>0</v>
      </c>
      <c r="M1294" s="1245">
        <f t="shared" si="275"/>
        <v>0</v>
      </c>
      <c r="N1294" s="1245">
        <f t="shared" si="275"/>
        <v>0</v>
      </c>
      <c r="O1294" s="1245"/>
      <c r="P1294" s="1245"/>
      <c r="Q1294" s="1245"/>
      <c r="R1294" s="1245"/>
      <c r="S1294" s="1245"/>
      <c r="T1294" s="1671"/>
      <c r="U1294" s="1664" t="str">
        <f>IFERROR(VLOOKUP(B1294,ChiTietDuToan!C:H,5,0),"")</f>
        <v>cái</v>
      </c>
      <c r="V1294" s="2309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59" t="s">
        <v>2054</v>
      </c>
      <c r="C1295" s="1189" t="str">
        <f t="shared" ref="C1295:C1358" ca="1" si="276">IF(OR(P1295&lt;&gt;0,H1295&lt;&gt;0),"x"," ")</f>
        <v xml:space="preserve"> </v>
      </c>
      <c r="D1295" s="1236"/>
      <c r="E1295" s="1248" t="str">
        <f>VLOOKUP($B1295,DG!A:D,DG!$C$2,)</f>
        <v>Máng che dây chằng dày 1,6mm</v>
      </c>
      <c r="F1295" s="1236" t="str">
        <f>VLOOKUP($B1295,DG!A:D,DG!$D$2,)</f>
        <v>cái</v>
      </c>
      <c r="G1295" s="1915">
        <v>1</v>
      </c>
      <c r="H1295" s="1245">
        <f t="shared" ca="1" si="274"/>
        <v>0</v>
      </c>
      <c r="I1295" s="1245">
        <f t="shared" ca="1" si="275"/>
        <v>0</v>
      </c>
      <c r="J1295" s="1245">
        <f t="shared" ca="1" si="275"/>
        <v>0</v>
      </c>
      <c r="K1295" s="1245">
        <f t="shared" si="275"/>
        <v>0</v>
      </c>
      <c r="L1295" s="1245">
        <f t="shared" si="275"/>
        <v>0</v>
      </c>
      <c r="M1295" s="1245">
        <f t="shared" si="275"/>
        <v>0</v>
      </c>
      <c r="N1295" s="1245">
        <f t="shared" si="275"/>
        <v>0</v>
      </c>
      <c r="O1295" s="1245"/>
      <c r="P1295" s="1245"/>
      <c r="Q1295" s="1245"/>
      <c r="R1295" s="1245"/>
      <c r="S1295" s="1245"/>
      <c r="T1295" s="1671"/>
      <c r="U1295" s="1664" t="str">
        <f>IFERROR(VLOOKUP(B1295,ChiTietDuToan!C:H,5,0),"")</f>
        <v>cái</v>
      </c>
      <c r="V1295" s="2309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59" t="s">
        <v>1971</v>
      </c>
      <c r="C1296" s="1189" t="str">
        <f t="shared" si="276"/>
        <v xml:space="preserve"> </v>
      </c>
      <c r="D1296" s="1236" t="str">
        <f>VLOOKUP($B1296,DG!A:D,DG!$B$2,)</f>
        <v>06.3241</v>
      </c>
      <c r="E1296" s="1241" t="str">
        <f>VLOOKUP($B1296,DG!A:D,DG!$C$2,)</f>
        <v>Lắp bộ dây néo</v>
      </c>
      <c r="F1296" s="1236" t="str">
        <f>VLOOKUP($B1296,DG!A:D,DG!$D$2,)</f>
        <v>bộ</v>
      </c>
      <c r="G1296" s="1915">
        <f>G1287</f>
        <v>1</v>
      </c>
      <c r="H1296" s="1250"/>
      <c r="I1296" s="1250"/>
      <c r="J1296" s="1250"/>
      <c r="K1296" s="1250"/>
      <c r="L1296" s="1250"/>
      <c r="M1296" s="1250"/>
      <c r="N1296" s="1250"/>
      <c r="O1296" s="1250"/>
      <c r="P1296" s="1250"/>
      <c r="Q1296" s="1250"/>
      <c r="R1296" s="1250"/>
      <c r="S1296" s="1250"/>
      <c r="T1296" s="1671"/>
      <c r="U1296" s="1664" t="str">
        <f>IFERROR(VLOOKUP(B1296,ChiTietDuToan!C:H,5,0),"")</f>
        <v>bộ</v>
      </c>
      <c r="V1296" s="2309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59" t="s">
        <v>686</v>
      </c>
      <c r="C1297" s="1189" t="str">
        <f t="shared" si="276"/>
        <v xml:space="preserve"> </v>
      </c>
      <c r="D1297" s="1236" t="str">
        <f>VLOOKUP($B1297,DG!A:D,DG!$B$2,)</f>
        <v>06.2110</v>
      </c>
      <c r="E1297" s="1241" t="str">
        <f>VLOOKUP($B1297,DG!A:D,DG!$C$2,)</f>
        <v>Lắp cổ dề</v>
      </c>
      <c r="F1297" s="1236" t="str">
        <f>VLOOKUP($B1297,DG!A:D,DG!$D$2,)</f>
        <v>cái</v>
      </c>
      <c r="G1297" s="1915">
        <v>1</v>
      </c>
      <c r="H1297" s="1250"/>
      <c r="I1297" s="1250"/>
      <c r="J1297" s="1250"/>
      <c r="K1297" s="1250"/>
      <c r="L1297" s="1250"/>
      <c r="M1297" s="1250"/>
      <c r="N1297" s="1250"/>
      <c r="O1297" s="1250"/>
      <c r="P1297" s="1250"/>
      <c r="Q1297" s="1250"/>
      <c r="R1297" s="1250"/>
      <c r="S1297" s="1250"/>
      <c r="T1297" s="1671"/>
      <c r="U1297" s="1664" t="str">
        <f>IFERROR(VLOOKUP(B1297,ChiTietDuToan!C:H,5,0),"")</f>
        <v/>
      </c>
      <c r="V1297" s="2309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74" t="s">
        <v>357</v>
      </c>
      <c r="C1298" s="1189" t="str">
        <f t="shared" si="276"/>
        <v xml:space="preserve"> </v>
      </c>
      <c r="D1298" s="1236" t="str">
        <f>VLOOKUP($B1298,DG!A:C,2,)</f>
        <v>02.1421</v>
      </c>
      <c r="E1298" s="1241" t="str">
        <f>VLOOKUP($B1298,DG!A:C,3,)</f>
        <v>V/c phụ kiện vào vị trí (cự ly &lt;=100m)</v>
      </c>
      <c r="F1298" s="1236" t="str">
        <f>VLOOKUP($B1298,DG!A:D,4,0)</f>
        <v>tấn</v>
      </c>
      <c r="G1298" s="1914">
        <v>0.02</v>
      </c>
      <c r="H1298" s="1250"/>
      <c r="I1298" s="1250"/>
      <c r="J1298" s="1250"/>
      <c r="K1298" s="1250"/>
      <c r="L1298" s="1250"/>
      <c r="M1298" s="1250"/>
      <c r="N1298" s="1250"/>
      <c r="O1298" s="1250"/>
      <c r="P1298" s="1250"/>
      <c r="Q1298" s="1250"/>
      <c r="R1298" s="1250"/>
      <c r="S1298" s="1250"/>
      <c r="T1298" s="1671"/>
      <c r="U1298" s="1664" t="str">
        <f>IFERROR(VLOOKUP(B1298,ChiTietDuToan!C:H,5,0),"")</f>
        <v>tấn</v>
      </c>
      <c r="V1298" s="2309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56"/>
      <c r="C1299" s="1189" t="str">
        <f t="shared" ca="1" si="276"/>
        <v xml:space="preserve"> </v>
      </c>
      <c r="D1299" s="1237"/>
      <c r="E1299" s="1666" t="s">
        <v>2548</v>
      </c>
      <c r="F1299" s="1238" t="s">
        <v>2449</v>
      </c>
      <c r="G1299" s="1912"/>
      <c r="H1299" s="1523">
        <f ca="1">SUM(I1299:O1299)+T1299</f>
        <v>0</v>
      </c>
      <c r="I1299" s="1239">
        <f ca="1">SUMIF(chang3pm,chitiet!$A1299,slchang3pm)</f>
        <v>0</v>
      </c>
      <c r="J1299" s="1239">
        <f ca="1">SUMIF(changct,chitiet!$A1299,slchangct)</f>
        <v>0</v>
      </c>
      <c r="K1299" s="1239"/>
      <c r="L1299" s="1239">
        <f>IFERROR(HLOOKUP(A1299,pp1p!$6:$90,85,0),0)</f>
        <v>0</v>
      </c>
      <c r="M1299" s="1239"/>
      <c r="N1299" s="1239"/>
      <c r="O1299" s="1239"/>
      <c r="P1299" s="1239">
        <f ca="1">H1299+Q1299-R1299</f>
        <v>0</v>
      </c>
      <c r="Q1299" s="1239"/>
      <c r="R1299" s="1239"/>
      <c r="S1299" s="1239"/>
      <c r="T1299" s="1671"/>
      <c r="U1299" s="1664">
        <f>IFERROR(VLOOKUP(B1299,ChiTietDuToan!C:H,5,0),"")</f>
        <v>0</v>
      </c>
      <c r="V1299" s="2309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59" t="s">
        <v>674</v>
      </c>
      <c r="C1300" s="1189" t="str">
        <f t="shared" ca="1" si="276"/>
        <v xml:space="preserve"> </v>
      </c>
      <c r="D1300" s="1236"/>
      <c r="E1300" s="1248" t="str">
        <f>VLOOKUP($B1300,DG!A:D,DG!$C$2,)&amp;"-Fe8x100 nhuùng keõm"</f>
        <v>Cổ dê Ø 195 nẹp trụ-Fe8x100 nhuùng keõm</v>
      </c>
      <c r="F1300" s="1236" t="str">
        <f>VLOOKUP($B1300,DG!A:D,DG!$D$2,)</f>
        <v>bộ</v>
      </c>
      <c r="G1300" s="1915">
        <v>1</v>
      </c>
      <c r="H1300" s="1245">
        <f t="shared" ref="H1300:H1310" ca="1" si="277">H$1299*$G1300</f>
        <v>0</v>
      </c>
      <c r="I1300" s="1245">
        <f t="shared" ref="I1300:N1310" ca="1" si="278">I$1299*$G1300</f>
        <v>0</v>
      </c>
      <c r="J1300" s="1245">
        <f t="shared" ca="1" si="278"/>
        <v>0</v>
      </c>
      <c r="K1300" s="1245">
        <f t="shared" si="278"/>
        <v>0</v>
      </c>
      <c r="L1300" s="1245">
        <f t="shared" si="278"/>
        <v>0</v>
      </c>
      <c r="M1300" s="1245">
        <f t="shared" si="278"/>
        <v>0</v>
      </c>
      <c r="N1300" s="1245">
        <f t="shared" si="278"/>
        <v>0</v>
      </c>
      <c r="O1300" s="1245"/>
      <c r="P1300" s="1245"/>
      <c r="Q1300" s="1245"/>
      <c r="R1300" s="1245"/>
      <c r="S1300" s="1245"/>
      <c r="T1300" s="1671"/>
      <c r="U1300" s="1664" t="str">
        <f>IFERROR(VLOOKUP(B1300,ChiTietDuToan!C:H,5,0),"")</f>
        <v/>
      </c>
      <c r="V1300" s="2309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59" t="s">
        <v>112</v>
      </c>
      <c r="C1301" s="1189" t="str">
        <f t="shared" ca="1" si="276"/>
        <v xml:space="preserve"> </v>
      </c>
      <c r="D1301" s="1236"/>
      <c r="E1301" s="1248" t="str">
        <f>VLOOKUP($B1301,DG!A:D,DG!$C$2,)</f>
        <v>Sứ chằng</v>
      </c>
      <c r="F1301" s="1236" t="str">
        <f>VLOOKUP($B1301,DG!A:D,DG!$D$2,)</f>
        <v>cái</v>
      </c>
      <c r="G1301" s="1915">
        <v>1</v>
      </c>
      <c r="H1301" s="1245">
        <f t="shared" ca="1" si="277"/>
        <v>0</v>
      </c>
      <c r="I1301" s="1245">
        <f t="shared" ca="1" si="278"/>
        <v>0</v>
      </c>
      <c r="J1301" s="1245">
        <f t="shared" ca="1" si="278"/>
        <v>0</v>
      </c>
      <c r="K1301" s="1245">
        <f t="shared" si="278"/>
        <v>0</v>
      </c>
      <c r="L1301" s="1245">
        <f t="shared" si="278"/>
        <v>0</v>
      </c>
      <c r="M1301" s="1245">
        <f t="shared" si="278"/>
        <v>0</v>
      </c>
      <c r="N1301" s="1245">
        <f t="shared" si="278"/>
        <v>0</v>
      </c>
      <c r="O1301" s="1245"/>
      <c r="P1301" s="1245"/>
      <c r="Q1301" s="1245"/>
      <c r="R1301" s="1245"/>
      <c r="S1301" s="1245"/>
      <c r="T1301" s="1671"/>
      <c r="U1301" s="1664" t="str">
        <f>IFERROR(VLOOKUP(B1301,ChiTietDuToan!C:H,5,0),"")</f>
        <v>cái</v>
      </c>
      <c r="V1301" s="2309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59" t="s">
        <v>1630</v>
      </c>
      <c r="C1302" s="1189" t="str">
        <f t="shared" ca="1" si="276"/>
        <v xml:space="preserve"> </v>
      </c>
      <c r="D1302" s="1236"/>
      <c r="E1302" s="1248" t="str">
        <f>VLOOKUP($B1302,DG!A:D,DG!$C$2,)</f>
        <v>Kẹp cáp 3 boulon</v>
      </c>
      <c r="F1302" s="1236" t="str">
        <f>VLOOKUP($B1302,DG!A:D,DG!$D$2,)</f>
        <v>cái</v>
      </c>
      <c r="G1302" s="1915">
        <v>8</v>
      </c>
      <c r="H1302" s="1245">
        <f t="shared" ca="1" si="277"/>
        <v>0</v>
      </c>
      <c r="I1302" s="1245">
        <f t="shared" ca="1" si="278"/>
        <v>0</v>
      </c>
      <c r="J1302" s="1245">
        <f t="shared" ca="1" si="278"/>
        <v>0</v>
      </c>
      <c r="K1302" s="1245">
        <f t="shared" si="278"/>
        <v>0</v>
      </c>
      <c r="L1302" s="1245">
        <f t="shared" si="278"/>
        <v>0</v>
      </c>
      <c r="M1302" s="1245">
        <f t="shared" si="278"/>
        <v>0</v>
      </c>
      <c r="N1302" s="1245">
        <f t="shared" si="278"/>
        <v>0</v>
      </c>
      <c r="O1302" s="1245"/>
      <c r="P1302" s="1245"/>
      <c r="Q1302" s="1245"/>
      <c r="R1302" s="1245"/>
      <c r="S1302" s="1245"/>
      <c r="T1302" s="1671"/>
      <c r="U1302" s="1664" t="str">
        <f>IFERROR(VLOOKUP(B1302,ChiTietDuToan!C:H,5,0),"")</f>
        <v>cái</v>
      </c>
      <c r="V1302" s="2309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80" t="str">
        <f>$B$1549</f>
        <v>KH4/0</v>
      </c>
      <c r="C1303" s="1189" t="str">
        <f t="shared" ca="1" si="276"/>
        <v xml:space="preserve"> </v>
      </c>
      <c r="D1303" s="1236"/>
      <c r="E1303" s="1248" t="str">
        <f>VLOOKUP($B1303,DG!A:D,DG!$C$2,)</f>
        <v>Kẹp hotline 4/0</v>
      </c>
      <c r="F1303" s="1236" t="str">
        <f>VLOOKUP($B1303,DG!A:D,DG!$D$2,)</f>
        <v>cái</v>
      </c>
      <c r="G1303" s="1915">
        <v>15</v>
      </c>
      <c r="H1303" s="1245">
        <f t="shared" ca="1" si="277"/>
        <v>0</v>
      </c>
      <c r="I1303" s="1245">
        <f t="shared" ca="1" si="278"/>
        <v>0</v>
      </c>
      <c r="J1303" s="1245">
        <f t="shared" ca="1" si="278"/>
        <v>0</v>
      </c>
      <c r="K1303" s="1245">
        <f t="shared" si="278"/>
        <v>0</v>
      </c>
      <c r="L1303" s="1245">
        <f t="shared" si="278"/>
        <v>0</v>
      </c>
      <c r="M1303" s="1245">
        <f t="shared" si="278"/>
        <v>0</v>
      </c>
      <c r="N1303" s="1245">
        <f t="shared" si="278"/>
        <v>0</v>
      </c>
      <c r="O1303" s="1245"/>
      <c r="P1303" s="1245"/>
      <c r="Q1303" s="1245"/>
      <c r="R1303" s="1245"/>
      <c r="S1303" s="1245"/>
      <c r="T1303" s="1671"/>
      <c r="U1303" s="1664" t="str">
        <f>IFERROR(VLOOKUP(B1303,ChiTietDuToan!C:H,5,0),"")</f>
        <v>cái</v>
      </c>
      <c r="V1303" s="2309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59" t="s">
        <v>612</v>
      </c>
      <c r="C1304" s="1189" t="str">
        <f t="shared" ca="1" si="276"/>
        <v xml:space="preserve"> </v>
      </c>
      <c r="D1304" s="1236"/>
      <c r="E1304" s="1248" t="str">
        <f>VLOOKUP($B1304,DG!A:D,DG!$C$2,)</f>
        <v>Bộ chống chằng hẹp Ø60/50x1500+2BL12x40+BL16x250/80</v>
      </c>
      <c r="F1304" s="1236" t="str">
        <f>VLOOKUP($B1304,DG!A:D,DG!$D$2,)</f>
        <v>bộ</v>
      </c>
      <c r="G1304" s="1915">
        <v>1</v>
      </c>
      <c r="H1304" s="1245">
        <f t="shared" ca="1" si="277"/>
        <v>0</v>
      </c>
      <c r="I1304" s="1245">
        <f t="shared" ca="1" si="278"/>
        <v>0</v>
      </c>
      <c r="J1304" s="1245">
        <f t="shared" ca="1" si="278"/>
        <v>0</v>
      </c>
      <c r="K1304" s="1245">
        <f t="shared" si="278"/>
        <v>0</v>
      </c>
      <c r="L1304" s="1245">
        <f t="shared" si="278"/>
        <v>0</v>
      </c>
      <c r="M1304" s="1245">
        <f t="shared" si="278"/>
        <v>0</v>
      </c>
      <c r="N1304" s="1245">
        <f t="shared" si="278"/>
        <v>0</v>
      </c>
      <c r="O1304" s="1245"/>
      <c r="P1304" s="1245"/>
      <c r="Q1304" s="1245"/>
      <c r="R1304" s="1245"/>
      <c r="S1304" s="1245"/>
      <c r="T1304" s="1671"/>
      <c r="U1304" s="1664" t="str">
        <f>IFERROR(VLOOKUP(B1304,ChiTietDuToan!C:H,5,0),"")</f>
        <v>bộ</v>
      </c>
      <c r="V1304" s="2309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59" t="s">
        <v>280</v>
      </c>
      <c r="C1305" s="1189" t="str">
        <f t="shared" ca="1" si="276"/>
        <v xml:space="preserve"> </v>
      </c>
      <c r="D1305" s="1236"/>
      <c r="E1305" s="1248" t="str">
        <f>VLOOKUP($B1305,DG!A:D,DG!$C$2,)</f>
        <v>Sắt dẹt 60 x 6</v>
      </c>
      <c r="F1305" s="1236" t="str">
        <f>VLOOKUP($B1305,DG!A:D,DG!$D$2,)</f>
        <v>kg</v>
      </c>
      <c r="G1305" s="1915">
        <v>2</v>
      </c>
      <c r="H1305" s="1245">
        <f t="shared" ca="1" si="277"/>
        <v>0</v>
      </c>
      <c r="I1305" s="1245">
        <f t="shared" ca="1" si="278"/>
        <v>0</v>
      </c>
      <c r="J1305" s="1245">
        <f t="shared" ca="1" si="278"/>
        <v>0</v>
      </c>
      <c r="K1305" s="1245">
        <f t="shared" si="278"/>
        <v>0</v>
      </c>
      <c r="L1305" s="1245">
        <f t="shared" si="278"/>
        <v>0</v>
      </c>
      <c r="M1305" s="1245">
        <f t="shared" si="278"/>
        <v>0</v>
      </c>
      <c r="N1305" s="1245">
        <f t="shared" si="278"/>
        <v>0</v>
      </c>
      <c r="O1305" s="1245"/>
      <c r="P1305" s="1245"/>
      <c r="Q1305" s="1245"/>
      <c r="R1305" s="1245"/>
      <c r="S1305" s="1245"/>
      <c r="T1305" s="1671"/>
      <c r="U1305" s="1664" t="str">
        <f>IFERROR(VLOOKUP(B1305,ChiTietDuToan!C:H,5,0),"")</f>
        <v/>
      </c>
      <c r="V1305" s="2309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59" t="s">
        <v>1404</v>
      </c>
      <c r="C1306" s="1189" t="str">
        <f t="shared" ca="1" si="276"/>
        <v xml:space="preserve"> </v>
      </c>
      <c r="D1306" s="1236"/>
      <c r="E1306" s="1248" t="str">
        <f>VLOOKUP($B1306,DG!A:D,DG!$C$2,)</f>
        <v xml:space="preserve">Móc treo chữ U </v>
      </c>
      <c r="F1306" s="1236" t="str">
        <f>VLOOKUP($B1306,DG!A:D,DG!$D$2,)</f>
        <v>cái</v>
      </c>
      <c r="G1306" s="1915">
        <v>1</v>
      </c>
      <c r="H1306" s="1245">
        <f t="shared" ca="1" si="277"/>
        <v>0</v>
      </c>
      <c r="I1306" s="1245">
        <f t="shared" ca="1" si="278"/>
        <v>0</v>
      </c>
      <c r="J1306" s="1245">
        <f t="shared" ca="1" si="278"/>
        <v>0</v>
      </c>
      <c r="K1306" s="1245">
        <f t="shared" si="278"/>
        <v>0</v>
      </c>
      <c r="L1306" s="1245">
        <f t="shared" si="278"/>
        <v>0</v>
      </c>
      <c r="M1306" s="1245">
        <f t="shared" si="278"/>
        <v>0</v>
      </c>
      <c r="N1306" s="1245">
        <f t="shared" si="278"/>
        <v>0</v>
      </c>
      <c r="O1306" s="1245"/>
      <c r="P1306" s="1245"/>
      <c r="Q1306" s="1245"/>
      <c r="R1306" s="1245"/>
      <c r="S1306" s="1245"/>
      <c r="T1306" s="1671"/>
      <c r="U1306" s="1664" t="str">
        <f>IFERROR(VLOOKUP(B1306,ChiTietDuToan!C:H,5,0),"")</f>
        <v>cái</v>
      </c>
      <c r="V1306" s="2309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81" t="s">
        <v>1944</v>
      </c>
      <c r="C1307" s="1189" t="str">
        <f t="shared" ca="1" si="276"/>
        <v xml:space="preserve"> </v>
      </c>
      <c r="D1307" s="1236"/>
      <c r="E1307" s="1248" t="str">
        <f>VLOOKUP($B1307,DG!A:D,DG!$C$2,)</f>
        <v>Boulon 16x100VRS+ 4 long đền vuông D18-50x50x3/Zn</v>
      </c>
      <c r="F1307" s="1236" t="str">
        <f>VLOOKUP($B1307,DG!A:D,DG!$D$2,)</f>
        <v>bộ</v>
      </c>
      <c r="G1307" s="1915">
        <v>2</v>
      </c>
      <c r="H1307" s="1245">
        <f t="shared" ca="1" si="277"/>
        <v>0</v>
      </c>
      <c r="I1307" s="1245">
        <f t="shared" ca="1" si="278"/>
        <v>0</v>
      </c>
      <c r="J1307" s="1245">
        <f t="shared" ca="1" si="278"/>
        <v>0</v>
      </c>
      <c r="K1307" s="1245">
        <f t="shared" si="278"/>
        <v>0</v>
      </c>
      <c r="L1307" s="1245">
        <f t="shared" si="278"/>
        <v>0</v>
      </c>
      <c r="M1307" s="1245">
        <f t="shared" si="278"/>
        <v>0</v>
      </c>
      <c r="N1307" s="1245">
        <f t="shared" si="278"/>
        <v>0</v>
      </c>
      <c r="O1307" s="1245"/>
      <c r="P1307" s="1245"/>
      <c r="Q1307" s="1245"/>
      <c r="R1307" s="1245"/>
      <c r="S1307" s="1245"/>
      <c r="T1307" s="1671"/>
      <c r="U1307" s="1664" t="str">
        <f>IFERROR(VLOOKUP(B1307,ChiTietDuToan!C:H,5,0),"")</f>
        <v/>
      </c>
      <c r="V1307" s="2309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81" t="s">
        <v>341</v>
      </c>
      <c r="C1308" s="1189" t="str">
        <f t="shared" ca="1" si="276"/>
        <v xml:space="preserve"> </v>
      </c>
      <c r="D1308" s="1236"/>
      <c r="E1308" s="1248" t="str">
        <f>VLOOKUP($B1308,DG!A:D,DG!$C$2,)</f>
        <v>Boulon 16x270/80+ 2 long đền vuông D18-50x50x3/Zn</v>
      </c>
      <c r="F1308" s="1236" t="str">
        <f>VLOOKUP($B1308,DG!A:D,DG!$D$2,)</f>
        <v>bộ</v>
      </c>
      <c r="G1308" s="1915">
        <v>1</v>
      </c>
      <c r="H1308" s="1245">
        <f t="shared" ca="1" si="277"/>
        <v>0</v>
      </c>
      <c r="I1308" s="1245">
        <f t="shared" ca="1" si="278"/>
        <v>0</v>
      </c>
      <c r="J1308" s="1245">
        <f t="shared" ca="1" si="278"/>
        <v>0</v>
      </c>
      <c r="K1308" s="1245">
        <f t="shared" si="278"/>
        <v>0</v>
      </c>
      <c r="L1308" s="1245">
        <f t="shared" si="278"/>
        <v>0</v>
      </c>
      <c r="M1308" s="1245">
        <f t="shared" si="278"/>
        <v>0</v>
      </c>
      <c r="N1308" s="1245">
        <f t="shared" si="278"/>
        <v>0</v>
      </c>
      <c r="O1308" s="1245"/>
      <c r="P1308" s="1245"/>
      <c r="Q1308" s="1245"/>
      <c r="R1308" s="1245"/>
      <c r="S1308" s="1245"/>
      <c r="T1308" s="1671"/>
      <c r="U1308" s="1664" t="str">
        <f>IFERROR(VLOOKUP(B1308,ChiTietDuToan!C:H,5,0),"")</f>
        <v/>
      </c>
      <c r="V1308" s="2309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59" t="s">
        <v>2053</v>
      </c>
      <c r="C1309" s="1189" t="str">
        <f t="shared" ca="1" si="276"/>
        <v xml:space="preserve"> </v>
      </c>
      <c r="D1309" s="1236"/>
      <c r="E1309" s="1248" t="str">
        <f>VLOOKUP($B1309,DG!A:D,DG!$C$2,)</f>
        <v>Yếm cáp dày 2mm</v>
      </c>
      <c r="F1309" s="1236" t="str">
        <f>VLOOKUP($B1309,DG!A:D,DG!$D$2,)</f>
        <v>cái</v>
      </c>
      <c r="G1309" s="1915">
        <v>2</v>
      </c>
      <c r="H1309" s="1245">
        <f t="shared" ca="1" si="277"/>
        <v>0</v>
      </c>
      <c r="I1309" s="1245">
        <f t="shared" ca="1" si="278"/>
        <v>0</v>
      </c>
      <c r="J1309" s="1245">
        <f t="shared" ca="1" si="278"/>
        <v>0</v>
      </c>
      <c r="K1309" s="1245">
        <f t="shared" si="278"/>
        <v>0</v>
      </c>
      <c r="L1309" s="1245">
        <f t="shared" si="278"/>
        <v>0</v>
      </c>
      <c r="M1309" s="1245">
        <f t="shared" si="278"/>
        <v>0</v>
      </c>
      <c r="N1309" s="1245">
        <f t="shared" si="278"/>
        <v>0</v>
      </c>
      <c r="O1309" s="1245"/>
      <c r="P1309" s="1245"/>
      <c r="Q1309" s="1245"/>
      <c r="R1309" s="1245"/>
      <c r="S1309" s="1245"/>
      <c r="T1309" s="1671"/>
      <c r="U1309" s="1664" t="str">
        <f>IFERROR(VLOOKUP(B1309,ChiTietDuToan!C:H,5,0),"")</f>
        <v>cái</v>
      </c>
      <c r="V1309" s="2309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59" t="s">
        <v>2054</v>
      </c>
      <c r="C1310" s="1189" t="str">
        <f t="shared" ca="1" si="276"/>
        <v xml:space="preserve"> </v>
      </c>
      <c r="D1310" s="1236"/>
      <c r="E1310" s="1248" t="str">
        <f>VLOOKUP($B1310,DG!A:D,DG!$C$2,)</f>
        <v>Máng che dây chằng dày 1,6mm</v>
      </c>
      <c r="F1310" s="1236" t="str">
        <f>VLOOKUP($B1310,DG!A:D,DG!$D$2,)</f>
        <v>cái</v>
      </c>
      <c r="G1310" s="1915">
        <v>1</v>
      </c>
      <c r="H1310" s="1245">
        <f t="shared" ca="1" si="277"/>
        <v>0</v>
      </c>
      <c r="I1310" s="1245">
        <f t="shared" ca="1" si="278"/>
        <v>0</v>
      </c>
      <c r="J1310" s="1245">
        <f t="shared" ca="1" si="278"/>
        <v>0</v>
      </c>
      <c r="K1310" s="1245">
        <f t="shared" si="278"/>
        <v>0</v>
      </c>
      <c r="L1310" s="1245">
        <f t="shared" si="278"/>
        <v>0</v>
      </c>
      <c r="M1310" s="1245">
        <f t="shared" si="278"/>
        <v>0</v>
      </c>
      <c r="N1310" s="1245">
        <f t="shared" si="278"/>
        <v>0</v>
      </c>
      <c r="O1310" s="1245"/>
      <c r="P1310" s="1245"/>
      <c r="Q1310" s="1245"/>
      <c r="R1310" s="1245"/>
      <c r="S1310" s="1245"/>
      <c r="T1310" s="1671"/>
      <c r="U1310" s="1664" t="str">
        <f>IFERROR(VLOOKUP(B1310,ChiTietDuToan!C:H,5,0),"")</f>
        <v>cái</v>
      </c>
      <c r="V1310" s="2309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59" t="s">
        <v>1971</v>
      </c>
      <c r="C1311" s="1189" t="str">
        <f t="shared" si="276"/>
        <v xml:space="preserve"> </v>
      </c>
      <c r="D1311" s="1236" t="str">
        <f>VLOOKUP($B1311,DG!A:D,DG!$B$2,)</f>
        <v>06.3241</v>
      </c>
      <c r="E1311" s="1241" t="str">
        <f>VLOOKUP($B1311,DG!A:D,DG!$C$2,)</f>
        <v>Lắp bộ dây néo</v>
      </c>
      <c r="F1311" s="1236" t="str">
        <f>VLOOKUP($B1311,DG!A:D,DG!$D$2,)</f>
        <v>bộ</v>
      </c>
      <c r="G1311" s="1915">
        <f>G1300</f>
        <v>1</v>
      </c>
      <c r="H1311" s="1250"/>
      <c r="I1311" s="1250"/>
      <c r="J1311" s="1250"/>
      <c r="K1311" s="1250"/>
      <c r="L1311" s="1250"/>
      <c r="M1311" s="1250"/>
      <c r="N1311" s="1250"/>
      <c r="O1311" s="1250"/>
      <c r="P1311" s="1250"/>
      <c r="Q1311" s="1250"/>
      <c r="R1311" s="1250"/>
      <c r="S1311" s="1250"/>
      <c r="T1311" s="1671"/>
      <c r="U1311" s="1664" t="str">
        <f>IFERROR(VLOOKUP(B1311,ChiTietDuToan!C:H,5,0),"")</f>
        <v>bộ</v>
      </c>
      <c r="V1311" s="2309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59" t="s">
        <v>686</v>
      </c>
      <c r="C1312" s="1189" t="str">
        <f t="shared" si="276"/>
        <v xml:space="preserve"> </v>
      </c>
      <c r="D1312" s="1236" t="str">
        <f>VLOOKUP($B1312,DG!A:D,DG!$B$2,)</f>
        <v>06.2110</v>
      </c>
      <c r="E1312" s="1241" t="str">
        <f>VLOOKUP($B1312,DG!A:D,DG!$C$2,)</f>
        <v>Lắp cổ dề</v>
      </c>
      <c r="F1312" s="1236" t="str">
        <f>VLOOKUP($B1312,DG!A:D,DG!$D$2,)</f>
        <v>cái</v>
      </c>
      <c r="G1312" s="1915">
        <v>1</v>
      </c>
      <c r="H1312" s="1250"/>
      <c r="I1312" s="1250"/>
      <c r="J1312" s="1250"/>
      <c r="K1312" s="1250"/>
      <c r="L1312" s="1250"/>
      <c r="M1312" s="1250"/>
      <c r="N1312" s="1250"/>
      <c r="O1312" s="1250"/>
      <c r="P1312" s="1250"/>
      <c r="Q1312" s="1250"/>
      <c r="R1312" s="1250"/>
      <c r="S1312" s="1250"/>
      <c r="T1312" s="1671"/>
      <c r="U1312" s="1664" t="str">
        <f>IFERROR(VLOOKUP(B1312,ChiTietDuToan!C:H,5,0),"")</f>
        <v/>
      </c>
      <c r="V1312" s="2309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59" t="s">
        <v>1959</v>
      </c>
      <c r="C1313" s="1189" t="str">
        <f t="shared" si="276"/>
        <v xml:space="preserve"> </v>
      </c>
      <c r="D1313" s="1236" t="str">
        <f>VLOOKUP($B1313,DG!A:D,DG!$B$2,)</f>
        <v>05.6011</v>
      </c>
      <c r="E1313" s="1241" t="str">
        <f>VLOOKUP($B1313,DG!A:D,DG!$C$2,)</f>
        <v>Lắp bộ chống lệch</v>
      </c>
      <c r="F1313" s="1236" t="str">
        <f>VLOOKUP($B1313,DG!A:D,DG!$D$2,)</f>
        <v>bộ</v>
      </c>
      <c r="G1313" s="1915">
        <f>G1296</f>
        <v>1</v>
      </c>
      <c r="H1313" s="1250"/>
      <c r="I1313" s="1250"/>
      <c r="J1313" s="1250"/>
      <c r="K1313" s="1250"/>
      <c r="L1313" s="1250"/>
      <c r="M1313" s="1250"/>
      <c r="N1313" s="1250"/>
      <c r="O1313" s="1250"/>
      <c r="P1313" s="1250"/>
      <c r="Q1313" s="1250"/>
      <c r="R1313" s="1250"/>
      <c r="S1313" s="1250"/>
      <c r="T1313" s="1671"/>
      <c r="U1313" s="1664" t="str">
        <f>IFERROR(VLOOKUP(B1313,ChiTietDuToan!C:H,5,0),"")</f>
        <v>bộ</v>
      </c>
      <c r="V1313" s="2309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74" t="s">
        <v>357</v>
      </c>
      <c r="C1314" s="1189" t="str">
        <f t="shared" si="276"/>
        <v xml:space="preserve"> </v>
      </c>
      <c r="D1314" s="1236" t="str">
        <f>VLOOKUP($B1314,DG!A:C,2,)</f>
        <v>02.1421</v>
      </c>
      <c r="E1314" s="1241" t="str">
        <f>VLOOKUP($B1314,DG!A:C,3,)</f>
        <v>V/c phụ kiện vào vị trí (cự ly &lt;=100m)</v>
      </c>
      <c r="F1314" s="1236" t="str">
        <f>VLOOKUP($B1314,DG!A:D,4,0)</f>
        <v>tấn</v>
      </c>
      <c r="G1314" s="1914">
        <v>0.02</v>
      </c>
      <c r="H1314" s="1250"/>
      <c r="I1314" s="1250"/>
      <c r="J1314" s="1250"/>
      <c r="K1314" s="1250"/>
      <c r="L1314" s="1250"/>
      <c r="M1314" s="1250"/>
      <c r="N1314" s="1250"/>
      <c r="O1314" s="1250"/>
      <c r="P1314" s="1250"/>
      <c r="Q1314" s="1250"/>
      <c r="R1314" s="1250"/>
      <c r="S1314" s="1250"/>
      <c r="T1314" s="1671"/>
      <c r="U1314" s="1664" t="str">
        <f>IFERROR(VLOOKUP(B1314,ChiTietDuToan!C:H,5,0),"")</f>
        <v>tấn</v>
      </c>
      <c r="V1314" s="2309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56"/>
      <c r="C1315" s="1189" t="str">
        <f t="shared" ca="1" si="276"/>
        <v xml:space="preserve"> </v>
      </c>
      <c r="D1315" s="1237"/>
      <c r="E1315" s="1666" t="s">
        <v>2549</v>
      </c>
      <c r="F1315" s="1238" t="s">
        <v>2449</v>
      </c>
      <c r="G1315" s="1912"/>
      <c r="H1315" s="1523">
        <f ca="1">SUM(I1315:O1315)+T1315</f>
        <v>0</v>
      </c>
      <c r="I1315" s="1239">
        <f ca="1">SUMIF(chang3pm,chitiet!$A1315,slchang3pm)</f>
        <v>0</v>
      </c>
      <c r="J1315" s="1239">
        <f ca="1">SUMIF(changct,chitiet!$A1315,slchangct)</f>
        <v>0</v>
      </c>
      <c r="K1315" s="1239"/>
      <c r="L1315" s="1239">
        <f>IFERROR(HLOOKUP(A1315,pp1p!$6:$90,85,0),0)</f>
        <v>0</v>
      </c>
      <c r="M1315" s="1239"/>
      <c r="N1315" s="1239"/>
      <c r="O1315" s="1239"/>
      <c r="P1315" s="1239">
        <f ca="1">H1315+Q1315-R1315</f>
        <v>0</v>
      </c>
      <c r="Q1315" s="1239"/>
      <c r="R1315" s="1239"/>
      <c r="S1315" s="1239"/>
      <c r="T1315" s="1671"/>
      <c r="U1315" s="1664">
        <f>IFERROR(VLOOKUP(B1315,ChiTietDuToan!C:H,5,0),"")</f>
        <v>0</v>
      </c>
      <c r="V1315" s="2309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59" t="s">
        <v>674</v>
      </c>
      <c r="C1316" s="1189" t="str">
        <f t="shared" ca="1" si="276"/>
        <v xml:space="preserve"> </v>
      </c>
      <c r="D1316" s="1236"/>
      <c r="E1316" s="1248" t="str">
        <f>VLOOKUP($B1316,DG!A:D,DG!$C$2,)&amp;"-Fe8x100 nhuùng keõm"</f>
        <v>Cổ dê Ø 195 nẹp trụ-Fe8x100 nhuùng keõm</v>
      </c>
      <c r="F1316" s="1236" t="str">
        <f>VLOOKUP($B1316,DG!A:D,DG!$D$2,)</f>
        <v>bộ</v>
      </c>
      <c r="G1316" s="1915">
        <v>1</v>
      </c>
      <c r="H1316" s="1245">
        <f t="shared" ref="H1316:H1325" ca="1" si="280">H$1315*$G1316</f>
        <v>0</v>
      </c>
      <c r="I1316" s="1245">
        <f t="shared" ref="I1316:N1325" ca="1" si="281">I$1315*$G1316</f>
        <v>0</v>
      </c>
      <c r="J1316" s="1245">
        <f t="shared" ca="1" si="281"/>
        <v>0</v>
      </c>
      <c r="K1316" s="1245">
        <f t="shared" si="281"/>
        <v>0</v>
      </c>
      <c r="L1316" s="1245">
        <f t="shared" si="281"/>
        <v>0</v>
      </c>
      <c r="M1316" s="1245">
        <f t="shared" si="281"/>
        <v>0</v>
      </c>
      <c r="N1316" s="1245">
        <f t="shared" si="281"/>
        <v>0</v>
      </c>
      <c r="O1316" s="1245"/>
      <c r="P1316" s="1245"/>
      <c r="Q1316" s="1245"/>
      <c r="R1316" s="1245"/>
      <c r="S1316" s="1245"/>
      <c r="T1316" s="1671"/>
      <c r="U1316" s="1664" t="str">
        <f>IFERROR(VLOOKUP(B1316,ChiTietDuToan!C:H,5,0),"")</f>
        <v/>
      </c>
      <c r="V1316" s="2309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59" t="s">
        <v>1518</v>
      </c>
      <c r="C1317" s="1189" t="str">
        <f t="shared" ca="1" si="276"/>
        <v xml:space="preserve"> </v>
      </c>
      <c r="D1317" s="1236"/>
      <c r="E1317" s="1248" t="str">
        <f>VLOOKUP($B1317,DG!A:D,DG!$C$2,)&amp;"-Fe8x100 nhuùng keõm"</f>
        <v>Cổ dê Ø 220 nẹp trụ-Fe8x100 nhuùng keõm</v>
      </c>
      <c r="F1317" s="1236" t="str">
        <f>VLOOKUP($B1317,DG!A:D,DG!$D$2,)</f>
        <v>bộ</v>
      </c>
      <c r="G1317" s="1915">
        <v>1</v>
      </c>
      <c r="H1317" s="1245">
        <f t="shared" ca="1" si="280"/>
        <v>0</v>
      </c>
      <c r="I1317" s="1245">
        <f t="shared" ca="1" si="281"/>
        <v>0</v>
      </c>
      <c r="J1317" s="1245">
        <f t="shared" ca="1" si="281"/>
        <v>0</v>
      </c>
      <c r="K1317" s="1245">
        <f t="shared" si="281"/>
        <v>0</v>
      </c>
      <c r="L1317" s="1245">
        <f t="shared" si="281"/>
        <v>0</v>
      </c>
      <c r="M1317" s="1245">
        <f t="shared" si="281"/>
        <v>0</v>
      </c>
      <c r="N1317" s="1245">
        <f t="shared" si="281"/>
        <v>0</v>
      </c>
      <c r="O1317" s="1245"/>
      <c r="P1317" s="1245"/>
      <c r="Q1317" s="1245"/>
      <c r="R1317" s="1245"/>
      <c r="S1317" s="1245"/>
      <c r="T1317" s="1671"/>
      <c r="U1317" s="1664" t="str">
        <f>IFERROR(VLOOKUP(B1317,ChiTietDuToan!C:H,5,0),"")</f>
        <v/>
      </c>
      <c r="V1317" s="2309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59" t="s">
        <v>112</v>
      </c>
      <c r="C1318" s="1189" t="str">
        <f t="shared" ca="1" si="276"/>
        <v xml:space="preserve"> </v>
      </c>
      <c r="D1318" s="1236"/>
      <c r="E1318" s="1248" t="str">
        <f>VLOOKUP($B1318,DG!A:D,DG!$C$2,)</f>
        <v>Sứ chằng</v>
      </c>
      <c r="F1318" s="1236" t="str">
        <f>VLOOKUP($B1318,DG!A:D,DG!$D$2,)</f>
        <v>cái</v>
      </c>
      <c r="G1318" s="1915">
        <v>2</v>
      </c>
      <c r="H1318" s="1245">
        <f t="shared" ca="1" si="280"/>
        <v>0</v>
      </c>
      <c r="I1318" s="1245">
        <f t="shared" ca="1" si="281"/>
        <v>0</v>
      </c>
      <c r="J1318" s="1245">
        <f t="shared" ca="1" si="281"/>
        <v>0</v>
      </c>
      <c r="K1318" s="1245">
        <f t="shared" si="281"/>
        <v>0</v>
      </c>
      <c r="L1318" s="1245">
        <f t="shared" si="281"/>
        <v>0</v>
      </c>
      <c r="M1318" s="1245">
        <f t="shared" si="281"/>
        <v>0</v>
      </c>
      <c r="N1318" s="1245">
        <f t="shared" si="281"/>
        <v>0</v>
      </c>
      <c r="O1318" s="1245"/>
      <c r="P1318" s="1245"/>
      <c r="Q1318" s="1245"/>
      <c r="R1318" s="1245"/>
      <c r="S1318" s="1245"/>
      <c r="T1318" s="1671"/>
      <c r="U1318" s="1664" t="str">
        <f>IFERROR(VLOOKUP(B1318,ChiTietDuToan!C:H,5,0),"")</f>
        <v>cái</v>
      </c>
      <c r="V1318" s="2309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59" t="s">
        <v>1630</v>
      </c>
      <c r="C1319" s="1189" t="str">
        <f t="shared" ca="1" si="276"/>
        <v xml:space="preserve"> </v>
      </c>
      <c r="D1319" s="1236"/>
      <c r="E1319" s="1248" t="str">
        <f>VLOOKUP($B1319,DG!A:D,DG!$C$2,)</f>
        <v>Kẹp cáp 3 boulon</v>
      </c>
      <c r="F1319" s="1236" t="str">
        <f>VLOOKUP($B1319,DG!A:D,DG!$D$2,)</f>
        <v>cái</v>
      </c>
      <c r="G1319" s="1915">
        <v>16</v>
      </c>
      <c r="H1319" s="1245">
        <f t="shared" ca="1" si="280"/>
        <v>0</v>
      </c>
      <c r="I1319" s="1245">
        <f t="shared" ca="1" si="281"/>
        <v>0</v>
      </c>
      <c r="J1319" s="1245">
        <f t="shared" ca="1" si="281"/>
        <v>0</v>
      </c>
      <c r="K1319" s="1245">
        <f t="shared" si="281"/>
        <v>0</v>
      </c>
      <c r="L1319" s="1245">
        <f t="shared" si="281"/>
        <v>0</v>
      </c>
      <c r="M1319" s="1245">
        <f t="shared" si="281"/>
        <v>0</v>
      </c>
      <c r="N1319" s="1245">
        <f t="shared" si="281"/>
        <v>0</v>
      </c>
      <c r="O1319" s="1245"/>
      <c r="P1319" s="1245"/>
      <c r="Q1319" s="1245"/>
      <c r="R1319" s="1245"/>
      <c r="S1319" s="1245"/>
      <c r="T1319" s="1671"/>
      <c r="U1319" s="1664" t="str">
        <f>IFERROR(VLOOKUP(B1319,ChiTietDuToan!C:H,5,0),"")</f>
        <v>cái</v>
      </c>
      <c r="V1319" s="2309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80" t="str">
        <f>$B$1549</f>
        <v>KH4/0</v>
      </c>
      <c r="C1320" s="1189" t="str">
        <f t="shared" ca="1" si="276"/>
        <v xml:space="preserve"> </v>
      </c>
      <c r="D1320" s="1236"/>
      <c r="E1320" s="1248" t="str">
        <f>VLOOKUP($B1320,DG!A:D,DG!$C$2,)</f>
        <v>Kẹp hotline 4/0</v>
      </c>
      <c r="F1320" s="1236" t="str">
        <f>VLOOKUP($B1320,DG!A:D,DG!$D$2,)</f>
        <v>cái</v>
      </c>
      <c r="G1320" s="1915">
        <v>36</v>
      </c>
      <c r="H1320" s="1245">
        <f t="shared" ca="1" si="280"/>
        <v>0</v>
      </c>
      <c r="I1320" s="1245">
        <f t="shared" ca="1" si="281"/>
        <v>0</v>
      </c>
      <c r="J1320" s="1245">
        <f t="shared" ca="1" si="281"/>
        <v>0</v>
      </c>
      <c r="K1320" s="1245">
        <f t="shared" si="281"/>
        <v>0</v>
      </c>
      <c r="L1320" s="1245">
        <f t="shared" si="281"/>
        <v>0</v>
      </c>
      <c r="M1320" s="1245">
        <f t="shared" si="281"/>
        <v>0</v>
      </c>
      <c r="N1320" s="1245">
        <f t="shared" si="281"/>
        <v>0</v>
      </c>
      <c r="O1320" s="1245"/>
      <c r="P1320" s="1245"/>
      <c r="Q1320" s="1245"/>
      <c r="R1320" s="1245"/>
      <c r="S1320" s="1245"/>
      <c r="T1320" s="1671"/>
      <c r="U1320" s="1664" t="str">
        <f>IFERROR(VLOOKUP(B1320,ChiTietDuToan!C:H,5,0),"")</f>
        <v>cái</v>
      </c>
      <c r="V1320" s="2309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59" t="s">
        <v>280</v>
      </c>
      <c r="C1321" s="1189" t="str">
        <f t="shared" ca="1" si="276"/>
        <v xml:space="preserve"> </v>
      </c>
      <c r="D1321" s="1236"/>
      <c r="E1321" s="1248" t="str">
        <f>VLOOKUP($B1321,DG!A:D,DG!$C$2,)</f>
        <v>Sắt dẹt 60 x 6</v>
      </c>
      <c r="F1321" s="1236" t="str">
        <f>VLOOKUP($B1321,DG!A:D,DG!$D$2,)</f>
        <v>kg</v>
      </c>
      <c r="G1321" s="1915">
        <v>4</v>
      </c>
      <c r="H1321" s="1245">
        <f t="shared" ca="1" si="280"/>
        <v>0</v>
      </c>
      <c r="I1321" s="1245">
        <f t="shared" ca="1" si="281"/>
        <v>0</v>
      </c>
      <c r="J1321" s="1245">
        <f t="shared" ca="1" si="281"/>
        <v>0</v>
      </c>
      <c r="K1321" s="1245">
        <f t="shared" si="281"/>
        <v>0</v>
      </c>
      <c r="L1321" s="1245">
        <f t="shared" si="281"/>
        <v>0</v>
      </c>
      <c r="M1321" s="1245">
        <f t="shared" si="281"/>
        <v>0</v>
      </c>
      <c r="N1321" s="1245">
        <f t="shared" si="281"/>
        <v>0</v>
      </c>
      <c r="O1321" s="1245"/>
      <c r="P1321" s="1245"/>
      <c r="Q1321" s="1245"/>
      <c r="R1321" s="1245"/>
      <c r="S1321" s="1245"/>
      <c r="T1321" s="1671"/>
      <c r="U1321" s="1664" t="str">
        <f>IFERROR(VLOOKUP(B1321,ChiTietDuToan!C:H,5,0),"")</f>
        <v/>
      </c>
      <c r="V1321" s="2309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59" t="s">
        <v>1404</v>
      </c>
      <c r="C1322" s="1189" t="str">
        <f t="shared" ca="1" si="276"/>
        <v xml:space="preserve"> </v>
      </c>
      <c r="D1322" s="1236"/>
      <c r="E1322" s="1248" t="str">
        <f>VLOOKUP($B1322,DG!A:D,DG!$C$2,)</f>
        <v xml:space="preserve">Móc treo chữ U </v>
      </c>
      <c r="F1322" s="1236" t="str">
        <f>VLOOKUP($B1322,DG!A:D,DG!$D$2,)</f>
        <v>cái</v>
      </c>
      <c r="G1322" s="1915">
        <v>2</v>
      </c>
      <c r="H1322" s="1245">
        <f t="shared" ca="1" si="280"/>
        <v>0</v>
      </c>
      <c r="I1322" s="1245">
        <f t="shared" ca="1" si="281"/>
        <v>0</v>
      </c>
      <c r="J1322" s="1245">
        <f t="shared" ca="1" si="281"/>
        <v>0</v>
      </c>
      <c r="K1322" s="1245">
        <f t="shared" si="281"/>
        <v>0</v>
      </c>
      <c r="L1322" s="1245">
        <f t="shared" si="281"/>
        <v>0</v>
      </c>
      <c r="M1322" s="1245">
        <f t="shared" si="281"/>
        <v>0</v>
      </c>
      <c r="N1322" s="1245">
        <f t="shared" si="281"/>
        <v>0</v>
      </c>
      <c r="O1322" s="1245"/>
      <c r="P1322" s="1245"/>
      <c r="Q1322" s="1245"/>
      <c r="R1322" s="1245"/>
      <c r="S1322" s="1245"/>
      <c r="T1322" s="1671"/>
      <c r="U1322" s="1664" t="str">
        <f>IFERROR(VLOOKUP(B1322,ChiTietDuToan!C:H,5,0),"")</f>
        <v>cái</v>
      </c>
      <c r="V1322" s="2309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81" t="s">
        <v>1944</v>
      </c>
      <c r="C1323" s="1189" t="str">
        <f t="shared" ca="1" si="276"/>
        <v xml:space="preserve"> </v>
      </c>
      <c r="D1323" s="1236"/>
      <c r="E1323" s="1248" t="str">
        <f>VLOOKUP($B1323,DG!A:D,DG!$C$2,)</f>
        <v>Boulon 16x100VRS+ 4 long đền vuông D18-50x50x3/Zn</v>
      </c>
      <c r="F1323" s="1236" t="str">
        <f>VLOOKUP($B1323,DG!A:D,DG!$D$2,)</f>
        <v>bộ</v>
      </c>
      <c r="G1323" s="1915">
        <v>4</v>
      </c>
      <c r="H1323" s="1245">
        <f t="shared" ca="1" si="280"/>
        <v>0</v>
      </c>
      <c r="I1323" s="1245">
        <f t="shared" ca="1" si="281"/>
        <v>0</v>
      </c>
      <c r="J1323" s="1245">
        <f t="shared" ca="1" si="281"/>
        <v>0</v>
      </c>
      <c r="K1323" s="1245">
        <f t="shared" si="281"/>
        <v>0</v>
      </c>
      <c r="L1323" s="1245">
        <f t="shared" si="281"/>
        <v>0</v>
      </c>
      <c r="M1323" s="1245">
        <f t="shared" si="281"/>
        <v>0</v>
      </c>
      <c r="N1323" s="1245">
        <f t="shared" si="281"/>
        <v>0</v>
      </c>
      <c r="O1323" s="1245"/>
      <c r="P1323" s="1245"/>
      <c r="Q1323" s="1245"/>
      <c r="R1323" s="1245"/>
      <c r="S1323" s="1245"/>
      <c r="T1323" s="1671"/>
      <c r="U1323" s="1664" t="str">
        <f>IFERROR(VLOOKUP(B1323,ChiTietDuToan!C:H,5,0),"")</f>
        <v/>
      </c>
      <c r="V1323" s="2309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59" t="s">
        <v>2053</v>
      </c>
      <c r="C1324" s="1189" t="str">
        <f t="shared" ca="1" si="276"/>
        <v xml:space="preserve"> </v>
      </c>
      <c r="D1324" s="1236"/>
      <c r="E1324" s="1248" t="str">
        <f>VLOOKUP($B1324,DG!A:D,DG!$C$2,)</f>
        <v>Yếm cáp dày 2mm</v>
      </c>
      <c r="F1324" s="1236" t="str">
        <f>VLOOKUP($B1324,DG!A:D,DG!$D$2,)</f>
        <v>cái</v>
      </c>
      <c r="G1324" s="1915">
        <v>4</v>
      </c>
      <c r="H1324" s="1245">
        <f t="shared" ca="1" si="280"/>
        <v>0</v>
      </c>
      <c r="I1324" s="1245">
        <f t="shared" ca="1" si="281"/>
        <v>0</v>
      </c>
      <c r="J1324" s="1245">
        <f t="shared" ca="1" si="281"/>
        <v>0</v>
      </c>
      <c r="K1324" s="1245">
        <f t="shared" si="281"/>
        <v>0</v>
      </c>
      <c r="L1324" s="1245">
        <f t="shared" si="281"/>
        <v>0</v>
      </c>
      <c r="M1324" s="1245">
        <f t="shared" si="281"/>
        <v>0</v>
      </c>
      <c r="N1324" s="1245">
        <f t="shared" si="281"/>
        <v>0</v>
      </c>
      <c r="O1324" s="1245"/>
      <c r="P1324" s="1245"/>
      <c r="Q1324" s="1245"/>
      <c r="R1324" s="1245"/>
      <c r="S1324" s="1245"/>
      <c r="T1324" s="1671"/>
      <c r="U1324" s="1664" t="str">
        <f>IFERROR(VLOOKUP(B1324,ChiTietDuToan!C:H,5,0),"")</f>
        <v>cái</v>
      </c>
      <c r="V1324" s="2309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59" t="s">
        <v>2054</v>
      </c>
      <c r="C1325" s="1189" t="str">
        <f t="shared" ca="1" si="276"/>
        <v xml:space="preserve"> </v>
      </c>
      <c r="D1325" s="1236"/>
      <c r="E1325" s="1248" t="str">
        <f>VLOOKUP($B1325,DG!A:D,DG!$C$2,)</f>
        <v>Máng che dây chằng dày 1,6mm</v>
      </c>
      <c r="F1325" s="1236" t="str">
        <f>VLOOKUP($B1325,DG!A:D,DG!$D$2,)</f>
        <v>cái</v>
      </c>
      <c r="G1325" s="1915">
        <v>2</v>
      </c>
      <c r="H1325" s="1245">
        <f t="shared" ca="1" si="280"/>
        <v>0</v>
      </c>
      <c r="I1325" s="1245">
        <f t="shared" ca="1" si="281"/>
        <v>0</v>
      </c>
      <c r="J1325" s="1245">
        <f t="shared" ca="1" si="281"/>
        <v>0</v>
      </c>
      <c r="K1325" s="1245">
        <f t="shared" si="281"/>
        <v>0</v>
      </c>
      <c r="L1325" s="1245">
        <f t="shared" si="281"/>
        <v>0</v>
      </c>
      <c r="M1325" s="1245">
        <f t="shared" si="281"/>
        <v>0</v>
      </c>
      <c r="N1325" s="1245">
        <f t="shared" si="281"/>
        <v>0</v>
      </c>
      <c r="O1325" s="1245"/>
      <c r="P1325" s="1245"/>
      <c r="Q1325" s="1245"/>
      <c r="R1325" s="1245"/>
      <c r="S1325" s="1245"/>
      <c r="T1325" s="1671"/>
      <c r="U1325" s="1664" t="str">
        <f>IFERROR(VLOOKUP(B1325,ChiTietDuToan!C:H,5,0),"")</f>
        <v>cái</v>
      </c>
      <c r="V1325" s="2309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59" t="s">
        <v>1971</v>
      </c>
      <c r="C1326" s="1189" t="str">
        <f t="shared" si="276"/>
        <v xml:space="preserve"> </v>
      </c>
      <c r="D1326" s="1236" t="str">
        <f>VLOOKUP($B1326,DG!A:D,DG!$B$2,)</f>
        <v>06.3241</v>
      </c>
      <c r="E1326" s="1241" t="str">
        <f>VLOOKUP($B1326,DG!A:D,DG!$C$2,)</f>
        <v>Lắp bộ dây néo</v>
      </c>
      <c r="F1326" s="1236" t="str">
        <f>VLOOKUP($B1326,DG!A:D,DG!$D$2,)</f>
        <v>bộ</v>
      </c>
      <c r="G1326" s="1915">
        <f>G1316</f>
        <v>1</v>
      </c>
      <c r="H1326" s="1250"/>
      <c r="I1326" s="1250"/>
      <c r="J1326" s="1250"/>
      <c r="K1326" s="1250"/>
      <c r="L1326" s="1250"/>
      <c r="M1326" s="1250"/>
      <c r="N1326" s="1250"/>
      <c r="O1326" s="1250"/>
      <c r="P1326" s="1250"/>
      <c r="Q1326" s="1250"/>
      <c r="R1326" s="1250"/>
      <c r="S1326" s="1250"/>
      <c r="T1326" s="1671"/>
      <c r="U1326" s="1664" t="str">
        <f>IFERROR(VLOOKUP(B1326,ChiTietDuToan!C:H,5,0),"")</f>
        <v>bộ</v>
      </c>
      <c r="V1326" s="2309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59" t="s">
        <v>686</v>
      </c>
      <c r="C1327" s="1189" t="str">
        <f t="shared" si="276"/>
        <v xml:space="preserve"> </v>
      </c>
      <c r="D1327" s="1236" t="str">
        <f>VLOOKUP($B1327,DG!A:D,DG!$B$2,)</f>
        <v>06.2110</v>
      </c>
      <c r="E1327" s="1241" t="str">
        <f>VLOOKUP($B1327,DG!A:D,DG!$C$2,)</f>
        <v>Lắp cổ dề</v>
      </c>
      <c r="F1327" s="1236" t="str">
        <f>VLOOKUP($B1327,DG!A:D,DG!$D$2,)</f>
        <v>cái</v>
      </c>
      <c r="G1327" s="1915">
        <v>2</v>
      </c>
      <c r="H1327" s="1250"/>
      <c r="I1327" s="1250"/>
      <c r="J1327" s="1250"/>
      <c r="K1327" s="1250"/>
      <c r="L1327" s="1250"/>
      <c r="M1327" s="1250"/>
      <c r="N1327" s="1250"/>
      <c r="O1327" s="1250"/>
      <c r="P1327" s="1250"/>
      <c r="Q1327" s="1250"/>
      <c r="R1327" s="1250"/>
      <c r="S1327" s="1250"/>
      <c r="T1327" s="1671"/>
      <c r="U1327" s="1664" t="str">
        <f>IFERROR(VLOOKUP(B1327,ChiTietDuToan!C:H,5,0),"")</f>
        <v/>
      </c>
      <c r="V1327" s="2309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74" t="s">
        <v>357</v>
      </c>
      <c r="C1328" s="1189" t="str">
        <f t="shared" si="276"/>
        <v xml:space="preserve"> </v>
      </c>
      <c r="D1328" s="1236" t="str">
        <f>VLOOKUP($B1328,DG!A:C,2,)</f>
        <v>02.1421</v>
      </c>
      <c r="E1328" s="1241" t="str">
        <f>VLOOKUP($B1328,DG!A:C,3,)</f>
        <v>V/c phụ kiện vào vị trí (cự ly &lt;=100m)</v>
      </c>
      <c r="F1328" s="1236" t="str">
        <f>VLOOKUP($B1328,DG!A:D,4,0)</f>
        <v>tấn</v>
      </c>
      <c r="G1328" s="1914">
        <v>0.02</v>
      </c>
      <c r="H1328" s="1250"/>
      <c r="I1328" s="1250"/>
      <c r="J1328" s="1250"/>
      <c r="K1328" s="1250"/>
      <c r="L1328" s="1250"/>
      <c r="M1328" s="1250"/>
      <c r="N1328" s="1250"/>
      <c r="O1328" s="1250"/>
      <c r="P1328" s="1250"/>
      <c r="Q1328" s="1250"/>
      <c r="R1328" s="1250"/>
      <c r="S1328" s="1250"/>
      <c r="T1328" s="1671"/>
      <c r="U1328" s="1664" t="str">
        <f>IFERROR(VLOOKUP(B1328,ChiTietDuToan!C:H,5,0),"")</f>
        <v>tấn</v>
      </c>
      <c r="V1328" s="2309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56"/>
      <c r="C1329" s="1189" t="str">
        <f t="shared" ca="1" si="276"/>
        <v xml:space="preserve"> </v>
      </c>
      <c r="D1329" s="1237"/>
      <c r="E1329" s="1666" t="s">
        <v>2550</v>
      </c>
      <c r="F1329" s="1238" t="s">
        <v>2449</v>
      </c>
      <c r="G1329" s="1912"/>
      <c r="H1329" s="1523">
        <f ca="1">SUM(I1329:O1329)+T1329</f>
        <v>0</v>
      </c>
      <c r="I1329" s="1239">
        <f ca="1">SUMIF(chang3pm,chitiet!$A1329,slchang3pm)</f>
        <v>0</v>
      </c>
      <c r="J1329" s="1239">
        <f ca="1">SUMIF(changct,chitiet!$A1329,slchangct)</f>
        <v>0</v>
      </c>
      <c r="K1329" s="1239"/>
      <c r="L1329" s="1239">
        <f>IFERROR(HLOOKUP(A1329,pp1p!$6:$90,85,0),0)</f>
        <v>0</v>
      </c>
      <c r="M1329" s="1239"/>
      <c r="N1329" s="1239"/>
      <c r="O1329" s="1239"/>
      <c r="P1329" s="1239">
        <f ca="1">H1329+Q1329-R1329</f>
        <v>0</v>
      </c>
      <c r="Q1329" s="1239"/>
      <c r="R1329" s="1239"/>
      <c r="S1329" s="1239"/>
      <c r="T1329" s="1671"/>
      <c r="U1329" s="1664">
        <f>IFERROR(VLOOKUP(B1329,ChiTietDuToan!C:H,5,0),"")</f>
        <v>0</v>
      </c>
      <c r="V1329" s="2309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59" t="s">
        <v>674</v>
      </c>
      <c r="C1330" s="1189" t="str">
        <f t="shared" ca="1" si="276"/>
        <v xml:space="preserve"> </v>
      </c>
      <c r="D1330" s="1240"/>
      <c r="E1330" s="1246" t="str">
        <f>VLOOKUP($B1330,DG!A:D,DG!$C$2,)&amp;"-Fe8x100 nhuùng keõm"</f>
        <v>Cổ dê Ø 195 nẹp trụ-Fe8x100 nhuùng keõm</v>
      </c>
      <c r="F1330" s="1240" t="str">
        <f>VLOOKUP($B1330,DG!A:D,DG!$D$2,)</f>
        <v>bộ</v>
      </c>
      <c r="G1330" s="1918">
        <v>1</v>
      </c>
      <c r="H1330" s="1244">
        <f ca="1">H$1329*$G1330</f>
        <v>0</v>
      </c>
      <c r="I1330" s="1244">
        <f ca="1">I$1329*$G1330</f>
        <v>0</v>
      </c>
      <c r="J1330" s="1244">
        <f t="shared" ref="J1330:J1338" ca="1" si="282">J$1329*$G1330</f>
        <v>0</v>
      </c>
      <c r="K1330" s="1244"/>
      <c r="L1330" s="1244"/>
      <c r="M1330" s="1244"/>
      <c r="N1330" s="1244"/>
      <c r="O1330" s="1244"/>
      <c r="P1330" s="1244"/>
      <c r="Q1330" s="1244"/>
      <c r="R1330" s="1244"/>
      <c r="S1330" s="1244"/>
      <c r="T1330" s="1671"/>
      <c r="U1330" s="1664" t="str">
        <f>IFERROR(VLOOKUP(B1330,ChiTietDuToan!C:H,5,0),"")</f>
        <v/>
      </c>
      <c r="V1330" s="2309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59" t="s">
        <v>112</v>
      </c>
      <c r="C1331" s="1189" t="str">
        <f t="shared" ca="1" si="276"/>
        <v xml:space="preserve"> </v>
      </c>
      <c r="D1331" s="1240"/>
      <c r="E1331" s="1246" t="str">
        <f>VLOOKUP($B1331,DG!A:D,DG!$C$2,)</f>
        <v>Sứ chằng</v>
      </c>
      <c r="F1331" s="1240" t="str">
        <f>VLOOKUP($B1331,DG!A:D,DG!$D$2,)</f>
        <v>cái</v>
      </c>
      <c r="G1331" s="1918">
        <v>2</v>
      </c>
      <c r="H1331" s="1244">
        <f t="shared" ref="H1331:H1338" ca="1" si="283">H$1329*$G1331</f>
        <v>0</v>
      </c>
      <c r="I1331" s="1244">
        <f t="shared" ref="I1331:I1338" ca="1" si="284">I$1329*$G1331</f>
        <v>0</v>
      </c>
      <c r="J1331" s="1244">
        <f t="shared" ca="1" si="282"/>
        <v>0</v>
      </c>
      <c r="K1331" s="1244"/>
      <c r="L1331" s="1244"/>
      <c r="M1331" s="1244"/>
      <c r="N1331" s="1244"/>
      <c r="O1331" s="1244"/>
      <c r="P1331" s="1244"/>
      <c r="Q1331" s="1244"/>
      <c r="R1331" s="1244"/>
      <c r="S1331" s="1244"/>
      <c r="T1331" s="1671"/>
      <c r="U1331" s="1664" t="str">
        <f>IFERROR(VLOOKUP(B1331,ChiTietDuToan!C:H,5,0),"")</f>
        <v>cái</v>
      </c>
      <c r="V1331" s="2309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59" t="s">
        <v>1630</v>
      </c>
      <c r="C1332" s="1189" t="str">
        <f t="shared" ca="1" si="276"/>
        <v xml:space="preserve"> </v>
      </c>
      <c r="D1332" s="1240"/>
      <c r="E1332" s="1246" t="str">
        <f>VLOOKUP($B1332,DG!A:D,DG!$C$2,)</f>
        <v>Kẹp cáp 3 boulon</v>
      </c>
      <c r="F1332" s="1240" t="str">
        <f>VLOOKUP($B1332,DG!A:D,DG!$D$2,)</f>
        <v>cái</v>
      </c>
      <c r="G1332" s="1918">
        <v>8</v>
      </c>
      <c r="H1332" s="1244">
        <f t="shared" ca="1" si="283"/>
        <v>0</v>
      </c>
      <c r="I1332" s="1244">
        <f t="shared" ca="1" si="284"/>
        <v>0</v>
      </c>
      <c r="J1332" s="1244">
        <f t="shared" ca="1" si="282"/>
        <v>0</v>
      </c>
      <c r="K1332" s="1244"/>
      <c r="L1332" s="1244"/>
      <c r="M1332" s="1244"/>
      <c r="N1332" s="1244"/>
      <c r="O1332" s="1244"/>
      <c r="P1332" s="1244"/>
      <c r="Q1332" s="1244"/>
      <c r="R1332" s="1244"/>
      <c r="S1332" s="1244"/>
      <c r="T1332" s="1671"/>
      <c r="U1332" s="1664" t="str">
        <f>IFERROR(VLOOKUP(B1332,ChiTietDuToan!C:H,5,0),"")</f>
        <v>cái</v>
      </c>
      <c r="V1332" s="2309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59" t="s">
        <v>1392</v>
      </c>
      <c r="C1333" s="1189" t="str">
        <f t="shared" ca="1" si="276"/>
        <v xml:space="preserve"> </v>
      </c>
      <c r="D1333" s="1240"/>
      <c r="E1333" s="1246" t="str">
        <f>VLOOKUP($B1333,DG!A:D,DG!$C$2,)</f>
        <v>Cáp thép 5/8"</v>
      </c>
      <c r="F1333" s="1240" t="str">
        <f>VLOOKUP($B1333,DG!A:D,DG!$D$2,)</f>
        <v>kg</v>
      </c>
      <c r="G1333" s="1918">
        <v>19</v>
      </c>
      <c r="H1333" s="1244">
        <f t="shared" ca="1" si="283"/>
        <v>0</v>
      </c>
      <c r="I1333" s="1244">
        <f t="shared" ca="1" si="284"/>
        <v>0</v>
      </c>
      <c r="J1333" s="1244">
        <f t="shared" ca="1" si="282"/>
        <v>0</v>
      </c>
      <c r="K1333" s="1244"/>
      <c r="L1333" s="1244"/>
      <c r="M1333" s="1244"/>
      <c r="N1333" s="1244"/>
      <c r="O1333" s="1244"/>
      <c r="P1333" s="1244"/>
      <c r="Q1333" s="1244"/>
      <c r="R1333" s="1244"/>
      <c r="S1333" s="1244"/>
      <c r="T1333" s="1671"/>
      <c r="U1333" s="1664" t="str">
        <f>IFERROR(VLOOKUP(B1333,ChiTietDuToan!C:H,5,0),"")</f>
        <v>mét</v>
      </c>
      <c r="V1333" s="2309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59" t="s">
        <v>280</v>
      </c>
      <c r="C1334" s="1189" t="str">
        <f t="shared" ca="1" si="276"/>
        <v xml:space="preserve"> </v>
      </c>
      <c r="D1334" s="1240"/>
      <c r="E1334" s="1246" t="str">
        <f>VLOOKUP($B1334,DG!A:D,DG!$C$2,)</f>
        <v>Sắt dẹt 60 x 6</v>
      </c>
      <c r="F1334" s="1240" t="str">
        <f>VLOOKUP($B1334,DG!A:D,DG!$D$2,)</f>
        <v>kg</v>
      </c>
      <c r="G1334" s="1918">
        <v>2</v>
      </c>
      <c r="H1334" s="1244">
        <f t="shared" ca="1" si="283"/>
        <v>0</v>
      </c>
      <c r="I1334" s="1244">
        <f t="shared" ca="1" si="284"/>
        <v>0</v>
      </c>
      <c r="J1334" s="1244">
        <f t="shared" ca="1" si="282"/>
        <v>0</v>
      </c>
      <c r="K1334" s="1244"/>
      <c r="L1334" s="1244"/>
      <c r="M1334" s="1244"/>
      <c r="N1334" s="1244"/>
      <c r="O1334" s="1244"/>
      <c r="P1334" s="1244"/>
      <c r="Q1334" s="1244"/>
      <c r="R1334" s="1244"/>
      <c r="S1334" s="1244"/>
      <c r="T1334" s="1671"/>
      <c r="U1334" s="1664" t="str">
        <f>IFERROR(VLOOKUP(B1334,ChiTietDuToan!C:H,5,0),"")</f>
        <v/>
      </c>
      <c r="V1334" s="2309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59" t="s">
        <v>1404</v>
      </c>
      <c r="C1335" s="1189" t="str">
        <f t="shared" ca="1" si="276"/>
        <v xml:space="preserve"> </v>
      </c>
      <c r="D1335" s="1240"/>
      <c r="E1335" s="1246" t="str">
        <f>VLOOKUP($B1335,DG!A:D,DG!$C$2,)</f>
        <v xml:space="preserve">Móc treo chữ U </v>
      </c>
      <c r="F1335" s="1240" t="str">
        <f>VLOOKUP($B1335,DG!A:D,DG!$D$2,)</f>
        <v>cái</v>
      </c>
      <c r="G1335" s="1918">
        <v>1</v>
      </c>
      <c r="H1335" s="1244">
        <f t="shared" ca="1" si="283"/>
        <v>0</v>
      </c>
      <c r="I1335" s="1244">
        <f t="shared" ca="1" si="284"/>
        <v>0</v>
      </c>
      <c r="J1335" s="1244">
        <f t="shared" ca="1" si="282"/>
        <v>0</v>
      </c>
      <c r="K1335" s="1244"/>
      <c r="L1335" s="1244"/>
      <c r="M1335" s="1244"/>
      <c r="N1335" s="1244"/>
      <c r="O1335" s="1244"/>
      <c r="P1335" s="1244"/>
      <c r="Q1335" s="1244"/>
      <c r="R1335" s="1244"/>
      <c r="S1335" s="1244"/>
      <c r="T1335" s="1671"/>
      <c r="U1335" s="1664" t="str">
        <f>IFERROR(VLOOKUP(B1335,ChiTietDuToan!C:H,5,0),"")</f>
        <v>cái</v>
      </c>
      <c r="V1335" s="2309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81" t="s">
        <v>1944</v>
      </c>
      <c r="C1336" s="1189" t="str">
        <f t="shared" ca="1" si="276"/>
        <v xml:space="preserve"> </v>
      </c>
      <c r="D1336" s="1240"/>
      <c r="E1336" s="1246" t="str">
        <f>VLOOKUP($B1336,DG!A:D,DG!$C$2,)</f>
        <v>Boulon 16x100VRS+ 4 long đền vuông D18-50x50x3/Zn</v>
      </c>
      <c r="F1336" s="1240" t="str">
        <f>VLOOKUP($B1336,DG!A:D,DG!$D$2,)</f>
        <v>bộ</v>
      </c>
      <c r="G1336" s="1918">
        <v>2</v>
      </c>
      <c r="H1336" s="1244">
        <f t="shared" ca="1" si="283"/>
        <v>0</v>
      </c>
      <c r="I1336" s="1244">
        <f t="shared" ca="1" si="284"/>
        <v>0</v>
      </c>
      <c r="J1336" s="1244">
        <f t="shared" ca="1" si="282"/>
        <v>0</v>
      </c>
      <c r="K1336" s="1244"/>
      <c r="L1336" s="1244"/>
      <c r="M1336" s="1244"/>
      <c r="N1336" s="1244"/>
      <c r="O1336" s="1244"/>
      <c r="P1336" s="1244"/>
      <c r="Q1336" s="1244"/>
      <c r="R1336" s="1244"/>
      <c r="S1336" s="1244"/>
      <c r="T1336" s="1671"/>
      <c r="U1336" s="1664" t="str">
        <f>IFERROR(VLOOKUP(B1336,ChiTietDuToan!C:H,5,0),"")</f>
        <v/>
      </c>
      <c r="V1336" s="2309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59" t="s">
        <v>2053</v>
      </c>
      <c r="C1337" s="1189" t="str">
        <f t="shared" ca="1" si="276"/>
        <v xml:space="preserve"> </v>
      </c>
      <c r="D1337" s="1240"/>
      <c r="E1337" s="1246" t="str">
        <f>VLOOKUP($B1337,DG!A:D,DG!$C$2,)</f>
        <v>Yếm cáp dày 2mm</v>
      </c>
      <c r="F1337" s="1240" t="str">
        <f>VLOOKUP($B1337,DG!A:D,DG!$D$2,)</f>
        <v>cái</v>
      </c>
      <c r="G1337" s="1918">
        <v>2</v>
      </c>
      <c r="H1337" s="1244">
        <f t="shared" ca="1" si="283"/>
        <v>0</v>
      </c>
      <c r="I1337" s="1244">
        <f t="shared" ca="1" si="284"/>
        <v>0</v>
      </c>
      <c r="J1337" s="1244">
        <f t="shared" ca="1" si="282"/>
        <v>0</v>
      </c>
      <c r="K1337" s="1244"/>
      <c r="L1337" s="1244"/>
      <c r="M1337" s="1244"/>
      <c r="N1337" s="1244"/>
      <c r="O1337" s="1244"/>
      <c r="P1337" s="1244"/>
      <c r="Q1337" s="1244"/>
      <c r="R1337" s="1244"/>
      <c r="S1337" s="1244"/>
      <c r="T1337" s="1671"/>
      <c r="U1337" s="1664" t="str">
        <f>IFERROR(VLOOKUP(B1337,ChiTietDuToan!C:H,5,0),"")</f>
        <v>cái</v>
      </c>
      <c r="V1337" s="2309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59" t="s">
        <v>2054</v>
      </c>
      <c r="C1338" s="1189" t="str">
        <f t="shared" ca="1" si="276"/>
        <v xml:space="preserve"> </v>
      </c>
      <c r="D1338" s="1240"/>
      <c r="E1338" s="1246" t="str">
        <f>VLOOKUP($B1338,DG!A:D,DG!$C$2,)</f>
        <v>Máng che dây chằng dày 1,6mm</v>
      </c>
      <c r="F1338" s="1240" t="str">
        <f>VLOOKUP($B1338,DG!A:D,DG!$D$2,)</f>
        <v>cái</v>
      </c>
      <c r="G1338" s="1918">
        <v>1</v>
      </c>
      <c r="H1338" s="1244">
        <f t="shared" ca="1" si="283"/>
        <v>0</v>
      </c>
      <c r="I1338" s="1244">
        <f t="shared" ca="1" si="284"/>
        <v>0</v>
      </c>
      <c r="J1338" s="1244">
        <f t="shared" ca="1" si="282"/>
        <v>0</v>
      </c>
      <c r="K1338" s="1244"/>
      <c r="L1338" s="1244"/>
      <c r="M1338" s="1244"/>
      <c r="N1338" s="1244"/>
      <c r="O1338" s="1244"/>
      <c r="P1338" s="1244"/>
      <c r="Q1338" s="1244"/>
      <c r="R1338" s="1244"/>
      <c r="S1338" s="1244"/>
      <c r="T1338" s="1671"/>
      <c r="U1338" s="1664" t="str">
        <f>IFERROR(VLOOKUP(B1338,ChiTietDuToan!C:H,5,0),"")</f>
        <v>cái</v>
      </c>
      <c r="V1338" s="2309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59" t="s">
        <v>1971</v>
      </c>
      <c r="C1339" s="1189" t="str">
        <f t="shared" si="276"/>
        <v xml:space="preserve"> </v>
      </c>
      <c r="D1339" s="1240" t="str">
        <f>VLOOKUP($B1339,DG!A:D,DG!$B$2,)</f>
        <v>06.3241</v>
      </c>
      <c r="E1339" s="1241" t="str">
        <f>VLOOKUP($B1339,DG!A:D,DG!$C$2,)</f>
        <v>Lắp bộ dây néo</v>
      </c>
      <c r="F1339" s="1240" t="str">
        <f>VLOOKUP($B1339,DG!A:D,DG!$D$2,)</f>
        <v>bộ</v>
      </c>
      <c r="G1339" s="1918">
        <f>G1330</f>
        <v>1</v>
      </c>
      <c r="H1339" s="1247"/>
      <c r="I1339" s="1247"/>
      <c r="J1339" s="1247"/>
      <c r="K1339" s="1247"/>
      <c r="L1339" s="1247"/>
      <c r="M1339" s="1247"/>
      <c r="N1339" s="1247"/>
      <c r="O1339" s="1247"/>
      <c r="P1339" s="1247"/>
      <c r="Q1339" s="1247"/>
      <c r="R1339" s="1247"/>
      <c r="S1339" s="1247"/>
      <c r="T1339" s="1671"/>
      <c r="U1339" s="1664" t="str">
        <f>IFERROR(VLOOKUP(B1339,ChiTietDuToan!C:H,5,0),"")</f>
        <v>bộ</v>
      </c>
      <c r="V1339" s="2309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59" t="s">
        <v>686</v>
      </c>
      <c r="C1340" s="1189" t="str">
        <f t="shared" si="276"/>
        <v xml:space="preserve"> </v>
      </c>
      <c r="D1340" s="1240" t="str">
        <f>VLOOKUP($B1340,DG!A:D,DG!$B$2,)</f>
        <v>06.2110</v>
      </c>
      <c r="E1340" s="1241" t="str">
        <f>VLOOKUP($B1340,DG!A:D,DG!$C$2,)</f>
        <v>Lắp cổ dề</v>
      </c>
      <c r="F1340" s="1240" t="str">
        <f>VLOOKUP($B1340,DG!A:D,DG!$D$2,)</f>
        <v>cái</v>
      </c>
      <c r="G1340" s="1918">
        <v>1</v>
      </c>
      <c r="H1340" s="1247"/>
      <c r="I1340" s="1247"/>
      <c r="J1340" s="1247"/>
      <c r="K1340" s="1247"/>
      <c r="L1340" s="1247"/>
      <c r="M1340" s="1247"/>
      <c r="N1340" s="1247"/>
      <c r="O1340" s="1247"/>
      <c r="P1340" s="1247"/>
      <c r="Q1340" s="1247"/>
      <c r="R1340" s="1247"/>
      <c r="S1340" s="1247"/>
      <c r="T1340" s="1671"/>
      <c r="U1340" s="1664" t="str">
        <f>IFERROR(VLOOKUP(B1340,ChiTietDuToan!C:H,5,0),"")</f>
        <v/>
      </c>
      <c r="V1340" s="2309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74" t="s">
        <v>357</v>
      </c>
      <c r="C1341" s="1189" t="str">
        <f t="shared" si="276"/>
        <v xml:space="preserve"> </v>
      </c>
      <c r="D1341" s="1240" t="str">
        <f>VLOOKUP($B1341,DG!A:C,2,)</f>
        <v>02.1421</v>
      </c>
      <c r="E1341" s="1241" t="str">
        <f>VLOOKUP($B1341,DG!A:C,3,)</f>
        <v>V/c phụ kiện vào vị trí (cự ly &lt;=100m)</v>
      </c>
      <c r="F1341" s="1240" t="str">
        <f>VLOOKUP($B1341,DG!A:D,4,0)</f>
        <v>tấn</v>
      </c>
      <c r="G1341" s="1917">
        <v>0.02</v>
      </c>
      <c r="H1341" s="1247"/>
      <c r="I1341" s="1247"/>
      <c r="J1341" s="1247"/>
      <c r="K1341" s="1247"/>
      <c r="L1341" s="1247"/>
      <c r="M1341" s="1247"/>
      <c r="N1341" s="1247"/>
      <c r="O1341" s="1247"/>
      <c r="P1341" s="1247"/>
      <c r="Q1341" s="1247"/>
      <c r="R1341" s="1247"/>
      <c r="S1341" s="1247"/>
      <c r="T1341" s="1671"/>
      <c r="U1341" s="1664" t="str">
        <f>IFERROR(VLOOKUP(B1341,ChiTietDuToan!C:H,5,0),"")</f>
        <v>tấn</v>
      </c>
      <c r="V1341" s="2309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56"/>
      <c r="C1342" s="1189" t="str">
        <f t="shared" ca="1" si="276"/>
        <v xml:space="preserve"> </v>
      </c>
      <c r="D1342" s="1237"/>
      <c r="E1342" s="1666" t="s">
        <v>2551</v>
      </c>
      <c r="F1342" s="1238" t="s">
        <v>2449</v>
      </c>
      <c r="G1342" s="1912"/>
      <c r="H1342" s="1523">
        <f ca="1">SUM(I1342:O1342)+T1342</f>
        <v>0</v>
      </c>
      <c r="I1342" s="1239">
        <f ca="1">SUMIF(chang3pm,chitiet!$A1342,slchang3pm)</f>
        <v>0</v>
      </c>
      <c r="J1342" s="1239">
        <f ca="1">SUMIF(changct,chitiet!$A1342,slchangct)</f>
        <v>0</v>
      </c>
      <c r="K1342" s="1239"/>
      <c r="L1342" s="1239">
        <f>IFERROR(HLOOKUP(A1342,pp1p!$6:$90,85,0),0)</f>
        <v>0</v>
      </c>
      <c r="M1342" s="1239"/>
      <c r="N1342" s="1239"/>
      <c r="O1342" s="1239"/>
      <c r="P1342" s="1239">
        <f ca="1">H1342+Q1342-R1342</f>
        <v>0</v>
      </c>
      <c r="Q1342" s="1239"/>
      <c r="R1342" s="1239"/>
      <c r="S1342" s="1239"/>
      <c r="T1342" s="1671"/>
      <c r="U1342" s="1664">
        <f>IFERROR(VLOOKUP(B1342,ChiTietDuToan!C:H,5,0),"")</f>
        <v>0</v>
      </c>
      <c r="V1342" s="2309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59" t="s">
        <v>674</v>
      </c>
      <c r="C1343" s="1189" t="str">
        <f t="shared" ca="1" si="276"/>
        <v xml:space="preserve"> </v>
      </c>
      <c r="D1343" s="1236"/>
      <c r="E1343" s="1248" t="str">
        <f>VLOOKUP($B1343,DG!A:D,DG!$C$2,)&amp;"-Fe8x100 nhuùng keõm"</f>
        <v>Cổ dê Ø 195 nẹp trụ-Fe8x100 nhuùng keõm</v>
      </c>
      <c r="F1343" s="1236" t="str">
        <f>VLOOKUP($B1343,DG!A:D,DG!$D$2,)</f>
        <v>bộ</v>
      </c>
      <c r="G1343" s="1915">
        <v>1</v>
      </c>
      <c r="H1343" s="1245">
        <f t="shared" ref="H1343:H1350" ca="1" si="285">H$1342*$G1343</f>
        <v>0</v>
      </c>
      <c r="I1343" s="1245">
        <f t="shared" ref="I1343:N1350" ca="1" si="286">I$1342*$G1343</f>
        <v>0</v>
      </c>
      <c r="J1343" s="1245">
        <f t="shared" ca="1" si="286"/>
        <v>0</v>
      </c>
      <c r="K1343" s="1245">
        <f t="shared" si="286"/>
        <v>0</v>
      </c>
      <c r="L1343" s="1245">
        <f t="shared" si="286"/>
        <v>0</v>
      </c>
      <c r="M1343" s="1245">
        <f t="shared" si="286"/>
        <v>0</v>
      </c>
      <c r="N1343" s="1245">
        <f t="shared" si="286"/>
        <v>0</v>
      </c>
      <c r="O1343" s="1245"/>
      <c r="P1343" s="1245"/>
      <c r="Q1343" s="1245"/>
      <c r="R1343" s="1245"/>
      <c r="S1343" s="1245"/>
      <c r="T1343" s="1671"/>
      <c r="U1343" s="1664" t="str">
        <f>IFERROR(VLOOKUP(B1343,ChiTietDuToan!C:H,5,0),"")</f>
        <v/>
      </c>
      <c r="V1343" s="2309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59" t="s">
        <v>112</v>
      </c>
      <c r="C1344" s="1189" t="str">
        <f t="shared" ca="1" si="276"/>
        <v xml:space="preserve"> </v>
      </c>
      <c r="D1344" s="1236"/>
      <c r="E1344" s="1248" t="str">
        <f>VLOOKUP($B1344,DG!A:D,DG!$C$2,)</f>
        <v>Sứ chằng</v>
      </c>
      <c r="F1344" s="1236" t="str">
        <f>VLOOKUP($B1344,DG!A:D,DG!$D$2,)</f>
        <v>cái</v>
      </c>
      <c r="G1344" s="1915">
        <v>2</v>
      </c>
      <c r="H1344" s="1245">
        <f t="shared" ca="1" si="285"/>
        <v>0</v>
      </c>
      <c r="I1344" s="1245">
        <f t="shared" ca="1" si="286"/>
        <v>0</v>
      </c>
      <c r="J1344" s="1245">
        <f t="shared" ca="1" si="286"/>
        <v>0</v>
      </c>
      <c r="K1344" s="1245">
        <f t="shared" si="286"/>
        <v>0</v>
      </c>
      <c r="L1344" s="1245">
        <f t="shared" si="286"/>
        <v>0</v>
      </c>
      <c r="M1344" s="1245">
        <f t="shared" si="286"/>
        <v>0</v>
      </c>
      <c r="N1344" s="1245">
        <f t="shared" si="286"/>
        <v>0</v>
      </c>
      <c r="O1344" s="1245"/>
      <c r="P1344" s="1245"/>
      <c r="Q1344" s="1245"/>
      <c r="R1344" s="1245"/>
      <c r="S1344" s="1245"/>
      <c r="T1344" s="1671"/>
      <c r="U1344" s="1664" t="str">
        <f>IFERROR(VLOOKUP(B1344,ChiTietDuToan!C:H,5,0),"")</f>
        <v>cái</v>
      </c>
      <c r="V1344" s="2309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59" t="s">
        <v>1630</v>
      </c>
      <c r="C1345" s="1189" t="str">
        <f t="shared" ca="1" si="276"/>
        <v xml:space="preserve"> </v>
      </c>
      <c r="D1345" s="1236"/>
      <c r="E1345" s="1248" t="str">
        <f>VLOOKUP($B1345,DG!A:D,DG!$C$2,)</f>
        <v>Kẹp cáp 3 boulon</v>
      </c>
      <c r="F1345" s="1236" t="str">
        <f>VLOOKUP($B1345,DG!A:D,DG!$D$2,)</f>
        <v>cái</v>
      </c>
      <c r="G1345" s="1915">
        <v>12</v>
      </c>
      <c r="H1345" s="1245">
        <f t="shared" ca="1" si="285"/>
        <v>0</v>
      </c>
      <c r="I1345" s="1245">
        <f t="shared" ca="1" si="286"/>
        <v>0</v>
      </c>
      <c r="J1345" s="1245">
        <f t="shared" ca="1" si="286"/>
        <v>0</v>
      </c>
      <c r="K1345" s="1245">
        <f t="shared" si="286"/>
        <v>0</v>
      </c>
      <c r="L1345" s="1245">
        <f t="shared" si="286"/>
        <v>0</v>
      </c>
      <c r="M1345" s="1245">
        <f t="shared" si="286"/>
        <v>0</v>
      </c>
      <c r="N1345" s="1245">
        <f t="shared" si="286"/>
        <v>0</v>
      </c>
      <c r="O1345" s="1245"/>
      <c r="P1345" s="1245"/>
      <c r="Q1345" s="1245"/>
      <c r="R1345" s="1245"/>
      <c r="S1345" s="1245"/>
      <c r="T1345" s="1671"/>
      <c r="U1345" s="1664" t="str">
        <f>IFERROR(VLOOKUP(B1345,ChiTietDuToan!C:H,5,0),"")</f>
        <v>cái</v>
      </c>
      <c r="V1345" s="2309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80" t="str">
        <f>$B$1549</f>
        <v>KH4/0</v>
      </c>
      <c r="C1346" s="1189" t="str">
        <f t="shared" ca="1" si="276"/>
        <v xml:space="preserve"> </v>
      </c>
      <c r="D1346" s="1236"/>
      <c r="E1346" s="1248" t="str">
        <f>VLOOKUP($B1346,DG!A:D,DG!$C$2,)</f>
        <v>Kẹp hotline 4/0</v>
      </c>
      <c r="F1346" s="1236" t="str">
        <f>VLOOKUP($B1346,DG!A:D,DG!$D$2,)</f>
        <v>cái</v>
      </c>
      <c r="G1346" s="1915">
        <v>6</v>
      </c>
      <c r="H1346" s="1245">
        <f t="shared" ca="1" si="285"/>
        <v>0</v>
      </c>
      <c r="I1346" s="1245">
        <f t="shared" ca="1" si="286"/>
        <v>0</v>
      </c>
      <c r="J1346" s="1245">
        <f t="shared" ca="1" si="286"/>
        <v>0</v>
      </c>
      <c r="K1346" s="1245">
        <f t="shared" si="286"/>
        <v>0</v>
      </c>
      <c r="L1346" s="1245">
        <f t="shared" si="286"/>
        <v>0</v>
      </c>
      <c r="M1346" s="1245">
        <f t="shared" si="286"/>
        <v>0</v>
      </c>
      <c r="N1346" s="1245">
        <f t="shared" si="286"/>
        <v>0</v>
      </c>
      <c r="O1346" s="1245"/>
      <c r="P1346" s="1245"/>
      <c r="Q1346" s="1245"/>
      <c r="R1346" s="1245"/>
      <c r="S1346" s="1245"/>
      <c r="T1346" s="1671"/>
      <c r="U1346" s="1664" t="str">
        <f>IFERROR(VLOOKUP(B1346,ChiTietDuToan!C:H,5,0),"")</f>
        <v>cái</v>
      </c>
      <c r="V1346" s="2309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59" t="s">
        <v>280</v>
      </c>
      <c r="C1347" s="1189" t="str">
        <f t="shared" ca="1" si="276"/>
        <v xml:space="preserve"> </v>
      </c>
      <c r="D1347" s="1236"/>
      <c r="E1347" s="1248" t="str">
        <f>VLOOKUP($B1347,DG!A:D,DG!$C$2,)</f>
        <v>Sắt dẹt 60 x 6</v>
      </c>
      <c r="F1347" s="1236" t="str">
        <f>VLOOKUP($B1347,DG!A:D,DG!$D$2,)</f>
        <v>kg</v>
      </c>
      <c r="G1347" s="1915">
        <v>2</v>
      </c>
      <c r="H1347" s="1245">
        <f t="shared" ca="1" si="285"/>
        <v>0</v>
      </c>
      <c r="I1347" s="1245">
        <f t="shared" ca="1" si="286"/>
        <v>0</v>
      </c>
      <c r="J1347" s="1245">
        <f t="shared" ca="1" si="286"/>
        <v>0</v>
      </c>
      <c r="K1347" s="1245">
        <f t="shared" si="286"/>
        <v>0</v>
      </c>
      <c r="L1347" s="1245">
        <f t="shared" si="286"/>
        <v>0</v>
      </c>
      <c r="M1347" s="1245">
        <f t="shared" si="286"/>
        <v>0</v>
      </c>
      <c r="N1347" s="1245">
        <f t="shared" si="286"/>
        <v>0</v>
      </c>
      <c r="O1347" s="1245"/>
      <c r="P1347" s="1245"/>
      <c r="Q1347" s="1245"/>
      <c r="R1347" s="1245"/>
      <c r="S1347" s="1245"/>
      <c r="T1347" s="1671"/>
      <c r="U1347" s="1664" t="str">
        <f>IFERROR(VLOOKUP(B1347,ChiTietDuToan!C:H,5,0),"")</f>
        <v/>
      </c>
      <c r="V1347" s="2309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59" t="s">
        <v>1404</v>
      </c>
      <c r="C1348" s="1189" t="str">
        <f t="shared" ca="1" si="276"/>
        <v xml:space="preserve"> </v>
      </c>
      <c r="D1348" s="1236"/>
      <c r="E1348" s="1248" t="str">
        <f>VLOOKUP($B1348,DG!A:D,DG!$C$2,)</f>
        <v xml:space="preserve">Móc treo chữ U </v>
      </c>
      <c r="F1348" s="1236" t="str">
        <f>VLOOKUP($B1348,DG!A:D,DG!$D$2,)</f>
        <v>cái</v>
      </c>
      <c r="G1348" s="1915">
        <v>2</v>
      </c>
      <c r="H1348" s="1245">
        <f t="shared" ca="1" si="285"/>
        <v>0</v>
      </c>
      <c r="I1348" s="1245">
        <f t="shared" ca="1" si="286"/>
        <v>0</v>
      </c>
      <c r="J1348" s="1245">
        <f t="shared" ca="1" si="286"/>
        <v>0</v>
      </c>
      <c r="K1348" s="1245">
        <f t="shared" si="286"/>
        <v>0</v>
      </c>
      <c r="L1348" s="1245">
        <f t="shared" si="286"/>
        <v>0</v>
      </c>
      <c r="M1348" s="1245">
        <f t="shared" si="286"/>
        <v>0</v>
      </c>
      <c r="N1348" s="1245">
        <f t="shared" si="286"/>
        <v>0</v>
      </c>
      <c r="O1348" s="1245"/>
      <c r="P1348" s="1245"/>
      <c r="Q1348" s="1245"/>
      <c r="R1348" s="1245"/>
      <c r="S1348" s="1245"/>
      <c r="T1348" s="1671"/>
      <c r="U1348" s="1664" t="str">
        <f>IFERROR(VLOOKUP(B1348,ChiTietDuToan!C:H,5,0),"")</f>
        <v>cái</v>
      </c>
      <c r="V1348" s="2309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81" t="s">
        <v>1944</v>
      </c>
      <c r="C1349" s="1189" t="str">
        <f t="shared" ca="1" si="276"/>
        <v xml:space="preserve"> </v>
      </c>
      <c r="D1349" s="1236"/>
      <c r="E1349" s="1248" t="str">
        <f>VLOOKUP($B1349,DG!A:D,DG!$C$2,)</f>
        <v>Boulon 16x100VRS+ 4 long đền vuông D18-50x50x3/Zn</v>
      </c>
      <c r="F1349" s="1236" t="str">
        <f>VLOOKUP($B1349,DG!A:D,DG!$D$2,)</f>
        <v>bộ</v>
      </c>
      <c r="G1349" s="1915">
        <v>2</v>
      </c>
      <c r="H1349" s="1245">
        <f t="shared" ca="1" si="285"/>
        <v>0</v>
      </c>
      <c r="I1349" s="1245">
        <f t="shared" ca="1" si="286"/>
        <v>0</v>
      </c>
      <c r="J1349" s="1245">
        <f t="shared" ca="1" si="286"/>
        <v>0</v>
      </c>
      <c r="K1349" s="1245">
        <f t="shared" si="286"/>
        <v>0</v>
      </c>
      <c r="L1349" s="1245">
        <f t="shared" si="286"/>
        <v>0</v>
      </c>
      <c r="M1349" s="1245">
        <f t="shared" si="286"/>
        <v>0</v>
      </c>
      <c r="N1349" s="1245">
        <f t="shared" si="286"/>
        <v>0</v>
      </c>
      <c r="O1349" s="1245"/>
      <c r="P1349" s="1245"/>
      <c r="Q1349" s="1245"/>
      <c r="R1349" s="1245"/>
      <c r="S1349" s="1245"/>
      <c r="T1349" s="1671"/>
      <c r="U1349" s="1664" t="str">
        <f>IFERROR(VLOOKUP(B1349,ChiTietDuToan!C:H,5,0),"")</f>
        <v/>
      </c>
      <c r="V1349" s="2309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59" t="s">
        <v>2053</v>
      </c>
      <c r="C1350" s="1189" t="str">
        <f t="shared" ca="1" si="276"/>
        <v xml:space="preserve"> </v>
      </c>
      <c r="D1350" s="1236"/>
      <c r="E1350" s="1248" t="str">
        <f>VLOOKUP($B1350,DG!A:D,DG!$C$2,)</f>
        <v>Yếm cáp dày 2mm</v>
      </c>
      <c r="F1350" s="1236" t="str">
        <f>VLOOKUP($B1350,DG!A:D,DG!$D$2,)</f>
        <v>cái</v>
      </c>
      <c r="G1350" s="1915">
        <v>2</v>
      </c>
      <c r="H1350" s="1245">
        <f t="shared" ca="1" si="285"/>
        <v>0</v>
      </c>
      <c r="I1350" s="1245">
        <f t="shared" ca="1" si="286"/>
        <v>0</v>
      </c>
      <c r="J1350" s="1245">
        <f t="shared" ca="1" si="286"/>
        <v>0</v>
      </c>
      <c r="K1350" s="1245">
        <f t="shared" si="286"/>
        <v>0</v>
      </c>
      <c r="L1350" s="1245">
        <f t="shared" si="286"/>
        <v>0</v>
      </c>
      <c r="M1350" s="1245">
        <f t="shared" si="286"/>
        <v>0</v>
      </c>
      <c r="N1350" s="1245">
        <f t="shared" si="286"/>
        <v>0</v>
      </c>
      <c r="O1350" s="1245"/>
      <c r="P1350" s="1245"/>
      <c r="Q1350" s="1245"/>
      <c r="R1350" s="1245"/>
      <c r="S1350" s="1245"/>
      <c r="T1350" s="1671"/>
      <c r="U1350" s="1664" t="str">
        <f>IFERROR(VLOOKUP(B1350,ChiTietDuToan!C:H,5,0),"")</f>
        <v>cái</v>
      </c>
      <c r="V1350" s="2309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59" t="s">
        <v>1971</v>
      </c>
      <c r="C1351" s="1189" t="str">
        <f t="shared" si="276"/>
        <v xml:space="preserve"> </v>
      </c>
      <c r="D1351" s="1236" t="str">
        <f>VLOOKUP($B1351,DG!A:D,DG!$B$2,)</f>
        <v>06.3241</v>
      </c>
      <c r="E1351" s="1241" t="str">
        <f>VLOOKUP($B1351,DG!A:D,DG!$C$2,)</f>
        <v>Lắp bộ dây néo</v>
      </c>
      <c r="F1351" s="1236" t="str">
        <f>VLOOKUP($B1351,DG!A:D,DG!$D$2,)</f>
        <v>bộ</v>
      </c>
      <c r="G1351" s="1915">
        <f>G1343</f>
        <v>1</v>
      </c>
      <c r="H1351" s="1250"/>
      <c r="I1351" s="1250"/>
      <c r="J1351" s="1250"/>
      <c r="K1351" s="1250"/>
      <c r="L1351" s="1250"/>
      <c r="M1351" s="1250"/>
      <c r="N1351" s="1250"/>
      <c r="O1351" s="1250"/>
      <c r="P1351" s="1250"/>
      <c r="Q1351" s="1250"/>
      <c r="R1351" s="1250"/>
      <c r="S1351" s="1250"/>
      <c r="T1351" s="1671"/>
      <c r="U1351" s="1664" t="str">
        <f>IFERROR(VLOOKUP(B1351,ChiTietDuToan!C:H,5,0),"")</f>
        <v>bộ</v>
      </c>
      <c r="V1351" s="2309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59" t="s">
        <v>686</v>
      </c>
      <c r="C1352" s="1189" t="str">
        <f t="shared" si="276"/>
        <v xml:space="preserve"> </v>
      </c>
      <c r="D1352" s="1236" t="str">
        <f>VLOOKUP($B1352,DG!A:D,DG!$B$2,)</f>
        <v>06.2110</v>
      </c>
      <c r="E1352" s="1241" t="str">
        <f>VLOOKUP($B1352,DG!A:D,DG!$C$2,)</f>
        <v>Lắp cổ dề</v>
      </c>
      <c r="F1352" s="1236" t="str">
        <f>VLOOKUP($B1352,DG!A:D,DG!$D$2,)</f>
        <v>cái</v>
      </c>
      <c r="G1352" s="1915">
        <v>1</v>
      </c>
      <c r="H1352" s="1250"/>
      <c r="I1352" s="1250"/>
      <c r="J1352" s="1250"/>
      <c r="K1352" s="1250"/>
      <c r="L1352" s="1250"/>
      <c r="M1352" s="1250"/>
      <c r="N1352" s="1250"/>
      <c r="O1352" s="1250"/>
      <c r="P1352" s="1250"/>
      <c r="Q1352" s="1250"/>
      <c r="R1352" s="1250"/>
      <c r="S1352" s="1250"/>
      <c r="T1352" s="1671"/>
      <c r="U1352" s="1664" t="str">
        <f>IFERROR(VLOOKUP(B1352,ChiTietDuToan!C:H,5,0),"")</f>
        <v/>
      </c>
      <c r="V1352" s="2309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74" t="s">
        <v>357</v>
      </c>
      <c r="C1353" s="1189" t="str">
        <f t="shared" si="276"/>
        <v xml:space="preserve"> </v>
      </c>
      <c r="D1353" s="1236" t="str">
        <f>VLOOKUP($B1353,DG!A:C,2,)</f>
        <v>02.1421</v>
      </c>
      <c r="E1353" s="1241" t="str">
        <f>VLOOKUP($B1353,DG!A:C,3,)</f>
        <v>V/c phụ kiện vào vị trí (cự ly &lt;=100m)</v>
      </c>
      <c r="F1353" s="1236" t="str">
        <f>VLOOKUP($B1353,DG!A:D,4,0)</f>
        <v>tấn</v>
      </c>
      <c r="G1353" s="1914">
        <v>0.02</v>
      </c>
      <c r="H1353" s="1250"/>
      <c r="I1353" s="1250"/>
      <c r="J1353" s="1250"/>
      <c r="K1353" s="1250"/>
      <c r="L1353" s="1250"/>
      <c r="M1353" s="1250"/>
      <c r="N1353" s="1250"/>
      <c r="O1353" s="1250"/>
      <c r="P1353" s="1250"/>
      <c r="Q1353" s="1250"/>
      <c r="R1353" s="1250"/>
      <c r="S1353" s="1250"/>
      <c r="T1353" s="1671"/>
      <c r="U1353" s="1664" t="str">
        <f>IFERROR(VLOOKUP(B1353,ChiTietDuToan!C:H,5,0),"")</f>
        <v>tấn</v>
      </c>
      <c r="V1353" s="2309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56"/>
      <c r="C1354" s="1189" t="str">
        <f t="shared" ca="1" si="276"/>
        <v xml:space="preserve"> </v>
      </c>
      <c r="D1354" s="1237"/>
      <c r="E1354" s="1666" t="s">
        <v>2552</v>
      </c>
      <c r="F1354" s="1238" t="s">
        <v>2449</v>
      </c>
      <c r="G1354" s="1912"/>
      <c r="H1354" s="1523">
        <f ca="1">SUM(I1354:O1354)+T1354</f>
        <v>0</v>
      </c>
      <c r="I1354" s="1239">
        <f ca="1">SUMIF(chang3pm,chitiet!$A1354,slchang3pm)</f>
        <v>0</v>
      </c>
      <c r="J1354" s="1239">
        <f ca="1">SUMIF(changct,chitiet!$A1354,slchangct)</f>
        <v>0</v>
      </c>
      <c r="K1354" s="1239"/>
      <c r="L1354" s="1239">
        <f>IFERROR(HLOOKUP(A1354,pp1p!$6:$90,85,0),0)</f>
        <v>0</v>
      </c>
      <c r="M1354" s="1239"/>
      <c r="N1354" s="1239"/>
      <c r="O1354" s="1239"/>
      <c r="P1354" s="1239">
        <f ca="1">H1354+Q1354-R1354</f>
        <v>0</v>
      </c>
      <c r="Q1354" s="1239"/>
      <c r="R1354" s="1239"/>
      <c r="S1354" s="1239"/>
      <c r="T1354" s="1671"/>
      <c r="U1354" s="1664">
        <f>IFERROR(VLOOKUP(B1354,ChiTietDuToan!C:H,5,0),"")</f>
        <v>0</v>
      </c>
      <c r="V1354" s="2309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59" t="s">
        <v>674</v>
      </c>
      <c r="C1355" s="1189" t="str">
        <f t="shared" ca="1" si="276"/>
        <v xml:space="preserve"> </v>
      </c>
      <c r="D1355" s="1236"/>
      <c r="E1355" s="1248" t="str">
        <f>VLOOKUP($B1355,DG!A:D,DG!$C$2,)&amp;"-Fe8x100 nhuùng keõm"</f>
        <v>Cổ dê Ø 195 nẹp trụ-Fe8x100 nhuùng keõm</v>
      </c>
      <c r="F1355" s="1236" t="str">
        <f>VLOOKUP($B1355,DG!A:D,DG!$D$2,)</f>
        <v>bộ</v>
      </c>
      <c r="G1355" s="1915">
        <v>2</v>
      </c>
      <c r="H1355" s="1245">
        <f t="shared" ref="H1355:H1362" ca="1" si="287">H$1354*$G1355</f>
        <v>0</v>
      </c>
      <c r="I1355" s="1245">
        <f t="shared" ref="I1355:N1362" ca="1" si="288">I$1354*$G1355</f>
        <v>0</v>
      </c>
      <c r="J1355" s="1245">
        <f t="shared" ca="1" si="288"/>
        <v>0</v>
      </c>
      <c r="K1355" s="1245">
        <f t="shared" si="288"/>
        <v>0</v>
      </c>
      <c r="L1355" s="1245">
        <f t="shared" si="288"/>
        <v>0</v>
      </c>
      <c r="M1355" s="1245">
        <f t="shared" si="288"/>
        <v>0</v>
      </c>
      <c r="N1355" s="1245">
        <f t="shared" si="288"/>
        <v>0</v>
      </c>
      <c r="O1355" s="1245"/>
      <c r="P1355" s="1245"/>
      <c r="Q1355" s="1245"/>
      <c r="R1355" s="1245"/>
      <c r="S1355" s="1245"/>
      <c r="T1355" s="1671"/>
      <c r="U1355" s="1664" t="str">
        <f>IFERROR(VLOOKUP(B1355,ChiTietDuToan!C:H,5,0),"")</f>
        <v/>
      </c>
      <c r="V1355" s="2309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59" t="s">
        <v>112</v>
      </c>
      <c r="C1356" s="1189" t="str">
        <f t="shared" ca="1" si="276"/>
        <v xml:space="preserve"> </v>
      </c>
      <c r="D1356" s="1236"/>
      <c r="E1356" s="1248" t="str">
        <f>VLOOKUP($B1356,DG!A:D,DG!$C$2,)</f>
        <v>Sứ chằng</v>
      </c>
      <c r="F1356" s="1236" t="str">
        <f>VLOOKUP($B1356,DG!A:D,DG!$D$2,)</f>
        <v>cái</v>
      </c>
      <c r="G1356" s="1915">
        <v>4</v>
      </c>
      <c r="H1356" s="1245">
        <f t="shared" ca="1" si="287"/>
        <v>0</v>
      </c>
      <c r="I1356" s="1245">
        <f t="shared" ca="1" si="288"/>
        <v>0</v>
      </c>
      <c r="J1356" s="1245">
        <f t="shared" ca="1" si="288"/>
        <v>0</v>
      </c>
      <c r="K1356" s="1245">
        <f t="shared" si="288"/>
        <v>0</v>
      </c>
      <c r="L1356" s="1245">
        <f t="shared" si="288"/>
        <v>0</v>
      </c>
      <c r="M1356" s="1245">
        <f t="shared" si="288"/>
        <v>0</v>
      </c>
      <c r="N1356" s="1245">
        <f t="shared" si="288"/>
        <v>0</v>
      </c>
      <c r="O1356" s="1245"/>
      <c r="P1356" s="1245"/>
      <c r="Q1356" s="1245"/>
      <c r="R1356" s="1245"/>
      <c r="S1356" s="1245"/>
      <c r="T1356" s="1671"/>
      <c r="U1356" s="1664" t="str">
        <f>IFERROR(VLOOKUP(B1356,ChiTietDuToan!C:H,5,0),"")</f>
        <v>cái</v>
      </c>
      <c r="V1356" s="2309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59" t="s">
        <v>1630</v>
      </c>
      <c r="C1357" s="1189" t="str">
        <f t="shared" ca="1" si="276"/>
        <v xml:space="preserve"> </v>
      </c>
      <c r="D1357" s="1236"/>
      <c r="E1357" s="1248" t="str">
        <f>VLOOKUP($B1357,DG!A:D,DG!$C$2,)</f>
        <v>Kẹp cáp 3 boulon</v>
      </c>
      <c r="F1357" s="1236" t="str">
        <f>VLOOKUP($B1357,DG!A:D,DG!$D$2,)</f>
        <v>cái</v>
      </c>
      <c r="G1357" s="1915">
        <v>24</v>
      </c>
      <c r="H1357" s="1245">
        <f t="shared" ca="1" si="287"/>
        <v>0</v>
      </c>
      <c r="I1357" s="1245">
        <f t="shared" ca="1" si="288"/>
        <v>0</v>
      </c>
      <c r="J1357" s="1245">
        <f t="shared" ca="1" si="288"/>
        <v>0</v>
      </c>
      <c r="K1357" s="1245">
        <f t="shared" si="288"/>
        <v>0</v>
      </c>
      <c r="L1357" s="1245">
        <f t="shared" si="288"/>
        <v>0</v>
      </c>
      <c r="M1357" s="1245">
        <f t="shared" si="288"/>
        <v>0</v>
      </c>
      <c r="N1357" s="1245">
        <f t="shared" si="288"/>
        <v>0</v>
      </c>
      <c r="O1357" s="1245"/>
      <c r="P1357" s="1245"/>
      <c r="Q1357" s="1245"/>
      <c r="R1357" s="1245"/>
      <c r="S1357" s="1245"/>
      <c r="T1357" s="1671"/>
      <c r="U1357" s="1664" t="str">
        <f>IFERROR(VLOOKUP(B1357,ChiTietDuToan!C:H,5,0),"")</f>
        <v>cái</v>
      </c>
      <c r="V1357" s="2309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80" t="str">
        <f>$B$1549</f>
        <v>KH4/0</v>
      </c>
      <c r="C1358" s="1189" t="str">
        <f t="shared" ca="1" si="276"/>
        <v xml:space="preserve"> </v>
      </c>
      <c r="D1358" s="1236"/>
      <c r="E1358" s="1248" t="str">
        <f>VLOOKUP($B1358,DG!A:D,DG!$C$2,)</f>
        <v>Kẹp hotline 4/0</v>
      </c>
      <c r="F1358" s="1236" t="str">
        <f>VLOOKUP($B1358,DG!A:D,DG!$D$2,)</f>
        <v>cái</v>
      </c>
      <c r="G1358" s="1915">
        <v>12</v>
      </c>
      <c r="H1358" s="1245">
        <f t="shared" ca="1" si="287"/>
        <v>0</v>
      </c>
      <c r="I1358" s="1245">
        <f t="shared" ca="1" si="288"/>
        <v>0</v>
      </c>
      <c r="J1358" s="1245">
        <f t="shared" ca="1" si="288"/>
        <v>0</v>
      </c>
      <c r="K1358" s="1245">
        <f t="shared" si="288"/>
        <v>0</v>
      </c>
      <c r="L1358" s="1245">
        <f t="shared" si="288"/>
        <v>0</v>
      </c>
      <c r="M1358" s="1245">
        <f t="shared" si="288"/>
        <v>0</v>
      </c>
      <c r="N1358" s="1245">
        <f t="shared" si="288"/>
        <v>0</v>
      </c>
      <c r="O1358" s="1245"/>
      <c r="P1358" s="1245"/>
      <c r="Q1358" s="1245"/>
      <c r="R1358" s="1245"/>
      <c r="S1358" s="1245"/>
      <c r="T1358" s="1671"/>
      <c r="U1358" s="1664" t="str">
        <f>IFERROR(VLOOKUP(B1358,ChiTietDuToan!C:H,5,0),"")</f>
        <v>cái</v>
      </c>
      <c r="V1358" s="2309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59" t="s">
        <v>280</v>
      </c>
      <c r="C1359" s="1189" t="str">
        <f t="shared" ref="C1359:C1422" ca="1" si="289">IF(OR(P1359&lt;&gt;0,H1359&lt;&gt;0),"x"," ")</f>
        <v xml:space="preserve"> </v>
      </c>
      <c r="D1359" s="1236"/>
      <c r="E1359" s="1248" t="str">
        <f>VLOOKUP($B1359,DG!A:D,DG!$C$2,)</f>
        <v>Sắt dẹt 60 x 6</v>
      </c>
      <c r="F1359" s="1236" t="str">
        <f>VLOOKUP($B1359,DG!A:D,DG!$D$2,)</f>
        <v>kg</v>
      </c>
      <c r="G1359" s="1915">
        <v>8</v>
      </c>
      <c r="H1359" s="1245">
        <f t="shared" ca="1" si="287"/>
        <v>0</v>
      </c>
      <c r="I1359" s="1245">
        <f t="shared" ca="1" si="288"/>
        <v>0</v>
      </c>
      <c r="J1359" s="1245">
        <f t="shared" ca="1" si="288"/>
        <v>0</v>
      </c>
      <c r="K1359" s="1245">
        <f t="shared" si="288"/>
        <v>0</v>
      </c>
      <c r="L1359" s="1245">
        <f t="shared" si="288"/>
        <v>0</v>
      </c>
      <c r="M1359" s="1245">
        <f t="shared" si="288"/>
        <v>0</v>
      </c>
      <c r="N1359" s="1245">
        <f t="shared" si="288"/>
        <v>0</v>
      </c>
      <c r="O1359" s="1245"/>
      <c r="P1359" s="1245"/>
      <c r="Q1359" s="1245"/>
      <c r="R1359" s="1245"/>
      <c r="S1359" s="1245"/>
      <c r="T1359" s="1671"/>
      <c r="U1359" s="1664" t="str">
        <f>IFERROR(VLOOKUP(B1359,ChiTietDuToan!C:H,5,0),"")</f>
        <v/>
      </c>
      <c r="V1359" s="2309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59" t="s">
        <v>1404</v>
      </c>
      <c r="C1360" s="1189" t="str">
        <f t="shared" ca="1" si="289"/>
        <v xml:space="preserve"> </v>
      </c>
      <c r="D1360" s="1236"/>
      <c r="E1360" s="1248" t="str">
        <f>VLOOKUP($B1360,DG!A:D,DG!$C$2,)</f>
        <v xml:space="preserve">Móc treo chữ U </v>
      </c>
      <c r="F1360" s="1236" t="str">
        <f>VLOOKUP($B1360,DG!A:D,DG!$D$2,)</f>
        <v>cái</v>
      </c>
      <c r="G1360" s="1915">
        <v>6</v>
      </c>
      <c r="H1360" s="1245">
        <f t="shared" ca="1" si="287"/>
        <v>0</v>
      </c>
      <c r="I1360" s="1245">
        <f t="shared" ca="1" si="288"/>
        <v>0</v>
      </c>
      <c r="J1360" s="1245">
        <f t="shared" ca="1" si="288"/>
        <v>0</v>
      </c>
      <c r="K1360" s="1245">
        <f t="shared" si="288"/>
        <v>0</v>
      </c>
      <c r="L1360" s="1245">
        <f t="shared" si="288"/>
        <v>0</v>
      </c>
      <c r="M1360" s="1245">
        <f t="shared" si="288"/>
        <v>0</v>
      </c>
      <c r="N1360" s="1245">
        <f t="shared" si="288"/>
        <v>0</v>
      </c>
      <c r="O1360" s="1245"/>
      <c r="P1360" s="1245"/>
      <c r="Q1360" s="1245"/>
      <c r="R1360" s="1245"/>
      <c r="S1360" s="1245"/>
      <c r="T1360" s="1671"/>
      <c r="U1360" s="1664" t="str">
        <f>IFERROR(VLOOKUP(B1360,ChiTietDuToan!C:H,5,0),"")</f>
        <v>cái</v>
      </c>
      <c r="V1360" s="2309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81" t="s">
        <v>1944</v>
      </c>
      <c r="C1361" s="1189" t="str">
        <f t="shared" ca="1" si="289"/>
        <v xml:space="preserve"> </v>
      </c>
      <c r="D1361" s="1236"/>
      <c r="E1361" s="1248" t="str">
        <f>VLOOKUP($B1361,DG!A:D,DG!$C$2,)</f>
        <v>Boulon 16x100VRS+ 4 long đền vuông D18-50x50x3/Zn</v>
      </c>
      <c r="F1361" s="1236" t="str">
        <f>VLOOKUP($B1361,DG!A:D,DG!$D$2,)</f>
        <v>bộ</v>
      </c>
      <c r="G1361" s="1915">
        <v>4</v>
      </c>
      <c r="H1361" s="1245">
        <f t="shared" ca="1" si="287"/>
        <v>0</v>
      </c>
      <c r="I1361" s="1245">
        <f t="shared" ca="1" si="288"/>
        <v>0</v>
      </c>
      <c r="J1361" s="1245">
        <f t="shared" ca="1" si="288"/>
        <v>0</v>
      </c>
      <c r="K1361" s="1245">
        <f t="shared" si="288"/>
        <v>0</v>
      </c>
      <c r="L1361" s="1245">
        <f t="shared" si="288"/>
        <v>0</v>
      </c>
      <c r="M1361" s="1245">
        <f t="shared" si="288"/>
        <v>0</v>
      </c>
      <c r="N1361" s="1245">
        <f t="shared" si="288"/>
        <v>0</v>
      </c>
      <c r="O1361" s="1245"/>
      <c r="P1361" s="1245"/>
      <c r="Q1361" s="1245"/>
      <c r="R1361" s="1245"/>
      <c r="S1361" s="1245"/>
      <c r="T1361" s="1671"/>
      <c r="U1361" s="1664" t="str">
        <f>IFERROR(VLOOKUP(B1361,ChiTietDuToan!C:H,5,0),"")</f>
        <v/>
      </c>
      <c r="V1361" s="2309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59" t="s">
        <v>2053</v>
      </c>
      <c r="C1362" s="1189" t="str">
        <f t="shared" ca="1" si="289"/>
        <v xml:space="preserve"> </v>
      </c>
      <c r="D1362" s="1236"/>
      <c r="E1362" s="1248" t="str">
        <f>VLOOKUP($B1362,DG!A:D,DG!$C$2,)</f>
        <v>Yếm cáp dày 2mm</v>
      </c>
      <c r="F1362" s="1236" t="str">
        <f>VLOOKUP($B1362,DG!A:D,DG!$D$2,)</f>
        <v>cái</v>
      </c>
      <c r="G1362" s="1915">
        <v>4</v>
      </c>
      <c r="H1362" s="1245">
        <f t="shared" ca="1" si="287"/>
        <v>0</v>
      </c>
      <c r="I1362" s="1245">
        <f t="shared" ca="1" si="288"/>
        <v>0</v>
      </c>
      <c r="J1362" s="1245">
        <f t="shared" ca="1" si="288"/>
        <v>0</v>
      </c>
      <c r="K1362" s="1245">
        <f t="shared" si="288"/>
        <v>0</v>
      </c>
      <c r="L1362" s="1245">
        <f t="shared" si="288"/>
        <v>0</v>
      </c>
      <c r="M1362" s="1245">
        <f t="shared" si="288"/>
        <v>0</v>
      </c>
      <c r="N1362" s="1245">
        <f t="shared" si="288"/>
        <v>0</v>
      </c>
      <c r="O1362" s="1245"/>
      <c r="P1362" s="1245"/>
      <c r="Q1362" s="1245"/>
      <c r="R1362" s="1245"/>
      <c r="S1362" s="1245"/>
      <c r="T1362" s="1671"/>
      <c r="U1362" s="1664" t="str">
        <f>IFERROR(VLOOKUP(B1362,ChiTietDuToan!C:H,5,0),"")</f>
        <v>cái</v>
      </c>
      <c r="V1362" s="2309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59" t="s">
        <v>1971</v>
      </c>
      <c r="C1363" s="1189" t="str">
        <f t="shared" si="289"/>
        <v xml:space="preserve"> </v>
      </c>
      <c r="D1363" s="1236" t="str">
        <f>VLOOKUP($B1363,DG!A:D,DG!$B$2,)</f>
        <v>06.3241</v>
      </c>
      <c r="E1363" s="1241" t="str">
        <f>VLOOKUP($B1363,DG!A:D,DG!$C$2,)</f>
        <v>Lắp bộ dây néo</v>
      </c>
      <c r="F1363" s="1236" t="str">
        <f>VLOOKUP($B1363,DG!A:D,DG!$D$2,)</f>
        <v>bộ</v>
      </c>
      <c r="G1363" s="1915">
        <v>2</v>
      </c>
      <c r="H1363" s="1250"/>
      <c r="I1363" s="1250"/>
      <c r="J1363" s="1250"/>
      <c r="K1363" s="1250"/>
      <c r="L1363" s="1250"/>
      <c r="M1363" s="1250"/>
      <c r="N1363" s="1250"/>
      <c r="O1363" s="1250"/>
      <c r="P1363" s="1250"/>
      <c r="Q1363" s="1250"/>
      <c r="R1363" s="1250"/>
      <c r="S1363" s="1250"/>
      <c r="T1363" s="1671"/>
      <c r="U1363" s="1664" t="str">
        <f>IFERROR(VLOOKUP(B1363,ChiTietDuToan!C:H,5,0),"")</f>
        <v>bộ</v>
      </c>
      <c r="V1363" s="2309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59" t="s">
        <v>686</v>
      </c>
      <c r="C1364" s="1189" t="str">
        <f t="shared" si="289"/>
        <v xml:space="preserve"> </v>
      </c>
      <c r="D1364" s="1236" t="str">
        <f>VLOOKUP($B1364,DG!A:D,DG!$B$2,)</f>
        <v>06.2110</v>
      </c>
      <c r="E1364" s="1241" t="str">
        <f>VLOOKUP($B1364,DG!A:D,DG!$C$2,)</f>
        <v>Lắp cổ dề</v>
      </c>
      <c r="F1364" s="1236" t="str">
        <f>VLOOKUP($B1364,DG!A:D,DG!$D$2,)</f>
        <v>cái</v>
      </c>
      <c r="G1364" s="1915">
        <v>2</v>
      </c>
      <c r="H1364" s="1250"/>
      <c r="I1364" s="1250"/>
      <c r="J1364" s="1250"/>
      <c r="K1364" s="1250"/>
      <c r="L1364" s="1250"/>
      <c r="M1364" s="1250"/>
      <c r="N1364" s="1250"/>
      <c r="O1364" s="1250"/>
      <c r="P1364" s="1250"/>
      <c r="Q1364" s="1250"/>
      <c r="R1364" s="1250"/>
      <c r="S1364" s="1250"/>
      <c r="T1364" s="1671"/>
      <c r="U1364" s="1664" t="str">
        <f>IFERROR(VLOOKUP(B1364,ChiTietDuToan!C:H,5,0),"")</f>
        <v/>
      </c>
      <c r="V1364" s="2309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74" t="s">
        <v>357</v>
      </c>
      <c r="C1365" s="1189" t="str">
        <f t="shared" si="289"/>
        <v xml:space="preserve"> </v>
      </c>
      <c r="D1365" s="1236" t="str">
        <f>VLOOKUP($B1365,DG!A:C,2,)</f>
        <v>02.1421</v>
      </c>
      <c r="E1365" s="1241" t="str">
        <f>VLOOKUP($B1365,DG!A:C,3,)</f>
        <v>V/c phụ kiện vào vị trí (cự ly &lt;=100m)</v>
      </c>
      <c r="F1365" s="1236" t="str">
        <f>VLOOKUP($B1365,DG!A:D,4,0)</f>
        <v>tấn</v>
      </c>
      <c r="G1365" s="1914">
        <v>0.02</v>
      </c>
      <c r="H1365" s="1250"/>
      <c r="I1365" s="1250"/>
      <c r="J1365" s="1250"/>
      <c r="K1365" s="1250"/>
      <c r="L1365" s="1250"/>
      <c r="M1365" s="1250"/>
      <c r="N1365" s="1250"/>
      <c r="O1365" s="1250"/>
      <c r="P1365" s="1250"/>
      <c r="Q1365" s="1250"/>
      <c r="R1365" s="1250"/>
      <c r="S1365" s="1250"/>
      <c r="T1365" s="1671"/>
      <c r="U1365" s="1664" t="str">
        <f>IFERROR(VLOOKUP(B1365,ChiTietDuToan!C:H,5,0),"")</f>
        <v>tấn</v>
      </c>
      <c r="V1365" s="2309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63" t="s">
        <v>1544</v>
      </c>
      <c r="B1366" s="1954" t="str">
        <f>A1366</f>
        <v>NXX</v>
      </c>
      <c r="C1366" s="1189" t="str">
        <f t="shared" si="289"/>
        <v xml:space="preserve"> </v>
      </c>
      <c r="D1366" s="1237"/>
      <c r="E1366" s="1666" t="s">
        <v>2553</v>
      </c>
      <c r="F1366" s="1238" t="s">
        <v>2449</v>
      </c>
      <c r="G1366" s="1912"/>
      <c r="H1366" s="1523">
        <f>W1366</f>
        <v>0</v>
      </c>
      <c r="I1366" s="1239">
        <f ca="1">SUMIF(mongneo3pm,chitiet!$A1366,slmongneo3pm)</f>
        <v>0</v>
      </c>
      <c r="J1366" s="1239">
        <f ca="1">SUMIF(mongneoct,chitiet!$A1366,slmongneoct)</f>
        <v>0</v>
      </c>
      <c r="K1366" s="1239">
        <f ca="1">SUMIF(mongneo3p1m,chitiet!$A1366,slmongneo3p1m)</f>
        <v>0</v>
      </c>
      <c r="L1366" s="1239">
        <f>IFERROR(HLOOKUP(A1366,pp1p!$6:$90,85,0),0)</f>
        <v>0</v>
      </c>
      <c r="M1366" s="1239">
        <f ca="1">SUMIF(mongneoHTHH,chitiet!$A1366,slmongneoHTHH)</f>
        <v>0</v>
      </c>
      <c r="N1366" s="1239">
        <f ca="1">SUMIF(mongneoHTDL,chitiet!$A1366,slmongneoHTDL)</f>
        <v>0</v>
      </c>
      <c r="O1366" s="1239"/>
      <c r="P1366" s="2297">
        <f>H1366+Q1366-R1366</f>
        <v>0</v>
      </c>
      <c r="Q1366" s="1239"/>
      <c r="R1366" s="1239"/>
      <c r="S1366" s="1239"/>
      <c r="T1366" s="1664"/>
      <c r="U1366" s="1664" t="str">
        <f>IFERROR(VLOOKUP(B1366,ChiTietDuToan!C:H,5,0),"")</f>
        <v>Bộ</v>
      </c>
      <c r="V1366" s="2309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52" t="s">
        <v>539</v>
      </c>
      <c r="C1367" s="1189" t="str">
        <f t="shared" si="289"/>
        <v xml:space="preserve"> </v>
      </c>
      <c r="D1367" s="1236"/>
      <c r="E1367" s="1248" t="str">
        <f>VLOOKUP($B1367,DG!A:D,DG!$C$2,)</f>
        <v>Ty neo Ø22x2400</v>
      </c>
      <c r="F1367" s="1236" t="str">
        <f>VLOOKUP($B1367,DG!A:D,DG!$D$2,)</f>
        <v>cái</v>
      </c>
      <c r="G1367" s="1915">
        <v>1</v>
      </c>
      <c r="H1367" s="1245">
        <f>H$1366*$G1367</f>
        <v>0</v>
      </c>
      <c r="I1367" s="1245">
        <f ca="1">I$1366*$G1367</f>
        <v>0</v>
      </c>
      <c r="J1367" s="1245">
        <f t="shared" ref="I1367:N1368" ca="1" si="292">J$1366*$G1367</f>
        <v>0</v>
      </c>
      <c r="K1367" s="1245">
        <f t="shared" ca="1" si="292"/>
        <v>0</v>
      </c>
      <c r="L1367" s="1245">
        <f t="shared" si="292"/>
        <v>0</v>
      </c>
      <c r="M1367" s="1245">
        <f t="shared" ca="1" si="292"/>
        <v>0</v>
      </c>
      <c r="N1367" s="1245">
        <f t="shared" ca="1" si="292"/>
        <v>0</v>
      </c>
      <c r="O1367" s="1245"/>
      <c r="P1367" s="1245">
        <f>P$1366*G1367</f>
        <v>0</v>
      </c>
      <c r="Q1367" s="1245">
        <f>Q$1366*H1367</f>
        <v>0</v>
      </c>
      <c r="R1367" s="1245">
        <f>$R$1366*G1367</f>
        <v>0</v>
      </c>
      <c r="S1367" s="1245"/>
      <c r="T1367" s="1664"/>
      <c r="U1367" s="1664" t="str">
        <f>IFERROR(VLOOKUP(B1367,ChiTietDuToan!C:H,5,0),"")</f>
        <v/>
      </c>
      <c r="V1367" s="2309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52" t="s">
        <v>1322</v>
      </c>
      <c r="C1368" s="1189" t="str">
        <f t="shared" si="289"/>
        <v xml:space="preserve"> </v>
      </c>
      <c r="D1368" s="1236" t="str">
        <f>VLOOKUP($B1368,DG!A:D,DG!$B$2,)</f>
        <v>04.4001</v>
      </c>
      <c r="E1368" s="1248" t="str">
        <f>VLOOKUP($B1368,DG!A:D,DG!$C$2,)</f>
        <v>Neo xòe 8 hướng (dày 3,2mm)</v>
      </c>
      <c r="F1368" s="1236" t="str">
        <f>VLOOKUP($B1368,DG!A:D,DG!$D$2,)</f>
        <v>cái</v>
      </c>
      <c r="G1368" s="1915">
        <v>1</v>
      </c>
      <c r="H1368" s="1245">
        <f t="shared" ref="H1368:H1370" si="293">H$1366*$G1368</f>
        <v>0</v>
      </c>
      <c r="I1368" s="1245">
        <f t="shared" ca="1" si="292"/>
        <v>0</v>
      </c>
      <c r="J1368" s="1245">
        <f t="shared" ca="1" si="292"/>
        <v>0</v>
      </c>
      <c r="K1368" s="1245">
        <f t="shared" ca="1" si="292"/>
        <v>0</v>
      </c>
      <c r="L1368" s="1245">
        <f t="shared" si="292"/>
        <v>0</v>
      </c>
      <c r="M1368" s="1245">
        <f t="shared" ca="1" si="292"/>
        <v>0</v>
      </c>
      <c r="N1368" s="1245">
        <f t="shared" ca="1" si="292"/>
        <v>0</v>
      </c>
      <c r="O1368" s="1245"/>
      <c r="P1368" s="1245">
        <f>$P$1366*G1368</f>
        <v>0</v>
      </c>
      <c r="Q1368" s="1245">
        <f t="shared" ref="Q1368:Q1370" si="294">Q$1366*H1368</f>
        <v>0</v>
      </c>
      <c r="R1368" s="1245">
        <f>$R$1366*G1368</f>
        <v>0</v>
      </c>
      <c r="S1368" s="1245"/>
      <c r="T1368" s="1664"/>
      <c r="U1368" s="1664" t="str">
        <f>IFERROR(VLOOKUP(B1368,ChiTietDuToan!C:H,5,0),"")</f>
        <v>cái</v>
      </c>
      <c r="V1368" s="2309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52" t="str">
        <f>IF(F5=1,"MDD1",IF(F5=2,"MDD2",IF(F5=3,"MDD3",IF(F5=4,"MDD4"))))</f>
        <v>MDD3</v>
      </c>
      <c r="C1369" s="1189" t="str">
        <f t="shared" si="289"/>
        <v xml:space="preserve"> </v>
      </c>
      <c r="D1369" s="1236" t="str">
        <f>VLOOKUP($B1369,DG!A:D,DG!$B$2,)</f>
        <v>03.1013</v>
      </c>
      <c r="E1369" s="1241" t="str">
        <f>VLOOKUP($B1369,DG!A:D,DG!$C$2,)</f>
        <v>Đào hố móng đất cấp 3 sâu &gt;1m DT&lt;5m2</v>
      </c>
      <c r="F1369" s="1236" t="str">
        <f>VLOOKUP($B1369,DG!A:D,DG!$D$2,)</f>
        <v>m3</v>
      </c>
      <c r="G1369" s="1914">
        <v>0.35</v>
      </c>
      <c r="H1369" s="1251">
        <f t="shared" si="293"/>
        <v>0</v>
      </c>
      <c r="I1369" s="1245"/>
      <c r="J1369" s="1245"/>
      <c r="K1369" s="1245"/>
      <c r="L1369" s="1245"/>
      <c r="M1369" s="1245"/>
      <c r="N1369" s="1245"/>
      <c r="O1369" s="1245"/>
      <c r="P1369" s="1249">
        <f>$P$1366*G1369</f>
        <v>0</v>
      </c>
      <c r="Q1369" s="1245">
        <f t="shared" si="294"/>
        <v>0</v>
      </c>
      <c r="R1369" s="1249">
        <f>$R$1366*G1369</f>
        <v>0</v>
      </c>
      <c r="S1369" s="1245"/>
      <c r="T1369" s="1664"/>
      <c r="U1369" s="1664" t="str">
        <f>IFERROR(VLOOKUP(B1369,ChiTietDuToan!C:H,5,0),"")</f>
        <v>m3</v>
      </c>
      <c r="V1369" s="2309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52" t="str">
        <f>IF(F5=1,"MDAP1",IF(F5=2,"MDAP2",IF(F5=3,"MDAP3",IF(F5=4,"MDAP4"))))</f>
        <v>MDAP3</v>
      </c>
      <c r="C1370" s="1189" t="str">
        <f t="shared" si="289"/>
        <v xml:space="preserve"> </v>
      </c>
      <c r="D1370" s="1236" t="str">
        <f>VLOOKUP($B1370,DG!A:D,DG!$B$2,)</f>
        <v>03.4113</v>
      </c>
      <c r="E1370" s="1241" t="str">
        <f>VLOOKUP($B1370,DG!A:D,DG!$C$2,)</f>
        <v>Đắp đất hố móng, độ chặt k=0,95</v>
      </c>
      <c r="F1370" s="1236" t="str">
        <f>VLOOKUP($B1370,DG!A:D,DG!$D$2,)</f>
        <v>m3</v>
      </c>
      <c r="G1370" s="1914">
        <v>0.35</v>
      </c>
      <c r="H1370" s="1251">
        <f t="shared" si="293"/>
        <v>0</v>
      </c>
      <c r="I1370" s="1245"/>
      <c r="J1370" s="1245"/>
      <c r="K1370" s="1245"/>
      <c r="L1370" s="1245"/>
      <c r="M1370" s="1245"/>
      <c r="N1370" s="1245"/>
      <c r="O1370" s="1245"/>
      <c r="P1370" s="1249">
        <f>$P$1366*G1370</f>
        <v>0</v>
      </c>
      <c r="Q1370" s="1245">
        <f t="shared" si="294"/>
        <v>0</v>
      </c>
      <c r="R1370" s="1249">
        <f>$R$1366*G1370</f>
        <v>0</v>
      </c>
      <c r="S1370" s="1245"/>
      <c r="T1370" s="1664"/>
      <c r="U1370" s="1664" t="str">
        <f>IFERROR(VLOOKUP(B1370,ChiTietDuToan!C:H,5,0),"")</f>
        <v>m3</v>
      </c>
      <c r="V1370" s="2309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59" t="s">
        <v>755</v>
      </c>
      <c r="C1371" s="1189" t="str">
        <f t="shared" si="289"/>
        <v xml:space="preserve"> </v>
      </c>
      <c r="D1371" s="1236" t="str">
        <f>VLOOKUP($B1371,DG!A:D,DG!$B$2,)</f>
        <v>02.3111</v>
      </c>
      <c r="E1371" s="1241" t="str">
        <f>VLOOKUP($B1371,DG!A:D,DG!$C$2,)</f>
        <v>Bốc dỡ neo xèo</v>
      </c>
      <c r="F1371" s="1236" t="str">
        <f>VLOOKUP($B1371,DG!A:D,DG!$D$2,)</f>
        <v>tấn</v>
      </c>
      <c r="G1371" s="1913"/>
      <c r="H1371" s="1245"/>
      <c r="I1371" s="1245"/>
      <c r="J1371" s="1245"/>
      <c r="K1371" s="1245"/>
      <c r="L1371" s="1245"/>
      <c r="M1371" s="1245"/>
      <c r="N1371" s="1245"/>
      <c r="O1371" s="1245"/>
      <c r="P1371" s="1245"/>
      <c r="Q1371" s="1245"/>
      <c r="R1371" s="1245"/>
      <c r="S1371" s="1245"/>
      <c r="T1371" s="1671"/>
      <c r="U1371" s="1664" t="str">
        <f>IFERROR(VLOOKUP(B1371,ChiTietDuToan!C:H,5,0),"")</f>
        <v/>
      </c>
      <c r="V1371" s="2309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59" t="s">
        <v>1322</v>
      </c>
      <c r="C1372" s="1189" t="str">
        <f t="shared" si="289"/>
        <v xml:space="preserve"> </v>
      </c>
      <c r="D1372" s="1236" t="str">
        <f>VLOOKUP($B1372,DG!A:C,2,)</f>
        <v>04.4001</v>
      </c>
      <c r="E1372" s="1248" t="str">
        <f>VLOOKUP($B1372,DG!A:C,3,)</f>
        <v>Neo xòe 8 hướng (dày 3,2mm)</v>
      </c>
      <c r="F1372" s="1236" t="str">
        <f>VLOOKUP($B1372,DG!A:D,4,0)</f>
        <v>cái</v>
      </c>
      <c r="G1372" s="1913"/>
      <c r="H1372" s="1250"/>
      <c r="I1372" s="1250"/>
      <c r="J1372" s="1250"/>
      <c r="K1372" s="1250"/>
      <c r="L1372" s="1250"/>
      <c r="M1372" s="1250"/>
      <c r="N1372" s="1250"/>
      <c r="O1372" s="1250"/>
      <c r="P1372" s="1250"/>
      <c r="Q1372" s="1250"/>
      <c r="R1372" s="1250"/>
      <c r="S1372" s="1250"/>
      <c r="T1372" s="1671"/>
      <c r="U1372" s="1664" t="str">
        <f>IFERROR(VLOOKUP(B1372,ChiTietDuToan!C:H,5,0),"")</f>
        <v>cái</v>
      </c>
      <c r="V1372" s="2309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74" t="s">
        <v>611</v>
      </c>
      <c r="C1373" s="1189" t="str">
        <f t="shared" si="289"/>
        <v xml:space="preserve"> </v>
      </c>
      <c r="D1373" s="1236" t="str">
        <f>VLOOKUP($B1373,DG!A:C,2,)</f>
        <v>02.1482</v>
      </c>
      <c r="E1373" s="1241" t="str">
        <f>VLOOKUP($B1373,DG!A:C,3,)</f>
        <v>V/c dụng cụ thi công vào vị trí (cự ly &lt;=100m)</v>
      </c>
      <c r="F1373" s="1236" t="str">
        <f>VLOOKUP($B1373,DG!A:D,4,0)</f>
        <v>tấn</v>
      </c>
      <c r="G1373" s="1914"/>
      <c r="H1373" s="1250"/>
      <c r="I1373" s="1250"/>
      <c r="J1373" s="1250"/>
      <c r="K1373" s="1250"/>
      <c r="L1373" s="1250"/>
      <c r="M1373" s="1250"/>
      <c r="N1373" s="1250"/>
      <c r="O1373" s="1250"/>
      <c r="P1373" s="1250"/>
      <c r="Q1373" s="1250"/>
      <c r="R1373" s="1250"/>
      <c r="S1373" s="1250"/>
      <c r="T1373" s="1671"/>
      <c r="U1373" s="1664" t="str">
        <f>IFERROR(VLOOKUP(B1373,ChiTietDuToan!C:H,5,0),"")</f>
        <v/>
      </c>
      <c r="V1373" s="2309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63" t="s">
        <v>1545</v>
      </c>
      <c r="B1374" s="1954"/>
      <c r="C1374" s="1189" t="str">
        <f t="shared" ca="1" si="289"/>
        <v xml:space="preserve"> </v>
      </c>
      <c r="D1374" s="1237"/>
      <c r="E1374" s="1666" t="s">
        <v>2554</v>
      </c>
      <c r="F1374" s="1238" t="s">
        <v>2449</v>
      </c>
      <c r="G1374" s="1912"/>
      <c r="H1374" s="1523">
        <f ca="1">SUM(I1374:O1374)+T1374</f>
        <v>0</v>
      </c>
      <c r="I1374" s="1239">
        <f ca="1">SUMIF(mongneo3pm,chitiet!$A1374,slmongneo3pm)</f>
        <v>0</v>
      </c>
      <c r="J1374" s="1239">
        <f ca="1">SUMIF(mongneoct,chitiet!$A1374,slmongneoct)</f>
        <v>0</v>
      </c>
      <c r="K1374" s="1239">
        <f ca="1">SUMIF(mongneo3p1m,chitiet!$A1374,slmongneo3p1m)</f>
        <v>0</v>
      </c>
      <c r="L1374" s="1239">
        <f>IFERROR(HLOOKUP(A1374,pp1p!$6:$90,85,0),0)</f>
        <v>0</v>
      </c>
      <c r="M1374" s="1239">
        <f ca="1">SUMIF(mongneoHTHH,chitiet!A1374,slmongneoHTHH)</f>
        <v>0</v>
      </c>
      <c r="N1374" s="1239">
        <f ca="1">SUMIF(mongneoHTDL,chitiet!A1374,slmongneoHTDL)</f>
        <v>0</v>
      </c>
      <c r="O1374" s="1239"/>
      <c r="P1374" s="1239">
        <f ca="1">H1374+Q1374-R1374</f>
        <v>0</v>
      </c>
      <c r="Q1374" s="1239"/>
      <c r="R1374" s="1239"/>
      <c r="S1374" s="1239"/>
      <c r="T1374" s="1664"/>
      <c r="U1374" s="1664">
        <f>IFERROR(VLOOKUP(B1374,ChiTietDuToan!C:H,5,0),"")</f>
        <v>0</v>
      </c>
      <c r="V1374" s="2309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52" t="s">
        <v>539</v>
      </c>
      <c r="C1375" s="1189" t="str">
        <f t="shared" ca="1" si="289"/>
        <v xml:space="preserve"> </v>
      </c>
      <c r="D1375" s="1236"/>
      <c r="E1375" s="1248" t="str">
        <f>VLOOKUP($B1375,DG!A:D,DG!$C$2,)</f>
        <v>Ty neo Ø22x2400</v>
      </c>
      <c r="F1375" s="1236" t="str">
        <f>VLOOKUP($B1375,DG!A:D,DG!$D$2,)</f>
        <v>cái</v>
      </c>
      <c r="G1375" s="1915">
        <v>1</v>
      </c>
      <c r="H1375" s="1245">
        <f ca="1">H$1374*$G1375</f>
        <v>0</v>
      </c>
      <c r="I1375" s="1245">
        <f ca="1">I$1374*$G1375</f>
        <v>0</v>
      </c>
      <c r="J1375" s="1245">
        <f t="shared" ref="J1375:N1376" ca="1" si="295">J$1374*$G1375</f>
        <v>0</v>
      </c>
      <c r="K1375" s="1245">
        <f t="shared" ca="1" si="295"/>
        <v>0</v>
      </c>
      <c r="L1375" s="1245">
        <f t="shared" si="295"/>
        <v>0</v>
      </c>
      <c r="M1375" s="1245">
        <f t="shared" ca="1" si="295"/>
        <v>0</v>
      </c>
      <c r="N1375" s="1245">
        <f t="shared" ca="1" si="295"/>
        <v>0</v>
      </c>
      <c r="O1375" s="1245"/>
      <c r="P1375" s="1245">
        <f ca="1">$P$1374*G1375</f>
        <v>0</v>
      </c>
      <c r="Q1375" s="1245">
        <f>$Q$1374*G1375</f>
        <v>0</v>
      </c>
      <c r="R1375" s="1245"/>
      <c r="S1375" s="1245"/>
      <c r="T1375" s="1664"/>
      <c r="U1375" s="1664" t="str">
        <f>IFERROR(VLOOKUP(B1375,ChiTietDuToan!C:H,5,0),"")</f>
        <v/>
      </c>
      <c r="V1375" s="2309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52" t="s">
        <v>1322</v>
      </c>
      <c r="C1376" s="1189" t="str">
        <f t="shared" ca="1" si="289"/>
        <v xml:space="preserve"> </v>
      </c>
      <c r="D1376" s="1236" t="str">
        <f>VLOOKUP($B1376,DG!A:D,DG!$B$2,)</f>
        <v>04.4001</v>
      </c>
      <c r="E1376" s="1248" t="str">
        <f>VLOOKUP($B1376,DG!A:D,DG!$C$2,)</f>
        <v>Neo xòe 8 hướng (dày 3,2mm)</v>
      </c>
      <c r="F1376" s="1236" t="str">
        <f>VLOOKUP($B1376,DG!A:D,DG!$D$2,)</f>
        <v>cái</v>
      </c>
      <c r="G1376" s="1915">
        <v>1</v>
      </c>
      <c r="H1376" s="1245">
        <f ca="1">H$1374*$G1376</f>
        <v>0</v>
      </c>
      <c r="I1376" s="1245">
        <f ca="1">I$1374*$G1376</f>
        <v>0</v>
      </c>
      <c r="J1376" s="1245">
        <f ca="1">J$1374*$G1376</f>
        <v>0</v>
      </c>
      <c r="K1376" s="1245">
        <f t="shared" ca="1" si="295"/>
        <v>0</v>
      </c>
      <c r="L1376" s="1245">
        <f t="shared" si="295"/>
        <v>0</v>
      </c>
      <c r="M1376" s="1245">
        <f t="shared" ca="1" si="295"/>
        <v>0</v>
      </c>
      <c r="N1376" s="1245">
        <f t="shared" ca="1" si="295"/>
        <v>0</v>
      </c>
      <c r="O1376" s="1245"/>
      <c r="P1376" s="1245">
        <f ca="1">$P$1374*G1376</f>
        <v>0</v>
      </c>
      <c r="Q1376" s="1245">
        <f>$Q$1374*G1376</f>
        <v>0</v>
      </c>
      <c r="R1376" s="1245"/>
      <c r="S1376" s="1245"/>
      <c r="T1376" s="1664"/>
      <c r="U1376" s="1664" t="str">
        <f>IFERROR(VLOOKUP(B1376,ChiTietDuToan!C:H,5,0),"")</f>
        <v>cái</v>
      </c>
      <c r="V1376" s="2309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52" t="str">
        <f>IF(F5=1,"MDD1",IF(F5=2,"MDD2",IF(F5=3,"MDD3",IF(F5=4,"MDD4"))))</f>
        <v>MDD3</v>
      </c>
      <c r="C1377" s="1189" t="str">
        <f t="shared" ca="1" si="289"/>
        <v xml:space="preserve"> </v>
      </c>
      <c r="D1377" s="1236" t="str">
        <f>VLOOKUP($B1377,DG!A:D,DG!$B$2,)</f>
        <v>03.1013</v>
      </c>
      <c r="E1377" s="1241" t="str">
        <f>VLOOKUP($B1377,DG!A:D,DG!$C$2,)</f>
        <v>Đào hố móng đất cấp 3 sâu &gt;1m DT&lt;5m2</v>
      </c>
      <c r="F1377" s="1236" t="str">
        <f>VLOOKUP($B1377,DG!A:D,DG!$D$2,)</f>
        <v>m3</v>
      </c>
      <c r="G1377" s="1914">
        <v>0.28999999999999998</v>
      </c>
      <c r="H1377" s="1249">
        <f ca="1">H$1374*$G1377</f>
        <v>0</v>
      </c>
      <c r="I1377" s="1245"/>
      <c r="J1377" s="1245"/>
      <c r="K1377" s="1245"/>
      <c r="L1377" s="1245"/>
      <c r="M1377" s="1245"/>
      <c r="N1377" s="1245"/>
      <c r="O1377" s="1245"/>
      <c r="P1377" s="1249">
        <f ca="1">$P$1374*G1377</f>
        <v>0</v>
      </c>
      <c r="Q1377" s="1249">
        <f>$Q$1374*G1377</f>
        <v>0</v>
      </c>
      <c r="R1377" s="1249"/>
      <c r="S1377" s="1245"/>
      <c r="T1377" s="1664"/>
      <c r="U1377" s="1664" t="str">
        <f>IFERROR(VLOOKUP(B1377,ChiTietDuToan!C:H,5,0),"")</f>
        <v>m3</v>
      </c>
      <c r="V1377" s="2309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52" t="str">
        <f>IF(F5=1,"MDAP1",IF(F5=2,"MDAP2",IF(F5=3,"MDAP3",IF(F5=4,"MDAP4"))))</f>
        <v>MDAP3</v>
      </c>
      <c r="C1378" s="1189" t="str">
        <f t="shared" ca="1" si="289"/>
        <v xml:space="preserve"> </v>
      </c>
      <c r="D1378" s="1236" t="str">
        <f>VLOOKUP($B1378,DG!A:D,DG!$B$2,)</f>
        <v>03.4113</v>
      </c>
      <c r="E1378" s="1241" t="str">
        <f>VLOOKUP($B1378,DG!A:D,DG!$C$2,)</f>
        <v>Đắp đất hố móng, độ chặt k=0,95</v>
      </c>
      <c r="F1378" s="1236" t="str">
        <f>VLOOKUP($B1378,DG!A:D,DG!$D$2,)</f>
        <v>m3</v>
      </c>
      <c r="G1378" s="1914">
        <v>0.28999999999999998</v>
      </c>
      <c r="H1378" s="1249">
        <f ca="1">H$1374*$G1378</f>
        <v>0</v>
      </c>
      <c r="I1378" s="1245"/>
      <c r="J1378" s="1245"/>
      <c r="K1378" s="1245"/>
      <c r="L1378" s="1245"/>
      <c r="M1378" s="1245"/>
      <c r="N1378" s="1245"/>
      <c r="O1378" s="1245"/>
      <c r="P1378" s="1249">
        <f ca="1">$P$1374*G1378</f>
        <v>0</v>
      </c>
      <c r="Q1378" s="1249">
        <f>$Q$1374*G1378</f>
        <v>0</v>
      </c>
      <c r="R1378" s="1249"/>
      <c r="S1378" s="1245"/>
      <c r="T1378" s="1664"/>
      <c r="U1378" s="1664" t="str">
        <f>IFERROR(VLOOKUP(B1378,ChiTietDuToan!C:H,5,0),"")</f>
        <v>m3</v>
      </c>
      <c r="V1378" s="2309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59" t="s">
        <v>755</v>
      </c>
      <c r="C1379" s="1189" t="str">
        <f t="shared" si="289"/>
        <v xml:space="preserve"> </v>
      </c>
      <c r="D1379" s="1236" t="str">
        <f>VLOOKUP($B1379,DG!A:D,DG!$B$2,)</f>
        <v>02.3111</v>
      </c>
      <c r="E1379" s="1241" t="str">
        <f>VLOOKUP($B1379,DG!A:D,DG!$C$2,)</f>
        <v>Bốc dỡ neo xèo</v>
      </c>
      <c r="F1379" s="1236" t="str">
        <f>VLOOKUP($B1379,DG!A:D,DG!$D$2,)</f>
        <v>tấn</v>
      </c>
      <c r="G1379" s="1914"/>
      <c r="H1379" s="1245"/>
      <c r="I1379" s="1245"/>
      <c r="J1379" s="1245"/>
      <c r="K1379" s="1245"/>
      <c r="L1379" s="1245"/>
      <c r="M1379" s="1245"/>
      <c r="N1379" s="1245"/>
      <c r="O1379" s="1245"/>
      <c r="P1379" s="1245"/>
      <c r="Q1379" s="1245"/>
      <c r="R1379" s="1245"/>
      <c r="S1379" s="1245"/>
      <c r="T1379" s="1671"/>
      <c r="U1379" s="1664" t="str">
        <f>IFERROR(VLOOKUP(B1379,ChiTietDuToan!C:H,5,0),"")</f>
        <v/>
      </c>
      <c r="V1379" s="2309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59" t="s">
        <v>1322</v>
      </c>
      <c r="C1380" s="1189" t="str">
        <f t="shared" si="289"/>
        <v xml:space="preserve"> </v>
      </c>
      <c r="D1380" s="1236" t="str">
        <f>VLOOKUP($B1380,DG!A:C,2,)</f>
        <v>04.4001</v>
      </c>
      <c r="E1380" s="1248" t="str">
        <f>VLOOKUP($B1380,DG!A:C,3,)</f>
        <v>Neo xòe 8 hướng (dày 3,2mm)</v>
      </c>
      <c r="F1380" s="1236" t="str">
        <f>VLOOKUP($B1380,DG!A:D,4,0)</f>
        <v>cái</v>
      </c>
      <c r="G1380" s="1914"/>
      <c r="H1380" s="1250"/>
      <c r="I1380" s="1250"/>
      <c r="J1380" s="1250"/>
      <c r="K1380" s="1250"/>
      <c r="L1380" s="1250"/>
      <c r="M1380" s="1250"/>
      <c r="N1380" s="1250"/>
      <c r="O1380" s="1250"/>
      <c r="P1380" s="1250"/>
      <c r="Q1380" s="1250"/>
      <c r="R1380" s="1250"/>
      <c r="S1380" s="1250"/>
      <c r="T1380" s="1671"/>
      <c r="U1380" s="1664" t="str">
        <f>IFERROR(VLOOKUP(B1380,ChiTietDuToan!C:H,5,0),"")</f>
        <v>cái</v>
      </c>
      <c r="V1380" s="2309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74" t="s">
        <v>611</v>
      </c>
      <c r="C1381" s="1189" t="str">
        <f t="shared" si="289"/>
        <v xml:space="preserve"> </v>
      </c>
      <c r="D1381" s="1236" t="str">
        <f>VLOOKUP($B1381,DG!A:C,2,)</f>
        <v>02.1482</v>
      </c>
      <c r="E1381" s="1241" t="str">
        <f>VLOOKUP($B1381,DG!A:C,3,)</f>
        <v>V/c dụng cụ thi công vào vị trí (cự ly &lt;=100m)</v>
      </c>
      <c r="F1381" s="1236" t="str">
        <f>VLOOKUP($B1381,DG!A:D,4,0)</f>
        <v>tấn</v>
      </c>
      <c r="G1381" s="1914"/>
      <c r="H1381" s="1250"/>
      <c r="I1381" s="1250"/>
      <c r="J1381" s="1250"/>
      <c r="K1381" s="1250"/>
      <c r="L1381" s="1250"/>
      <c r="M1381" s="1250"/>
      <c r="N1381" s="1250"/>
      <c r="O1381" s="1250"/>
      <c r="P1381" s="1250"/>
      <c r="Q1381" s="1250"/>
      <c r="R1381" s="1250"/>
      <c r="S1381" s="1250"/>
      <c r="T1381" s="1671"/>
      <c r="U1381" s="1664" t="str">
        <f>IFERROR(VLOOKUP(B1381,ChiTietDuToan!C:H,5,0),"")</f>
        <v/>
      </c>
      <c r="V1381" s="2309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56"/>
      <c r="C1382" s="1189" t="str">
        <f t="shared" ca="1" si="289"/>
        <v xml:space="preserve"> </v>
      </c>
      <c r="D1382" s="1237"/>
      <c r="E1382" s="1666" t="s">
        <v>2555</v>
      </c>
      <c r="F1382" s="1238" t="s">
        <v>2449</v>
      </c>
      <c r="G1382" s="1912"/>
      <c r="H1382" s="1523">
        <f ca="1">SUM(I1382:O1382)+T1382</f>
        <v>0</v>
      </c>
      <c r="I1382" s="1239">
        <f ca="1">SUMIF(mongneo3pm,chitiet!$A1382,slmongneo3pm)</f>
        <v>0</v>
      </c>
      <c r="J1382" s="1239">
        <f ca="1">SUMIF(mongneoct,chitiet!$A1382,slmongneoct)</f>
        <v>0</v>
      </c>
      <c r="K1382" s="1239">
        <f ca="1">SUMIF(mongneo3p1m,chitiet!$A1382,slmongneo3p1m)</f>
        <v>0</v>
      </c>
      <c r="L1382" s="1239">
        <f>IFERROR(HLOOKUP(A1382,pp1p!$6:$90,85,0),0)</f>
        <v>0</v>
      </c>
      <c r="M1382" s="1239">
        <f ca="1">SUMIF(mongneoHTHH,chitiet!$A1382,slmongneoHTHH)</f>
        <v>0</v>
      </c>
      <c r="N1382" s="1239">
        <f ca="1">SUMIF(mongneoHTDL,chitiet!$A1382,slmongneoHTDL)</f>
        <v>0</v>
      </c>
      <c r="O1382" s="1239"/>
      <c r="P1382" s="1239">
        <f ca="1">H1382+Q1382-R1382</f>
        <v>0</v>
      </c>
      <c r="Q1382" s="1239"/>
      <c r="R1382" s="1239"/>
      <c r="S1382" s="1239"/>
      <c r="T1382" s="1671"/>
      <c r="U1382" s="1664">
        <f>IFERROR(VLOOKUP(B1382,ChiTietDuToan!C:H,5,0),"")</f>
        <v>0</v>
      </c>
      <c r="V1382" s="2309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59" t="s">
        <v>2052</v>
      </c>
      <c r="C1383" s="1189" t="str">
        <f t="shared" ca="1" si="289"/>
        <v xml:space="preserve"> </v>
      </c>
      <c r="D1383" s="1236"/>
      <c r="E1383" s="1248" t="str">
        <f>VLOOKUP($B1383,DG!A:D,DG!$C$2,)</f>
        <v>Ty neo Ø22x3000</v>
      </c>
      <c r="F1383" s="1236" t="str">
        <f>VLOOKUP($B1383,DG!A:D,DG!$D$2,)</f>
        <v>cái</v>
      </c>
      <c r="G1383" s="1915">
        <v>1</v>
      </c>
      <c r="H1383" s="1245">
        <f ca="1">H$1382*$G1383</f>
        <v>0</v>
      </c>
      <c r="I1383" s="1245">
        <f t="shared" ref="I1383:N1385" ca="1" si="296">I$1382*$G1383</f>
        <v>0</v>
      </c>
      <c r="J1383" s="1245">
        <f t="shared" ca="1" si="296"/>
        <v>0</v>
      </c>
      <c r="K1383" s="1245">
        <f t="shared" ca="1" si="296"/>
        <v>0</v>
      </c>
      <c r="L1383" s="1245">
        <f t="shared" si="296"/>
        <v>0</v>
      </c>
      <c r="M1383" s="1245">
        <f ca="1">M$1382*$G1383</f>
        <v>0</v>
      </c>
      <c r="N1383" s="1245">
        <f t="shared" ca="1" si="296"/>
        <v>0</v>
      </c>
      <c r="O1383" s="1245"/>
      <c r="P1383" s="1245"/>
      <c r="Q1383" s="1245"/>
      <c r="R1383" s="1245"/>
      <c r="S1383" s="1245"/>
      <c r="T1383" s="1671"/>
      <c r="U1383" s="1664" t="str">
        <f>IFERROR(VLOOKUP(B1383,ChiTietDuToan!C:H,5,0),"")</f>
        <v/>
      </c>
      <c r="V1383" s="2309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59" t="s">
        <v>1291</v>
      </c>
      <c r="C1384" s="1189" t="str">
        <f t="shared" ca="1" si="289"/>
        <v xml:space="preserve"> </v>
      </c>
      <c r="D1384" s="1236" t="str">
        <f>VLOOKUP($B1384,DG!A:D,DG!$B$2,)</f>
        <v>04.3801</v>
      </c>
      <c r="E1384" s="1248" t="str">
        <f>VLOOKUP($B1384,DG!A:D,DG!$C$2,)</f>
        <v>Đế neo BTCT 200x1200</v>
      </c>
      <c r="F1384" s="1236" t="str">
        <f>VLOOKUP($B1384,DG!A:D,DG!$D$2,)</f>
        <v>cái</v>
      </c>
      <c r="G1384" s="1915">
        <v>1</v>
      </c>
      <c r="H1384" s="1245">
        <f ca="1">H$1382*$G1384</f>
        <v>0</v>
      </c>
      <c r="I1384" s="1245">
        <f t="shared" ca="1" si="296"/>
        <v>0</v>
      </c>
      <c r="J1384" s="1245">
        <f t="shared" ca="1" si="296"/>
        <v>0</v>
      </c>
      <c r="K1384" s="1245">
        <f t="shared" ca="1" si="296"/>
        <v>0</v>
      </c>
      <c r="L1384" s="1245">
        <f t="shared" si="296"/>
        <v>0</v>
      </c>
      <c r="M1384" s="1245">
        <f ca="1">M$1382*$G1384</f>
        <v>0</v>
      </c>
      <c r="N1384" s="1245">
        <f t="shared" ca="1" si="296"/>
        <v>0</v>
      </c>
      <c r="O1384" s="1245"/>
      <c r="P1384" s="1245"/>
      <c r="Q1384" s="1245"/>
      <c r="R1384" s="1245"/>
      <c r="S1384" s="1245"/>
      <c r="T1384" s="1671"/>
      <c r="U1384" s="1664" t="str">
        <f>IFERROR(VLOOKUP(B1384,ChiTietDuToan!C:H,5,0),"")</f>
        <v/>
      </c>
      <c r="V1384" s="2309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59" t="s">
        <v>1094</v>
      </c>
      <c r="C1385" s="1189" t="str">
        <f t="shared" ca="1" si="289"/>
        <v xml:space="preserve"> </v>
      </c>
      <c r="D1385" s="1236" t="str">
        <f>VLOOKUP($B1385,DG!A:D,DG!$B$2,)</f>
        <v>04.9001</v>
      </c>
      <c r="E1385" s="1248" t="str">
        <f>VLOOKUP($B1385,DG!A:D,DG!$C$2,)</f>
        <v>Bitum</v>
      </c>
      <c r="F1385" s="1236" t="str">
        <f>VLOOKUP($B1385,DG!A:D,DG!$D$2,)</f>
        <v>m2</v>
      </c>
      <c r="G1385" s="1925">
        <v>1.34</v>
      </c>
      <c r="H1385" s="1245">
        <f ca="1">H$1382*$G1385</f>
        <v>0</v>
      </c>
      <c r="I1385" s="1245">
        <f t="shared" ca="1" si="296"/>
        <v>0</v>
      </c>
      <c r="J1385" s="1245">
        <f t="shared" ca="1" si="296"/>
        <v>0</v>
      </c>
      <c r="K1385" s="1245">
        <f t="shared" ca="1" si="296"/>
        <v>0</v>
      </c>
      <c r="L1385" s="1245">
        <f t="shared" si="296"/>
        <v>0</v>
      </c>
      <c r="M1385" s="1245">
        <f t="shared" ca="1" si="296"/>
        <v>0</v>
      </c>
      <c r="N1385" s="1245">
        <f t="shared" ca="1" si="296"/>
        <v>0</v>
      </c>
      <c r="O1385" s="1245"/>
      <c r="P1385" s="1245"/>
      <c r="Q1385" s="1245"/>
      <c r="R1385" s="1245"/>
      <c r="S1385" s="1245"/>
      <c r="T1385" s="1671"/>
      <c r="U1385" s="1664" t="str">
        <f>IFERROR(VLOOKUP(B1385,ChiTietDuToan!C:H,5,0),"")</f>
        <v/>
      </c>
      <c r="V1385" s="2309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59" t="str">
        <f>IF(F5=1,"MDD1",IF(F5=2,"MDD2",IF(F5=3,"MDD3",IF(F5=4,"MDD4"))))</f>
        <v>MDD3</v>
      </c>
      <c r="C1386" s="1189" t="str">
        <f t="shared" si="289"/>
        <v xml:space="preserve"> </v>
      </c>
      <c r="D1386" s="1236" t="str">
        <f>VLOOKUP($B1386,DG!A:D,DG!$B$2,)</f>
        <v>03.1013</v>
      </c>
      <c r="E1386" s="1241" t="str">
        <f>VLOOKUP($B1386,DG!A:D,DG!$C$2,)</f>
        <v>Đào hố móng đất cấp 3 sâu &gt;1m DT&lt;5m2</v>
      </c>
      <c r="F1386" s="1236" t="str">
        <f>VLOOKUP($B1386,DG!A:D,DG!$D$2,)</f>
        <v>m3</v>
      </c>
      <c r="G1386" s="1914">
        <v>2.71</v>
      </c>
      <c r="H1386" s="1245"/>
      <c r="I1386" s="1245"/>
      <c r="J1386" s="1245"/>
      <c r="K1386" s="1245"/>
      <c r="L1386" s="1245"/>
      <c r="M1386" s="1245"/>
      <c r="N1386" s="1245"/>
      <c r="O1386" s="1245"/>
      <c r="P1386" s="1245"/>
      <c r="Q1386" s="1245"/>
      <c r="R1386" s="1245"/>
      <c r="S1386" s="1245"/>
      <c r="T1386" s="1671"/>
      <c r="U1386" s="1664" t="str">
        <f>IFERROR(VLOOKUP(B1386,ChiTietDuToan!C:H,5,0),"")</f>
        <v>m3</v>
      </c>
      <c r="V1386" s="2309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59" t="str">
        <f>IF(F5=1,"MDAP1",IF(F5=2,"MDAP2",IF(F5=3,"MDAP3",IF(F5=4,"MDAP4"))))</f>
        <v>MDAP3</v>
      </c>
      <c r="C1387" s="1189" t="str">
        <f t="shared" si="289"/>
        <v xml:space="preserve"> </v>
      </c>
      <c r="D1387" s="1236" t="str">
        <f>VLOOKUP($B1387,DG!A:D,DG!$B$2,)</f>
        <v>03.4113</v>
      </c>
      <c r="E1387" s="1241" t="str">
        <f>VLOOKUP($B1387,DG!A:D,DG!$C$2,)</f>
        <v>Đắp đất hố móng, độ chặt k=0,95</v>
      </c>
      <c r="F1387" s="1236" t="str">
        <f>VLOOKUP($B1387,DG!A:D,DG!$D$2,)</f>
        <v>m3</v>
      </c>
      <c r="G1387" s="1914">
        <v>3.23</v>
      </c>
      <c r="H1387" s="1245"/>
      <c r="I1387" s="1245"/>
      <c r="J1387" s="1245"/>
      <c r="K1387" s="1245"/>
      <c r="L1387" s="1245"/>
      <c r="M1387" s="1245"/>
      <c r="N1387" s="1245"/>
      <c r="O1387" s="1245"/>
      <c r="P1387" s="1245"/>
      <c r="Q1387" s="1245"/>
      <c r="R1387" s="1245"/>
      <c r="S1387" s="1245"/>
      <c r="T1387" s="1671"/>
      <c r="U1387" s="1664" t="str">
        <f>IFERROR(VLOOKUP(B1387,ChiTietDuToan!C:H,5,0),"")</f>
        <v>m3</v>
      </c>
      <c r="V1387" s="2309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59" t="s">
        <v>642</v>
      </c>
      <c r="C1388" s="1189" t="str">
        <f t="shared" si="289"/>
        <v xml:space="preserve"> </v>
      </c>
      <c r="D1388" s="1236" t="str">
        <f>VLOOKUP($B1388,DG!A:D,DG!$B$2,)</f>
        <v>02.1123</v>
      </c>
      <c r="E1388" s="1241" t="str">
        <f>VLOOKUP($B1388,DG!A:D,DG!$C$2,)</f>
        <v>Bốc dỡ đà cản, đế néo</v>
      </c>
      <c r="F1388" s="1236" t="str">
        <f>VLOOKUP($B1388,DG!A:D,DG!$D$2,)</f>
        <v>tấn</v>
      </c>
      <c r="G1388" s="1914">
        <f>G1389</f>
        <v>8.6999999999999994E-2</v>
      </c>
      <c r="H1388" s="1245"/>
      <c r="I1388" s="1245"/>
      <c r="J1388" s="1245"/>
      <c r="K1388" s="1245"/>
      <c r="L1388" s="1245"/>
      <c r="M1388" s="1245"/>
      <c r="N1388" s="1245"/>
      <c r="O1388" s="1245"/>
      <c r="P1388" s="1245"/>
      <c r="Q1388" s="1245"/>
      <c r="R1388" s="1245"/>
      <c r="S1388" s="1245"/>
      <c r="T1388" s="1671"/>
      <c r="U1388" s="1664" t="str">
        <f>IFERROR(VLOOKUP(B1388,ChiTietDuToan!C:H,5,0),"")</f>
        <v/>
      </c>
      <c r="V1388" s="2309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74" t="s">
        <v>610</v>
      </c>
      <c r="C1389" s="1189" t="str">
        <f t="shared" si="289"/>
        <v xml:space="preserve"> </v>
      </c>
      <c r="D1389" s="1236" t="str">
        <f>VLOOKUP($B1389,DG!A:C,2,)</f>
        <v>02.1451</v>
      </c>
      <c r="E1389" s="1241" t="str">
        <f>VLOOKUP($B1389,DG!A:C,3,)</f>
        <v>V/c đế néo vào vị trí (cự ly &lt;=100m)</v>
      </c>
      <c r="F1389" s="1236" t="str">
        <f>VLOOKUP($B1389,DG!A:D,4,0)</f>
        <v>tấn</v>
      </c>
      <c r="G1389" s="1914">
        <v>8.6999999999999994E-2</v>
      </c>
      <c r="H1389" s="1250"/>
      <c r="I1389" s="1250"/>
      <c r="J1389" s="1250"/>
      <c r="K1389" s="1250"/>
      <c r="L1389" s="1250"/>
      <c r="M1389" s="1250"/>
      <c r="N1389" s="1250"/>
      <c r="O1389" s="1250"/>
      <c r="P1389" s="1250"/>
      <c r="Q1389" s="1250"/>
      <c r="R1389" s="1250"/>
      <c r="S1389" s="1250"/>
      <c r="T1389" s="1671"/>
      <c r="U1389" s="1664" t="str">
        <f>IFERROR(VLOOKUP(B1389,ChiTietDuToan!C:H,5,0),"")</f>
        <v/>
      </c>
      <c r="V1389" s="2309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74" t="s">
        <v>611</v>
      </c>
      <c r="C1390" s="1189" t="str">
        <f t="shared" si="289"/>
        <v xml:space="preserve"> </v>
      </c>
      <c r="D1390" s="1236" t="str">
        <f>VLOOKUP($B1390,DG!A:C,2,)</f>
        <v>02.1482</v>
      </c>
      <c r="E1390" s="1241" t="str">
        <f>VLOOKUP($B1390,DG!A:C,3,)</f>
        <v>V/c dụng cụ thi công vào vị trí (cự ly &lt;=100m)</v>
      </c>
      <c r="F1390" s="1236" t="str">
        <f>VLOOKUP($B1390,DG!A:D,4,0)</f>
        <v>tấn</v>
      </c>
      <c r="G1390" s="1914">
        <v>0.05</v>
      </c>
      <c r="H1390" s="1250"/>
      <c r="I1390" s="1250"/>
      <c r="J1390" s="1250"/>
      <c r="K1390" s="1250"/>
      <c r="L1390" s="1250"/>
      <c r="M1390" s="1250"/>
      <c r="N1390" s="1250"/>
      <c r="O1390" s="1250"/>
      <c r="P1390" s="1250"/>
      <c r="Q1390" s="1250"/>
      <c r="R1390" s="1250"/>
      <c r="S1390" s="1250"/>
      <c r="T1390" s="1671"/>
      <c r="U1390" s="1664" t="str">
        <f>IFERROR(VLOOKUP(B1390,ChiTietDuToan!C:H,5,0),"")</f>
        <v/>
      </c>
      <c r="V1390" s="2309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56"/>
      <c r="C1391" s="1189" t="str">
        <f t="shared" ca="1" si="289"/>
        <v xml:space="preserve"> </v>
      </c>
      <c r="D1391" s="1237"/>
      <c r="E1391" s="1666" t="s">
        <v>2556</v>
      </c>
      <c r="F1391" s="1238" t="s">
        <v>2449</v>
      </c>
      <c r="G1391" s="1912"/>
      <c r="H1391" s="1523">
        <f ca="1">SUM(I1391:O1391)+T1391</f>
        <v>0</v>
      </c>
      <c r="I1391" s="1239">
        <f ca="1">SUMIF(mongneo3pm,chitiet!$A1391,slmongneo3pm)</f>
        <v>0</v>
      </c>
      <c r="J1391" s="1239">
        <f ca="1">SUMIF(mongneoct,chitiet!$A1391,slmongneoct)</f>
        <v>0</v>
      </c>
      <c r="K1391" s="1239">
        <f ca="1">SUMIF(mongneo3p1m,chitiet!$A1391,slmongneo3p1m)</f>
        <v>0</v>
      </c>
      <c r="L1391" s="1239">
        <f>IFERROR(HLOOKUP(A1391,pp1p!$6:$90,85,0),0)</f>
        <v>0</v>
      </c>
      <c r="M1391" s="1239">
        <f ca="1">SUMIF(mongneoHTHH,chitiet!$A1391,slmongneoHTHH)</f>
        <v>0</v>
      </c>
      <c r="N1391" s="1239">
        <f ca="1">SUMIF(mongneoHTDL,chitiet!$A1391,slmongneoHTDL)</f>
        <v>0</v>
      </c>
      <c r="O1391" s="1239"/>
      <c r="P1391" s="1239">
        <f ca="1">H1391+Q1391-R1391</f>
        <v>0</v>
      </c>
      <c r="Q1391" s="1239"/>
      <c r="R1391" s="1239"/>
      <c r="S1391" s="1239"/>
      <c r="T1391" s="1671"/>
      <c r="U1391" s="1664">
        <f>IFERROR(VLOOKUP(B1391,ChiTietDuToan!C:H,5,0),"")</f>
        <v>0</v>
      </c>
      <c r="V1391" s="2309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59" t="s">
        <v>2101</v>
      </c>
      <c r="C1392" s="1189" t="str">
        <f t="shared" ca="1" si="289"/>
        <v xml:space="preserve"> </v>
      </c>
      <c r="D1392" s="1236"/>
      <c r="E1392" s="1248" t="str">
        <f>VLOOKUP($B1392,DG!A:D,DG!$C$2,)</f>
        <v>Ty neo Ø16x1800</v>
      </c>
      <c r="F1392" s="1236" t="str">
        <f>VLOOKUP($B1392,DG!A:D,DG!$D$2,)</f>
        <v>cái</v>
      </c>
      <c r="G1392" s="1915">
        <v>1</v>
      </c>
      <c r="H1392" s="1245">
        <f ca="1">H$1391*$G1392</f>
        <v>0</v>
      </c>
      <c r="I1392" s="1245">
        <f t="shared" ref="I1392:N1394" ca="1" si="297">I$1391*$G1392</f>
        <v>0</v>
      </c>
      <c r="J1392" s="1245">
        <f t="shared" ca="1" si="297"/>
        <v>0</v>
      </c>
      <c r="K1392" s="1245">
        <f t="shared" ca="1" si="297"/>
        <v>0</v>
      </c>
      <c r="L1392" s="1245">
        <f t="shared" si="297"/>
        <v>0</v>
      </c>
      <c r="M1392" s="1245">
        <f t="shared" ca="1" si="297"/>
        <v>0</v>
      </c>
      <c r="N1392" s="1245">
        <f t="shared" ca="1" si="297"/>
        <v>0</v>
      </c>
      <c r="O1392" s="1245"/>
      <c r="P1392" s="1245"/>
      <c r="Q1392" s="1245"/>
      <c r="R1392" s="1245"/>
      <c r="S1392" s="1245"/>
      <c r="T1392" s="1671"/>
      <c r="U1392" s="1664" t="str">
        <f>IFERROR(VLOOKUP(B1392,ChiTietDuToan!C:H,5,0),"")</f>
        <v/>
      </c>
      <c r="V1392" s="2309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59" t="s">
        <v>1291</v>
      </c>
      <c r="C1393" s="1189" t="str">
        <f t="shared" ca="1" si="289"/>
        <v xml:space="preserve"> </v>
      </c>
      <c r="D1393" s="1236" t="str">
        <f>VLOOKUP($B1393,DG!A:D,DG!$B$2,)</f>
        <v>04.3801</v>
      </c>
      <c r="E1393" s="1248" t="str">
        <f>VLOOKUP($B1393,DG!A:D,DG!$C$2,)</f>
        <v>Đế neo BTCT 200x1200</v>
      </c>
      <c r="F1393" s="1236" t="str">
        <f>VLOOKUP($B1393,DG!A:D,DG!$D$2,)</f>
        <v>cái</v>
      </c>
      <c r="G1393" s="1915">
        <v>1</v>
      </c>
      <c r="H1393" s="1245">
        <f ca="1">H$1391*$G1393</f>
        <v>0</v>
      </c>
      <c r="I1393" s="1245">
        <f t="shared" ca="1" si="297"/>
        <v>0</v>
      </c>
      <c r="J1393" s="1245">
        <f t="shared" ca="1" si="297"/>
        <v>0</v>
      </c>
      <c r="K1393" s="1245">
        <f t="shared" ca="1" si="297"/>
        <v>0</v>
      </c>
      <c r="L1393" s="1245">
        <f t="shared" si="297"/>
        <v>0</v>
      </c>
      <c r="M1393" s="1245">
        <f t="shared" ca="1" si="297"/>
        <v>0</v>
      </c>
      <c r="N1393" s="1245">
        <f t="shared" ca="1" si="297"/>
        <v>0</v>
      </c>
      <c r="O1393" s="1245"/>
      <c r="P1393" s="1245"/>
      <c r="Q1393" s="1245"/>
      <c r="R1393" s="1245"/>
      <c r="S1393" s="1245"/>
      <c r="T1393" s="1671"/>
      <c r="U1393" s="1664" t="str">
        <f>IFERROR(VLOOKUP(B1393,ChiTietDuToan!C:H,5,0),"")</f>
        <v/>
      </c>
      <c r="V1393" s="2309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59" t="s">
        <v>1094</v>
      </c>
      <c r="C1394" s="1189" t="str">
        <f t="shared" ca="1" si="289"/>
        <v xml:space="preserve"> </v>
      </c>
      <c r="D1394" s="1236" t="str">
        <f>VLOOKUP($B1394,DG!A:D,DG!$B$2,)</f>
        <v>04.9001</v>
      </c>
      <c r="E1394" s="1248" t="str">
        <f>VLOOKUP($B1394,DG!A:D,DG!$C$2,)</f>
        <v>Bitum</v>
      </c>
      <c r="F1394" s="1236" t="str">
        <f>VLOOKUP($B1394,DG!A:D,DG!$D$2,)</f>
        <v>m2</v>
      </c>
      <c r="G1394" s="1925">
        <v>1.34</v>
      </c>
      <c r="H1394" s="1245">
        <f ca="1">H$1391*$G1394</f>
        <v>0</v>
      </c>
      <c r="I1394" s="1245">
        <f t="shared" ca="1" si="297"/>
        <v>0</v>
      </c>
      <c r="J1394" s="1245">
        <f t="shared" ca="1" si="297"/>
        <v>0</v>
      </c>
      <c r="K1394" s="1245">
        <f t="shared" ca="1" si="297"/>
        <v>0</v>
      </c>
      <c r="L1394" s="1245">
        <f t="shared" si="297"/>
        <v>0</v>
      </c>
      <c r="M1394" s="1245">
        <f t="shared" ca="1" si="297"/>
        <v>0</v>
      </c>
      <c r="N1394" s="1245">
        <f t="shared" ca="1" si="297"/>
        <v>0</v>
      </c>
      <c r="O1394" s="1245"/>
      <c r="P1394" s="1245"/>
      <c r="Q1394" s="1245"/>
      <c r="R1394" s="1245"/>
      <c r="S1394" s="1245"/>
      <c r="T1394" s="1671"/>
      <c r="U1394" s="1664" t="str">
        <f>IFERROR(VLOOKUP(B1394,ChiTietDuToan!C:H,5,0),"")</f>
        <v/>
      </c>
      <c r="V1394" s="2309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59" t="str">
        <f>IF(F5=1,"MDD1",IF(F5=2,"MDD2",IF(F5=3,"MDD3",IF(F5=4,"MDD4"))))</f>
        <v>MDD3</v>
      </c>
      <c r="C1395" s="1189" t="str">
        <f t="shared" si="289"/>
        <v xml:space="preserve"> </v>
      </c>
      <c r="D1395" s="1236" t="str">
        <f>VLOOKUP($B1395,DG!A:D,DG!$B$2,)</f>
        <v>03.1013</v>
      </c>
      <c r="E1395" s="1241" t="str">
        <f>VLOOKUP($B1395,DG!A:D,DG!$C$2,)</f>
        <v>Đào hố móng đất cấp 3 sâu &gt;1m DT&lt;5m2</v>
      </c>
      <c r="F1395" s="1236" t="str">
        <f>VLOOKUP($B1395,DG!A:D,DG!$D$2,)</f>
        <v>m3</v>
      </c>
      <c r="G1395" s="1914">
        <v>2.69</v>
      </c>
      <c r="H1395" s="1245"/>
      <c r="I1395" s="1245"/>
      <c r="J1395" s="1245"/>
      <c r="K1395" s="1245"/>
      <c r="L1395" s="1245"/>
      <c r="M1395" s="1245"/>
      <c r="N1395" s="1245"/>
      <c r="O1395" s="1245"/>
      <c r="P1395" s="1245"/>
      <c r="Q1395" s="1245"/>
      <c r="R1395" s="1245"/>
      <c r="S1395" s="1245"/>
      <c r="T1395" s="1671"/>
      <c r="U1395" s="1664" t="str">
        <f>IFERROR(VLOOKUP(B1395,ChiTietDuToan!C:H,5,0),"")</f>
        <v>m3</v>
      </c>
      <c r="V1395" s="2309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59" t="str">
        <f>IF(F5=1,"MDAP1",IF(F5=2,"MDAP2",IF(F5=3,"MDAP3",IF(F5=4,"MDAP4"))))</f>
        <v>MDAP3</v>
      </c>
      <c r="C1396" s="1189" t="str">
        <f t="shared" si="289"/>
        <v xml:space="preserve"> </v>
      </c>
      <c r="D1396" s="1236" t="str">
        <f>VLOOKUP($B1396,DG!A:D,DG!$B$2,)</f>
        <v>03.4113</v>
      </c>
      <c r="E1396" s="1241" t="str">
        <f>VLOOKUP($B1396,DG!A:D,DG!$C$2,)</f>
        <v>Đắp đất hố móng, độ chặt k=0,95</v>
      </c>
      <c r="F1396" s="1236" t="str">
        <f>VLOOKUP($B1396,DG!A:D,DG!$D$2,)</f>
        <v>m3</v>
      </c>
      <c r="G1396" s="1914">
        <v>3.19</v>
      </c>
      <c r="H1396" s="1245"/>
      <c r="I1396" s="1245"/>
      <c r="J1396" s="1245"/>
      <c r="K1396" s="1245"/>
      <c r="L1396" s="1245"/>
      <c r="M1396" s="1245"/>
      <c r="N1396" s="1245"/>
      <c r="O1396" s="1245"/>
      <c r="P1396" s="1245"/>
      <c r="Q1396" s="1245"/>
      <c r="R1396" s="1245"/>
      <c r="S1396" s="1245"/>
      <c r="T1396" s="1671"/>
      <c r="U1396" s="1664" t="str">
        <f>IFERROR(VLOOKUP(B1396,ChiTietDuToan!C:H,5,0),"")</f>
        <v>m3</v>
      </c>
      <c r="V1396" s="2309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59" t="s">
        <v>642</v>
      </c>
      <c r="C1397" s="1189" t="str">
        <f t="shared" si="289"/>
        <v xml:space="preserve"> </v>
      </c>
      <c r="D1397" s="1236" t="str">
        <f>VLOOKUP($B1397,DG!A:D,DG!$B$2,)</f>
        <v>02.1123</v>
      </c>
      <c r="E1397" s="1241" t="str">
        <f>VLOOKUP($B1397,DG!A:D,DG!$C$2,)</f>
        <v>Bốc dỡ đà cản, đế néo</v>
      </c>
      <c r="F1397" s="1236" t="str">
        <f>VLOOKUP($B1397,DG!A:D,DG!$D$2,)</f>
        <v>tấn</v>
      </c>
      <c r="G1397" s="1914">
        <f>G1398</f>
        <v>8.6999999999999994E-2</v>
      </c>
      <c r="H1397" s="1245"/>
      <c r="I1397" s="1245"/>
      <c r="J1397" s="1245"/>
      <c r="K1397" s="1245"/>
      <c r="L1397" s="1245"/>
      <c r="M1397" s="1245"/>
      <c r="N1397" s="1245"/>
      <c r="O1397" s="1245"/>
      <c r="P1397" s="1245"/>
      <c r="Q1397" s="1245"/>
      <c r="R1397" s="1245"/>
      <c r="S1397" s="1245"/>
      <c r="T1397" s="1671"/>
      <c r="U1397" s="1664" t="str">
        <f>IFERROR(VLOOKUP(B1397,ChiTietDuToan!C:H,5,0),"")</f>
        <v/>
      </c>
      <c r="V1397" s="2309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74" t="s">
        <v>610</v>
      </c>
      <c r="C1398" s="1189" t="str">
        <f t="shared" si="289"/>
        <v xml:space="preserve"> </v>
      </c>
      <c r="D1398" s="1236" t="str">
        <f>VLOOKUP($B1398,DG!A:C,2,)</f>
        <v>02.1451</v>
      </c>
      <c r="E1398" s="1241" t="str">
        <f>VLOOKUP($B1398,DG!A:C,3,)</f>
        <v>V/c đế néo vào vị trí (cự ly &lt;=100m)</v>
      </c>
      <c r="F1398" s="1236" t="str">
        <f>VLOOKUP($B1398,DG!A:D,4,0)</f>
        <v>tấn</v>
      </c>
      <c r="G1398" s="1914">
        <v>8.6999999999999994E-2</v>
      </c>
      <c r="H1398" s="1250"/>
      <c r="I1398" s="1250"/>
      <c r="J1398" s="1250"/>
      <c r="K1398" s="1250"/>
      <c r="L1398" s="1250"/>
      <c r="M1398" s="1250"/>
      <c r="N1398" s="1250"/>
      <c r="O1398" s="1250"/>
      <c r="P1398" s="1250"/>
      <c r="Q1398" s="1250"/>
      <c r="R1398" s="1250"/>
      <c r="S1398" s="1250"/>
      <c r="T1398" s="1671"/>
      <c r="U1398" s="1664" t="str">
        <f>IFERROR(VLOOKUP(B1398,ChiTietDuToan!C:H,5,0),"")</f>
        <v/>
      </c>
      <c r="V1398" s="2309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74" t="s">
        <v>611</v>
      </c>
      <c r="C1399" s="1189" t="str">
        <f t="shared" si="289"/>
        <v xml:space="preserve"> </v>
      </c>
      <c r="D1399" s="1236" t="str">
        <f>VLOOKUP($B1399,DG!A:C,2,)</f>
        <v>02.1482</v>
      </c>
      <c r="E1399" s="1241" t="str">
        <f>VLOOKUP($B1399,DG!A:C,3,)</f>
        <v>V/c dụng cụ thi công vào vị trí (cự ly &lt;=100m)</v>
      </c>
      <c r="F1399" s="1236" t="str">
        <f>VLOOKUP($B1399,DG!A:D,4,0)</f>
        <v>tấn</v>
      </c>
      <c r="G1399" s="1914">
        <v>0.05</v>
      </c>
      <c r="H1399" s="1250"/>
      <c r="I1399" s="1250"/>
      <c r="J1399" s="1250"/>
      <c r="K1399" s="1250"/>
      <c r="L1399" s="1250"/>
      <c r="M1399" s="1250"/>
      <c r="N1399" s="1250"/>
      <c r="O1399" s="1250"/>
      <c r="P1399" s="1250"/>
      <c r="Q1399" s="1250"/>
      <c r="R1399" s="1250"/>
      <c r="S1399" s="1250"/>
      <c r="T1399" s="1671"/>
      <c r="U1399" s="1664" t="str">
        <f>IFERROR(VLOOKUP(B1399,ChiTietDuToan!C:H,5,0),"")</f>
        <v/>
      </c>
      <c r="V1399" s="2309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104" t="s">
        <v>2208</v>
      </c>
      <c r="B1400" s="1956"/>
      <c r="C1400" s="1189" t="str">
        <f t="shared" ca="1" si="289"/>
        <v xml:space="preserve"> </v>
      </c>
      <c r="D1400" s="1237"/>
      <c r="E1400" s="1666" t="s">
        <v>2557</v>
      </c>
      <c r="F1400" s="1238" t="s">
        <v>2449</v>
      </c>
      <c r="G1400" s="1912"/>
      <c r="H1400" s="1523">
        <f ca="1">SUM(I1400:O1400)+T1400</f>
        <v>0</v>
      </c>
      <c r="I1400" s="1239">
        <f ca="1">SUMIF(mongneo3pm,chitiet!$A1400,slmongneo3pm)+SUMIF(mongneo3p1m,chitiet!$A1400,slmongneo3p1m)</f>
        <v>0</v>
      </c>
      <c r="J1400" s="1239">
        <f ca="1">SUMIF(mongneoct,chitiet!$A1400,slmongneoct)</f>
        <v>0</v>
      </c>
      <c r="K1400" s="1239">
        <f ca="1">SUMIF(mongneo3p1m,chitiet!$A1400,slmongneo3p1m)</f>
        <v>0</v>
      </c>
      <c r="L1400" s="1239">
        <f>IFERROR(HLOOKUP(A1400,pp1p!$6:$90,85,0),0)</f>
        <v>0</v>
      </c>
      <c r="M1400" s="1239">
        <f ca="1">SUMIF(mongneoHTHH,chitiet!$A1400,slmongneoHTHH)</f>
        <v>0</v>
      </c>
      <c r="N1400" s="1239">
        <f ca="1">SUMIF(mongneoHTDL,chitiet!$A1400,slmongneoHTDL)</f>
        <v>0</v>
      </c>
      <c r="O1400" s="1239"/>
      <c r="P1400" s="1239">
        <f ca="1">H1400+Q1400-R1400</f>
        <v>0</v>
      </c>
      <c r="Q1400" s="1239"/>
      <c r="R1400" s="1239"/>
      <c r="S1400" s="1239"/>
      <c r="T1400" s="1671"/>
      <c r="U1400" s="1664">
        <f>IFERROR(VLOOKUP(B1400,ChiTietDuToan!C:H,5,0),"")</f>
        <v>0</v>
      </c>
      <c r="V1400" s="2309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59" t="s">
        <v>114</v>
      </c>
      <c r="C1401" s="1189" t="str">
        <f t="shared" ca="1" si="289"/>
        <v xml:space="preserve"> </v>
      </c>
      <c r="D1401" s="1236"/>
      <c r="E1401" s="1248" t="str">
        <f>VLOOKUP($B1401,DG!A:D,DG!$C$2,)</f>
        <v>Ty neo Ø22x3700</v>
      </c>
      <c r="F1401" s="1236" t="str">
        <f>VLOOKUP($B1401,DG!A:D,DG!$D$2,)</f>
        <v>cái</v>
      </c>
      <c r="G1401" s="1915">
        <v>1</v>
      </c>
      <c r="H1401" s="1245">
        <f ca="1">H$1400*$G1401</f>
        <v>0</v>
      </c>
      <c r="I1401" s="1245">
        <f t="shared" ref="I1401:N1403" ca="1" si="298">I$1400*$G1401</f>
        <v>0</v>
      </c>
      <c r="J1401" s="1245">
        <f t="shared" ca="1" si="298"/>
        <v>0</v>
      </c>
      <c r="K1401" s="1245">
        <f t="shared" ca="1" si="298"/>
        <v>0</v>
      </c>
      <c r="L1401" s="1245">
        <f t="shared" si="298"/>
        <v>0</v>
      </c>
      <c r="M1401" s="1245">
        <f t="shared" ca="1" si="298"/>
        <v>0</v>
      </c>
      <c r="N1401" s="1245">
        <f t="shared" ca="1" si="298"/>
        <v>0</v>
      </c>
      <c r="O1401" s="1245"/>
      <c r="P1401" s="1245"/>
      <c r="Q1401" s="1245"/>
      <c r="R1401" s="1245"/>
      <c r="S1401" s="1245"/>
      <c r="T1401" s="1671"/>
      <c r="U1401" s="1664" t="str">
        <f>IFERROR(VLOOKUP(B1401,ChiTietDuToan!C:H,5,0),"")</f>
        <v/>
      </c>
      <c r="V1401" s="2309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59" t="s">
        <v>343</v>
      </c>
      <c r="C1402" s="1189" t="str">
        <f t="shared" ca="1" si="289"/>
        <v xml:space="preserve"> </v>
      </c>
      <c r="D1402" s="1236" t="str">
        <f>VLOOKUP($B1402,DG!A:D,DG!$B$2,)</f>
        <v>04.3801</v>
      </c>
      <c r="E1402" s="1248" t="str">
        <f>VLOOKUP($B1402,DG!A:D,DG!$C$2,)</f>
        <v>Đế neo BTCT 400x1200</v>
      </c>
      <c r="F1402" s="1236" t="str">
        <f>VLOOKUP($B1402,DG!A:D,DG!$D$2,)</f>
        <v>cái</v>
      </c>
      <c r="G1402" s="1915">
        <v>1</v>
      </c>
      <c r="H1402" s="1245">
        <f ca="1">H$1400*$G1402</f>
        <v>0</v>
      </c>
      <c r="I1402" s="1245">
        <f t="shared" ca="1" si="298"/>
        <v>0</v>
      </c>
      <c r="J1402" s="1245">
        <f t="shared" ca="1" si="298"/>
        <v>0</v>
      </c>
      <c r="K1402" s="1245">
        <f t="shared" ca="1" si="298"/>
        <v>0</v>
      </c>
      <c r="L1402" s="1245">
        <f t="shared" si="298"/>
        <v>0</v>
      </c>
      <c r="M1402" s="1245">
        <f t="shared" ca="1" si="298"/>
        <v>0</v>
      </c>
      <c r="N1402" s="1245">
        <f t="shared" ca="1" si="298"/>
        <v>0</v>
      </c>
      <c r="O1402" s="1245"/>
      <c r="P1402" s="1245"/>
      <c r="Q1402" s="1245"/>
      <c r="R1402" s="1245"/>
      <c r="S1402" s="1245"/>
      <c r="T1402" s="1671"/>
      <c r="U1402" s="1664" t="str">
        <f>IFERROR(VLOOKUP(B1402,ChiTietDuToan!C:H,5,0),"")</f>
        <v/>
      </c>
      <c r="V1402" s="2309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59" t="s">
        <v>1094</v>
      </c>
      <c r="C1403" s="1189" t="str">
        <f t="shared" ca="1" si="289"/>
        <v xml:space="preserve"> </v>
      </c>
      <c r="D1403" s="1236" t="str">
        <f>VLOOKUP($B1403,DG!A:D,DG!$B$2,)</f>
        <v>04.9001</v>
      </c>
      <c r="E1403" s="1248" t="str">
        <f>VLOOKUP($B1403,DG!A:D,DG!$C$2,)</f>
        <v>Bitum</v>
      </c>
      <c r="F1403" s="1236" t="str">
        <f>VLOOKUP($B1403,DG!A:D,DG!$D$2,)</f>
        <v>m2</v>
      </c>
      <c r="G1403" s="1925">
        <v>1.58</v>
      </c>
      <c r="H1403" s="1245">
        <f ca="1">H$1400*$G1403</f>
        <v>0</v>
      </c>
      <c r="I1403" s="1245">
        <f t="shared" ca="1" si="298"/>
        <v>0</v>
      </c>
      <c r="J1403" s="1245">
        <f t="shared" ca="1" si="298"/>
        <v>0</v>
      </c>
      <c r="K1403" s="1245">
        <f t="shared" ca="1" si="298"/>
        <v>0</v>
      </c>
      <c r="L1403" s="1245">
        <f t="shared" si="298"/>
        <v>0</v>
      </c>
      <c r="M1403" s="1245">
        <f t="shared" ca="1" si="298"/>
        <v>0</v>
      </c>
      <c r="N1403" s="1245">
        <f t="shared" ca="1" si="298"/>
        <v>0</v>
      </c>
      <c r="O1403" s="1245"/>
      <c r="P1403" s="1245"/>
      <c r="Q1403" s="1245"/>
      <c r="R1403" s="1245"/>
      <c r="S1403" s="1245"/>
      <c r="T1403" s="1671"/>
      <c r="U1403" s="1664" t="str">
        <f>IFERROR(VLOOKUP(B1403,ChiTietDuToan!C:H,5,0),"")</f>
        <v/>
      </c>
      <c r="V1403" s="2309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59" t="str">
        <f>IF(F5=1,"MDD1",IF(F5=2,"MDD2",IF(F5=3,"MDD3",IF(F5=4,"MDD4"))))</f>
        <v>MDD3</v>
      </c>
      <c r="C1404" s="1189" t="str">
        <f t="shared" si="289"/>
        <v xml:space="preserve"> </v>
      </c>
      <c r="D1404" s="1236" t="str">
        <f>VLOOKUP($B1404,DG!A:D,DG!$B$2,)</f>
        <v>03.1013</v>
      </c>
      <c r="E1404" s="1241" t="str">
        <f>VLOOKUP($B1404,DG!A:D,DG!$C$2,)</f>
        <v>Đào hố móng đất cấp 3 sâu &gt;1m DT&lt;5m2</v>
      </c>
      <c r="F1404" s="1236" t="str">
        <f>VLOOKUP($B1404,DG!A:D,DG!$D$2,)</f>
        <v>m3</v>
      </c>
      <c r="G1404" s="1914">
        <v>9.39</v>
      </c>
      <c r="H1404" s="1245"/>
      <c r="I1404" s="1245"/>
      <c r="J1404" s="1245"/>
      <c r="K1404" s="1245"/>
      <c r="L1404" s="1245"/>
      <c r="M1404" s="1245"/>
      <c r="N1404" s="1245"/>
      <c r="O1404" s="1245"/>
      <c r="P1404" s="1245"/>
      <c r="Q1404" s="1245"/>
      <c r="R1404" s="1245"/>
      <c r="S1404" s="1245"/>
      <c r="T1404" s="1671"/>
      <c r="U1404" s="1664" t="str">
        <f>IFERROR(VLOOKUP(B1404,ChiTietDuToan!C:H,5,0),"")</f>
        <v>m3</v>
      </c>
      <c r="V1404" s="2309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59" t="str">
        <f>IF(F5=1,"MDAP1",IF(F5=2,"MDAP2",IF(F5=3,"MDAP3",IF(F5=4,"MDAP4"))))</f>
        <v>MDAP3</v>
      </c>
      <c r="C1405" s="1189" t="str">
        <f t="shared" si="289"/>
        <v xml:space="preserve"> </v>
      </c>
      <c r="D1405" s="1236" t="str">
        <f>VLOOKUP($B1405,DG!A:D,DG!$B$2,)</f>
        <v>03.4113</v>
      </c>
      <c r="E1405" s="1241" t="str">
        <f>VLOOKUP($B1405,DG!A:D,DG!$C$2,)</f>
        <v>Đắp đất hố móng, độ chặt k=0,95</v>
      </c>
      <c r="F1405" s="1236" t="str">
        <f>VLOOKUP($B1405,DG!A:D,DG!$D$2,)</f>
        <v>m3</v>
      </c>
      <c r="G1405" s="1914">
        <v>10.7</v>
      </c>
      <c r="H1405" s="1245"/>
      <c r="I1405" s="1245"/>
      <c r="J1405" s="1245"/>
      <c r="K1405" s="1245"/>
      <c r="L1405" s="1245"/>
      <c r="M1405" s="1245"/>
      <c r="N1405" s="1245"/>
      <c r="O1405" s="1245"/>
      <c r="P1405" s="1245"/>
      <c r="Q1405" s="1245"/>
      <c r="R1405" s="1245"/>
      <c r="S1405" s="1245"/>
      <c r="T1405" s="1671"/>
      <c r="U1405" s="1664" t="str">
        <f>IFERROR(VLOOKUP(B1405,ChiTietDuToan!C:H,5,0),"")</f>
        <v>m3</v>
      </c>
      <c r="V1405" s="2309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59" t="s">
        <v>642</v>
      </c>
      <c r="C1406" s="1189" t="str">
        <f t="shared" si="289"/>
        <v xml:space="preserve"> </v>
      </c>
      <c r="D1406" s="1236" t="str">
        <f>VLOOKUP($B1406,DG!A:D,DG!$B$2,)</f>
        <v>02.1123</v>
      </c>
      <c r="E1406" s="1241" t="str">
        <f>VLOOKUP($B1406,DG!A:D,DG!$C$2,)</f>
        <v>Bốc dỡ đà cản, đế néo</v>
      </c>
      <c r="F1406" s="1236" t="str">
        <f>VLOOKUP($B1406,DG!A:D,DG!$D$2,)</f>
        <v>tấn</v>
      </c>
      <c r="G1406" s="1914">
        <f>G1407</f>
        <v>0.17399999999999999</v>
      </c>
      <c r="H1406" s="1245"/>
      <c r="I1406" s="1245"/>
      <c r="J1406" s="1245"/>
      <c r="K1406" s="1245"/>
      <c r="L1406" s="1245"/>
      <c r="M1406" s="1245"/>
      <c r="N1406" s="1245"/>
      <c r="O1406" s="1245"/>
      <c r="P1406" s="1245"/>
      <c r="Q1406" s="1245"/>
      <c r="R1406" s="1245"/>
      <c r="S1406" s="1245"/>
      <c r="T1406" s="1671"/>
      <c r="U1406" s="1664" t="str">
        <f>IFERROR(VLOOKUP(B1406,ChiTietDuToan!C:H,5,0),"")</f>
        <v/>
      </c>
      <c r="V1406" s="2309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74" t="s">
        <v>610</v>
      </c>
      <c r="C1407" s="1189" t="str">
        <f t="shared" si="289"/>
        <v xml:space="preserve"> </v>
      </c>
      <c r="D1407" s="1236" t="str">
        <f>VLOOKUP($B1407,DG!A:C,2,)</f>
        <v>02.1451</v>
      </c>
      <c r="E1407" s="1241" t="str">
        <f>VLOOKUP($B1407,DG!A:C,3,)</f>
        <v>V/c đế néo vào vị trí (cự ly &lt;=100m)</v>
      </c>
      <c r="F1407" s="1236" t="str">
        <f>VLOOKUP($B1407,DG!A:D,4,0)</f>
        <v>tấn</v>
      </c>
      <c r="G1407" s="1914">
        <v>0.17399999999999999</v>
      </c>
      <c r="H1407" s="1250"/>
      <c r="I1407" s="1250"/>
      <c r="J1407" s="1250"/>
      <c r="K1407" s="1250"/>
      <c r="L1407" s="1250"/>
      <c r="M1407" s="1250"/>
      <c r="N1407" s="1250"/>
      <c r="O1407" s="1250"/>
      <c r="P1407" s="1250"/>
      <c r="Q1407" s="1250"/>
      <c r="R1407" s="1250"/>
      <c r="S1407" s="1250"/>
      <c r="T1407" s="1671"/>
      <c r="U1407" s="1664" t="str">
        <f>IFERROR(VLOOKUP(B1407,ChiTietDuToan!C:H,5,0),"")</f>
        <v/>
      </c>
      <c r="V1407" s="2309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74" t="s">
        <v>611</v>
      </c>
      <c r="C1408" s="1189" t="str">
        <f t="shared" si="289"/>
        <v xml:space="preserve"> </v>
      </c>
      <c r="D1408" s="1236" t="str">
        <f>VLOOKUP($B1408,DG!A:C,2,)</f>
        <v>02.1482</v>
      </c>
      <c r="E1408" s="1241" t="str">
        <f>VLOOKUP($B1408,DG!A:C,3,)</f>
        <v>V/c dụng cụ thi công vào vị trí (cự ly &lt;=100m)</v>
      </c>
      <c r="F1408" s="1236" t="str">
        <f>VLOOKUP($B1408,DG!A:D,4,0)</f>
        <v>tấn</v>
      </c>
      <c r="G1408" s="1914">
        <v>0.05</v>
      </c>
      <c r="H1408" s="1250"/>
      <c r="I1408" s="1250"/>
      <c r="J1408" s="1250"/>
      <c r="K1408" s="1250"/>
      <c r="L1408" s="1250"/>
      <c r="M1408" s="1250"/>
      <c r="N1408" s="1250"/>
      <c r="O1408" s="1250"/>
      <c r="P1408" s="1250"/>
      <c r="Q1408" s="1250"/>
      <c r="R1408" s="1250"/>
      <c r="S1408" s="1250"/>
      <c r="T1408" s="1671"/>
      <c r="U1408" s="1664" t="str">
        <f>IFERROR(VLOOKUP(B1408,ChiTietDuToan!C:H,5,0),"")</f>
        <v/>
      </c>
      <c r="V1408" s="2309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104" t="s">
        <v>1122</v>
      </c>
      <c r="B1409" s="1956"/>
      <c r="C1409" s="1189" t="str">
        <f t="shared" ca="1" si="289"/>
        <v xml:space="preserve"> </v>
      </c>
      <c r="D1409" s="1237"/>
      <c r="E1409" s="1666" t="s">
        <v>2558</v>
      </c>
      <c r="F1409" s="1238" t="s">
        <v>2449</v>
      </c>
      <c r="G1409" s="1912"/>
      <c r="H1409" s="1523">
        <f ca="1">SUM(I1409:O1409)+T1409</f>
        <v>0</v>
      </c>
      <c r="I1409" s="1239">
        <f ca="1">SUMIF(mongneo3pm,chitiet!$A1409,slmongneo3pm)</f>
        <v>0</v>
      </c>
      <c r="J1409" s="1239">
        <f ca="1">SUMIF(mongneoct,chitiet!$A1409,slmongneoct)</f>
        <v>0</v>
      </c>
      <c r="K1409" s="1239">
        <f ca="1">SUMIF(mongneo3p1m,chitiet!$A1409,slmongneo3p1m)</f>
        <v>0</v>
      </c>
      <c r="L1409" s="1239">
        <f>IFERROR(HLOOKUP(A1409,pp1p!$6:$90,85,0),0)</f>
        <v>0</v>
      </c>
      <c r="M1409" s="1239">
        <f ca="1">SUMIF(mongneoHTHH,chitiet!$A1409,slmongneoHTHH)</f>
        <v>0</v>
      </c>
      <c r="N1409" s="1239">
        <f ca="1">SUMIF(mongneoHTDL,chitiet!$A1409,slmongneoHTDL)</f>
        <v>0</v>
      </c>
      <c r="O1409" s="1239"/>
      <c r="P1409" s="1239">
        <f ca="1">H1409+Q1409-R1409</f>
        <v>0</v>
      </c>
      <c r="Q1409" s="1239"/>
      <c r="R1409" s="1239"/>
      <c r="S1409" s="1239"/>
      <c r="T1409" s="1671"/>
      <c r="U1409" s="1664">
        <f>IFERROR(VLOOKUP(B1409,ChiTietDuToan!C:H,5,0),"")</f>
        <v>0</v>
      </c>
      <c r="V1409" s="2309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59" t="s">
        <v>2052</v>
      </c>
      <c r="C1410" s="1189" t="str">
        <f t="shared" ca="1" si="289"/>
        <v xml:space="preserve"> </v>
      </c>
      <c r="D1410" s="1236"/>
      <c r="E1410" s="1248" t="str">
        <f>VLOOKUP($B1410,DG!A:D,DG!$C$2,)</f>
        <v>Ty neo Ø22x3000</v>
      </c>
      <c r="F1410" s="1236" t="str">
        <f>VLOOKUP($B1410,DG!A:D,DG!$D$2,)</f>
        <v>cái</v>
      </c>
      <c r="G1410" s="1915">
        <v>1</v>
      </c>
      <c r="H1410" s="1245">
        <f ca="1">H$1409*$G1410</f>
        <v>0</v>
      </c>
      <c r="I1410" s="1245">
        <f t="shared" ref="I1410:N1412" ca="1" si="299">I$1409*$G1410</f>
        <v>0</v>
      </c>
      <c r="J1410" s="1245">
        <f t="shared" ca="1" si="299"/>
        <v>0</v>
      </c>
      <c r="K1410" s="1245">
        <f t="shared" ca="1" si="299"/>
        <v>0</v>
      </c>
      <c r="L1410" s="1245">
        <f t="shared" si="299"/>
        <v>0</v>
      </c>
      <c r="M1410" s="1245">
        <f t="shared" ca="1" si="299"/>
        <v>0</v>
      </c>
      <c r="N1410" s="1245">
        <f t="shared" ca="1" si="299"/>
        <v>0</v>
      </c>
      <c r="O1410" s="1245"/>
      <c r="P1410" s="1245"/>
      <c r="Q1410" s="1245"/>
      <c r="R1410" s="1245"/>
      <c r="S1410" s="1245"/>
      <c r="T1410" s="1671"/>
      <c r="U1410" s="1664" t="str">
        <f>IFERROR(VLOOKUP(B1410,ChiTietDuToan!C:H,5,0),"")</f>
        <v/>
      </c>
      <c r="V1410" s="2309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59" t="s">
        <v>343</v>
      </c>
      <c r="C1411" s="1189" t="str">
        <f t="shared" ca="1" si="289"/>
        <v xml:space="preserve"> </v>
      </c>
      <c r="D1411" s="1236" t="str">
        <f>VLOOKUP($B1411,DG!A:D,DG!$B$2,)</f>
        <v>04.3801</v>
      </c>
      <c r="E1411" s="1248" t="str">
        <f>VLOOKUP($B1411,DG!A:D,DG!$C$2,)</f>
        <v>Đế neo BTCT 400x1200</v>
      </c>
      <c r="F1411" s="1236" t="str">
        <f>VLOOKUP($B1411,DG!A:D,DG!$D$2,)</f>
        <v>cái</v>
      </c>
      <c r="G1411" s="1915">
        <v>1</v>
      </c>
      <c r="H1411" s="1245">
        <f ca="1">H$1409*$G1411</f>
        <v>0</v>
      </c>
      <c r="I1411" s="1245">
        <f t="shared" ca="1" si="299"/>
        <v>0</v>
      </c>
      <c r="J1411" s="1245">
        <f t="shared" ca="1" si="299"/>
        <v>0</v>
      </c>
      <c r="K1411" s="1245">
        <f t="shared" ca="1" si="299"/>
        <v>0</v>
      </c>
      <c r="L1411" s="1245">
        <f t="shared" si="299"/>
        <v>0</v>
      </c>
      <c r="M1411" s="1245">
        <f t="shared" ca="1" si="299"/>
        <v>0</v>
      </c>
      <c r="N1411" s="1245">
        <f t="shared" ca="1" si="299"/>
        <v>0</v>
      </c>
      <c r="O1411" s="1245"/>
      <c r="P1411" s="1245"/>
      <c r="Q1411" s="1245"/>
      <c r="R1411" s="1245"/>
      <c r="S1411" s="1245"/>
      <c r="T1411" s="1671"/>
      <c r="U1411" s="1664" t="str">
        <f>IFERROR(VLOOKUP(B1411,ChiTietDuToan!C:H,5,0),"")</f>
        <v/>
      </c>
      <c r="V1411" s="2309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59" t="s">
        <v>1094</v>
      </c>
      <c r="C1412" s="1189" t="str">
        <f t="shared" ca="1" si="289"/>
        <v xml:space="preserve"> </v>
      </c>
      <c r="D1412" s="1236" t="str">
        <f>VLOOKUP($B1412,DG!A:D,DG!$B$2,)</f>
        <v>04.9001</v>
      </c>
      <c r="E1412" s="1248" t="str">
        <f>VLOOKUP($B1412,DG!A:D,DG!$C$2,)</f>
        <v>Bitum</v>
      </c>
      <c r="F1412" s="1236" t="str">
        <f>VLOOKUP($B1412,DG!A:D,DG!$D$2,)</f>
        <v>m2</v>
      </c>
      <c r="G1412" s="1925">
        <v>1.58</v>
      </c>
      <c r="H1412" s="1245">
        <f ca="1">H$1409*$G1412</f>
        <v>0</v>
      </c>
      <c r="I1412" s="1245">
        <f t="shared" ca="1" si="299"/>
        <v>0</v>
      </c>
      <c r="J1412" s="1245">
        <f t="shared" ca="1" si="299"/>
        <v>0</v>
      </c>
      <c r="K1412" s="1245">
        <f t="shared" ca="1" si="299"/>
        <v>0</v>
      </c>
      <c r="L1412" s="1245">
        <f t="shared" si="299"/>
        <v>0</v>
      </c>
      <c r="M1412" s="1245">
        <f t="shared" ca="1" si="299"/>
        <v>0</v>
      </c>
      <c r="N1412" s="1245">
        <f t="shared" ca="1" si="299"/>
        <v>0</v>
      </c>
      <c r="O1412" s="1245"/>
      <c r="P1412" s="1245"/>
      <c r="Q1412" s="1245"/>
      <c r="R1412" s="1245"/>
      <c r="S1412" s="1245"/>
      <c r="T1412" s="1671"/>
      <c r="U1412" s="1664" t="str">
        <f>IFERROR(VLOOKUP(B1412,ChiTietDuToan!C:H,5,0),"")</f>
        <v/>
      </c>
      <c r="V1412" s="2309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59" t="str">
        <f>IF(F5=1,"MDD1",IF(F5=2,"MDD2",IF(F5=3,"MDD3",IF(F5=4,"MDD4"))))</f>
        <v>MDD3</v>
      </c>
      <c r="C1413" s="1189" t="str">
        <f t="shared" si="289"/>
        <v xml:space="preserve"> </v>
      </c>
      <c r="D1413" s="1236" t="str">
        <f>VLOOKUP($B1413,DG!A:D,DG!$B$2,)</f>
        <v>03.1013</v>
      </c>
      <c r="E1413" s="1241" t="str">
        <f>VLOOKUP($B1413,DG!A:D,DG!$C$2,)</f>
        <v>Đào hố móng đất cấp 3 sâu &gt;1m DT&lt;5m2</v>
      </c>
      <c r="F1413" s="1236" t="str">
        <f>VLOOKUP($B1413,DG!A:D,DG!$D$2,)</f>
        <v>m3</v>
      </c>
      <c r="G1413" s="1914">
        <v>8.23</v>
      </c>
      <c r="H1413" s="1245"/>
      <c r="I1413" s="1245"/>
      <c r="J1413" s="1245"/>
      <c r="K1413" s="1245"/>
      <c r="L1413" s="1245"/>
      <c r="M1413" s="1245"/>
      <c r="N1413" s="1245"/>
      <c r="O1413" s="1245"/>
      <c r="P1413" s="1245"/>
      <c r="Q1413" s="1245"/>
      <c r="R1413" s="1245"/>
      <c r="S1413" s="1245"/>
      <c r="T1413" s="1671"/>
      <c r="U1413" s="1664" t="str">
        <f>IFERROR(VLOOKUP(B1413,ChiTietDuToan!C:H,5,0),"")</f>
        <v>m3</v>
      </c>
      <c r="V1413" s="2309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59" t="str">
        <f>IF(F5=1,"MDAP1",IF(F5=2,"MDAP2",IF(F5=3,"MDAP3",IF(F5=4,"MDAP4"))))</f>
        <v>MDAP3</v>
      </c>
      <c r="C1414" s="1189" t="str">
        <f t="shared" si="289"/>
        <v xml:space="preserve"> </v>
      </c>
      <c r="D1414" s="1236" t="str">
        <f>VLOOKUP($B1414,DG!A:D,DG!$B$2,)</f>
        <v>03.4113</v>
      </c>
      <c r="E1414" s="1241" t="str">
        <f>VLOOKUP($B1414,DG!A:D,DG!$C$2,)</f>
        <v>Đắp đất hố móng, độ chặt k=0,95</v>
      </c>
      <c r="F1414" s="1236" t="str">
        <f>VLOOKUP($B1414,DG!A:D,DG!$D$2,)</f>
        <v>m3</v>
      </c>
      <c r="G1414" s="1914">
        <v>9.2899999999999991</v>
      </c>
      <c r="H1414" s="1245"/>
      <c r="I1414" s="1245"/>
      <c r="J1414" s="1245"/>
      <c r="K1414" s="1245"/>
      <c r="L1414" s="1245"/>
      <c r="M1414" s="1245"/>
      <c r="N1414" s="1245"/>
      <c r="O1414" s="1245"/>
      <c r="P1414" s="1245"/>
      <c r="Q1414" s="1245"/>
      <c r="R1414" s="1245"/>
      <c r="S1414" s="1245"/>
      <c r="T1414" s="1671"/>
      <c r="U1414" s="1664" t="str">
        <f>IFERROR(VLOOKUP(B1414,ChiTietDuToan!C:H,5,0),"")</f>
        <v>m3</v>
      </c>
      <c r="V1414" s="2309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59" t="s">
        <v>642</v>
      </c>
      <c r="C1415" s="1189" t="str">
        <f t="shared" si="289"/>
        <v xml:space="preserve"> </v>
      </c>
      <c r="D1415" s="1236" t="str">
        <f>VLOOKUP($B1415,DG!A:D,DG!$B$2,)</f>
        <v>02.1123</v>
      </c>
      <c r="E1415" s="1241" t="str">
        <f>VLOOKUP($B1415,DG!A:D,DG!$C$2,)</f>
        <v>Bốc dỡ đà cản, đế néo</v>
      </c>
      <c r="F1415" s="1236" t="str">
        <f>VLOOKUP($B1415,DG!A:D,DG!$D$2,)</f>
        <v>tấn</v>
      </c>
      <c r="G1415" s="1914">
        <f>G1416</f>
        <v>0.17399999999999999</v>
      </c>
      <c r="H1415" s="1245"/>
      <c r="I1415" s="1245"/>
      <c r="J1415" s="1245"/>
      <c r="K1415" s="1245"/>
      <c r="L1415" s="1245"/>
      <c r="M1415" s="1245"/>
      <c r="N1415" s="1245"/>
      <c r="O1415" s="1245"/>
      <c r="P1415" s="1245"/>
      <c r="Q1415" s="1245"/>
      <c r="R1415" s="1245"/>
      <c r="S1415" s="1245"/>
      <c r="T1415" s="1671"/>
      <c r="U1415" s="1664" t="str">
        <f>IFERROR(VLOOKUP(B1415,ChiTietDuToan!C:H,5,0),"")</f>
        <v/>
      </c>
      <c r="V1415" s="2309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74" t="s">
        <v>610</v>
      </c>
      <c r="C1416" s="1189" t="str">
        <f t="shared" si="289"/>
        <v xml:space="preserve"> </v>
      </c>
      <c r="D1416" s="1236" t="str">
        <f>VLOOKUP($B1416,DG!A:C,2,)</f>
        <v>02.1451</v>
      </c>
      <c r="E1416" s="1241" t="str">
        <f>VLOOKUP($B1416,DG!A:C,3,)</f>
        <v>V/c đế néo vào vị trí (cự ly &lt;=100m)</v>
      </c>
      <c r="F1416" s="1236" t="str">
        <f>VLOOKUP($B1416,DG!A:D,4,0)</f>
        <v>tấn</v>
      </c>
      <c r="G1416" s="1914">
        <v>0.17399999999999999</v>
      </c>
      <c r="H1416" s="1250"/>
      <c r="I1416" s="1250"/>
      <c r="J1416" s="1250"/>
      <c r="K1416" s="1250"/>
      <c r="L1416" s="1250"/>
      <c r="M1416" s="1250"/>
      <c r="N1416" s="1250"/>
      <c r="O1416" s="1250"/>
      <c r="P1416" s="1250"/>
      <c r="Q1416" s="1250"/>
      <c r="R1416" s="1250"/>
      <c r="S1416" s="1250"/>
      <c r="T1416" s="1671"/>
      <c r="U1416" s="1664" t="str">
        <f>IFERROR(VLOOKUP(B1416,ChiTietDuToan!C:H,5,0),"")</f>
        <v/>
      </c>
      <c r="V1416" s="2309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74" t="s">
        <v>611</v>
      </c>
      <c r="C1417" s="1189" t="str">
        <f t="shared" si="289"/>
        <v xml:space="preserve"> </v>
      </c>
      <c r="D1417" s="1236" t="str">
        <f>VLOOKUP($B1417,DG!A:C,2,)</f>
        <v>02.1482</v>
      </c>
      <c r="E1417" s="1241" t="str">
        <f>VLOOKUP($B1417,DG!A:C,3,)</f>
        <v>V/c dụng cụ thi công vào vị trí (cự ly &lt;=100m)</v>
      </c>
      <c r="F1417" s="1236" t="str">
        <f>VLOOKUP($B1417,DG!A:D,4,0)</f>
        <v>tấn</v>
      </c>
      <c r="G1417" s="1914">
        <v>0.05</v>
      </c>
      <c r="H1417" s="1250"/>
      <c r="I1417" s="1250"/>
      <c r="J1417" s="1250"/>
      <c r="K1417" s="1250"/>
      <c r="L1417" s="1250"/>
      <c r="M1417" s="1250"/>
      <c r="N1417" s="1250"/>
      <c r="O1417" s="1250"/>
      <c r="P1417" s="1250"/>
      <c r="Q1417" s="1250"/>
      <c r="R1417" s="1250"/>
      <c r="S1417" s="1250"/>
      <c r="T1417" s="1671"/>
      <c r="U1417" s="1664" t="str">
        <f>IFERROR(VLOOKUP(B1417,ChiTietDuToan!C:H,5,0),"")</f>
        <v/>
      </c>
      <c r="V1417" s="2309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56"/>
      <c r="C1418" s="1189" t="str">
        <f t="shared" ca="1" si="289"/>
        <v xml:space="preserve"> </v>
      </c>
      <c r="D1418" s="1237"/>
      <c r="E1418" s="1666" t="s">
        <v>2559</v>
      </c>
      <c r="F1418" s="1238" t="s">
        <v>2449</v>
      </c>
      <c r="G1418" s="1912"/>
      <c r="H1418" s="1523">
        <f ca="1">SUM(I1418:O1418)+T1418</f>
        <v>0</v>
      </c>
      <c r="I1418" s="1239">
        <f ca="1">SUMIF(mongneo3pm,chitiet!$A1418,slmongneo3pm)</f>
        <v>0</v>
      </c>
      <c r="J1418" s="1239">
        <f ca="1">SUMIF(mongneoct,chitiet!$A1418,slmongneoct)</f>
        <v>0</v>
      </c>
      <c r="K1418" s="1239">
        <f ca="1">SUMIF(mongneo1pm,chitiet!$A1418,slmongneo1pm)</f>
        <v>0</v>
      </c>
      <c r="L1418" s="1239">
        <f>IFERROR(HLOOKUP(A1418,pp1p!$6:$90,85,0),0)</f>
        <v>0</v>
      </c>
      <c r="M1418" s="1239">
        <f ca="1">SUMIF(mongneoHTHH,chitiet!$A1418,slmongneoHTHH)</f>
        <v>0</v>
      </c>
      <c r="N1418" s="1239">
        <f ca="1">SUMIF(mongneoHTDL,chitiet!$A1418,slmongneoHTDL)</f>
        <v>0</v>
      </c>
      <c r="O1418" s="1239"/>
      <c r="P1418" s="1239">
        <f ca="1">H1418+Q1418-R1418</f>
        <v>0</v>
      </c>
      <c r="Q1418" s="1239"/>
      <c r="R1418" s="1239"/>
      <c r="S1418" s="1239"/>
      <c r="T1418" s="1671"/>
      <c r="U1418" s="1664">
        <f>IFERROR(VLOOKUP(B1418,ChiTietDuToan!C:H,5,0),"")</f>
        <v>0</v>
      </c>
      <c r="V1418" s="2309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59" t="s">
        <v>114</v>
      </c>
      <c r="C1419" s="1189" t="str">
        <f t="shared" ca="1" si="289"/>
        <v xml:space="preserve"> </v>
      </c>
      <c r="D1419" s="1236"/>
      <c r="E1419" s="1248" t="str">
        <f>VLOOKUP($B1419,DG!A:D,DG!$C$2,)</f>
        <v>Ty neo Ø22x3700</v>
      </c>
      <c r="F1419" s="1236" t="str">
        <f>VLOOKUP($B1419,DG!A:D,DG!$D$2,)</f>
        <v>cái</v>
      </c>
      <c r="G1419" s="1915">
        <v>1</v>
      </c>
      <c r="H1419" s="1245">
        <f ca="1">H$1418*$G1419</f>
        <v>0</v>
      </c>
      <c r="I1419" s="1245">
        <f t="shared" ref="I1419:N1421" ca="1" si="300">I$1418*$G1419</f>
        <v>0</v>
      </c>
      <c r="J1419" s="1245">
        <f t="shared" ca="1" si="300"/>
        <v>0</v>
      </c>
      <c r="K1419" s="1245">
        <f t="shared" ca="1" si="300"/>
        <v>0</v>
      </c>
      <c r="L1419" s="1245">
        <f t="shared" si="300"/>
        <v>0</v>
      </c>
      <c r="M1419" s="1245">
        <f t="shared" ca="1" si="300"/>
        <v>0</v>
      </c>
      <c r="N1419" s="1245">
        <f t="shared" ca="1" si="300"/>
        <v>0</v>
      </c>
      <c r="O1419" s="1245"/>
      <c r="P1419" s="1245"/>
      <c r="Q1419" s="1245"/>
      <c r="R1419" s="1245"/>
      <c r="S1419" s="1245"/>
      <c r="T1419" s="1671"/>
      <c r="U1419" s="1664" t="str">
        <f>IFERROR(VLOOKUP(B1419,ChiTietDuToan!C:H,5,0),"")</f>
        <v/>
      </c>
      <c r="V1419" s="2309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59" t="s">
        <v>2192</v>
      </c>
      <c r="C1420" s="1189" t="str">
        <f t="shared" ca="1" si="289"/>
        <v xml:space="preserve"> </v>
      </c>
      <c r="D1420" s="1236" t="str">
        <f>VLOOKUP($B1420,DG!A:D,DG!$B$2,)</f>
        <v>04.3802</v>
      </c>
      <c r="E1420" s="1248" t="str">
        <f>VLOOKUP($B1420,DG!A:D,DG!$C$2,)</f>
        <v>Đế neo BTCT 400x1500</v>
      </c>
      <c r="F1420" s="1236" t="str">
        <f>VLOOKUP($B1420,DG!A:D,DG!$D$2,)</f>
        <v>cái</v>
      </c>
      <c r="G1420" s="1915">
        <v>1</v>
      </c>
      <c r="H1420" s="1245">
        <f ca="1">H$1418*$G1420</f>
        <v>0</v>
      </c>
      <c r="I1420" s="1245">
        <f t="shared" ca="1" si="300"/>
        <v>0</v>
      </c>
      <c r="J1420" s="1245">
        <f t="shared" ca="1" si="300"/>
        <v>0</v>
      </c>
      <c r="K1420" s="1245">
        <f t="shared" ca="1" si="300"/>
        <v>0</v>
      </c>
      <c r="L1420" s="1245">
        <f t="shared" si="300"/>
        <v>0</v>
      </c>
      <c r="M1420" s="1245">
        <f t="shared" ca="1" si="300"/>
        <v>0</v>
      </c>
      <c r="N1420" s="1245">
        <f t="shared" ca="1" si="300"/>
        <v>0</v>
      </c>
      <c r="O1420" s="1245"/>
      <c r="P1420" s="1245"/>
      <c r="Q1420" s="1245"/>
      <c r="R1420" s="1245"/>
      <c r="S1420" s="1245"/>
      <c r="T1420" s="1671"/>
      <c r="U1420" s="1664" t="str">
        <f>IFERROR(VLOOKUP(B1420,ChiTietDuToan!C:H,5,0),"")</f>
        <v/>
      </c>
      <c r="V1420" s="2309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59" t="s">
        <v>1094</v>
      </c>
      <c r="C1421" s="1189" t="str">
        <f t="shared" ca="1" si="289"/>
        <v xml:space="preserve"> </v>
      </c>
      <c r="D1421" s="1236" t="str">
        <f>VLOOKUP($B1421,DG!A:D,DG!$B$2,)</f>
        <v>04.9001</v>
      </c>
      <c r="E1421" s="1248" t="str">
        <f>VLOOKUP($B1421,DG!A:D,DG!$C$2,)</f>
        <v>Bitum</v>
      </c>
      <c r="F1421" s="1236" t="str">
        <f>VLOOKUP($B1421,DG!A:D,DG!$D$2,)</f>
        <v>m2</v>
      </c>
      <c r="G1421" s="1925">
        <v>1.7</v>
      </c>
      <c r="H1421" s="1245">
        <f ca="1">H$1418*$G1421</f>
        <v>0</v>
      </c>
      <c r="I1421" s="1245">
        <f t="shared" ca="1" si="300"/>
        <v>0</v>
      </c>
      <c r="J1421" s="1245">
        <f t="shared" ca="1" si="300"/>
        <v>0</v>
      </c>
      <c r="K1421" s="1245">
        <f t="shared" ca="1" si="300"/>
        <v>0</v>
      </c>
      <c r="L1421" s="1245">
        <f t="shared" si="300"/>
        <v>0</v>
      </c>
      <c r="M1421" s="1245">
        <f t="shared" ca="1" si="300"/>
        <v>0</v>
      </c>
      <c r="N1421" s="1245">
        <f t="shared" ca="1" si="300"/>
        <v>0</v>
      </c>
      <c r="O1421" s="1245"/>
      <c r="P1421" s="1245"/>
      <c r="Q1421" s="1245"/>
      <c r="R1421" s="1245"/>
      <c r="S1421" s="1245"/>
      <c r="T1421" s="1671"/>
      <c r="U1421" s="1664" t="str">
        <f>IFERROR(VLOOKUP(B1421,ChiTietDuToan!C:H,5,0),"")</f>
        <v/>
      </c>
      <c r="V1421" s="2309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59" t="str">
        <f>IF(F5=1,"MDD1",IF(F5=2,"MDD2",IF(F5=3,"MDD3",IF(F5=4,"MDD4"))))</f>
        <v>MDD3</v>
      </c>
      <c r="C1422" s="1189" t="str">
        <f t="shared" si="289"/>
        <v xml:space="preserve"> </v>
      </c>
      <c r="D1422" s="1236" t="str">
        <f>VLOOKUP($B1422,DG!A:D,DG!$B$2,)</f>
        <v>03.1013</v>
      </c>
      <c r="E1422" s="1241" t="str">
        <f>VLOOKUP($B1422,DG!A:D,DG!$C$2,)</f>
        <v>Đào hố móng đất cấp 3 sâu &gt;1m DT&lt;5m2</v>
      </c>
      <c r="F1422" s="1236" t="str">
        <f>VLOOKUP($B1422,DG!A:D,DG!$D$2,)</f>
        <v>m3</v>
      </c>
      <c r="G1422" s="1914">
        <v>10.5</v>
      </c>
      <c r="H1422" s="1245"/>
      <c r="I1422" s="1245"/>
      <c r="J1422" s="1245"/>
      <c r="K1422" s="1245"/>
      <c r="L1422" s="1245"/>
      <c r="M1422" s="1245"/>
      <c r="N1422" s="1245"/>
      <c r="O1422" s="1245"/>
      <c r="P1422" s="1245"/>
      <c r="Q1422" s="1245"/>
      <c r="R1422" s="1245"/>
      <c r="S1422" s="1245"/>
      <c r="T1422" s="1671"/>
      <c r="U1422" s="1664" t="str">
        <f>IFERROR(VLOOKUP(B1422,ChiTietDuToan!C:H,5,0),"")</f>
        <v>m3</v>
      </c>
      <c r="V1422" s="2309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59" t="str">
        <f>IF(F5=1,"MDAP1",IF(F5=2,"MDAP2",IF(F5=3,"MDAP3",IF(F5=4,"MDAP4"))))</f>
        <v>MDAP3</v>
      </c>
      <c r="C1423" s="1189" t="str">
        <f t="shared" ref="C1423:C1486" si="301">IF(OR(P1423&lt;&gt;0,H1423&lt;&gt;0),"x"," ")</f>
        <v xml:space="preserve"> </v>
      </c>
      <c r="D1423" s="1236" t="str">
        <f>VLOOKUP($B1423,DG!A:D,DG!$B$2,)</f>
        <v>03.4113</v>
      </c>
      <c r="E1423" s="1241" t="str">
        <f>VLOOKUP($B1423,DG!A:D,DG!$C$2,)</f>
        <v>Đắp đất hố móng, độ chặt k=0,95</v>
      </c>
      <c r="F1423" s="1236" t="str">
        <f>VLOOKUP($B1423,DG!A:D,DG!$D$2,)</f>
        <v>m3</v>
      </c>
      <c r="G1423" s="1914">
        <v>11.95</v>
      </c>
      <c r="H1423" s="1245"/>
      <c r="I1423" s="1245"/>
      <c r="J1423" s="1245"/>
      <c r="K1423" s="1245"/>
      <c r="L1423" s="1245"/>
      <c r="M1423" s="1245"/>
      <c r="N1423" s="1245"/>
      <c r="O1423" s="1245"/>
      <c r="P1423" s="1245"/>
      <c r="Q1423" s="1245"/>
      <c r="R1423" s="1245"/>
      <c r="S1423" s="1245"/>
      <c r="T1423" s="1671"/>
      <c r="U1423" s="1664" t="str">
        <f>IFERROR(VLOOKUP(B1423,ChiTietDuToan!C:H,5,0),"")</f>
        <v>m3</v>
      </c>
      <c r="V1423" s="2309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59" t="s">
        <v>642</v>
      </c>
      <c r="C1424" s="1189" t="str">
        <f t="shared" si="301"/>
        <v xml:space="preserve"> </v>
      </c>
      <c r="D1424" s="1236" t="str">
        <f>VLOOKUP($B1424,DG!A:D,DG!$B$2,)</f>
        <v>02.1123</v>
      </c>
      <c r="E1424" s="1241" t="str">
        <f>VLOOKUP($B1424,DG!A:D,DG!$C$2,)</f>
        <v>Bốc dỡ đà cản, đế néo</v>
      </c>
      <c r="F1424" s="1236" t="str">
        <f>VLOOKUP($B1424,DG!A:D,DG!$D$2,)</f>
        <v>tấn</v>
      </c>
      <c r="G1424" s="1914">
        <f>G1425</f>
        <v>0.193</v>
      </c>
      <c r="H1424" s="1245"/>
      <c r="I1424" s="1245"/>
      <c r="J1424" s="1245"/>
      <c r="K1424" s="1245"/>
      <c r="L1424" s="1245"/>
      <c r="M1424" s="1245"/>
      <c r="N1424" s="1245"/>
      <c r="O1424" s="1245"/>
      <c r="P1424" s="1245"/>
      <c r="Q1424" s="1245"/>
      <c r="R1424" s="1245"/>
      <c r="S1424" s="1245"/>
      <c r="T1424" s="1671"/>
      <c r="U1424" s="1664" t="str">
        <f>IFERROR(VLOOKUP(B1424,ChiTietDuToan!C:H,5,0),"")</f>
        <v/>
      </c>
      <c r="V1424" s="2309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74" t="s">
        <v>610</v>
      </c>
      <c r="C1425" s="1189" t="str">
        <f t="shared" si="301"/>
        <v xml:space="preserve"> </v>
      </c>
      <c r="D1425" s="1236" t="str">
        <f>VLOOKUP($B1425,DG!A:C,2,)</f>
        <v>02.1451</v>
      </c>
      <c r="E1425" s="1241" t="str">
        <f>VLOOKUP($B1425,DG!A:C,3,)</f>
        <v>V/c đế néo vào vị trí (cự ly &lt;=100m)</v>
      </c>
      <c r="F1425" s="1236" t="str">
        <f>VLOOKUP($B1425,DG!A:D,4,0)</f>
        <v>tấn</v>
      </c>
      <c r="G1425" s="1914">
        <v>0.193</v>
      </c>
      <c r="H1425" s="1250"/>
      <c r="I1425" s="1250"/>
      <c r="J1425" s="1250"/>
      <c r="K1425" s="1250"/>
      <c r="L1425" s="1250"/>
      <c r="M1425" s="1250"/>
      <c r="N1425" s="1250"/>
      <c r="O1425" s="1250"/>
      <c r="P1425" s="1250"/>
      <c r="Q1425" s="1250"/>
      <c r="R1425" s="1250"/>
      <c r="S1425" s="1250"/>
      <c r="T1425" s="1671"/>
      <c r="U1425" s="1664" t="str">
        <f>IFERROR(VLOOKUP(B1425,ChiTietDuToan!C:H,5,0),"")</f>
        <v/>
      </c>
      <c r="V1425" s="2309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74" t="s">
        <v>611</v>
      </c>
      <c r="C1426" s="1189" t="str">
        <f t="shared" si="301"/>
        <v xml:space="preserve"> </v>
      </c>
      <c r="D1426" s="1236" t="str">
        <f>VLOOKUP($B1426,DG!A:C,2,)</f>
        <v>02.1482</v>
      </c>
      <c r="E1426" s="1241" t="str">
        <f>VLOOKUP($B1426,DG!A:C,3,)</f>
        <v>V/c dụng cụ thi công vào vị trí (cự ly &lt;=100m)</v>
      </c>
      <c r="F1426" s="1236" t="str">
        <f>VLOOKUP($B1426,DG!A:D,4,0)</f>
        <v>tấn</v>
      </c>
      <c r="G1426" s="1914">
        <v>0.05</v>
      </c>
      <c r="H1426" s="1250"/>
      <c r="I1426" s="1250"/>
      <c r="J1426" s="1250"/>
      <c r="K1426" s="1250"/>
      <c r="L1426" s="1250"/>
      <c r="M1426" s="1250"/>
      <c r="N1426" s="1250"/>
      <c r="O1426" s="1250"/>
      <c r="P1426" s="1250"/>
      <c r="Q1426" s="1250"/>
      <c r="R1426" s="1250"/>
      <c r="S1426" s="1250"/>
      <c r="T1426" s="1671"/>
      <c r="U1426" s="1664" t="str">
        <f>IFERROR(VLOOKUP(B1426,ChiTietDuToan!C:H,5,0),"")</f>
        <v/>
      </c>
      <c r="V1426" s="2309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56"/>
      <c r="C1427" s="1189" t="str">
        <f t="shared" ca="1" si="301"/>
        <v xml:space="preserve"> </v>
      </c>
      <c r="D1427" s="1237"/>
      <c r="E1427" s="1666" t="s">
        <v>2560</v>
      </c>
      <c r="F1427" s="1238" t="s">
        <v>2449</v>
      </c>
      <c r="G1427" s="1912"/>
      <c r="H1427" s="1523">
        <f ca="1">SUM(I1427:O1427)+T1427</f>
        <v>0</v>
      </c>
      <c r="I1427" s="1239">
        <f ca="1">SUMIF(mongneo3pm,chitiet!$A1427,slmongneo3pm)</f>
        <v>0</v>
      </c>
      <c r="J1427" s="1239">
        <f ca="1">SUMIF(mongneoct,chitiet!$A1427,slmongneoct)</f>
        <v>0</v>
      </c>
      <c r="K1427" s="1239">
        <f ca="1">SUMIF(mongneo1pm,chitiet!$A1427,slmongneo1pm)</f>
        <v>0</v>
      </c>
      <c r="L1427" s="1239">
        <f>IFERROR(HLOOKUP(A1427,pp1p!$6:$90,85,0),0)</f>
        <v>0</v>
      </c>
      <c r="M1427" s="1239">
        <f ca="1">SUMIF(mongneoHTHH,chitiet!$A1427,slmongneoHTHH)</f>
        <v>0</v>
      </c>
      <c r="N1427" s="1239">
        <f ca="1">SUMIF(mongneoHTDL,chitiet!$A1427,slmongneoHTDL)</f>
        <v>0</v>
      </c>
      <c r="O1427" s="1239"/>
      <c r="P1427" s="1239">
        <f ca="1">H1427+Q1427-R1427</f>
        <v>0</v>
      </c>
      <c r="Q1427" s="1239"/>
      <c r="R1427" s="1239"/>
      <c r="S1427" s="1239"/>
      <c r="T1427" s="1671"/>
      <c r="U1427" s="1664">
        <f>IFERROR(VLOOKUP(B1427,ChiTietDuToan!C:H,5,0),"")</f>
        <v>0</v>
      </c>
      <c r="V1427" s="2309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59" t="s">
        <v>2052</v>
      </c>
      <c r="C1428" s="1189" t="str">
        <f t="shared" ca="1" si="301"/>
        <v xml:space="preserve"> </v>
      </c>
      <c r="D1428" s="1236"/>
      <c r="E1428" s="1248" t="str">
        <f>VLOOKUP($B1428,DG!A:D,DG!$C$2,)</f>
        <v>Ty neo Ø22x3000</v>
      </c>
      <c r="F1428" s="1236" t="str">
        <f>VLOOKUP($B1428,DG!A:D,DG!$D$2,)</f>
        <v>cái</v>
      </c>
      <c r="G1428" s="1915">
        <v>1</v>
      </c>
      <c r="H1428" s="1245">
        <f ca="1">H$1427*$G1428</f>
        <v>0</v>
      </c>
      <c r="I1428" s="1245">
        <f t="shared" ref="I1428:N1430" ca="1" si="302">I$1427*$G1428</f>
        <v>0</v>
      </c>
      <c r="J1428" s="1245">
        <f t="shared" ca="1" si="302"/>
        <v>0</v>
      </c>
      <c r="K1428" s="1245">
        <f t="shared" ca="1" si="302"/>
        <v>0</v>
      </c>
      <c r="L1428" s="1245">
        <f t="shared" si="302"/>
        <v>0</v>
      </c>
      <c r="M1428" s="1245">
        <f t="shared" ca="1" si="302"/>
        <v>0</v>
      </c>
      <c r="N1428" s="1245">
        <f t="shared" ca="1" si="302"/>
        <v>0</v>
      </c>
      <c r="O1428" s="1245"/>
      <c r="P1428" s="1245"/>
      <c r="Q1428" s="1245"/>
      <c r="R1428" s="1245"/>
      <c r="S1428" s="1245"/>
      <c r="T1428" s="1671"/>
      <c r="U1428" s="1664" t="str">
        <f>IFERROR(VLOOKUP(B1428,ChiTietDuToan!C:H,5,0),"")</f>
        <v/>
      </c>
      <c r="V1428" s="2309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59" t="s">
        <v>2192</v>
      </c>
      <c r="C1429" s="1189" t="str">
        <f t="shared" ca="1" si="301"/>
        <v xml:space="preserve"> </v>
      </c>
      <c r="D1429" s="1236" t="str">
        <f>VLOOKUP($B1429,DG!A:D,DG!$B$2,)</f>
        <v>04.3802</v>
      </c>
      <c r="E1429" s="1248" t="str">
        <f>VLOOKUP($B1429,DG!A:D,DG!$C$2,)</f>
        <v>Đế neo BTCT 400x1500</v>
      </c>
      <c r="F1429" s="1236" t="str">
        <f>VLOOKUP($B1429,DG!A:D,DG!$D$2,)</f>
        <v>cái</v>
      </c>
      <c r="G1429" s="1915">
        <v>1</v>
      </c>
      <c r="H1429" s="1245">
        <f ca="1">H$1427*$G1429</f>
        <v>0</v>
      </c>
      <c r="I1429" s="1245">
        <f t="shared" ca="1" si="302"/>
        <v>0</v>
      </c>
      <c r="J1429" s="1245">
        <f t="shared" ca="1" si="302"/>
        <v>0</v>
      </c>
      <c r="K1429" s="1245">
        <f t="shared" ca="1" si="302"/>
        <v>0</v>
      </c>
      <c r="L1429" s="1245">
        <f t="shared" si="302"/>
        <v>0</v>
      </c>
      <c r="M1429" s="1245">
        <f t="shared" ca="1" si="302"/>
        <v>0</v>
      </c>
      <c r="N1429" s="1245">
        <f t="shared" ca="1" si="302"/>
        <v>0</v>
      </c>
      <c r="O1429" s="1245"/>
      <c r="P1429" s="1245"/>
      <c r="Q1429" s="1245"/>
      <c r="R1429" s="1245"/>
      <c r="S1429" s="1245"/>
      <c r="T1429" s="1671"/>
      <c r="U1429" s="1664" t="str">
        <f>IFERROR(VLOOKUP(B1429,ChiTietDuToan!C:H,5,0),"")</f>
        <v/>
      </c>
      <c r="V1429" s="2309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59" t="s">
        <v>1094</v>
      </c>
      <c r="C1430" s="1189" t="str">
        <f t="shared" ca="1" si="301"/>
        <v xml:space="preserve"> </v>
      </c>
      <c r="D1430" s="1236" t="str">
        <f>VLOOKUP($B1430,DG!A:D,DG!$B$2,)</f>
        <v>04.9001</v>
      </c>
      <c r="E1430" s="1248" t="str">
        <f>VLOOKUP($B1430,DG!A:D,DG!$C$2,)</f>
        <v>Bitum</v>
      </c>
      <c r="F1430" s="1236" t="str">
        <f>VLOOKUP($B1430,DG!A:D,DG!$D$2,)</f>
        <v>m2</v>
      </c>
      <c r="G1430" s="1925">
        <v>1.7</v>
      </c>
      <c r="H1430" s="1245">
        <f ca="1">H$1427*$G1430</f>
        <v>0</v>
      </c>
      <c r="I1430" s="1245">
        <f t="shared" ca="1" si="302"/>
        <v>0</v>
      </c>
      <c r="J1430" s="1245">
        <f t="shared" ca="1" si="302"/>
        <v>0</v>
      </c>
      <c r="K1430" s="1245">
        <f t="shared" ca="1" si="302"/>
        <v>0</v>
      </c>
      <c r="L1430" s="1245">
        <f t="shared" si="302"/>
        <v>0</v>
      </c>
      <c r="M1430" s="1245">
        <f t="shared" ca="1" si="302"/>
        <v>0</v>
      </c>
      <c r="N1430" s="1245">
        <f t="shared" ca="1" si="302"/>
        <v>0</v>
      </c>
      <c r="O1430" s="1245"/>
      <c r="P1430" s="1245"/>
      <c r="Q1430" s="1245"/>
      <c r="R1430" s="1245"/>
      <c r="S1430" s="1245"/>
      <c r="T1430" s="1671"/>
      <c r="U1430" s="1664" t="str">
        <f>IFERROR(VLOOKUP(B1430,ChiTietDuToan!C:H,5,0),"")</f>
        <v/>
      </c>
      <c r="V1430" s="2309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59" t="str">
        <f>IF(F5=1,"MDD1",IF(F5=2,"MDD2",IF(F5=3,"MDD3",IF(F5=4,"MDD4"))))</f>
        <v>MDD3</v>
      </c>
      <c r="C1431" s="1189" t="str">
        <f t="shared" si="301"/>
        <v xml:space="preserve"> </v>
      </c>
      <c r="D1431" s="1236" t="str">
        <f>VLOOKUP($B1431,DG!A:D,DG!$B$2,)</f>
        <v>03.1013</v>
      </c>
      <c r="E1431" s="1241" t="str">
        <f>VLOOKUP($B1431,DG!A:D,DG!$C$2,)</f>
        <v>Đào hố móng đất cấp 3 sâu &gt;1m DT&lt;5m2</v>
      </c>
      <c r="F1431" s="1236" t="str">
        <f>VLOOKUP($B1431,DG!A:D,DG!$D$2,)</f>
        <v>m3</v>
      </c>
      <c r="G1431" s="1914">
        <v>9.2799999999999994</v>
      </c>
      <c r="H1431" s="1245"/>
      <c r="I1431" s="1245"/>
      <c r="J1431" s="1245"/>
      <c r="K1431" s="1245"/>
      <c r="L1431" s="1245"/>
      <c r="M1431" s="1245"/>
      <c r="N1431" s="1245"/>
      <c r="O1431" s="1245"/>
      <c r="P1431" s="1245"/>
      <c r="Q1431" s="1245"/>
      <c r="R1431" s="1245"/>
      <c r="S1431" s="1245"/>
      <c r="T1431" s="1671"/>
      <c r="U1431" s="1664" t="str">
        <f>IFERROR(VLOOKUP(B1431,ChiTietDuToan!C:H,5,0),"")</f>
        <v>m3</v>
      </c>
      <c r="V1431" s="2309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59" t="str">
        <f>IF(F5=1,"MDAP1",IF(F5=2,"MDAP2",IF(F5=3,"MDAP3",IF(F5=4,"MDAP4"))))</f>
        <v>MDAP3</v>
      </c>
      <c r="C1432" s="1189" t="str">
        <f t="shared" si="301"/>
        <v xml:space="preserve"> </v>
      </c>
      <c r="D1432" s="1236" t="str">
        <f>VLOOKUP($B1432,DG!A:D,DG!$B$2,)</f>
        <v>03.4113</v>
      </c>
      <c r="E1432" s="1241" t="str">
        <f>VLOOKUP($B1432,DG!A:D,DG!$C$2,)</f>
        <v>Đắp đất hố móng, độ chặt k=0,95</v>
      </c>
      <c r="F1432" s="1236" t="str">
        <f>VLOOKUP($B1432,DG!A:D,DG!$D$2,)</f>
        <v>m3</v>
      </c>
      <c r="G1432" s="1914">
        <v>9.76</v>
      </c>
      <c r="H1432" s="1245"/>
      <c r="I1432" s="1245"/>
      <c r="J1432" s="1245"/>
      <c r="K1432" s="1245"/>
      <c r="L1432" s="1245"/>
      <c r="M1432" s="1245"/>
      <c r="N1432" s="1245"/>
      <c r="O1432" s="1245"/>
      <c r="P1432" s="1245"/>
      <c r="Q1432" s="1245"/>
      <c r="R1432" s="1245"/>
      <c r="S1432" s="1245"/>
      <c r="T1432" s="1671"/>
      <c r="U1432" s="1664" t="str">
        <f>IFERROR(VLOOKUP(B1432,ChiTietDuToan!C:H,5,0),"")</f>
        <v>m3</v>
      </c>
      <c r="V1432" s="2309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59" t="s">
        <v>642</v>
      </c>
      <c r="C1433" s="1189" t="str">
        <f t="shared" si="301"/>
        <v xml:space="preserve"> </v>
      </c>
      <c r="D1433" s="1236" t="str">
        <f>VLOOKUP($B1433,DG!A:D,DG!$B$2,)</f>
        <v>02.1123</v>
      </c>
      <c r="E1433" s="1241" t="str">
        <f>VLOOKUP($B1433,DG!A:D,DG!$C$2,)</f>
        <v>Bốc dỡ đà cản, đế néo</v>
      </c>
      <c r="F1433" s="1236" t="str">
        <f>VLOOKUP($B1433,DG!A:D,DG!$D$2,)</f>
        <v>tấn</v>
      </c>
      <c r="G1433" s="1914">
        <f>G1434</f>
        <v>0.193</v>
      </c>
      <c r="H1433" s="1245"/>
      <c r="I1433" s="1245"/>
      <c r="J1433" s="1245"/>
      <c r="K1433" s="1245"/>
      <c r="L1433" s="1245"/>
      <c r="M1433" s="1245"/>
      <c r="N1433" s="1245"/>
      <c r="O1433" s="1245"/>
      <c r="P1433" s="1245"/>
      <c r="Q1433" s="1245"/>
      <c r="R1433" s="1245"/>
      <c r="S1433" s="1245"/>
      <c r="T1433" s="1671"/>
      <c r="U1433" s="1664" t="str">
        <f>IFERROR(VLOOKUP(B1433,ChiTietDuToan!C:H,5,0),"")</f>
        <v/>
      </c>
      <c r="V1433" s="2309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74" t="s">
        <v>610</v>
      </c>
      <c r="C1434" s="1189" t="str">
        <f t="shared" si="301"/>
        <v xml:space="preserve"> </v>
      </c>
      <c r="D1434" s="1236" t="str">
        <f>VLOOKUP($B1434,DG!A:C,2,)</f>
        <v>02.1451</v>
      </c>
      <c r="E1434" s="1241" t="str">
        <f>VLOOKUP($B1434,DG!A:C,3,)</f>
        <v>V/c đế néo vào vị trí (cự ly &lt;=100m)</v>
      </c>
      <c r="F1434" s="1236" t="str">
        <f>VLOOKUP($B1434,DG!A:D,4,0)</f>
        <v>tấn</v>
      </c>
      <c r="G1434" s="1914">
        <v>0.193</v>
      </c>
      <c r="H1434" s="1250"/>
      <c r="I1434" s="1250"/>
      <c r="J1434" s="1250"/>
      <c r="K1434" s="1250"/>
      <c r="L1434" s="1250"/>
      <c r="M1434" s="1250"/>
      <c r="N1434" s="1250"/>
      <c r="O1434" s="1250"/>
      <c r="P1434" s="1250"/>
      <c r="Q1434" s="1250"/>
      <c r="R1434" s="1250"/>
      <c r="S1434" s="1250"/>
      <c r="T1434" s="1671"/>
      <c r="U1434" s="1664" t="str">
        <f>IFERROR(VLOOKUP(B1434,ChiTietDuToan!C:H,5,0),"")</f>
        <v/>
      </c>
      <c r="V1434" s="2309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74" t="s">
        <v>611</v>
      </c>
      <c r="C1435" s="1189" t="str">
        <f t="shared" si="301"/>
        <v xml:space="preserve"> </v>
      </c>
      <c r="D1435" s="1236" t="str">
        <f>VLOOKUP($B1435,DG!A:C,2,)</f>
        <v>02.1482</v>
      </c>
      <c r="E1435" s="1241" t="str">
        <f>VLOOKUP($B1435,DG!A:C,3,)</f>
        <v>V/c dụng cụ thi công vào vị trí (cự ly &lt;=100m)</v>
      </c>
      <c r="F1435" s="1236" t="str">
        <f>VLOOKUP($B1435,DG!A:D,4,0)</f>
        <v>tấn</v>
      </c>
      <c r="G1435" s="1914">
        <v>0.05</v>
      </c>
      <c r="H1435" s="1250"/>
      <c r="I1435" s="1250"/>
      <c r="J1435" s="1250"/>
      <c r="K1435" s="1250"/>
      <c r="L1435" s="1250"/>
      <c r="M1435" s="1250"/>
      <c r="N1435" s="1250"/>
      <c r="O1435" s="1250"/>
      <c r="P1435" s="1250"/>
      <c r="Q1435" s="1250"/>
      <c r="R1435" s="1250"/>
      <c r="S1435" s="1250"/>
      <c r="T1435" s="1671"/>
      <c r="U1435" s="1664" t="str">
        <f>IFERROR(VLOOKUP(B1435,ChiTietDuToan!C:H,5,0),"")</f>
        <v/>
      </c>
      <c r="V1435" s="2309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19" t="s">
        <v>2099</v>
      </c>
      <c r="B1436" s="1956"/>
      <c r="C1436" s="1189" t="str">
        <f t="shared" ca="1" si="301"/>
        <v xml:space="preserve"> </v>
      </c>
      <c r="D1436" s="1237"/>
      <c r="E1436" s="1666" t="s">
        <v>2561</v>
      </c>
      <c r="F1436" s="1238" t="s">
        <v>2449</v>
      </c>
      <c r="G1436" s="1912"/>
      <c r="H1436" s="1523">
        <f ca="1">SUM(I1436:O1436)+T1436</f>
        <v>0</v>
      </c>
      <c r="I1436" s="1239">
        <f ca="1">SUMIF(mongneo3pm,chitiet!$A1436,slmongneo3pm)</f>
        <v>0</v>
      </c>
      <c r="J1436" s="1239">
        <f ca="1">SUMIF(mongneoct,chitiet!$A1436,slmongneoct)</f>
        <v>0</v>
      </c>
      <c r="K1436" s="1239">
        <f ca="1">SUMIF(mongneo1pm,chitiet!$A1436,slmongneo1pm)</f>
        <v>0</v>
      </c>
      <c r="L1436" s="1239">
        <f>IFERROR(HLOOKUP(A1436,pp1p!$6:$90,85,0),0)</f>
        <v>0</v>
      </c>
      <c r="M1436" s="1239">
        <f ca="1">SUMIF(mongneoHTHH,chitiet!$A1436,slmongneoHTHH)</f>
        <v>0</v>
      </c>
      <c r="N1436" s="1239">
        <f ca="1">SUMIF(mongneoHTDL,chitiet!$A1436,slmongneoHTDL)</f>
        <v>0</v>
      </c>
      <c r="O1436" s="1239"/>
      <c r="P1436" s="1239">
        <f ca="1">H1436+Q1436-R1436</f>
        <v>0</v>
      </c>
      <c r="Q1436" s="1239"/>
      <c r="R1436" s="1239"/>
      <c r="S1436" s="1239"/>
      <c r="T1436" s="1671"/>
      <c r="U1436" s="1664">
        <f>IFERROR(VLOOKUP(B1436,ChiTietDuToan!C:H,5,0),"")</f>
        <v>0</v>
      </c>
      <c r="V1436" s="2309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59" t="s">
        <v>114</v>
      </c>
      <c r="C1437" s="1189" t="str">
        <f t="shared" ca="1" si="301"/>
        <v xml:space="preserve"> </v>
      </c>
      <c r="D1437" s="1236"/>
      <c r="E1437" s="1248" t="str">
        <f>VLOOKUP($B1437,DG!A:D,DG!$C$2,)</f>
        <v>Ty neo Ø22x3700</v>
      </c>
      <c r="F1437" s="1236" t="str">
        <f>VLOOKUP($B1437,DG!A:D,DG!$D$2,)</f>
        <v>cái</v>
      </c>
      <c r="G1437" s="1915">
        <v>1</v>
      </c>
      <c r="H1437" s="1245">
        <f ca="1">H$1436*$G1437</f>
        <v>0</v>
      </c>
      <c r="I1437" s="1245">
        <f t="shared" ref="I1437:N1439" ca="1" si="304">I$1436*$G1437</f>
        <v>0</v>
      </c>
      <c r="J1437" s="1245">
        <f t="shared" ca="1" si="304"/>
        <v>0</v>
      </c>
      <c r="K1437" s="1245">
        <f t="shared" ca="1" si="304"/>
        <v>0</v>
      </c>
      <c r="L1437" s="1245">
        <f t="shared" si="304"/>
        <v>0</v>
      </c>
      <c r="M1437" s="1245">
        <f t="shared" ca="1" si="304"/>
        <v>0</v>
      </c>
      <c r="N1437" s="1245">
        <f t="shared" ca="1" si="304"/>
        <v>0</v>
      </c>
      <c r="O1437" s="1245"/>
      <c r="P1437" s="1245"/>
      <c r="Q1437" s="1245"/>
      <c r="R1437" s="1245"/>
      <c r="S1437" s="1245"/>
      <c r="T1437" s="1671"/>
      <c r="U1437" s="1664" t="str">
        <f>IFERROR(VLOOKUP(B1437,ChiTietDuToan!C:H,5,0),"")</f>
        <v/>
      </c>
      <c r="V1437" s="2309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59" t="s">
        <v>2193</v>
      </c>
      <c r="C1438" s="1189" t="str">
        <f t="shared" ca="1" si="301"/>
        <v xml:space="preserve"> </v>
      </c>
      <c r="D1438" s="1236" t="str">
        <f>VLOOKUP($B1438,DG!A:D,DG!$B$2,)</f>
        <v>04.3802</v>
      </c>
      <c r="E1438" s="1248" t="str">
        <f>VLOOKUP($B1438,DG!A:D,DG!$C$2,)</f>
        <v>Đế neo BTCT 600x1500</v>
      </c>
      <c r="F1438" s="1236" t="str">
        <f>VLOOKUP($B1438,DG!A:D,DG!$D$2,)</f>
        <v>cái</v>
      </c>
      <c r="G1438" s="1915">
        <v>1</v>
      </c>
      <c r="H1438" s="1245">
        <f ca="1">H$1436*$G1438</f>
        <v>0</v>
      </c>
      <c r="I1438" s="1245">
        <f t="shared" ca="1" si="304"/>
        <v>0</v>
      </c>
      <c r="J1438" s="1245">
        <f t="shared" ca="1" si="304"/>
        <v>0</v>
      </c>
      <c r="K1438" s="1245">
        <f t="shared" ca="1" si="304"/>
        <v>0</v>
      </c>
      <c r="L1438" s="1245">
        <f t="shared" si="304"/>
        <v>0</v>
      </c>
      <c r="M1438" s="1245">
        <f t="shared" ca="1" si="304"/>
        <v>0</v>
      </c>
      <c r="N1438" s="1245">
        <f t="shared" ca="1" si="304"/>
        <v>0</v>
      </c>
      <c r="O1438" s="1245"/>
      <c r="P1438" s="1245"/>
      <c r="Q1438" s="1245"/>
      <c r="R1438" s="1245"/>
      <c r="S1438" s="1245"/>
      <c r="T1438" s="1671"/>
      <c r="U1438" s="1664" t="str">
        <f>IFERROR(VLOOKUP(B1438,ChiTietDuToan!C:H,5,0),"")</f>
        <v/>
      </c>
      <c r="V1438" s="2309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59" t="s">
        <v>1094</v>
      </c>
      <c r="C1439" s="1189" t="str">
        <f t="shared" ca="1" si="301"/>
        <v xml:space="preserve"> </v>
      </c>
      <c r="D1439" s="1236" t="str">
        <f>VLOOKUP($B1439,DG!A:D,DG!$B$2,)</f>
        <v>04.9001</v>
      </c>
      <c r="E1439" s="1248" t="str">
        <f>VLOOKUP($B1439,DG!A:D,DG!$C$2,)</f>
        <v>Bitum</v>
      </c>
      <c r="F1439" s="1236" t="str">
        <f>VLOOKUP($B1439,DG!A:D,DG!$D$2,)</f>
        <v>m2</v>
      </c>
      <c r="G1439" s="1925">
        <v>2</v>
      </c>
      <c r="H1439" s="1245">
        <f ca="1">H$1436*$G1439</f>
        <v>0</v>
      </c>
      <c r="I1439" s="1245">
        <f t="shared" ca="1" si="304"/>
        <v>0</v>
      </c>
      <c r="J1439" s="1245">
        <f t="shared" ca="1" si="304"/>
        <v>0</v>
      </c>
      <c r="K1439" s="1245">
        <f t="shared" ca="1" si="304"/>
        <v>0</v>
      </c>
      <c r="L1439" s="1245">
        <f t="shared" si="304"/>
        <v>0</v>
      </c>
      <c r="M1439" s="1245">
        <f t="shared" ca="1" si="304"/>
        <v>0</v>
      </c>
      <c r="N1439" s="1245">
        <f t="shared" ca="1" si="304"/>
        <v>0</v>
      </c>
      <c r="O1439" s="1245"/>
      <c r="P1439" s="1245"/>
      <c r="Q1439" s="1245"/>
      <c r="R1439" s="1245"/>
      <c r="S1439" s="1245"/>
      <c r="T1439" s="1671"/>
      <c r="U1439" s="1664" t="str">
        <f>IFERROR(VLOOKUP(B1439,ChiTietDuToan!C:H,5,0),"")</f>
        <v/>
      </c>
      <c r="V1439" s="2309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59" t="str">
        <f>IF(F5=1,"MDD1",IF(F5=2,"MDD2",IF(F5=3,"MDD3",IF(F5=4,"MDD4"))))</f>
        <v>MDD3</v>
      </c>
      <c r="C1440" s="1189" t="str">
        <f t="shared" si="301"/>
        <v xml:space="preserve"> </v>
      </c>
      <c r="D1440" s="1236" t="str">
        <f>VLOOKUP($B1440,DG!A:D,DG!$B$2,)</f>
        <v>03.1013</v>
      </c>
      <c r="E1440" s="1241" t="str">
        <f>VLOOKUP($B1440,DG!A:D,DG!$C$2,)</f>
        <v>Đào hố móng đất cấp 3 sâu &gt;1m DT&lt;5m2</v>
      </c>
      <c r="F1440" s="1236" t="str">
        <f>VLOOKUP($B1440,DG!A:D,DG!$D$2,)</f>
        <v>m3</v>
      </c>
      <c r="G1440" s="1914">
        <v>11.01</v>
      </c>
      <c r="H1440" s="1245"/>
      <c r="I1440" s="1245"/>
      <c r="J1440" s="1245"/>
      <c r="K1440" s="1245"/>
      <c r="L1440" s="1245"/>
      <c r="M1440" s="1245"/>
      <c r="N1440" s="1245"/>
      <c r="O1440" s="1245"/>
      <c r="P1440" s="1245"/>
      <c r="Q1440" s="1245"/>
      <c r="R1440" s="1245"/>
      <c r="S1440" s="1245"/>
      <c r="T1440" s="1671"/>
      <c r="U1440" s="1664" t="str">
        <f>IFERROR(VLOOKUP(B1440,ChiTietDuToan!C:H,5,0),"")</f>
        <v>m3</v>
      </c>
      <c r="V1440" s="2309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59" t="str">
        <f>IF(F5=1,"MDAP1",IF(F5=2,"MDAP2",IF(F5=3,"MDAP3",IF(F5=4,"MDAP4"))))</f>
        <v>MDAP3</v>
      </c>
      <c r="C1441" s="1189" t="str">
        <f t="shared" si="301"/>
        <v xml:space="preserve"> </v>
      </c>
      <c r="D1441" s="1236" t="str">
        <f>VLOOKUP($B1441,DG!A:D,DG!$B$2,)</f>
        <v>03.4113</v>
      </c>
      <c r="E1441" s="1241" t="str">
        <f>VLOOKUP($B1441,DG!A:D,DG!$C$2,)</f>
        <v>Đắp đất hố móng, độ chặt k=0,95</v>
      </c>
      <c r="F1441" s="1236" t="str">
        <f>VLOOKUP($B1441,DG!A:D,DG!$D$2,)</f>
        <v>m3</v>
      </c>
      <c r="G1441" s="1914">
        <v>12.48</v>
      </c>
      <c r="H1441" s="1245"/>
      <c r="I1441" s="1245"/>
      <c r="J1441" s="1245"/>
      <c r="K1441" s="1245"/>
      <c r="L1441" s="1245"/>
      <c r="M1441" s="1245"/>
      <c r="N1441" s="1245"/>
      <c r="O1441" s="1245"/>
      <c r="P1441" s="1245"/>
      <c r="Q1441" s="1245"/>
      <c r="R1441" s="1245"/>
      <c r="S1441" s="1245"/>
      <c r="T1441" s="1671"/>
      <c r="U1441" s="1664" t="str">
        <f>IFERROR(VLOOKUP(B1441,ChiTietDuToan!C:H,5,0),"")</f>
        <v>m3</v>
      </c>
      <c r="V1441" s="2309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59" t="s">
        <v>642</v>
      </c>
      <c r="C1442" s="1189" t="str">
        <f t="shared" si="301"/>
        <v xml:space="preserve"> </v>
      </c>
      <c r="D1442" s="1236" t="str">
        <f>VLOOKUP($B1442,DG!A:D,DG!$B$2,)</f>
        <v>02.1123</v>
      </c>
      <c r="E1442" s="1241" t="str">
        <f>VLOOKUP($B1442,DG!A:D,DG!$C$2,)</f>
        <v>Bốc dỡ đà cản, đế néo</v>
      </c>
      <c r="F1442" s="1236" t="str">
        <f>VLOOKUP($B1442,DG!A:D,DG!$D$2,)</f>
        <v>tấn</v>
      </c>
      <c r="G1442" s="1914">
        <f>G1443</f>
        <v>0.28899999999999998</v>
      </c>
      <c r="H1442" s="1245"/>
      <c r="I1442" s="1245"/>
      <c r="J1442" s="1245"/>
      <c r="K1442" s="1245"/>
      <c r="L1442" s="1245"/>
      <c r="M1442" s="1245"/>
      <c r="N1442" s="1245"/>
      <c r="O1442" s="1245"/>
      <c r="P1442" s="1245"/>
      <c r="Q1442" s="1245"/>
      <c r="R1442" s="1245"/>
      <c r="S1442" s="1245"/>
      <c r="T1442" s="1671"/>
      <c r="U1442" s="1664" t="str">
        <f>IFERROR(VLOOKUP(B1442,ChiTietDuToan!C:H,5,0),"")</f>
        <v/>
      </c>
      <c r="V1442" s="2309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74" t="s">
        <v>610</v>
      </c>
      <c r="C1443" s="1189" t="str">
        <f t="shared" si="301"/>
        <v xml:space="preserve"> </v>
      </c>
      <c r="D1443" s="1236" t="str">
        <f>VLOOKUP($B1443,DG!A:C,2,)</f>
        <v>02.1451</v>
      </c>
      <c r="E1443" s="1241" t="str">
        <f>VLOOKUP($B1443,DG!A:C,3,)</f>
        <v>V/c đế néo vào vị trí (cự ly &lt;=100m)</v>
      </c>
      <c r="F1443" s="1236" t="str">
        <f>VLOOKUP($B1443,DG!A:D,4,0)</f>
        <v>tấn</v>
      </c>
      <c r="G1443" s="1914">
        <v>0.28899999999999998</v>
      </c>
      <c r="H1443" s="1250"/>
      <c r="I1443" s="1250"/>
      <c r="J1443" s="1250"/>
      <c r="K1443" s="1250"/>
      <c r="L1443" s="1250"/>
      <c r="M1443" s="1250"/>
      <c r="N1443" s="1250"/>
      <c r="O1443" s="1250"/>
      <c r="P1443" s="1250"/>
      <c r="Q1443" s="1250"/>
      <c r="R1443" s="1250"/>
      <c r="S1443" s="1250"/>
      <c r="T1443" s="1671"/>
      <c r="U1443" s="1664" t="str">
        <f>IFERROR(VLOOKUP(B1443,ChiTietDuToan!C:H,5,0),"")</f>
        <v/>
      </c>
      <c r="V1443" s="2309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74" t="s">
        <v>611</v>
      </c>
      <c r="C1444" s="1189" t="str">
        <f t="shared" si="301"/>
        <v xml:space="preserve"> </v>
      </c>
      <c r="D1444" s="1236" t="str">
        <f>VLOOKUP($B1444,DG!A:C,2,)</f>
        <v>02.1482</v>
      </c>
      <c r="E1444" s="1241" t="str">
        <f>VLOOKUP($B1444,DG!A:C,3,)</f>
        <v>V/c dụng cụ thi công vào vị trí (cự ly &lt;=100m)</v>
      </c>
      <c r="F1444" s="1236" t="str">
        <f>VLOOKUP($B1444,DG!A:D,4,0)</f>
        <v>tấn</v>
      </c>
      <c r="G1444" s="1914">
        <v>0.05</v>
      </c>
      <c r="H1444" s="1250"/>
      <c r="I1444" s="1250"/>
      <c r="J1444" s="1250"/>
      <c r="K1444" s="1250"/>
      <c r="L1444" s="1250"/>
      <c r="M1444" s="1250"/>
      <c r="N1444" s="1250"/>
      <c r="O1444" s="1250"/>
      <c r="P1444" s="1250"/>
      <c r="Q1444" s="1250"/>
      <c r="R1444" s="1250"/>
      <c r="S1444" s="1250"/>
      <c r="T1444" s="1671"/>
      <c r="U1444" s="1664" t="str">
        <f>IFERROR(VLOOKUP(B1444,ChiTietDuToan!C:H,5,0),"")</f>
        <v/>
      </c>
      <c r="V1444" s="2309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19" t="s">
        <v>1124</v>
      </c>
      <c r="B1445" s="1956"/>
      <c r="C1445" s="1189" t="str">
        <f t="shared" ca="1" si="301"/>
        <v xml:space="preserve"> </v>
      </c>
      <c r="D1445" s="1237"/>
      <c r="E1445" s="1666" t="s">
        <v>2562</v>
      </c>
      <c r="F1445" s="1238" t="s">
        <v>2449</v>
      </c>
      <c r="G1445" s="1912"/>
      <c r="H1445" s="1523">
        <f ca="1">SUM(I1445:O1445)+T1445</f>
        <v>0</v>
      </c>
      <c r="I1445" s="1239">
        <f ca="1">SUMIF(mongneo3pm,chitiet!$A1445,slmongneo3pm)</f>
        <v>0</v>
      </c>
      <c r="J1445" s="1239">
        <f ca="1">SUMIF(mongneoct,chitiet!$A1445,slmongneoct)</f>
        <v>0</v>
      </c>
      <c r="K1445" s="1239">
        <f ca="1">SUMIF(mongneo1pm,chitiet!$A1445,slmongneo1pm)</f>
        <v>0</v>
      </c>
      <c r="L1445" s="1239">
        <f>IFERROR(HLOOKUP(A1445,pp1p!$6:$90,85,0),0)</f>
        <v>0</v>
      </c>
      <c r="M1445" s="1239">
        <f ca="1">SUMIF(mongneoHTHH,chitiet!$A1445,slmongneoHTHH)</f>
        <v>0</v>
      </c>
      <c r="N1445" s="1239">
        <f ca="1">SUMIF(mongneoHTDL,chitiet!$A1445,slmongneoHTDL)</f>
        <v>0</v>
      </c>
      <c r="O1445" s="1239"/>
      <c r="P1445" s="1239">
        <f ca="1">H1445+Q1445-R1445</f>
        <v>0</v>
      </c>
      <c r="Q1445" s="1239"/>
      <c r="R1445" s="1239"/>
      <c r="S1445" s="1239"/>
      <c r="T1445" s="1671"/>
      <c r="U1445" s="1664">
        <f>IFERROR(VLOOKUP(B1445,ChiTietDuToan!C:H,5,0),"")</f>
        <v>0</v>
      </c>
      <c r="V1445" s="2309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59" t="s">
        <v>2052</v>
      </c>
      <c r="C1446" s="1189" t="str">
        <f t="shared" ca="1" si="301"/>
        <v xml:space="preserve"> </v>
      </c>
      <c r="D1446" s="1236"/>
      <c r="E1446" s="1248" t="str">
        <f>VLOOKUP($B1446,DG!A:D,DG!$C$2,)</f>
        <v>Ty neo Ø22x3000</v>
      </c>
      <c r="F1446" s="1236" t="str">
        <f>VLOOKUP($B1446,DG!A:D,DG!$D$2,)</f>
        <v>cái</v>
      </c>
      <c r="G1446" s="1915">
        <v>1</v>
      </c>
      <c r="H1446" s="1245">
        <f ca="1">H$1445*$G1446</f>
        <v>0</v>
      </c>
      <c r="I1446" s="1245">
        <f t="shared" ref="I1446:N1448" ca="1" si="305">I$1445*$G1446</f>
        <v>0</v>
      </c>
      <c r="J1446" s="1245">
        <f t="shared" ca="1" si="305"/>
        <v>0</v>
      </c>
      <c r="K1446" s="1245">
        <f t="shared" ca="1" si="305"/>
        <v>0</v>
      </c>
      <c r="L1446" s="1245">
        <f t="shared" si="305"/>
        <v>0</v>
      </c>
      <c r="M1446" s="1245">
        <f t="shared" ca="1" si="305"/>
        <v>0</v>
      </c>
      <c r="N1446" s="1245">
        <f t="shared" ca="1" si="305"/>
        <v>0</v>
      </c>
      <c r="O1446" s="1245"/>
      <c r="P1446" s="1245"/>
      <c r="Q1446" s="1245"/>
      <c r="R1446" s="1245"/>
      <c r="S1446" s="1245"/>
      <c r="T1446" s="1671"/>
      <c r="U1446" s="1664" t="str">
        <f>IFERROR(VLOOKUP(B1446,ChiTietDuToan!C:H,5,0),"")</f>
        <v/>
      </c>
      <c r="V1446" s="2309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59" t="s">
        <v>2193</v>
      </c>
      <c r="C1447" s="1189" t="str">
        <f t="shared" ca="1" si="301"/>
        <v xml:space="preserve"> </v>
      </c>
      <c r="D1447" s="1236" t="str">
        <f>VLOOKUP($B1447,DG!A:D,DG!$B$2,)</f>
        <v>04.3802</v>
      </c>
      <c r="E1447" s="1248" t="str">
        <f>VLOOKUP($B1447,DG!A:D,DG!$C$2,)</f>
        <v>Đế neo BTCT 600x1500</v>
      </c>
      <c r="F1447" s="1236" t="str">
        <f>VLOOKUP($B1447,DG!A:D,DG!$D$2,)</f>
        <v>cái</v>
      </c>
      <c r="G1447" s="1915">
        <v>1</v>
      </c>
      <c r="H1447" s="1245">
        <f ca="1">H$1445*$G1447</f>
        <v>0</v>
      </c>
      <c r="I1447" s="1245">
        <f t="shared" ca="1" si="305"/>
        <v>0</v>
      </c>
      <c r="J1447" s="1245">
        <f t="shared" ca="1" si="305"/>
        <v>0</v>
      </c>
      <c r="K1447" s="1245">
        <f t="shared" ca="1" si="305"/>
        <v>0</v>
      </c>
      <c r="L1447" s="1245">
        <f t="shared" si="305"/>
        <v>0</v>
      </c>
      <c r="M1447" s="1245">
        <f t="shared" ca="1" si="305"/>
        <v>0</v>
      </c>
      <c r="N1447" s="1245">
        <f t="shared" ca="1" si="305"/>
        <v>0</v>
      </c>
      <c r="O1447" s="1245"/>
      <c r="P1447" s="1245"/>
      <c r="Q1447" s="1245"/>
      <c r="R1447" s="1245"/>
      <c r="S1447" s="1245"/>
      <c r="T1447" s="1671"/>
      <c r="U1447" s="1664" t="str">
        <f>IFERROR(VLOOKUP(B1447,ChiTietDuToan!C:H,5,0),"")</f>
        <v/>
      </c>
      <c r="V1447" s="2309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59" t="s">
        <v>1094</v>
      </c>
      <c r="C1448" s="1189" t="str">
        <f t="shared" ca="1" si="301"/>
        <v xml:space="preserve"> </v>
      </c>
      <c r="D1448" s="1236" t="str">
        <f>VLOOKUP($B1448,DG!A:D,DG!$B$2,)</f>
        <v>04.9001</v>
      </c>
      <c r="E1448" s="1248" t="str">
        <f>VLOOKUP($B1448,DG!A:D,DG!$C$2,)</f>
        <v>Bitum</v>
      </c>
      <c r="F1448" s="1236" t="str">
        <f>VLOOKUP($B1448,DG!A:D,DG!$D$2,)</f>
        <v>m2</v>
      </c>
      <c r="G1448" s="1925">
        <v>2</v>
      </c>
      <c r="H1448" s="1245">
        <f ca="1">H$1445*$G1448</f>
        <v>0</v>
      </c>
      <c r="I1448" s="1245">
        <f t="shared" ca="1" si="305"/>
        <v>0</v>
      </c>
      <c r="J1448" s="1245">
        <f t="shared" ca="1" si="305"/>
        <v>0</v>
      </c>
      <c r="K1448" s="1245">
        <f t="shared" ca="1" si="305"/>
        <v>0</v>
      </c>
      <c r="L1448" s="1245">
        <f t="shared" si="305"/>
        <v>0</v>
      </c>
      <c r="M1448" s="1245">
        <f t="shared" ca="1" si="305"/>
        <v>0</v>
      </c>
      <c r="N1448" s="1245">
        <f t="shared" ca="1" si="305"/>
        <v>0</v>
      </c>
      <c r="O1448" s="1245"/>
      <c r="P1448" s="1245"/>
      <c r="Q1448" s="1245"/>
      <c r="R1448" s="1245"/>
      <c r="S1448" s="1245"/>
      <c r="T1448" s="1671"/>
      <c r="U1448" s="1664" t="str">
        <f>IFERROR(VLOOKUP(B1448,ChiTietDuToan!C:H,5,0),"")</f>
        <v/>
      </c>
      <c r="V1448" s="2309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59" t="str">
        <f>IF(F5=1,"MDD1",IF(F5=2,"MDD2",IF(F5=3,"MDD3",IF(F5=4,"MDD4"))))</f>
        <v>MDD3</v>
      </c>
      <c r="C1449" s="1189" t="str">
        <f t="shared" si="301"/>
        <v xml:space="preserve"> </v>
      </c>
      <c r="D1449" s="1236" t="str">
        <f>VLOOKUP($B1449,DG!A:D,DG!$B$2,)</f>
        <v>03.1013</v>
      </c>
      <c r="E1449" s="1241" t="str">
        <f>VLOOKUP($B1449,DG!A:D,DG!$C$2,)</f>
        <v>Đào hố móng đất cấp 3 sâu &gt;1m DT&lt;5m2</v>
      </c>
      <c r="F1449" s="1236" t="str">
        <f>VLOOKUP($B1449,DG!A:D,DG!$D$2,)</f>
        <v>m3</v>
      </c>
      <c r="G1449" s="1914">
        <v>10.56</v>
      </c>
      <c r="H1449" s="1245"/>
      <c r="I1449" s="1245"/>
      <c r="J1449" s="1245"/>
      <c r="K1449" s="1245"/>
      <c r="L1449" s="1245"/>
      <c r="M1449" s="1245"/>
      <c r="N1449" s="1245"/>
      <c r="O1449" s="1245"/>
      <c r="P1449" s="1245"/>
      <c r="Q1449" s="1245"/>
      <c r="R1449" s="1245"/>
      <c r="S1449" s="1245"/>
      <c r="T1449" s="1671"/>
      <c r="U1449" s="1664" t="str">
        <f>IFERROR(VLOOKUP(B1449,ChiTietDuToan!C:H,5,0),"")</f>
        <v>m3</v>
      </c>
      <c r="V1449" s="2309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59" t="str">
        <f>IF(F5=1,"MDAP1",IF(F5=2,"MDAP2",IF(F5=3,"MDAP3",IF(F5=4,"MDAP4"))))</f>
        <v>MDAP3</v>
      </c>
      <c r="C1450" s="1189" t="str">
        <f t="shared" si="301"/>
        <v xml:space="preserve"> </v>
      </c>
      <c r="D1450" s="1236" t="str">
        <f>VLOOKUP($B1450,DG!A:D,DG!$B$2,)</f>
        <v>03.4113</v>
      </c>
      <c r="E1450" s="1241" t="str">
        <f>VLOOKUP($B1450,DG!A:D,DG!$C$2,)</f>
        <v>Đắp đất hố móng, độ chặt k=0,95</v>
      </c>
      <c r="F1450" s="1236" t="str">
        <f>VLOOKUP($B1450,DG!A:D,DG!$D$2,)</f>
        <v>m3</v>
      </c>
      <c r="G1450" s="1914">
        <v>11.78</v>
      </c>
      <c r="H1450" s="1245"/>
      <c r="I1450" s="1245"/>
      <c r="J1450" s="1245"/>
      <c r="K1450" s="1245"/>
      <c r="L1450" s="1245"/>
      <c r="M1450" s="1245"/>
      <c r="N1450" s="1245"/>
      <c r="O1450" s="1245"/>
      <c r="P1450" s="1245"/>
      <c r="Q1450" s="1245"/>
      <c r="R1450" s="1245"/>
      <c r="S1450" s="1245"/>
      <c r="T1450" s="1671"/>
      <c r="U1450" s="1664" t="str">
        <f>IFERROR(VLOOKUP(B1450,ChiTietDuToan!C:H,5,0),"")</f>
        <v>m3</v>
      </c>
      <c r="V1450" s="2309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59" t="s">
        <v>642</v>
      </c>
      <c r="C1451" s="1189" t="str">
        <f t="shared" si="301"/>
        <v xml:space="preserve"> </v>
      </c>
      <c r="D1451" s="1236" t="str">
        <f>VLOOKUP($B1451,DG!A:D,DG!$B$2,)</f>
        <v>02.1123</v>
      </c>
      <c r="E1451" s="1241" t="str">
        <f>VLOOKUP($B1451,DG!A:D,DG!$C$2,)</f>
        <v>Bốc dỡ đà cản, đế néo</v>
      </c>
      <c r="F1451" s="1236" t="str">
        <f>VLOOKUP($B1451,DG!A:D,DG!$D$2,)</f>
        <v>tấn</v>
      </c>
      <c r="G1451" s="1914">
        <f>G1452</f>
        <v>0.28899999999999998</v>
      </c>
      <c r="H1451" s="1245"/>
      <c r="I1451" s="1245"/>
      <c r="J1451" s="1245"/>
      <c r="K1451" s="1245"/>
      <c r="L1451" s="1245"/>
      <c r="M1451" s="1245"/>
      <c r="N1451" s="1245"/>
      <c r="O1451" s="1245"/>
      <c r="P1451" s="1245"/>
      <c r="Q1451" s="1245"/>
      <c r="R1451" s="1245"/>
      <c r="S1451" s="1245"/>
      <c r="T1451" s="1671"/>
      <c r="U1451" s="1664" t="str">
        <f>IFERROR(VLOOKUP(B1451,ChiTietDuToan!C:H,5,0),"")</f>
        <v/>
      </c>
      <c r="V1451" s="2309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74" t="s">
        <v>610</v>
      </c>
      <c r="C1452" s="1189" t="str">
        <f t="shared" si="301"/>
        <v xml:space="preserve"> </v>
      </c>
      <c r="D1452" s="1236" t="str">
        <f>VLOOKUP($B1452,DG!A:C,2,)</f>
        <v>02.1451</v>
      </c>
      <c r="E1452" s="1241" t="str">
        <f>VLOOKUP($B1452,DG!A:C,3,)</f>
        <v>V/c đế néo vào vị trí (cự ly &lt;=100m)</v>
      </c>
      <c r="F1452" s="1236" t="str">
        <f>VLOOKUP($B1452,DG!A:D,4,0)</f>
        <v>tấn</v>
      </c>
      <c r="G1452" s="1914">
        <v>0.28899999999999998</v>
      </c>
      <c r="H1452" s="1250"/>
      <c r="I1452" s="1250"/>
      <c r="J1452" s="1250"/>
      <c r="K1452" s="1250"/>
      <c r="L1452" s="1250"/>
      <c r="M1452" s="1250"/>
      <c r="N1452" s="1250"/>
      <c r="O1452" s="1250"/>
      <c r="P1452" s="1250"/>
      <c r="Q1452" s="1250"/>
      <c r="R1452" s="1250"/>
      <c r="S1452" s="1250"/>
      <c r="T1452" s="1671"/>
      <c r="U1452" s="1664" t="str">
        <f>IFERROR(VLOOKUP(B1452,ChiTietDuToan!C:H,5,0),"")</f>
        <v/>
      </c>
      <c r="V1452" s="2309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74" t="s">
        <v>611</v>
      </c>
      <c r="C1453" s="1189" t="str">
        <f t="shared" si="301"/>
        <v xml:space="preserve"> </v>
      </c>
      <c r="D1453" s="1236" t="str">
        <f>VLOOKUP($B1453,DG!A:C,2,)</f>
        <v>02.1482</v>
      </c>
      <c r="E1453" s="1241" t="str">
        <f>VLOOKUP($B1453,DG!A:C,3,)</f>
        <v>V/c dụng cụ thi công vào vị trí (cự ly &lt;=100m)</v>
      </c>
      <c r="F1453" s="1236" t="str">
        <f>VLOOKUP($B1453,DG!A:D,4,0)</f>
        <v>tấn</v>
      </c>
      <c r="G1453" s="1914">
        <v>0.05</v>
      </c>
      <c r="H1453" s="1250"/>
      <c r="I1453" s="1250"/>
      <c r="J1453" s="1250"/>
      <c r="K1453" s="1250"/>
      <c r="L1453" s="1250"/>
      <c r="M1453" s="1250"/>
      <c r="N1453" s="1250"/>
      <c r="O1453" s="1250"/>
      <c r="P1453" s="1250"/>
      <c r="Q1453" s="1250"/>
      <c r="R1453" s="1250"/>
      <c r="S1453" s="1250"/>
      <c r="T1453" s="1671"/>
      <c r="U1453" s="1664" t="str">
        <f>IFERROR(VLOOKUP(B1453,ChiTietDuToan!C:H,5,0),"")</f>
        <v/>
      </c>
      <c r="V1453" s="2309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53"/>
      <c r="B1454" s="1954"/>
      <c r="C1454" s="1189" t="s">
        <v>2009</v>
      </c>
      <c r="D1454" s="1238" t="s">
        <v>1961</v>
      </c>
      <c r="E1454" s="1238" t="s">
        <v>2363</v>
      </c>
      <c r="F1454" s="1237"/>
      <c r="G1454" s="1927">
        <f>SUM(H1454:N1454)+S1454</f>
        <v>0</v>
      </c>
      <c r="H1454" s="1523">
        <f>SUM(I1454:O1454)+T1454</f>
        <v>0</v>
      </c>
      <c r="I1454" s="1237"/>
      <c r="J1454" s="1237"/>
      <c r="K1454" s="1237"/>
      <c r="L1454" s="1239">
        <f>IFERROR(HLOOKUP(A1454,pp1p!$6:$90,85,0),0)</f>
        <v>0</v>
      </c>
      <c r="M1454" s="1237"/>
      <c r="N1454" s="1237"/>
      <c r="O1454" s="1237"/>
      <c r="P1454" s="1523">
        <f>H1454+Q1454-R1454</f>
        <v>0</v>
      </c>
      <c r="Q1454" s="1237"/>
      <c r="R1454" s="1237"/>
      <c r="S1454" s="1237"/>
      <c r="T1454" s="1664"/>
      <c r="U1454" s="1664">
        <f>IFERROR(VLOOKUP(B1454,ChiTietDuToan!C:H,5,0),"")</f>
        <v>0</v>
      </c>
      <c r="V1454" s="2309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92" t="s">
        <v>28</v>
      </c>
      <c r="B1455" s="1954"/>
      <c r="C1455" s="1189" t="str">
        <f>IF(G1455&lt;&gt;0,"x"," ")</f>
        <v xml:space="preserve"> </v>
      </c>
      <c r="D1455" s="1238" t="s">
        <v>2232</v>
      </c>
      <c r="E1455" s="1666" t="s">
        <v>4653</v>
      </c>
      <c r="F1455" s="1238" t="s">
        <v>2364</v>
      </c>
      <c r="G1455" s="1912">
        <f>IF(SUM(G1456:G1474)&lt;&gt;0,1,0)</f>
        <v>0</v>
      </c>
      <c r="H1455" s="1523">
        <f>SUM(I1455:O1455)+T1455</f>
        <v>0</v>
      </c>
      <c r="I1455" s="1239"/>
      <c r="J1455" s="1239"/>
      <c r="K1455" s="1239"/>
      <c r="L1455" s="1239">
        <f>IFERROR(HLOOKUP(A1455,pp1p!$6:$90,85,0),0)</f>
        <v>0</v>
      </c>
      <c r="M1455" s="1239"/>
      <c r="N1455" s="1239"/>
      <c r="O1455" s="1239"/>
      <c r="P1455" s="1239">
        <f>H1455+Q1455-R1455</f>
        <v>0</v>
      </c>
      <c r="Q1455" s="1239"/>
      <c r="R1455" s="1239"/>
      <c r="S1455" s="1239"/>
      <c r="T1455" s="1664"/>
      <c r="U1455" s="1664">
        <f>IFERROR(VLOOKUP(B1455,ChiTietDuToan!C:H,5,0),"")</f>
        <v>0</v>
      </c>
      <c r="V1455" s="2309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59" t="s">
        <v>736</v>
      </c>
      <c r="C1456" s="1189" t="str">
        <f t="shared" si="301"/>
        <v xml:space="preserve"> </v>
      </c>
      <c r="D1456" s="1253">
        <f>pp_NC!D186</f>
        <v>0</v>
      </c>
      <c r="E1456" s="1248" t="str">
        <f>VLOOKUP($B1456,DG!A:D,DG!$C$2,)</f>
        <v>Cáp nhôm lõi thép AC-240/39</v>
      </c>
      <c r="F1456" s="1236" t="str">
        <f>VLOOKUP($B1456,DG!A:D,DG!$D$2,)</f>
        <v>kg</v>
      </c>
      <c r="G1456" s="1925">
        <f>ROUND(D1456*1.02*0.952,2)</f>
        <v>0</v>
      </c>
      <c r="H1456" s="1245">
        <f>$G1456</f>
        <v>0</v>
      </c>
      <c r="I1456" s="1245"/>
      <c r="J1456" s="1245">
        <f>G1456</f>
        <v>0</v>
      </c>
      <c r="K1456" s="1245"/>
      <c r="L1456" s="1245"/>
      <c r="M1456" s="1245"/>
      <c r="N1456" s="1245"/>
      <c r="O1456" s="1245"/>
      <c r="P1456" s="1245">
        <f>H1456+Q1456-R1456</f>
        <v>0</v>
      </c>
      <c r="Q1456" s="1245"/>
      <c r="R1456" s="1245"/>
      <c r="S1456" s="1245"/>
      <c r="T1456" s="1671"/>
      <c r="U1456" s="1664" t="str">
        <f>IFERROR(VLOOKUP(B1456,ChiTietDuToan!C:H,5,0),"")</f>
        <v/>
      </c>
      <c r="V1456" s="2309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59" t="s">
        <v>737</v>
      </c>
      <c r="C1457" s="1189" t="str">
        <f t="shared" si="301"/>
        <v xml:space="preserve"> </v>
      </c>
      <c r="D1457" s="1253">
        <f>pp_NC!D187</f>
        <v>0</v>
      </c>
      <c r="E1457" s="1248" t="str">
        <f>VLOOKUP($B1457,DG!A:D,DG!$C$2,)</f>
        <v>Cáp nhôm lõi thép AC-185/29</v>
      </c>
      <c r="F1457" s="1236" t="str">
        <f>VLOOKUP($B1457,DG!A:D,DG!$D$2,)</f>
        <v>kg</v>
      </c>
      <c r="G1457" s="1925">
        <f>ROUND(D1457*1.02*0.727,2)</f>
        <v>0</v>
      </c>
      <c r="H1457" s="1245">
        <f>$G1457</f>
        <v>0</v>
      </c>
      <c r="I1457" s="1245"/>
      <c r="J1457" s="1245">
        <f>G1457</f>
        <v>0</v>
      </c>
      <c r="K1457" s="1245"/>
      <c r="L1457" s="1245"/>
      <c r="M1457" s="1245"/>
      <c r="N1457" s="1245"/>
      <c r="O1457" s="1245"/>
      <c r="P1457" s="1245">
        <f t="shared" ref="P1457:P1520" si="306">H1457+Q1457-R1457</f>
        <v>0</v>
      </c>
      <c r="Q1457" s="1245"/>
      <c r="R1457" s="1245"/>
      <c r="S1457" s="1245"/>
      <c r="T1457" s="1671"/>
      <c r="U1457" s="1664" t="str">
        <f>IFERROR(VLOOKUP(B1457,ChiTietDuToan!C:H,5,0),"")</f>
        <v/>
      </c>
      <c r="V1457" s="2309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59" t="s">
        <v>849</v>
      </c>
      <c r="C1458" s="1189" t="str">
        <f t="shared" si="301"/>
        <v xml:space="preserve"> </v>
      </c>
      <c r="D1458" s="1253">
        <f>pp_NC!D188</f>
        <v>0</v>
      </c>
      <c r="E1458" s="1248" t="str">
        <f>VLOOKUP($B1458,DG!A:D,DG!$C$2,)</f>
        <v>Cáp nhôm lõi thép AC-150/24</v>
      </c>
      <c r="F1458" s="1236" t="str">
        <f>VLOOKUP($B1458,DG!A:D,DG!$D$2,)</f>
        <v>kg</v>
      </c>
      <c r="G1458" s="1925">
        <f>ROUND(D1458*1.02*0.6,2)</f>
        <v>0</v>
      </c>
      <c r="H1458" s="1245">
        <f t="shared" ref="H1458:H1550" si="307">$G1458</f>
        <v>0</v>
      </c>
      <c r="I1458" s="1245"/>
      <c r="J1458" s="1245">
        <f>G1458</f>
        <v>0</v>
      </c>
      <c r="K1458" s="1245"/>
      <c r="L1458" s="1245"/>
      <c r="M1458" s="1245"/>
      <c r="N1458" s="1245"/>
      <c r="O1458" s="1245"/>
      <c r="P1458" s="1245">
        <f t="shared" si="306"/>
        <v>0</v>
      </c>
      <c r="Q1458" s="1245"/>
      <c r="R1458" s="1245"/>
      <c r="S1458" s="1245"/>
      <c r="T1458" s="1671"/>
      <c r="U1458" s="1664" t="str">
        <f>IFERROR(VLOOKUP(B1458,ChiTietDuToan!C:H,5,0),"")</f>
        <v/>
      </c>
      <c r="V1458" s="2309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59" t="s">
        <v>543</v>
      </c>
      <c r="C1459" s="1189" t="str">
        <f t="shared" si="301"/>
        <v xml:space="preserve"> </v>
      </c>
      <c r="D1459" s="1253"/>
      <c r="E1459" s="1248" t="str">
        <f>VLOOKUP($B1459,DG!A:D,DG!$C$2,)</f>
        <v>Cáp nhôm lõi thép AC-120/19</v>
      </c>
      <c r="F1459" s="1236" t="str">
        <f>VLOOKUP($B1459,DG!A:D,DG!$D$2,)</f>
        <v>kg</v>
      </c>
      <c r="G1459" s="1925">
        <f>ROUND(D1459*1.02*0.471,2)</f>
        <v>0</v>
      </c>
      <c r="H1459" s="1245">
        <f t="shared" si="307"/>
        <v>0</v>
      </c>
      <c r="I1459" s="1245"/>
      <c r="J1459" s="1245">
        <f>G1459</f>
        <v>0</v>
      </c>
      <c r="K1459" s="1245"/>
      <c r="L1459" s="1245"/>
      <c r="M1459" s="1245"/>
      <c r="N1459" s="1245"/>
      <c r="O1459" s="1245"/>
      <c r="P1459" s="1245">
        <f t="shared" si="306"/>
        <v>0</v>
      </c>
      <c r="Q1459" s="1245"/>
      <c r="R1459" s="1245"/>
      <c r="S1459" s="1245"/>
      <c r="T1459" s="1671"/>
      <c r="U1459" s="1664" t="str">
        <f>IFERROR(VLOOKUP(B1459,ChiTietDuToan!C:H,5,0),"")</f>
        <v>kg</v>
      </c>
      <c r="V1459" s="2309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59" t="s">
        <v>270</v>
      </c>
      <c r="C1460" s="1189" t="str">
        <f t="shared" si="301"/>
        <v xml:space="preserve"> </v>
      </c>
      <c r="D1460" s="1253">
        <f>pp_NC!D190</f>
        <v>0</v>
      </c>
      <c r="E1460" s="1248" t="str">
        <f>VLOOKUP($B1460,DG!A:D,DG!$C$2,)</f>
        <v>Cáp nhôm lõi thép AC-95/16</v>
      </c>
      <c r="F1460" s="1236" t="str">
        <f>VLOOKUP($B1460,DG!A:D,DG!$D$2,)</f>
        <v>kg</v>
      </c>
      <c r="G1460" s="1925">
        <f>ROUND(D1460*1.02*0.384,2)</f>
        <v>0</v>
      </c>
      <c r="H1460" s="1245">
        <f t="shared" si="307"/>
        <v>0</v>
      </c>
      <c r="I1460" s="1245"/>
      <c r="J1460" s="1245">
        <f t="shared" ref="J1460:J1469" si="308">G1460</f>
        <v>0</v>
      </c>
      <c r="K1460" s="1245"/>
      <c r="L1460" s="1245"/>
      <c r="M1460" s="1245"/>
      <c r="N1460" s="1245"/>
      <c r="O1460" s="1245"/>
      <c r="P1460" s="1245">
        <f t="shared" si="306"/>
        <v>0</v>
      </c>
      <c r="Q1460" s="1245"/>
      <c r="R1460" s="1245"/>
      <c r="S1460" s="1245"/>
      <c r="T1460" s="1671"/>
      <c r="U1460" s="1664" t="str">
        <f>IFERROR(VLOOKUP(B1460,ChiTietDuToan!C:H,5,0),"")</f>
        <v/>
      </c>
      <c r="V1460" s="2309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59" t="s">
        <v>1272</v>
      </c>
      <c r="C1461" s="1189" t="str">
        <f t="shared" si="301"/>
        <v xml:space="preserve"> </v>
      </c>
      <c r="D1461" s="1253">
        <f>pp_NC!D191</f>
        <v>0</v>
      </c>
      <c r="E1461" s="1248" t="str">
        <f>VLOOKUP($B1461,DG!A:D,DG!$C$2,)</f>
        <v>Cáp nhôm lõi thép AC-70/11</v>
      </c>
      <c r="F1461" s="1236" t="str">
        <f>VLOOKUP($B1461,DG!A:D,DG!$D$2,)</f>
        <v>kg</v>
      </c>
      <c r="G1461" s="1925">
        <f>ROUND(D1461*1.02*0.274,2)</f>
        <v>0</v>
      </c>
      <c r="H1461" s="1245">
        <f t="shared" si="307"/>
        <v>0</v>
      </c>
      <c r="I1461" s="1245"/>
      <c r="J1461" s="1245">
        <f t="shared" si="308"/>
        <v>0</v>
      </c>
      <c r="K1461" s="1245"/>
      <c r="L1461" s="1245"/>
      <c r="M1461" s="1245"/>
      <c r="N1461" s="1245"/>
      <c r="O1461" s="1245"/>
      <c r="P1461" s="1245">
        <f t="shared" si="306"/>
        <v>0</v>
      </c>
      <c r="Q1461" s="1245"/>
      <c r="R1461" s="1245"/>
      <c r="S1461" s="1245"/>
      <c r="T1461" s="1671"/>
      <c r="U1461" s="1664" t="str">
        <f>IFERROR(VLOOKUP(B1461,ChiTietDuToan!C:H,5,0),"")</f>
        <v/>
      </c>
      <c r="V1461" s="2309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59" t="s">
        <v>88</v>
      </c>
      <c r="C1462" s="1189" t="str">
        <f t="shared" si="301"/>
        <v xml:space="preserve"> </v>
      </c>
      <c r="D1462" s="1253"/>
      <c r="E1462" s="1248" t="str">
        <f>VLOOKUP($B1462,DG!A:D,DG!$C$2,)</f>
        <v>Cáp nhôm lõi thép AC-50/8</v>
      </c>
      <c r="F1462" s="1236" t="str">
        <f>VLOOKUP($B1462,DG!A:D,DG!$D$2,)</f>
        <v>kg</v>
      </c>
      <c r="G1462" s="1925">
        <f>ROUND(D1462*1.02*0.195,2)</f>
        <v>0</v>
      </c>
      <c r="H1462" s="1245">
        <f t="shared" si="307"/>
        <v>0</v>
      </c>
      <c r="I1462" s="1245"/>
      <c r="J1462" s="1245">
        <f t="shared" si="308"/>
        <v>0</v>
      </c>
      <c r="K1462" s="1245"/>
      <c r="L1462" s="1245"/>
      <c r="M1462" s="1245"/>
      <c r="N1462" s="1245"/>
      <c r="O1462" s="1245"/>
      <c r="P1462" s="1245">
        <f t="shared" si="306"/>
        <v>0</v>
      </c>
      <c r="Q1462" s="1245"/>
      <c r="R1462" s="1245"/>
      <c r="S1462" s="1245"/>
      <c r="T1462" s="1671"/>
      <c r="U1462" s="1664" t="str">
        <f>IFERROR(VLOOKUP(B1462,ChiTietDuToan!C:H,5,0),"")</f>
        <v/>
      </c>
      <c r="V1462" s="2309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91"/>
      <c r="B1463" s="1952" t="s">
        <v>361</v>
      </c>
      <c r="C1463" s="1189" t="str">
        <f t="shared" si="301"/>
        <v xml:space="preserve"> </v>
      </c>
      <c r="D1463" s="1253">
        <f>pp_NC!C199</f>
        <v>0</v>
      </c>
      <c r="E1463" s="1248" t="str">
        <f>VLOOKUP($B1463,DG!A:D,DG!$C$2,)</f>
        <v>Cáp 24KV AS/XLPE/PVC 50 mm2</v>
      </c>
      <c r="F1463" s="1236" t="str">
        <f>VLOOKUP($B1463,DG!A:D,DG!$D$2,)</f>
        <v>mét</v>
      </c>
      <c r="G1463" s="1925">
        <f>D1463*2.04</f>
        <v>0</v>
      </c>
      <c r="H1463" s="1249">
        <f t="shared" si="307"/>
        <v>0</v>
      </c>
      <c r="I1463" s="1245"/>
      <c r="J1463" s="1245">
        <f>G1463</f>
        <v>0</v>
      </c>
      <c r="K1463" s="1245"/>
      <c r="L1463" s="1245"/>
      <c r="M1463" s="1245"/>
      <c r="N1463" s="1245"/>
      <c r="O1463" s="1245"/>
      <c r="P1463" s="1249">
        <f t="shared" si="306"/>
        <v>0</v>
      </c>
      <c r="Q1463" s="1245"/>
      <c r="R1463" s="1245"/>
      <c r="S1463" s="1245"/>
      <c r="T1463" s="1663"/>
      <c r="U1463" s="1664" t="str">
        <f>IFERROR(VLOOKUP(B1463,ChiTietDuToan!C:H,5,0),"")</f>
        <v/>
      </c>
      <c r="V1463" s="2309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59" t="s">
        <v>1847</v>
      </c>
      <c r="C1464" s="1189" t="str">
        <f t="shared" si="301"/>
        <v xml:space="preserve"> </v>
      </c>
      <c r="D1464" s="1253">
        <f>pp_NC!D193</f>
        <v>0</v>
      </c>
      <c r="E1464" s="1248" t="str">
        <f>VLOOKUP($B1464,DG!A:D,DG!$C$2,)</f>
        <v>Cáp 24KV A/XLPE/PVC 240mm2</v>
      </c>
      <c r="F1464" s="1236" t="str">
        <f>VLOOKUP($B1464,DG!A:D,DG!$D$2,)</f>
        <v>mét</v>
      </c>
      <c r="G1464" s="1915">
        <f t="shared" ref="G1464:G1469" si="309">ROUND(D1464*1.03,2)</f>
        <v>0</v>
      </c>
      <c r="H1464" s="1245">
        <f t="shared" si="307"/>
        <v>0</v>
      </c>
      <c r="I1464" s="1245"/>
      <c r="J1464" s="1245">
        <f t="shared" si="308"/>
        <v>0</v>
      </c>
      <c r="K1464" s="1245"/>
      <c r="L1464" s="1245"/>
      <c r="M1464" s="1245"/>
      <c r="N1464" s="1245"/>
      <c r="O1464" s="1245"/>
      <c r="P1464" s="1245">
        <f t="shared" si="306"/>
        <v>0</v>
      </c>
      <c r="Q1464" s="1245"/>
      <c r="R1464" s="1245"/>
      <c r="S1464" s="1245"/>
      <c r="T1464" s="1671"/>
      <c r="U1464" s="1664" t="str">
        <f>IFERROR(VLOOKUP(B1464,ChiTietDuToan!C:H,5,0),"")</f>
        <v/>
      </c>
      <c r="V1464" s="2309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59" t="s">
        <v>1061</v>
      </c>
      <c r="C1465" s="1189" t="str">
        <f t="shared" si="301"/>
        <v xml:space="preserve"> </v>
      </c>
      <c r="D1465" s="1253">
        <f>pp_NC!D194</f>
        <v>0</v>
      </c>
      <c r="E1465" s="1248" t="str">
        <f>VLOOKUP($B1465,DG!A:D,DG!$C$2,)</f>
        <v>Cáp 24KV A/XLPE/PVC 185mm2</v>
      </c>
      <c r="F1465" s="1236" t="str">
        <f>VLOOKUP($B1465,DG!A:D,DG!$D$2,)</f>
        <v>mét</v>
      </c>
      <c r="G1465" s="1915">
        <f t="shared" si="309"/>
        <v>0</v>
      </c>
      <c r="H1465" s="1245">
        <f t="shared" si="307"/>
        <v>0</v>
      </c>
      <c r="I1465" s="1245"/>
      <c r="J1465" s="1245">
        <f t="shared" si="308"/>
        <v>0</v>
      </c>
      <c r="K1465" s="1245"/>
      <c r="L1465" s="1245"/>
      <c r="M1465" s="1245"/>
      <c r="N1465" s="1245"/>
      <c r="O1465" s="1245"/>
      <c r="P1465" s="1245">
        <f t="shared" si="306"/>
        <v>0</v>
      </c>
      <c r="Q1465" s="1245"/>
      <c r="R1465" s="1245"/>
      <c r="S1465" s="1245"/>
      <c r="T1465" s="1671"/>
      <c r="U1465" s="1664" t="str">
        <f>IFERROR(VLOOKUP(B1465,ChiTietDuToan!C:H,5,0),"")</f>
        <v>mét</v>
      </c>
      <c r="V1465" s="2309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59" t="s">
        <v>1062</v>
      </c>
      <c r="C1466" s="1189" t="str">
        <f t="shared" si="301"/>
        <v xml:space="preserve"> </v>
      </c>
      <c r="D1466" s="1253">
        <f>pp_NC!D195</f>
        <v>0</v>
      </c>
      <c r="E1466" s="1248" t="str">
        <f>VLOOKUP($B1466,DG!A:D,DG!$C$2,)</f>
        <v>Cáp 24KV A/XLPE/PVC 150mm2</v>
      </c>
      <c r="F1466" s="1236" t="str">
        <f>VLOOKUP($B1466,DG!A:D,DG!$D$2,)</f>
        <v>mét</v>
      </c>
      <c r="G1466" s="1915">
        <f t="shared" si="309"/>
        <v>0</v>
      </c>
      <c r="H1466" s="1245">
        <f t="shared" si="307"/>
        <v>0</v>
      </c>
      <c r="I1466" s="1245"/>
      <c r="J1466" s="1245">
        <f t="shared" si="308"/>
        <v>0</v>
      </c>
      <c r="K1466" s="1245"/>
      <c r="L1466" s="1245"/>
      <c r="M1466" s="1245"/>
      <c r="N1466" s="1245"/>
      <c r="O1466" s="1245"/>
      <c r="P1466" s="1245">
        <f t="shared" si="306"/>
        <v>0</v>
      </c>
      <c r="Q1466" s="1245"/>
      <c r="R1466" s="1245"/>
      <c r="S1466" s="1245"/>
      <c r="T1466" s="1671"/>
      <c r="U1466" s="1664" t="str">
        <f>IFERROR(VLOOKUP(B1466,ChiTietDuToan!C:H,5,0),"")</f>
        <v/>
      </c>
      <c r="V1466" s="2309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59" t="s">
        <v>662</v>
      </c>
      <c r="C1467" s="1189" t="str">
        <f t="shared" si="301"/>
        <v xml:space="preserve"> </v>
      </c>
      <c r="D1467" s="1253">
        <f>pp_NC!D196</f>
        <v>0</v>
      </c>
      <c r="E1467" s="1248" t="str">
        <f>VLOOKUP($B1467,DG!A:D,DG!$C$2,)</f>
        <v>Cáp 24KV A/XLPE/PVC 120mm2</v>
      </c>
      <c r="F1467" s="1236" t="str">
        <f>VLOOKUP($B1467,DG!A:D,DG!$D$2,)</f>
        <v>mét</v>
      </c>
      <c r="G1467" s="1915">
        <f t="shared" si="309"/>
        <v>0</v>
      </c>
      <c r="H1467" s="1245">
        <f t="shared" si="307"/>
        <v>0</v>
      </c>
      <c r="I1467" s="1245"/>
      <c r="J1467" s="1245">
        <f t="shared" si="308"/>
        <v>0</v>
      </c>
      <c r="K1467" s="1245"/>
      <c r="L1467" s="1245"/>
      <c r="M1467" s="1245"/>
      <c r="N1467" s="1245"/>
      <c r="O1467" s="1245"/>
      <c r="P1467" s="1245">
        <f t="shared" si="306"/>
        <v>0</v>
      </c>
      <c r="Q1467" s="1245"/>
      <c r="R1467" s="1245"/>
      <c r="S1467" s="1245"/>
      <c r="T1467" s="1671"/>
      <c r="U1467" s="1664" t="str">
        <f>IFERROR(VLOOKUP(B1467,ChiTietDuToan!C:H,5,0),"")</f>
        <v/>
      </c>
      <c r="V1467" s="2309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59" t="s">
        <v>57</v>
      </c>
      <c r="C1468" s="1189" t="str">
        <f t="shared" si="301"/>
        <v xml:space="preserve"> </v>
      </c>
      <c r="D1468" s="1253">
        <f>pp_NC!D197</f>
        <v>0</v>
      </c>
      <c r="E1468" s="1248" t="str">
        <f>VLOOKUP($B1468,DG!A:D,DG!$C$2,)</f>
        <v>Cáp 24KV A/XLPE/PVC 95mm2</v>
      </c>
      <c r="F1468" s="1236" t="str">
        <f>VLOOKUP($B1468,DG!A:D,DG!$D$2,)</f>
        <v>mét</v>
      </c>
      <c r="G1468" s="1915">
        <f t="shared" si="309"/>
        <v>0</v>
      </c>
      <c r="H1468" s="1245">
        <f t="shared" si="307"/>
        <v>0</v>
      </c>
      <c r="I1468" s="1245"/>
      <c r="J1468" s="1245">
        <f t="shared" si="308"/>
        <v>0</v>
      </c>
      <c r="K1468" s="1245"/>
      <c r="L1468" s="1245"/>
      <c r="M1468" s="1245"/>
      <c r="N1468" s="1245"/>
      <c r="O1468" s="1245"/>
      <c r="P1468" s="1245">
        <f t="shared" si="306"/>
        <v>0</v>
      </c>
      <c r="Q1468" s="1245"/>
      <c r="R1468" s="1245"/>
      <c r="S1468" s="1245"/>
      <c r="T1468" s="1671"/>
      <c r="U1468" s="1664" t="str">
        <f>IFERROR(VLOOKUP(B1468,ChiTietDuToan!C:H,5,0),"")</f>
        <v/>
      </c>
      <c r="V1468" s="2309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59" t="s">
        <v>56</v>
      </c>
      <c r="C1469" s="1189" t="str">
        <f t="shared" si="301"/>
        <v xml:space="preserve"> </v>
      </c>
      <c r="D1469" s="1253">
        <f>pp_NC!D198</f>
        <v>0</v>
      </c>
      <c r="E1469" s="1248" t="str">
        <f>VLOOKUP($B1469,DG!A:D,DG!$C$2,)</f>
        <v>Cáp 24KV A/XLPE/PVC 70mm2</v>
      </c>
      <c r="F1469" s="1236" t="str">
        <f>VLOOKUP($B1469,DG!A:D,DG!$D$2,)</f>
        <v>mét</v>
      </c>
      <c r="G1469" s="1915">
        <f t="shared" si="309"/>
        <v>0</v>
      </c>
      <c r="H1469" s="1245">
        <f t="shared" si="307"/>
        <v>0</v>
      </c>
      <c r="I1469" s="1245"/>
      <c r="J1469" s="1245">
        <f t="shared" si="308"/>
        <v>0</v>
      </c>
      <c r="K1469" s="1245"/>
      <c r="L1469" s="1245"/>
      <c r="M1469" s="1245"/>
      <c r="N1469" s="1245"/>
      <c r="O1469" s="1245"/>
      <c r="P1469" s="1245">
        <f t="shared" si="306"/>
        <v>0</v>
      </c>
      <c r="Q1469" s="1245"/>
      <c r="R1469" s="1245"/>
      <c r="S1469" s="1245"/>
      <c r="T1469" s="1671"/>
      <c r="U1469" s="1664" t="str">
        <f>IFERROR(VLOOKUP(B1469,ChiTietDuToan!C:H,5,0),"")</f>
        <v/>
      </c>
      <c r="V1469" s="2309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82" t="s">
        <v>2563</v>
      </c>
      <c r="C1470" s="1189" t="str">
        <f t="shared" si="301"/>
        <v xml:space="preserve"> </v>
      </c>
      <c r="D1470" s="1236"/>
      <c r="E1470" s="1254" t="s">
        <v>2564</v>
      </c>
      <c r="F1470" s="1255" t="s">
        <v>2503</v>
      </c>
      <c r="G1470" s="1915">
        <f>pp_NC!DK184</f>
        <v>0</v>
      </c>
      <c r="H1470" s="1245">
        <f t="shared" si="307"/>
        <v>0</v>
      </c>
      <c r="I1470" s="1245"/>
      <c r="J1470" s="1245">
        <f t="shared" ref="J1470:J1505" si="310">G1470</f>
        <v>0</v>
      </c>
      <c r="K1470" s="1245"/>
      <c r="L1470" s="1245"/>
      <c r="M1470" s="1245"/>
      <c r="N1470" s="1245"/>
      <c r="O1470" s="1245"/>
      <c r="P1470" s="1245">
        <f t="shared" si="306"/>
        <v>0</v>
      </c>
      <c r="Q1470" s="1245"/>
      <c r="R1470" s="1245"/>
      <c r="S1470" s="1245"/>
      <c r="T1470" s="1671"/>
      <c r="U1470" s="1664" t="str">
        <f>IFERROR(VLOOKUP(B1470,ChiTietDuToan!C:H,5,0),"")</f>
        <v>bộ</v>
      </c>
      <c r="V1470" s="2309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59" t="s">
        <v>1962</v>
      </c>
      <c r="C1471" s="1189" t="str">
        <f t="shared" si="301"/>
        <v xml:space="preserve"> </v>
      </c>
      <c r="D1471" s="1236"/>
      <c r="E1471" s="1248" t="str">
        <f>VLOOKUP($B1471,DG!A:D,DG!$C$2,)</f>
        <v>Uclevis</v>
      </c>
      <c r="F1471" s="1236" t="str">
        <f>VLOOKUP($B1471,DG!A:D,DG!$D$2,)</f>
        <v>bộ</v>
      </c>
      <c r="G1471" s="1915">
        <f>G1470</f>
        <v>0</v>
      </c>
      <c r="H1471" s="1245">
        <f t="shared" si="307"/>
        <v>0</v>
      </c>
      <c r="I1471" s="1245"/>
      <c r="J1471" s="1245">
        <f t="shared" si="310"/>
        <v>0</v>
      </c>
      <c r="K1471" s="1245"/>
      <c r="L1471" s="1245"/>
      <c r="M1471" s="1245"/>
      <c r="N1471" s="1245"/>
      <c r="O1471" s="1245"/>
      <c r="P1471" s="1245">
        <f t="shared" si="306"/>
        <v>0</v>
      </c>
      <c r="Q1471" s="1245"/>
      <c r="R1471" s="1245"/>
      <c r="S1471" s="1245"/>
      <c r="T1471" s="1671"/>
      <c r="U1471" s="1664" t="str">
        <f>IFERROR(VLOOKUP(B1471,ChiTietDuToan!C:H,5,0),"")</f>
        <v>bộ</v>
      </c>
      <c r="V1471" s="2309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59" t="s">
        <v>1662</v>
      </c>
      <c r="C1472" s="1189" t="str">
        <f t="shared" si="301"/>
        <v xml:space="preserve"> </v>
      </c>
      <c r="D1472" s="1236"/>
      <c r="E1472" s="1248" t="str">
        <f>VLOOKUP($B1472,DG!A:D,DG!$C$2,)</f>
        <v>Boulon 16x300+ 2 long đền vuông D18-50x50x3/Zn</v>
      </c>
      <c r="F1472" s="1236" t="str">
        <f>VLOOKUP($B1472,DG!A:D,DG!$D$2,)</f>
        <v>bộ</v>
      </c>
      <c r="G1472" s="1915">
        <f>G1470</f>
        <v>0</v>
      </c>
      <c r="H1472" s="1245">
        <f t="shared" si="307"/>
        <v>0</v>
      </c>
      <c r="I1472" s="1245"/>
      <c r="J1472" s="1245">
        <f t="shared" si="310"/>
        <v>0</v>
      </c>
      <c r="K1472" s="1245"/>
      <c r="L1472" s="1245"/>
      <c r="M1472" s="1245"/>
      <c r="N1472" s="1245"/>
      <c r="O1472" s="1245"/>
      <c r="P1472" s="1245">
        <f t="shared" si="306"/>
        <v>0</v>
      </c>
      <c r="Q1472" s="1245"/>
      <c r="R1472" s="1245"/>
      <c r="S1472" s="1245"/>
      <c r="T1472" s="1671"/>
      <c r="U1472" s="1664" t="str">
        <f>IFERROR(VLOOKUP(B1472,ChiTietDuToan!C:H,5,0),"")</f>
        <v>bộ</v>
      </c>
      <c r="V1472" s="2309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82" t="s">
        <v>1673</v>
      </c>
      <c r="C1473" s="1189" t="str">
        <f t="shared" si="301"/>
        <v xml:space="preserve"> </v>
      </c>
      <c r="D1473" s="1236"/>
      <c r="E1473" s="1254" t="s">
        <v>2565</v>
      </c>
      <c r="F1473" s="1255" t="s">
        <v>2503</v>
      </c>
      <c r="G1473" s="1915">
        <f>pp_NC!DM184</f>
        <v>0</v>
      </c>
      <c r="H1473" s="1245">
        <f t="shared" si="307"/>
        <v>0</v>
      </c>
      <c r="I1473" s="1245"/>
      <c r="J1473" s="1245">
        <f t="shared" si="310"/>
        <v>0</v>
      </c>
      <c r="K1473" s="1245"/>
      <c r="L1473" s="1245"/>
      <c r="M1473" s="1245"/>
      <c r="N1473" s="1245"/>
      <c r="O1473" s="1245"/>
      <c r="P1473" s="1245">
        <f t="shared" si="306"/>
        <v>0</v>
      </c>
      <c r="Q1473" s="1245"/>
      <c r="R1473" s="1245"/>
      <c r="S1473" s="1245"/>
      <c r="T1473" s="1671"/>
      <c r="U1473" s="1664" t="str">
        <f>IFERROR(VLOOKUP(B1473,ChiTietDuToan!C:H,5,0),"")</f>
        <v/>
      </c>
      <c r="V1473" s="2309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59" t="s">
        <v>1962</v>
      </c>
      <c r="C1474" s="1189" t="str">
        <f t="shared" si="301"/>
        <v xml:space="preserve"> </v>
      </c>
      <c r="D1474" s="1236"/>
      <c r="E1474" s="1248" t="str">
        <f>VLOOKUP($B1474,DG!A:D,DG!$C$2,)</f>
        <v>Uclevis</v>
      </c>
      <c r="F1474" s="1236" t="str">
        <f>VLOOKUP($B1474,DG!A:D,DG!$D$2,)</f>
        <v>bộ</v>
      </c>
      <c r="G1474" s="1915">
        <f>G1473</f>
        <v>0</v>
      </c>
      <c r="H1474" s="1245">
        <f t="shared" si="307"/>
        <v>0</v>
      </c>
      <c r="I1474" s="1245"/>
      <c r="J1474" s="1245">
        <f t="shared" si="310"/>
        <v>0</v>
      </c>
      <c r="K1474" s="1245"/>
      <c r="L1474" s="1245"/>
      <c r="M1474" s="1245"/>
      <c r="N1474" s="1245"/>
      <c r="O1474" s="1245"/>
      <c r="P1474" s="1245">
        <f t="shared" si="306"/>
        <v>0</v>
      </c>
      <c r="Q1474" s="1245"/>
      <c r="R1474" s="1245"/>
      <c r="S1474" s="1245"/>
      <c r="T1474" s="1671"/>
      <c r="U1474" s="1664" t="str">
        <f>IFERROR(VLOOKUP(B1474,ChiTietDuToan!C:H,5,0),"")</f>
        <v>bộ</v>
      </c>
      <c r="V1474" s="2309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59" t="s">
        <v>1662</v>
      </c>
      <c r="C1475" s="1189" t="str">
        <f t="shared" si="301"/>
        <v xml:space="preserve"> </v>
      </c>
      <c r="D1475" s="1236"/>
      <c r="E1475" s="1248" t="str">
        <f>VLOOKUP($B1475,DG!A:D,DG!$C$2,)</f>
        <v>Boulon 16x300+ 2 long đền vuông D18-50x50x3/Zn</v>
      </c>
      <c r="F1475" s="1236" t="str">
        <f>VLOOKUP($B1475,DG!A:D,DG!$D$2,)</f>
        <v>bộ</v>
      </c>
      <c r="G1475" s="1915">
        <f>G1473</f>
        <v>0</v>
      </c>
      <c r="H1475" s="1245">
        <f t="shared" si="307"/>
        <v>0</v>
      </c>
      <c r="I1475" s="1245"/>
      <c r="J1475" s="1245">
        <f t="shared" si="310"/>
        <v>0</v>
      </c>
      <c r="K1475" s="1245"/>
      <c r="L1475" s="1245"/>
      <c r="M1475" s="1245"/>
      <c r="N1475" s="1245"/>
      <c r="O1475" s="1245"/>
      <c r="P1475" s="1245">
        <f t="shared" si="306"/>
        <v>0</v>
      </c>
      <c r="Q1475" s="1245"/>
      <c r="R1475" s="1245"/>
      <c r="S1475" s="1245"/>
      <c r="T1475" s="1671"/>
      <c r="U1475" s="1664" t="str">
        <f>IFERROR(VLOOKUP(B1475,ChiTietDuToan!C:H,5,0),"")</f>
        <v>bộ</v>
      </c>
      <c r="V1475" s="2309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59" t="s">
        <v>1904</v>
      </c>
      <c r="C1476" s="1189" t="str">
        <f t="shared" si="301"/>
        <v xml:space="preserve"> </v>
      </c>
      <c r="D1476" s="1236"/>
      <c r="E1476" s="1248" t="str">
        <f>VLOOKUP($B1476,DG!A:D,DG!$C$2,)</f>
        <v>Kẹp 2 rãnh (APC) cỡ dây 50mm2</v>
      </c>
      <c r="F1476" s="1236" t="str">
        <f>VLOOKUP($B1476,DG!A:D,DG!$D$2,)</f>
        <v>cái</v>
      </c>
      <c r="G1476" s="1915">
        <f>G1473*3</f>
        <v>0</v>
      </c>
      <c r="H1476" s="1245">
        <f t="shared" si="307"/>
        <v>0</v>
      </c>
      <c r="I1476" s="1245"/>
      <c r="J1476" s="1245">
        <f t="shared" si="310"/>
        <v>0</v>
      </c>
      <c r="K1476" s="1245"/>
      <c r="L1476" s="1245"/>
      <c r="M1476" s="1245"/>
      <c r="N1476" s="1245"/>
      <c r="O1476" s="1245"/>
      <c r="P1476" s="1245">
        <f t="shared" si="306"/>
        <v>0</v>
      </c>
      <c r="Q1476" s="1245"/>
      <c r="R1476" s="1245"/>
      <c r="S1476" s="1245"/>
      <c r="T1476" s="1671"/>
      <c r="U1476" s="1664" t="str">
        <f>IFERROR(VLOOKUP(B1476,ChiTietDuToan!C:H,5,0),"")</f>
        <v/>
      </c>
      <c r="V1476" s="2309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82" t="s">
        <v>1674</v>
      </c>
      <c r="C1477" s="1189" t="str">
        <f t="shared" si="301"/>
        <v xml:space="preserve"> </v>
      </c>
      <c r="D1477" s="1236"/>
      <c r="E1477" s="1254" t="s">
        <v>2566</v>
      </c>
      <c r="F1477" s="1255" t="s">
        <v>2503</v>
      </c>
      <c r="G1477" s="1915">
        <f>pp_NC!DN184</f>
        <v>0</v>
      </c>
      <c r="H1477" s="1245">
        <f t="shared" si="307"/>
        <v>0</v>
      </c>
      <c r="I1477" s="1245"/>
      <c r="J1477" s="1245">
        <f t="shared" si="310"/>
        <v>0</v>
      </c>
      <c r="K1477" s="1245"/>
      <c r="L1477" s="1245"/>
      <c r="M1477" s="1245"/>
      <c r="N1477" s="1245"/>
      <c r="O1477" s="1245"/>
      <c r="P1477" s="1245">
        <f t="shared" si="306"/>
        <v>0</v>
      </c>
      <c r="Q1477" s="1245"/>
      <c r="R1477" s="1245"/>
      <c r="S1477" s="1245"/>
      <c r="T1477" s="1671"/>
      <c r="U1477" s="1664" t="str">
        <f>IFERROR(VLOOKUP(B1477,ChiTietDuToan!C:H,5,0),"")</f>
        <v>bộ</v>
      </c>
      <c r="V1477" s="2309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83" t="s">
        <v>921</v>
      </c>
      <c r="C1478" s="1189" t="str">
        <f t="shared" si="301"/>
        <v xml:space="preserve"> </v>
      </c>
      <c r="D1478" s="1236"/>
      <c r="E1478" s="1248" t="str">
        <f>VLOOKUP($B1478,DG!A:D,DG!$C$2,)</f>
        <v>Khóa néo dây cỡ dây 50</v>
      </c>
      <c r="F1478" s="1236" t="str">
        <f>VLOOKUP($B1478,DG!A:D,DG!$D$2,)</f>
        <v>cái</v>
      </c>
      <c r="G1478" s="1915">
        <f>G1477</f>
        <v>0</v>
      </c>
      <c r="H1478" s="1245">
        <f t="shared" si="307"/>
        <v>0</v>
      </c>
      <c r="I1478" s="1245"/>
      <c r="J1478" s="1245">
        <f t="shared" si="310"/>
        <v>0</v>
      </c>
      <c r="K1478" s="1245"/>
      <c r="L1478" s="1245"/>
      <c r="M1478" s="1245"/>
      <c r="N1478" s="1245"/>
      <c r="O1478" s="1245"/>
      <c r="P1478" s="1245">
        <f t="shared" si="306"/>
        <v>0</v>
      </c>
      <c r="Q1478" s="1245"/>
      <c r="R1478" s="1245"/>
      <c r="S1478" s="1245"/>
      <c r="T1478" s="1671"/>
      <c r="U1478" s="1664" t="str">
        <f>IFERROR(VLOOKUP(B1478,ChiTietDuToan!C:H,5,0),"")</f>
        <v/>
      </c>
      <c r="V1478" s="2309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59" t="s">
        <v>1538</v>
      </c>
      <c r="C1479" s="1189" t="str">
        <f t="shared" si="301"/>
        <v xml:space="preserve"> </v>
      </c>
      <c r="D1479" s="1236"/>
      <c r="E1479" s="1248" t="str">
        <f>VLOOKUP($B1479,DG!A:D,DG!$C$2,)</f>
        <v xml:space="preserve">Móc treo chữ U </v>
      </c>
      <c r="F1479" s="1236" t="str">
        <f>VLOOKUP($B1479,DG!A:D,DG!$D$2,)</f>
        <v>cái</v>
      </c>
      <c r="G1479" s="1915">
        <f>G1477*2</f>
        <v>0</v>
      </c>
      <c r="H1479" s="1245">
        <f t="shared" si="307"/>
        <v>0</v>
      </c>
      <c r="I1479" s="1245"/>
      <c r="J1479" s="1245">
        <f t="shared" si="310"/>
        <v>0</v>
      </c>
      <c r="K1479" s="1245"/>
      <c r="L1479" s="1245"/>
      <c r="M1479" s="1245"/>
      <c r="N1479" s="1245"/>
      <c r="O1479" s="1245"/>
      <c r="P1479" s="1245">
        <f t="shared" si="306"/>
        <v>0</v>
      </c>
      <c r="Q1479" s="1245"/>
      <c r="R1479" s="1245"/>
      <c r="S1479" s="1245"/>
      <c r="T1479" s="1671"/>
      <c r="U1479" s="1664" t="str">
        <f>IFERROR(VLOOKUP(B1479,ChiTietDuToan!C:H,5,0),"")</f>
        <v>cái</v>
      </c>
      <c r="V1479" s="2309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59" t="s">
        <v>420</v>
      </c>
      <c r="C1480" s="1189" t="str">
        <f t="shared" si="301"/>
        <v xml:space="preserve"> </v>
      </c>
      <c r="D1480" s="1236"/>
      <c r="E1480" s="1248" t="str">
        <f>VLOOKUP($B1480,DG!A:D,DG!$C$2,)</f>
        <v>Boulon mắt 16x300+ 2 long đền vuông D18-50x50x3/Zn</v>
      </c>
      <c r="F1480" s="1236" t="str">
        <f>VLOOKUP($B1480,DG!A:D,DG!$D$2,)</f>
        <v>bộ</v>
      </c>
      <c r="G1480" s="1915">
        <f>G1478</f>
        <v>0</v>
      </c>
      <c r="H1480" s="1245">
        <f t="shared" si="307"/>
        <v>0</v>
      </c>
      <c r="I1480" s="1245"/>
      <c r="J1480" s="1245">
        <f t="shared" si="310"/>
        <v>0</v>
      </c>
      <c r="K1480" s="1245"/>
      <c r="L1480" s="1245"/>
      <c r="M1480" s="1245"/>
      <c r="N1480" s="1245"/>
      <c r="O1480" s="1245"/>
      <c r="P1480" s="1245">
        <f t="shared" si="306"/>
        <v>0</v>
      </c>
      <c r="Q1480" s="1245"/>
      <c r="R1480" s="1245"/>
      <c r="S1480" s="1245"/>
      <c r="T1480" s="1671"/>
      <c r="U1480" s="1664" t="str">
        <f>IFERROR(VLOOKUP(B1480,ChiTietDuToan!C:H,5,0),"")</f>
        <v>bộ</v>
      </c>
      <c r="V1480" s="2309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59" t="s">
        <v>1631</v>
      </c>
      <c r="C1481" s="1189" t="str">
        <f t="shared" si="301"/>
        <v xml:space="preserve"> </v>
      </c>
      <c r="D1481" s="1236"/>
      <c r="E1481" s="1248" t="str">
        <f>VLOOKUP($B1481,DG!A:D,DG!$C$2,)</f>
        <v>Kẹp ép WR cỡ dây 50mm2</v>
      </c>
      <c r="F1481" s="1236" t="str">
        <f>VLOOKUP($B1481,DG!A:D,DG!$D$2,)</f>
        <v>cái</v>
      </c>
      <c r="G1481" s="1915">
        <f>G1477</f>
        <v>0</v>
      </c>
      <c r="H1481" s="1245">
        <f t="shared" si="307"/>
        <v>0</v>
      </c>
      <c r="I1481" s="1245"/>
      <c r="J1481" s="1245">
        <f t="shared" si="310"/>
        <v>0</v>
      </c>
      <c r="K1481" s="1245"/>
      <c r="L1481" s="1245"/>
      <c r="M1481" s="1245"/>
      <c r="N1481" s="1245"/>
      <c r="O1481" s="1245"/>
      <c r="P1481" s="1245">
        <f t="shared" si="306"/>
        <v>0</v>
      </c>
      <c r="Q1481" s="1245"/>
      <c r="R1481" s="1245"/>
      <c r="S1481" s="1245"/>
      <c r="T1481" s="1671"/>
      <c r="U1481" s="1664" t="str">
        <f>IFERROR(VLOOKUP(B1481,ChiTietDuToan!C:H,5,0),"")</f>
        <v/>
      </c>
      <c r="V1481" s="2309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82" t="s">
        <v>2222</v>
      </c>
      <c r="C1482" s="1189" t="str">
        <f t="shared" si="301"/>
        <v xml:space="preserve"> </v>
      </c>
      <c r="D1482" s="1236"/>
      <c r="E1482" s="1254" t="s">
        <v>2567</v>
      </c>
      <c r="F1482" s="1255" t="s">
        <v>2503</v>
      </c>
      <c r="G1482" s="1915">
        <f>pp_NC!DO95</f>
        <v>0</v>
      </c>
      <c r="H1482" s="1245">
        <f t="shared" si="307"/>
        <v>0</v>
      </c>
      <c r="I1482" s="1245"/>
      <c r="J1482" s="1245">
        <f>G1482</f>
        <v>0</v>
      </c>
      <c r="K1482" s="1245"/>
      <c r="L1482" s="1245"/>
      <c r="M1482" s="1245"/>
      <c r="N1482" s="1245"/>
      <c r="O1482" s="1245"/>
      <c r="P1482" s="1245">
        <f t="shared" si="306"/>
        <v>0</v>
      </c>
      <c r="Q1482" s="1245"/>
      <c r="R1482" s="1245"/>
      <c r="S1482" s="1245"/>
      <c r="T1482" s="1671"/>
      <c r="U1482" s="1664" t="str">
        <f>IFERROR(VLOOKUP(B1482,ChiTietDuToan!C:H,5,0),"")</f>
        <v/>
      </c>
      <c r="V1482" s="2309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83" t="s">
        <v>921</v>
      </c>
      <c r="C1483" s="1189" t="str">
        <f t="shared" si="301"/>
        <v xml:space="preserve"> </v>
      </c>
      <c r="D1483" s="1236"/>
      <c r="E1483" s="1248" t="str">
        <f>VLOOKUP($B1483,DG!A:D,DG!$C$2,)</f>
        <v>Khóa néo dây cỡ dây 50</v>
      </c>
      <c r="F1483" s="1236" t="str">
        <f>VLOOKUP($B1483,DG!A:D,DG!$D$2,)</f>
        <v>cái</v>
      </c>
      <c r="G1483" s="1915">
        <f>G1482</f>
        <v>0</v>
      </c>
      <c r="H1483" s="1245">
        <f t="shared" si="307"/>
        <v>0</v>
      </c>
      <c r="I1483" s="1245"/>
      <c r="J1483" s="1245">
        <f>G1483</f>
        <v>0</v>
      </c>
      <c r="K1483" s="1245"/>
      <c r="L1483" s="1245"/>
      <c r="M1483" s="1245"/>
      <c r="N1483" s="1245"/>
      <c r="O1483" s="1245"/>
      <c r="P1483" s="1245">
        <f t="shared" si="306"/>
        <v>0</v>
      </c>
      <c r="Q1483" s="1245"/>
      <c r="R1483" s="1245"/>
      <c r="S1483" s="1245"/>
      <c r="T1483" s="1671"/>
      <c r="U1483" s="1664" t="str">
        <f>IFERROR(VLOOKUP(B1483,ChiTietDuToan!C:H,5,0),"")</f>
        <v/>
      </c>
      <c r="V1483" s="2309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59" t="s">
        <v>1538</v>
      </c>
      <c r="C1484" s="1189" t="str">
        <f t="shared" si="301"/>
        <v xml:space="preserve"> </v>
      </c>
      <c r="D1484" s="1236"/>
      <c r="E1484" s="1248" t="str">
        <f>VLOOKUP($B1484,DG!A:D,DG!$C$2,)</f>
        <v xml:space="preserve">Móc treo chữ U </v>
      </c>
      <c r="F1484" s="1236" t="str">
        <f>VLOOKUP($B1484,DG!A:D,DG!$D$2,)</f>
        <v>cái</v>
      </c>
      <c r="G1484" s="1915">
        <f>G1482*2</f>
        <v>0</v>
      </c>
      <c r="H1484" s="1245">
        <f t="shared" si="307"/>
        <v>0</v>
      </c>
      <c r="I1484" s="1245"/>
      <c r="J1484" s="1245">
        <f>G1484</f>
        <v>0</v>
      </c>
      <c r="K1484" s="1245"/>
      <c r="L1484" s="1245"/>
      <c r="M1484" s="1245"/>
      <c r="N1484" s="1245"/>
      <c r="O1484" s="1245"/>
      <c r="P1484" s="1245">
        <f t="shared" si="306"/>
        <v>0</v>
      </c>
      <c r="Q1484" s="1245"/>
      <c r="R1484" s="1245"/>
      <c r="S1484" s="1245"/>
      <c r="T1484" s="1671"/>
      <c r="U1484" s="1664" t="str">
        <f>IFERROR(VLOOKUP(B1484,ChiTietDuToan!C:H,5,0),"")</f>
        <v>cái</v>
      </c>
      <c r="V1484" s="2309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59" t="s">
        <v>1631</v>
      </c>
      <c r="C1485" s="1189" t="str">
        <f t="shared" si="301"/>
        <v xml:space="preserve"> </v>
      </c>
      <c r="D1485" s="1236"/>
      <c r="E1485" s="1248" t="str">
        <f>VLOOKUP($B1485,DG!A:D,DG!$C$2,)</f>
        <v>Kẹp ép WR cỡ dây 50mm2</v>
      </c>
      <c r="F1485" s="1236" t="str">
        <f>VLOOKUP($B1485,DG!A:D,DG!$D$2,)</f>
        <v>cái</v>
      </c>
      <c r="G1485" s="1915">
        <f>G1482*2</f>
        <v>0</v>
      </c>
      <c r="H1485" s="1245">
        <f t="shared" si="307"/>
        <v>0</v>
      </c>
      <c r="I1485" s="1245"/>
      <c r="J1485" s="1245">
        <f>G1485</f>
        <v>0</v>
      </c>
      <c r="K1485" s="1245"/>
      <c r="L1485" s="1245"/>
      <c r="M1485" s="1245"/>
      <c r="N1485" s="1245"/>
      <c r="O1485" s="1245"/>
      <c r="P1485" s="1245">
        <f t="shared" si="306"/>
        <v>0</v>
      </c>
      <c r="Q1485" s="1245"/>
      <c r="R1485" s="1245"/>
      <c r="S1485" s="1245"/>
      <c r="T1485" s="1671"/>
      <c r="U1485" s="1664" t="str">
        <f>IFERROR(VLOOKUP(B1485,ChiTietDuToan!C:H,5,0),"")</f>
        <v/>
      </c>
      <c r="V1485" s="2309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91"/>
      <c r="B1486" s="1964" t="s">
        <v>2568</v>
      </c>
      <c r="C1486" s="1189" t="str">
        <f t="shared" si="301"/>
        <v xml:space="preserve"> </v>
      </c>
      <c r="D1486" s="1236"/>
      <c r="E1486" s="1254" t="s">
        <v>2569</v>
      </c>
      <c r="F1486" s="1255" t="s">
        <v>2503</v>
      </c>
      <c r="G1486" s="1915">
        <f>pp_NC!DH184</f>
        <v>0</v>
      </c>
      <c r="H1486" s="1245">
        <f t="shared" si="307"/>
        <v>0</v>
      </c>
      <c r="I1486" s="1245"/>
      <c r="J1486" s="1245">
        <f t="shared" si="310"/>
        <v>0</v>
      </c>
      <c r="K1486" s="1245"/>
      <c r="L1486" s="1245"/>
      <c r="M1486" s="1245"/>
      <c r="N1486" s="1245"/>
      <c r="O1486" s="1245"/>
      <c r="P1486" s="1245">
        <f t="shared" si="306"/>
        <v>0</v>
      </c>
      <c r="Q1486" s="1245"/>
      <c r="R1486" s="1245"/>
      <c r="S1486" s="1245"/>
      <c r="T1486" s="1663"/>
      <c r="U1486" s="1664" t="str">
        <f>IFERROR(VLOOKUP(B1486,ChiTietDuToan!C:H,5,0),"")</f>
        <v>bộ</v>
      </c>
      <c r="V1486" s="2309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91"/>
      <c r="B1487" s="1952" t="s">
        <v>703</v>
      </c>
      <c r="C1487" s="1189" t="str">
        <f t="shared" ref="C1487:C1550" si="311">IF(OR(P1487&lt;&gt;0,H1487&lt;&gt;0),"x"," ")</f>
        <v xml:space="preserve"> </v>
      </c>
      <c r="D1487" s="1236"/>
      <c r="E1487" s="1248" t="str">
        <f>VLOOKUP($B1487,DG!A:D,DG!$C$2,)</f>
        <v xml:space="preserve">Sứ đứng 24KV </v>
      </c>
      <c r="F1487" s="1236" t="str">
        <f>VLOOKUP($B1487,DG!A:D,DG!$D$2,)</f>
        <v>cái</v>
      </c>
      <c r="G1487" s="1915">
        <f>G1486</f>
        <v>0</v>
      </c>
      <c r="H1487" s="1245">
        <f t="shared" si="307"/>
        <v>0</v>
      </c>
      <c r="I1487" s="1245"/>
      <c r="J1487" s="1245">
        <f t="shared" si="310"/>
        <v>0</v>
      </c>
      <c r="K1487" s="1245"/>
      <c r="L1487" s="1245"/>
      <c r="M1487" s="1245"/>
      <c r="N1487" s="1245"/>
      <c r="O1487" s="1245"/>
      <c r="P1487" s="1245">
        <f t="shared" si="306"/>
        <v>0</v>
      </c>
      <c r="Q1487" s="1245"/>
      <c r="R1487" s="1245"/>
      <c r="S1487" s="1245"/>
      <c r="T1487" s="1663"/>
      <c r="U1487" s="1664" t="str">
        <f>IFERROR(VLOOKUP(B1487,ChiTietDuToan!C:H,5,0),"")</f>
        <v>cái</v>
      </c>
      <c r="V1487" s="2309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91"/>
      <c r="B1488" s="1952" t="s">
        <v>1298</v>
      </c>
      <c r="C1488" s="1189" t="str">
        <f t="shared" si="311"/>
        <v xml:space="preserve"> </v>
      </c>
      <c r="D1488" s="1236"/>
      <c r="E1488" s="1248" t="str">
        <f>VLOOKUP($B1488,DG!A:D,DG!$C$2,)</f>
        <v>Chân sứ đứng D20</v>
      </c>
      <c r="F1488" s="1236" t="str">
        <f>VLOOKUP($B1488,DG!A:D,DG!$D$2,)</f>
        <v>cái</v>
      </c>
      <c r="G1488" s="1915">
        <f>G1486</f>
        <v>0</v>
      </c>
      <c r="H1488" s="1245">
        <f t="shared" si="307"/>
        <v>0</v>
      </c>
      <c r="I1488" s="1245"/>
      <c r="J1488" s="1245">
        <f t="shared" si="310"/>
        <v>0</v>
      </c>
      <c r="K1488" s="1245"/>
      <c r="L1488" s="1245"/>
      <c r="M1488" s="1245"/>
      <c r="N1488" s="1245"/>
      <c r="O1488" s="1245"/>
      <c r="P1488" s="1245">
        <f t="shared" si="306"/>
        <v>0</v>
      </c>
      <c r="Q1488" s="1245"/>
      <c r="R1488" s="1245"/>
      <c r="S1488" s="1245"/>
      <c r="T1488" s="1663"/>
      <c r="U1488" s="1664" t="str">
        <f>IFERROR(VLOOKUP(B1488,ChiTietDuToan!C:H,5,0),"")</f>
        <v>cái</v>
      </c>
      <c r="V1488" s="2309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82" t="s">
        <v>2570</v>
      </c>
      <c r="C1489" s="1189" t="str">
        <f t="shared" si="311"/>
        <v xml:space="preserve"> </v>
      </c>
      <c r="D1489" s="1236"/>
      <c r="E1489" s="1254" t="s">
        <v>2571</v>
      </c>
      <c r="F1489" s="1255" t="s">
        <v>2503</v>
      </c>
      <c r="G1489" s="1915">
        <f>pp_NC!DF184</f>
        <v>0</v>
      </c>
      <c r="H1489" s="1245">
        <f t="shared" si="307"/>
        <v>0</v>
      </c>
      <c r="I1489" s="1245"/>
      <c r="J1489" s="1245">
        <f t="shared" si="310"/>
        <v>0</v>
      </c>
      <c r="K1489" s="1245"/>
      <c r="L1489" s="1245"/>
      <c r="M1489" s="1245"/>
      <c r="N1489" s="1245"/>
      <c r="O1489" s="1245"/>
      <c r="P1489" s="1245">
        <f t="shared" si="306"/>
        <v>0</v>
      </c>
      <c r="Q1489" s="1245"/>
      <c r="R1489" s="1245"/>
      <c r="S1489" s="1245"/>
      <c r="T1489" s="1671"/>
      <c r="U1489" s="1664" t="str">
        <f>IFERROR(VLOOKUP(B1489,ChiTietDuToan!C:H,5,0),"")</f>
        <v/>
      </c>
      <c r="V1489" s="2309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59" t="s">
        <v>703</v>
      </c>
      <c r="C1490" s="1189" t="str">
        <f t="shared" si="311"/>
        <v xml:space="preserve"> </v>
      </c>
      <c r="D1490" s="1236"/>
      <c r="E1490" s="1248" t="str">
        <f>VLOOKUP($B1490,DG!A:D,DG!$C$2,)</f>
        <v xml:space="preserve">Sứ đứng 24KV </v>
      </c>
      <c r="F1490" s="1236" t="str">
        <f>VLOOKUP($B1490,DG!A:D,DG!$D$2,)</f>
        <v>cái</v>
      </c>
      <c r="G1490" s="1915">
        <f>G1489</f>
        <v>0</v>
      </c>
      <c r="H1490" s="1245">
        <f t="shared" si="307"/>
        <v>0</v>
      </c>
      <c r="I1490" s="1245"/>
      <c r="J1490" s="1245">
        <f t="shared" si="310"/>
        <v>0</v>
      </c>
      <c r="K1490" s="1245"/>
      <c r="L1490" s="1245"/>
      <c r="M1490" s="1245"/>
      <c r="N1490" s="1245"/>
      <c r="O1490" s="1245"/>
      <c r="P1490" s="1245">
        <f t="shared" si="306"/>
        <v>0</v>
      </c>
      <c r="Q1490" s="1245"/>
      <c r="R1490" s="1245"/>
      <c r="S1490" s="1245"/>
      <c r="T1490" s="1671"/>
      <c r="U1490" s="1664" t="str">
        <f>IFERROR(VLOOKUP(B1490,ChiTietDuToan!C:H,5,0),"")</f>
        <v>cái</v>
      </c>
      <c r="V1490" s="2309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59" t="s">
        <v>1299</v>
      </c>
      <c r="C1491" s="1189" t="str">
        <f t="shared" si="311"/>
        <v xml:space="preserve"> </v>
      </c>
      <c r="D1491" s="1236"/>
      <c r="E1491" s="1248" t="str">
        <f>VLOOKUP($B1491,DG!A:D,DG!$C$2,)</f>
        <v>Chân sứ đỉnh thẳng dài 870mm</v>
      </c>
      <c r="F1491" s="1236" t="str">
        <f>VLOOKUP($B1491,DG!A:D,DG!$D$2,)</f>
        <v>cái</v>
      </c>
      <c r="G1491" s="1915">
        <f>G1489</f>
        <v>0</v>
      </c>
      <c r="H1491" s="1245">
        <f t="shared" si="307"/>
        <v>0</v>
      </c>
      <c r="I1491" s="1245"/>
      <c r="J1491" s="1245">
        <f t="shared" si="310"/>
        <v>0</v>
      </c>
      <c r="K1491" s="1245"/>
      <c r="L1491" s="1245"/>
      <c r="M1491" s="1245"/>
      <c r="N1491" s="1245"/>
      <c r="O1491" s="1245"/>
      <c r="P1491" s="1245">
        <f t="shared" si="306"/>
        <v>0</v>
      </c>
      <c r="Q1491" s="1245"/>
      <c r="R1491" s="1245"/>
      <c r="S1491" s="1245"/>
      <c r="T1491" s="1671"/>
      <c r="U1491" s="1664" t="str">
        <f>IFERROR(VLOOKUP(B1491,ChiTietDuToan!C:H,5,0),"")</f>
        <v/>
      </c>
      <c r="V1491" s="2309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59" t="s">
        <v>1662</v>
      </c>
      <c r="C1492" s="1189" t="str">
        <f t="shared" si="311"/>
        <v xml:space="preserve"> </v>
      </c>
      <c r="D1492" s="1236"/>
      <c r="E1492" s="1248" t="str">
        <f>VLOOKUP($B1492,DG!A:D,DG!$C$2,)</f>
        <v>Boulon 16x300+ 2 long đền vuông D18-50x50x3/Zn</v>
      </c>
      <c r="F1492" s="1236" t="str">
        <f>VLOOKUP($B1492,DG!A:D,DG!$D$2,)</f>
        <v>bộ</v>
      </c>
      <c r="G1492" s="1915">
        <f>G1489*2</f>
        <v>0</v>
      </c>
      <c r="H1492" s="1245">
        <f t="shared" si="307"/>
        <v>0</v>
      </c>
      <c r="I1492" s="1245"/>
      <c r="J1492" s="1245">
        <f t="shared" si="310"/>
        <v>0</v>
      </c>
      <c r="K1492" s="1245"/>
      <c r="L1492" s="1245"/>
      <c r="M1492" s="1245"/>
      <c r="N1492" s="1245"/>
      <c r="O1492" s="1245"/>
      <c r="P1492" s="1245">
        <f t="shared" si="306"/>
        <v>0</v>
      </c>
      <c r="Q1492" s="1245"/>
      <c r="R1492" s="1245"/>
      <c r="S1492" s="1245"/>
      <c r="T1492" s="1671"/>
      <c r="U1492" s="1664" t="str">
        <f>IFERROR(VLOOKUP(B1492,ChiTietDuToan!C:H,5,0),"")</f>
        <v>bộ</v>
      </c>
      <c r="V1492" s="2309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84" t="s">
        <v>2572</v>
      </c>
      <c r="C1493" s="1189" t="str">
        <f t="shared" si="311"/>
        <v xml:space="preserve"> </v>
      </c>
      <c r="D1493" s="1240"/>
      <c r="E1493" s="1254" t="s">
        <v>2573</v>
      </c>
      <c r="F1493" s="1519" t="s">
        <v>2503</v>
      </c>
      <c r="G1493" s="1918">
        <f>pp_NC!DG184</f>
        <v>0</v>
      </c>
      <c r="H1493" s="1245">
        <f t="shared" si="307"/>
        <v>0</v>
      </c>
      <c r="I1493" s="1244"/>
      <c r="J1493" s="1245">
        <f t="shared" si="310"/>
        <v>0</v>
      </c>
      <c r="K1493" s="1244"/>
      <c r="L1493" s="1244"/>
      <c r="M1493" s="1244"/>
      <c r="N1493" s="1244"/>
      <c r="O1493" s="1244"/>
      <c r="P1493" s="1245">
        <f t="shared" si="306"/>
        <v>0</v>
      </c>
      <c r="Q1493" s="1245"/>
      <c r="R1493" s="1245"/>
      <c r="S1493" s="1245"/>
      <c r="T1493" s="1671"/>
      <c r="U1493" s="1664" t="str">
        <f>IFERROR(VLOOKUP(B1493,ChiTietDuToan!C:H,5,0),"")</f>
        <v/>
      </c>
      <c r="V1493" s="2309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59" t="s">
        <v>703</v>
      </c>
      <c r="C1494" s="1189" t="str">
        <f t="shared" si="311"/>
        <v xml:space="preserve"> </v>
      </c>
      <c r="D1494" s="1240"/>
      <c r="E1494" s="1248" t="str">
        <f>VLOOKUP($B1494,DG!A:D,DG!$C$2,)</f>
        <v xml:space="preserve">Sứ đứng 24KV </v>
      </c>
      <c r="F1494" s="1236" t="str">
        <f>VLOOKUP($B1494,DG!A:D,DG!$D$2,)</f>
        <v>cái</v>
      </c>
      <c r="G1494" s="1918">
        <f>G1493*2</f>
        <v>0</v>
      </c>
      <c r="H1494" s="1245">
        <f t="shared" si="307"/>
        <v>0</v>
      </c>
      <c r="I1494" s="1244"/>
      <c r="J1494" s="1245">
        <f t="shared" si="310"/>
        <v>0</v>
      </c>
      <c r="K1494" s="1244"/>
      <c r="L1494" s="1244"/>
      <c r="M1494" s="1244"/>
      <c r="N1494" s="1244"/>
      <c r="O1494" s="1244"/>
      <c r="P1494" s="1245">
        <f t="shared" si="306"/>
        <v>0</v>
      </c>
      <c r="Q1494" s="1245"/>
      <c r="R1494" s="1245"/>
      <c r="S1494" s="1245"/>
      <c r="T1494" s="1671"/>
      <c r="U1494" s="1664" t="str">
        <f>IFERROR(VLOOKUP(B1494,ChiTietDuToan!C:H,5,0),"")</f>
        <v>cái</v>
      </c>
      <c r="V1494" s="2309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59" t="s">
        <v>595</v>
      </c>
      <c r="C1495" s="1189" t="str">
        <f t="shared" si="311"/>
        <v xml:space="preserve"> </v>
      </c>
      <c r="D1495" s="1240"/>
      <c r="E1495" s="1248" t="str">
        <f>VLOOKUP($B1495,DG!A:D,DG!$C$2,)</f>
        <v>Chân sứ đỉnh đỡ góc dài 870mm</v>
      </c>
      <c r="F1495" s="1236" t="str">
        <f>VLOOKUP($B1495,DG!A:D,DG!$D$2,)</f>
        <v>cái</v>
      </c>
      <c r="G1495" s="1918">
        <f>G1493*2</f>
        <v>0</v>
      </c>
      <c r="H1495" s="1245">
        <f t="shared" si="307"/>
        <v>0</v>
      </c>
      <c r="I1495" s="1244"/>
      <c r="J1495" s="1245">
        <f t="shared" si="310"/>
        <v>0</v>
      </c>
      <c r="K1495" s="1244"/>
      <c r="L1495" s="1244"/>
      <c r="M1495" s="1244"/>
      <c r="N1495" s="1244"/>
      <c r="O1495" s="1244"/>
      <c r="P1495" s="1245">
        <f t="shared" si="306"/>
        <v>0</v>
      </c>
      <c r="Q1495" s="1245"/>
      <c r="R1495" s="1245"/>
      <c r="S1495" s="1245"/>
      <c r="T1495" s="1671"/>
      <c r="U1495" s="1664" t="str">
        <f>IFERROR(VLOOKUP(B1495,ChiTietDuToan!C:H,5,0),"")</f>
        <v/>
      </c>
      <c r="V1495" s="2309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59" t="s">
        <v>1662</v>
      </c>
      <c r="C1496" s="1189" t="str">
        <f t="shared" si="311"/>
        <v xml:space="preserve"> </v>
      </c>
      <c r="D1496" s="1240"/>
      <c r="E1496" s="1248" t="str">
        <f>VLOOKUP($B1496,DG!A:D,DG!$C$2,)</f>
        <v>Boulon 16x300+ 2 long đền vuông D18-50x50x3/Zn</v>
      </c>
      <c r="F1496" s="1236" t="str">
        <f>VLOOKUP($B1496,DG!A:D,DG!$D$2,)</f>
        <v>bộ</v>
      </c>
      <c r="G1496" s="1918">
        <f>G1493*2</f>
        <v>0</v>
      </c>
      <c r="H1496" s="1245">
        <f t="shared" si="307"/>
        <v>0</v>
      </c>
      <c r="I1496" s="1244"/>
      <c r="J1496" s="1245">
        <f t="shared" si="310"/>
        <v>0</v>
      </c>
      <c r="K1496" s="1244"/>
      <c r="L1496" s="1244"/>
      <c r="M1496" s="1244"/>
      <c r="N1496" s="1244"/>
      <c r="O1496" s="1244"/>
      <c r="P1496" s="1245">
        <f t="shared" si="306"/>
        <v>0</v>
      </c>
      <c r="Q1496" s="1245"/>
      <c r="R1496" s="1245"/>
      <c r="S1496" s="1245"/>
      <c r="T1496" s="1671"/>
      <c r="U1496" s="1664" t="str">
        <f>IFERROR(VLOOKUP(B1496,ChiTietDuToan!C:H,5,0),"")</f>
        <v>bộ</v>
      </c>
      <c r="V1496" s="2309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82" t="s">
        <v>2574</v>
      </c>
      <c r="C1497" s="1189" t="str">
        <f t="shared" si="311"/>
        <v xml:space="preserve"> </v>
      </c>
      <c r="D1497" s="1236"/>
      <c r="E1497" s="1254" t="s">
        <v>2575</v>
      </c>
      <c r="F1497" s="1255" t="s">
        <v>2576</v>
      </c>
      <c r="G1497" s="1915"/>
      <c r="H1497" s="1245">
        <f t="shared" si="307"/>
        <v>0</v>
      </c>
      <c r="I1497" s="1245"/>
      <c r="J1497" s="1245">
        <f t="shared" si="310"/>
        <v>0</v>
      </c>
      <c r="K1497" s="1245"/>
      <c r="L1497" s="1245"/>
      <c r="M1497" s="1245"/>
      <c r="N1497" s="1245"/>
      <c r="O1497" s="1245"/>
      <c r="P1497" s="1245">
        <f t="shared" si="306"/>
        <v>0</v>
      </c>
      <c r="Q1497" s="1245"/>
      <c r="R1497" s="1245"/>
      <c r="S1497" s="1245"/>
      <c r="T1497" s="1671"/>
      <c r="U1497" s="1664" t="str">
        <f>IFERROR(VLOOKUP(B1497,ChiTietDuToan!C:H,5,0),"")</f>
        <v/>
      </c>
      <c r="V1497" s="2309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59" t="s">
        <v>1300</v>
      </c>
      <c r="C1498" s="1189" t="str">
        <f t="shared" si="311"/>
        <v xml:space="preserve"> </v>
      </c>
      <c r="D1498" s="1236"/>
      <c r="E1498" s="1248" t="str">
        <f>VLOOKUP($B1498,DG!A:D,DG!$C$2,)</f>
        <v>Sứ treo loại 70kN</v>
      </c>
      <c r="F1498" s="1236" t="str">
        <f>VLOOKUP($B1498,DG!A:D,DG!$D$2,)</f>
        <v>bát</v>
      </c>
      <c r="G1498" s="1915">
        <f>G1497*2</f>
        <v>0</v>
      </c>
      <c r="H1498" s="1245">
        <f t="shared" si="307"/>
        <v>0</v>
      </c>
      <c r="I1498" s="1245"/>
      <c r="J1498" s="1245">
        <f t="shared" si="310"/>
        <v>0</v>
      </c>
      <c r="K1498" s="1245"/>
      <c r="L1498" s="1245"/>
      <c r="M1498" s="1245"/>
      <c r="N1498" s="1245"/>
      <c r="O1498" s="1245"/>
      <c r="P1498" s="1245">
        <f t="shared" si="306"/>
        <v>0</v>
      </c>
      <c r="Q1498" s="1245"/>
      <c r="R1498" s="1245"/>
      <c r="S1498" s="1245"/>
      <c r="T1498" s="1671"/>
      <c r="U1498" s="1664" t="str">
        <f>IFERROR(VLOOKUP(B1498,ChiTietDuToan!C:H,5,0),"")</f>
        <v/>
      </c>
      <c r="V1498" s="2309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59" t="s">
        <v>1538</v>
      </c>
      <c r="C1499" s="1189" t="str">
        <f t="shared" si="311"/>
        <v xml:space="preserve"> </v>
      </c>
      <c r="D1499" s="1236"/>
      <c r="E1499" s="1248" t="str">
        <f>VLOOKUP($B1499,DG!A:D,DG!$C$2,)</f>
        <v xml:space="preserve">Móc treo chữ U </v>
      </c>
      <c r="F1499" s="1236" t="str">
        <f>VLOOKUP($B1499,DG!A:D,DG!$D$2,)</f>
        <v>cái</v>
      </c>
      <c r="G1499" s="1915">
        <f>G1497*2</f>
        <v>0</v>
      </c>
      <c r="H1499" s="1245">
        <f t="shared" si="307"/>
        <v>0</v>
      </c>
      <c r="I1499" s="1245"/>
      <c r="J1499" s="1245">
        <f t="shared" si="310"/>
        <v>0</v>
      </c>
      <c r="K1499" s="1245"/>
      <c r="L1499" s="1245"/>
      <c r="M1499" s="1245"/>
      <c r="N1499" s="1245"/>
      <c r="O1499" s="1245"/>
      <c r="P1499" s="1245">
        <f t="shared" si="306"/>
        <v>0</v>
      </c>
      <c r="Q1499" s="1245"/>
      <c r="R1499" s="1245"/>
      <c r="S1499" s="1245"/>
      <c r="T1499" s="1671"/>
      <c r="U1499" s="1664" t="str">
        <f>IFERROR(VLOOKUP(B1499,ChiTietDuToan!C:H,5,0),"")</f>
        <v>cái</v>
      </c>
      <c r="V1499" s="2309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59" t="s">
        <v>1621</v>
      </c>
      <c r="C1500" s="1189" t="str">
        <f t="shared" si="311"/>
        <v xml:space="preserve"> </v>
      </c>
      <c r="D1500" s="1236"/>
      <c r="E1500" s="1248" t="str">
        <f>VLOOKUP($B1500,DG!A:D,DG!$C$2,)</f>
        <v>Vòng treo đầu tròn</v>
      </c>
      <c r="F1500" s="1236" t="str">
        <f>VLOOKUP($B1500,DG!A:D,DG!$D$2,)</f>
        <v>cái</v>
      </c>
      <c r="G1500" s="1915">
        <f>G1497</f>
        <v>0</v>
      </c>
      <c r="H1500" s="1245">
        <f t="shared" si="307"/>
        <v>0</v>
      </c>
      <c r="I1500" s="1245"/>
      <c r="J1500" s="1245">
        <f t="shared" si="310"/>
        <v>0</v>
      </c>
      <c r="K1500" s="1245"/>
      <c r="L1500" s="1245"/>
      <c r="M1500" s="1245"/>
      <c r="N1500" s="1245"/>
      <c r="O1500" s="1245"/>
      <c r="P1500" s="1245">
        <f t="shared" si="306"/>
        <v>0</v>
      </c>
      <c r="Q1500" s="1245"/>
      <c r="R1500" s="1245"/>
      <c r="S1500" s="1245"/>
      <c r="T1500" s="1671"/>
      <c r="U1500" s="1664" t="str">
        <f>IFERROR(VLOOKUP(B1500,ChiTietDuToan!C:H,5,0),"")</f>
        <v/>
      </c>
      <c r="V1500" s="2309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59" t="s">
        <v>1536</v>
      </c>
      <c r="C1501" s="1189" t="str">
        <f t="shared" si="311"/>
        <v xml:space="preserve"> </v>
      </c>
      <c r="D1501" s="1236"/>
      <c r="E1501" s="1248" t="str">
        <f>VLOOKUP($B1501,DG!A:D,DG!$C$2,)</f>
        <v>Mắt nối đơn</v>
      </c>
      <c r="F1501" s="1236" t="str">
        <f>VLOOKUP($B1501,DG!A:D,DG!$D$2,)</f>
        <v>cái</v>
      </c>
      <c r="G1501" s="1915">
        <f>G1497</f>
        <v>0</v>
      </c>
      <c r="H1501" s="1245">
        <f t="shared" si="307"/>
        <v>0</v>
      </c>
      <c r="I1501" s="1245"/>
      <c r="J1501" s="1245">
        <f t="shared" si="310"/>
        <v>0</v>
      </c>
      <c r="K1501" s="1245"/>
      <c r="L1501" s="1245"/>
      <c r="M1501" s="1245"/>
      <c r="N1501" s="1245"/>
      <c r="O1501" s="1245"/>
      <c r="P1501" s="1245">
        <f t="shared" si="306"/>
        <v>0</v>
      </c>
      <c r="Q1501" s="1245"/>
      <c r="R1501" s="1245"/>
      <c r="S1501" s="1245"/>
      <c r="T1501" s="1671"/>
      <c r="U1501" s="1664" t="str">
        <f>IFERROR(VLOOKUP(B1501,ChiTietDuToan!C:H,5,0),"")</f>
        <v/>
      </c>
      <c r="V1501" s="2309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59" t="s">
        <v>1301</v>
      </c>
      <c r="C1502" s="1189" t="str">
        <f t="shared" si="311"/>
        <v xml:space="preserve"> </v>
      </c>
      <c r="D1502" s="1236"/>
      <c r="E1502" s="1248" t="str">
        <f>VLOOKUP($B1502,DG!A:D,DG!$C$2,)</f>
        <v>Boulon mắt 16x300+ 2 long đền vuông D18-50x50x3/Zn</v>
      </c>
      <c r="F1502" s="1236" t="str">
        <f>VLOOKUP($B1502,DG!A:D,DG!$D$2,)</f>
        <v>bộ</v>
      </c>
      <c r="G1502" s="1915">
        <f>G1497</f>
        <v>0</v>
      </c>
      <c r="H1502" s="1245">
        <f t="shared" si="307"/>
        <v>0</v>
      </c>
      <c r="I1502" s="1245"/>
      <c r="J1502" s="1245">
        <f t="shared" si="310"/>
        <v>0</v>
      </c>
      <c r="K1502" s="1245"/>
      <c r="L1502" s="1245"/>
      <c r="M1502" s="1245"/>
      <c r="N1502" s="1245"/>
      <c r="O1502" s="1245"/>
      <c r="P1502" s="1245">
        <f t="shared" si="306"/>
        <v>0</v>
      </c>
      <c r="Q1502" s="1245"/>
      <c r="R1502" s="1245"/>
      <c r="S1502" s="1245"/>
      <c r="T1502" s="1671"/>
      <c r="U1502" s="1664" t="str">
        <f>IFERROR(VLOOKUP(B1502,ChiTietDuToan!C:H,5,0),"")</f>
        <v>bộ</v>
      </c>
      <c r="V1502" s="2309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82" t="s">
        <v>2577</v>
      </c>
      <c r="C1503" s="1189" t="str">
        <f t="shared" si="311"/>
        <v xml:space="preserve"> </v>
      </c>
      <c r="D1503" s="1236"/>
      <c r="E1503" s="1680" t="s">
        <v>2578</v>
      </c>
      <c r="F1503" s="1255" t="s">
        <v>2576</v>
      </c>
      <c r="G1503" s="1915"/>
      <c r="H1503" s="1245">
        <f t="shared" si="307"/>
        <v>0</v>
      </c>
      <c r="I1503" s="1245"/>
      <c r="J1503" s="1245">
        <f t="shared" si="310"/>
        <v>0</v>
      </c>
      <c r="K1503" s="1245"/>
      <c r="L1503" s="1245"/>
      <c r="M1503" s="1245"/>
      <c r="N1503" s="1245"/>
      <c r="O1503" s="1245"/>
      <c r="P1503" s="1245">
        <f t="shared" si="306"/>
        <v>0</v>
      </c>
      <c r="Q1503" s="1245"/>
      <c r="R1503" s="1245"/>
      <c r="S1503" s="1245"/>
      <c r="T1503" s="1671"/>
      <c r="U1503" s="1664" t="str">
        <f>IFERROR(VLOOKUP(B1503,ChiTietDuToan!C:H,5,0),"")</f>
        <v/>
      </c>
      <c r="V1503" s="2309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59" t="s">
        <v>113</v>
      </c>
      <c r="C1504" s="1189" t="str">
        <f t="shared" si="311"/>
        <v xml:space="preserve"> </v>
      </c>
      <c r="D1504" s="1236"/>
      <c r="E1504" s="1248" t="str">
        <f>VLOOKUP($B1504,DG!A:D,DG!$C$2,)</f>
        <v>Sứ treo loại 70kN</v>
      </c>
      <c r="F1504" s="1236" t="str">
        <f>VLOOKUP($B1504,DG!A:D,DG!$D$2,)</f>
        <v>bát</v>
      </c>
      <c r="G1504" s="1915">
        <f>G1503*0</f>
        <v>0</v>
      </c>
      <c r="H1504" s="1245">
        <f t="shared" si="307"/>
        <v>0</v>
      </c>
      <c r="I1504" s="1245"/>
      <c r="J1504" s="1245">
        <f t="shared" si="310"/>
        <v>0</v>
      </c>
      <c r="K1504" s="1245"/>
      <c r="L1504" s="1245"/>
      <c r="M1504" s="1245"/>
      <c r="N1504" s="1245"/>
      <c r="O1504" s="1245"/>
      <c r="P1504" s="1245">
        <f t="shared" si="306"/>
        <v>0</v>
      </c>
      <c r="Q1504" s="1245"/>
      <c r="R1504" s="1245"/>
      <c r="S1504" s="1245"/>
      <c r="T1504" s="1671"/>
      <c r="U1504" s="1664" t="str">
        <f>IFERROR(VLOOKUP(B1504,ChiTietDuToan!C:H,5,0),"")</f>
        <v/>
      </c>
      <c r="V1504" s="2309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59" t="s">
        <v>1538</v>
      </c>
      <c r="C1505" s="1189" t="str">
        <f t="shared" si="311"/>
        <v xml:space="preserve"> </v>
      </c>
      <c r="D1505" s="1236"/>
      <c r="E1505" s="1248" t="str">
        <f>VLOOKUP($B1505,DG!A:D,DG!$C$2,)</f>
        <v xml:space="preserve">Móc treo chữ U </v>
      </c>
      <c r="F1505" s="1236" t="str">
        <f>VLOOKUP($B1505,DG!A:D,DG!$D$2,)</f>
        <v>cái</v>
      </c>
      <c r="G1505" s="1915">
        <f>G1503*2</f>
        <v>0</v>
      </c>
      <c r="H1505" s="1245">
        <f t="shared" si="307"/>
        <v>0</v>
      </c>
      <c r="I1505" s="1245"/>
      <c r="J1505" s="1245">
        <f t="shared" si="310"/>
        <v>0</v>
      </c>
      <c r="K1505" s="1245"/>
      <c r="L1505" s="1245"/>
      <c r="M1505" s="1245"/>
      <c r="N1505" s="1245"/>
      <c r="O1505" s="1245"/>
      <c r="P1505" s="1245">
        <f t="shared" si="306"/>
        <v>0</v>
      </c>
      <c r="Q1505" s="1245"/>
      <c r="R1505" s="1245"/>
      <c r="S1505" s="1245"/>
      <c r="T1505" s="1671"/>
      <c r="U1505" s="1664" t="str">
        <f>IFERROR(VLOOKUP(B1505,ChiTietDuToan!C:H,5,0),"")</f>
        <v>cái</v>
      </c>
      <c r="V1505" s="2309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59" t="s">
        <v>1621</v>
      </c>
      <c r="C1506" s="1189" t="str">
        <f t="shared" si="311"/>
        <v xml:space="preserve"> </v>
      </c>
      <c r="D1506" s="1236"/>
      <c r="E1506" s="1248" t="str">
        <f>VLOOKUP($B1506,DG!A:D,DG!$C$2,)</f>
        <v>Vòng treo đầu tròn</v>
      </c>
      <c r="F1506" s="1236" t="str">
        <f>VLOOKUP($B1506,DG!A:D,DG!$D$2,)</f>
        <v>cái</v>
      </c>
      <c r="G1506" s="1915">
        <f>G1503</f>
        <v>0</v>
      </c>
      <c r="H1506" s="1245">
        <f t="shared" si="307"/>
        <v>0</v>
      </c>
      <c r="I1506" s="1245"/>
      <c r="J1506" s="1245">
        <f t="shared" ref="J1506:J1530" si="313">G1506</f>
        <v>0</v>
      </c>
      <c r="K1506" s="1245"/>
      <c r="L1506" s="1245"/>
      <c r="M1506" s="1245"/>
      <c r="N1506" s="1245"/>
      <c r="O1506" s="1245"/>
      <c r="P1506" s="1245">
        <f t="shared" si="306"/>
        <v>0</v>
      </c>
      <c r="Q1506" s="1245"/>
      <c r="R1506" s="1245"/>
      <c r="S1506" s="1245"/>
      <c r="T1506" s="1671"/>
      <c r="U1506" s="1664" t="str">
        <f>IFERROR(VLOOKUP(B1506,ChiTietDuToan!C:H,5,0),"")</f>
        <v/>
      </c>
      <c r="V1506" s="2309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59" t="s">
        <v>1536</v>
      </c>
      <c r="C1507" s="1189" t="str">
        <f t="shared" si="311"/>
        <v xml:space="preserve"> </v>
      </c>
      <c r="D1507" s="1236"/>
      <c r="E1507" s="1248" t="str">
        <f>VLOOKUP($B1507,DG!A:D,DG!$C$2,)</f>
        <v>Mắt nối đơn</v>
      </c>
      <c r="F1507" s="1236" t="str">
        <f>VLOOKUP($B1507,DG!A:D,DG!$D$2,)</f>
        <v>cái</v>
      </c>
      <c r="G1507" s="1915">
        <f>G1503</f>
        <v>0</v>
      </c>
      <c r="H1507" s="1245">
        <f t="shared" si="307"/>
        <v>0</v>
      </c>
      <c r="I1507" s="1245"/>
      <c r="J1507" s="1245">
        <f t="shared" si="313"/>
        <v>0</v>
      </c>
      <c r="K1507" s="1245"/>
      <c r="L1507" s="1245"/>
      <c r="M1507" s="1245"/>
      <c r="N1507" s="1245"/>
      <c r="O1507" s="1245"/>
      <c r="P1507" s="1245">
        <f t="shared" si="306"/>
        <v>0</v>
      </c>
      <c r="Q1507" s="1245"/>
      <c r="R1507" s="1245"/>
      <c r="S1507" s="1245"/>
      <c r="T1507" s="1671"/>
      <c r="U1507" s="1664" t="str">
        <f>IFERROR(VLOOKUP(B1507,ChiTietDuToan!C:H,5,0),"")</f>
        <v/>
      </c>
      <c r="V1507" s="2309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91"/>
      <c r="B1508" s="1964" t="s">
        <v>2579</v>
      </c>
      <c r="C1508" s="1189" t="str">
        <f t="shared" si="311"/>
        <v xml:space="preserve"> </v>
      </c>
      <c r="D1508" s="1236"/>
      <c r="E1508" s="1254" t="s">
        <v>2580</v>
      </c>
      <c r="F1508" s="1255" t="s">
        <v>2576</v>
      </c>
      <c r="G1508" s="1915">
        <f>pp_NC!DJ95</f>
        <v>0</v>
      </c>
      <c r="H1508" s="1245">
        <f t="shared" si="307"/>
        <v>0</v>
      </c>
      <c r="I1508" s="1245"/>
      <c r="J1508" s="1245">
        <f t="shared" si="313"/>
        <v>0</v>
      </c>
      <c r="K1508" s="1245"/>
      <c r="L1508" s="1245"/>
      <c r="M1508" s="1245"/>
      <c r="N1508" s="1245"/>
      <c r="O1508" s="1245"/>
      <c r="P1508" s="1245">
        <f t="shared" si="306"/>
        <v>0</v>
      </c>
      <c r="Q1508" s="1245"/>
      <c r="R1508" s="1245"/>
      <c r="S1508" s="1245"/>
      <c r="T1508" s="1663"/>
      <c r="U1508" s="1664" t="str">
        <f>IFERROR(VLOOKUP(B1508,ChiTietDuToan!C:H,5,0),"")</f>
        <v/>
      </c>
      <c r="V1508" s="2309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91"/>
      <c r="B1509" s="1952" t="s">
        <v>1558</v>
      </c>
      <c r="C1509" s="1189" t="str">
        <f t="shared" si="311"/>
        <v xml:space="preserve"> </v>
      </c>
      <c r="D1509" s="1236"/>
      <c r="E1509" s="1248" t="str">
        <f>VLOOKUP($B1509,DG!A:D,DG!$C$2,)</f>
        <v>Sứ treo polymer</v>
      </c>
      <c r="F1509" s="1236" t="str">
        <f>VLOOKUP($B1509,DG!A:D,DG!$D$2,)</f>
        <v>chuỗi</v>
      </c>
      <c r="G1509" s="1915">
        <f>G1508</f>
        <v>0</v>
      </c>
      <c r="H1509" s="1245">
        <f t="shared" si="307"/>
        <v>0</v>
      </c>
      <c r="I1509" s="1245"/>
      <c r="J1509" s="1245">
        <f t="shared" si="313"/>
        <v>0</v>
      </c>
      <c r="K1509" s="1245"/>
      <c r="L1509" s="1245"/>
      <c r="M1509" s="1245"/>
      <c r="N1509" s="1245"/>
      <c r="O1509" s="1245"/>
      <c r="P1509" s="1245">
        <f t="shared" si="306"/>
        <v>0</v>
      </c>
      <c r="Q1509" s="1245"/>
      <c r="R1509" s="1245"/>
      <c r="S1509" s="1245"/>
      <c r="T1509" s="1663"/>
      <c r="U1509" s="1664" t="str">
        <f>IFERROR(VLOOKUP(B1509,ChiTietDuToan!C:H,5,0),"")</f>
        <v>cái</v>
      </c>
      <c r="V1509" s="2309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91"/>
      <c r="B1510" s="1952" t="s">
        <v>1538</v>
      </c>
      <c r="C1510" s="1189" t="str">
        <f t="shared" si="311"/>
        <v xml:space="preserve"> </v>
      </c>
      <c r="D1510" s="1236"/>
      <c r="E1510" s="1248" t="str">
        <f>VLOOKUP($B1510,DG!A:D,DG!$C$2,)</f>
        <v xml:space="preserve">Móc treo chữ U </v>
      </c>
      <c r="F1510" s="1236" t="str">
        <f>VLOOKUP($B1510,DG!A:D,DG!$D$2,)</f>
        <v>cái</v>
      </c>
      <c r="G1510" s="1915">
        <f>G1508*2</f>
        <v>0</v>
      </c>
      <c r="H1510" s="1245">
        <f t="shared" si="307"/>
        <v>0</v>
      </c>
      <c r="I1510" s="1245"/>
      <c r="J1510" s="1245">
        <f t="shared" si="313"/>
        <v>0</v>
      </c>
      <c r="K1510" s="1245"/>
      <c r="L1510" s="1245"/>
      <c r="M1510" s="1245"/>
      <c r="N1510" s="1245"/>
      <c r="O1510" s="1245"/>
      <c r="P1510" s="1245">
        <f t="shared" si="306"/>
        <v>0</v>
      </c>
      <c r="Q1510" s="1245"/>
      <c r="R1510" s="1245"/>
      <c r="S1510" s="1245"/>
      <c r="T1510" s="1663"/>
      <c r="U1510" s="1664" t="str">
        <f>IFERROR(VLOOKUP(B1510,ChiTietDuToan!C:H,5,0),"")</f>
        <v>cái</v>
      </c>
      <c r="V1510" s="2309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91"/>
      <c r="B1511" s="1952" t="s">
        <v>921</v>
      </c>
      <c r="C1511" s="1189" t="str">
        <f t="shared" si="311"/>
        <v xml:space="preserve"> </v>
      </c>
      <c r="D1511" s="1236"/>
      <c r="E1511" s="1248" t="str">
        <f>VLOOKUP($B1511,DG!A:D,DG!$C$2,)</f>
        <v>Khóa néo dây cỡ dây 50</v>
      </c>
      <c r="F1511" s="1236" t="str">
        <f>VLOOKUP($B1511,DG!A:D,DG!$D$2,)</f>
        <v>cái</v>
      </c>
      <c r="G1511" s="1915">
        <f>G1508</f>
        <v>0</v>
      </c>
      <c r="H1511" s="1245">
        <f t="shared" si="307"/>
        <v>0</v>
      </c>
      <c r="I1511" s="1245"/>
      <c r="J1511" s="1245">
        <f>G1511</f>
        <v>0</v>
      </c>
      <c r="K1511" s="1245"/>
      <c r="L1511" s="1245"/>
      <c r="M1511" s="1245"/>
      <c r="N1511" s="1245"/>
      <c r="O1511" s="1245"/>
      <c r="P1511" s="1245">
        <f t="shared" si="306"/>
        <v>0</v>
      </c>
      <c r="Q1511" s="1245"/>
      <c r="R1511" s="1245"/>
      <c r="S1511" s="1245"/>
      <c r="T1511" s="1663"/>
      <c r="U1511" s="1664" t="str">
        <f>IFERROR(VLOOKUP(B1511,ChiTietDuToan!C:H,5,0),"")</f>
        <v/>
      </c>
      <c r="V1511" s="2309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59" t="s">
        <v>1621</v>
      </c>
      <c r="C1512" s="1189" t="str">
        <f t="shared" si="311"/>
        <v xml:space="preserve"> </v>
      </c>
      <c r="D1512" s="1236"/>
      <c r="E1512" s="1248" t="str">
        <f>VLOOKUP($B1512,DG!A:D,DG!$C$2,)</f>
        <v>Vòng treo đầu tròn</v>
      </c>
      <c r="F1512" s="1236" t="str">
        <f>VLOOKUP($B1512,DG!A:D,DG!$D$2,)</f>
        <v>cái</v>
      </c>
      <c r="G1512" s="1915"/>
      <c r="H1512" s="1245">
        <f t="shared" si="307"/>
        <v>0</v>
      </c>
      <c r="I1512" s="1245"/>
      <c r="J1512" s="1245">
        <f>G1512</f>
        <v>0</v>
      </c>
      <c r="K1512" s="1245"/>
      <c r="L1512" s="1245"/>
      <c r="M1512" s="1245"/>
      <c r="N1512" s="1245"/>
      <c r="O1512" s="1245"/>
      <c r="P1512" s="1245">
        <f t="shared" si="306"/>
        <v>0</v>
      </c>
      <c r="Q1512" s="1245"/>
      <c r="R1512" s="1245"/>
      <c r="S1512" s="1245"/>
      <c r="T1512" s="1671"/>
      <c r="U1512" s="1664" t="str">
        <f>IFERROR(VLOOKUP(B1512,ChiTietDuToan!C:H,5,0),"")</f>
        <v/>
      </c>
      <c r="V1512" s="2309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59" t="s">
        <v>1536</v>
      </c>
      <c r="C1513" s="1189" t="str">
        <f t="shared" si="311"/>
        <v xml:space="preserve"> </v>
      </c>
      <c r="D1513" s="1236"/>
      <c r="E1513" s="1248" t="str">
        <f>VLOOKUP($B1513,DG!A:D,DG!$C$2,)</f>
        <v>Mắt nối đơn</v>
      </c>
      <c r="F1513" s="1236" t="str">
        <f>VLOOKUP($B1513,DG!A:D,DG!$D$2,)</f>
        <v>cái</v>
      </c>
      <c r="G1513" s="1915"/>
      <c r="H1513" s="1245">
        <f t="shared" si="307"/>
        <v>0</v>
      </c>
      <c r="I1513" s="1245"/>
      <c r="J1513" s="1245">
        <f>G1513</f>
        <v>0</v>
      </c>
      <c r="K1513" s="1245"/>
      <c r="L1513" s="1245"/>
      <c r="M1513" s="1245"/>
      <c r="N1513" s="1245"/>
      <c r="O1513" s="1245"/>
      <c r="P1513" s="1245">
        <f t="shared" si="306"/>
        <v>0</v>
      </c>
      <c r="Q1513" s="1245"/>
      <c r="R1513" s="1245"/>
      <c r="S1513" s="1245"/>
      <c r="T1513" s="1671"/>
      <c r="U1513" s="1664" t="str">
        <f>IFERROR(VLOOKUP(B1513,ChiTietDuToan!C:H,5,0),"")</f>
        <v/>
      </c>
      <c r="V1513" s="2309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66"/>
      <c r="C1514" s="1189" t="str">
        <f t="shared" si="311"/>
        <v xml:space="preserve"> </v>
      </c>
      <c r="D1514" s="1236"/>
      <c r="E1514" s="1667" t="s">
        <v>2581</v>
      </c>
      <c r="F1514" s="1236"/>
      <c r="G1514" s="1915"/>
      <c r="H1514" s="1245">
        <f t="shared" si="307"/>
        <v>0</v>
      </c>
      <c r="I1514" s="1245"/>
      <c r="J1514" s="1245">
        <f t="shared" si="313"/>
        <v>0</v>
      </c>
      <c r="K1514" s="1245"/>
      <c r="L1514" s="1245"/>
      <c r="M1514" s="1245"/>
      <c r="N1514" s="1245"/>
      <c r="O1514" s="1245"/>
      <c r="P1514" s="1245">
        <f t="shared" si="306"/>
        <v>0</v>
      </c>
      <c r="Q1514" s="1245"/>
      <c r="R1514" s="1245"/>
      <c r="S1514" s="1245"/>
      <c r="T1514" s="1671"/>
      <c r="U1514" s="1664">
        <f>IFERROR(VLOOKUP(B1514,ChiTietDuToan!C:H,5,0),"")</f>
        <v>0</v>
      </c>
      <c r="V1514" s="2309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20"/>
      <c r="B1515" s="1966" t="s">
        <v>1174</v>
      </c>
      <c r="C1515" s="1189" t="str">
        <f t="shared" si="311"/>
        <v xml:space="preserve"> </v>
      </c>
      <c r="D1515" s="1236"/>
      <c r="E1515" s="1248" t="str">
        <f>VLOOKUP($B1515,DG!A:D,DG!$C$2,)</f>
        <v>Khóa đỡ dây cỡ dây 240</v>
      </c>
      <c r="F1515" s="1236" t="str">
        <f>VLOOKUP($B1515,DG!A:D,DG!$D$2,)</f>
        <v>cái</v>
      </c>
      <c r="G1515" s="1928"/>
      <c r="H1515" s="1245">
        <f t="shared" si="307"/>
        <v>0</v>
      </c>
      <c r="I1515" s="1245"/>
      <c r="J1515" s="1245">
        <f t="shared" si="313"/>
        <v>0</v>
      </c>
      <c r="K1515" s="1245"/>
      <c r="L1515" s="1245"/>
      <c r="M1515" s="1245"/>
      <c r="N1515" s="1245"/>
      <c r="O1515" s="1245"/>
      <c r="P1515" s="1245">
        <f t="shared" si="306"/>
        <v>0</v>
      </c>
      <c r="Q1515" s="1245"/>
      <c r="R1515" s="1245"/>
      <c r="S1515" s="1245"/>
      <c r="T1515" s="1671"/>
      <c r="U1515" s="1664" t="str">
        <f>IFERROR(VLOOKUP(B1515,ChiTietDuToan!C:H,5,0),"")</f>
        <v/>
      </c>
      <c r="V1515" s="2309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66" t="s">
        <v>1173</v>
      </c>
      <c r="C1516" s="1189" t="str">
        <f t="shared" si="311"/>
        <v xml:space="preserve"> </v>
      </c>
      <c r="D1516" s="1236"/>
      <c r="E1516" s="1248" t="str">
        <f>VLOOKUP($B1516,DG!A:D,DG!$C$2,)</f>
        <v>Khóa đỡ dây cỡ dây 185</v>
      </c>
      <c r="F1516" s="1236" t="str">
        <f>VLOOKUP($B1516,DG!A:D,DG!$D$2,)</f>
        <v>cái</v>
      </c>
      <c r="G1516" s="1928"/>
      <c r="H1516" s="1245">
        <f t="shared" si="307"/>
        <v>0</v>
      </c>
      <c r="I1516" s="1245"/>
      <c r="J1516" s="1245">
        <f t="shared" si="313"/>
        <v>0</v>
      </c>
      <c r="K1516" s="1245"/>
      <c r="L1516" s="1245"/>
      <c r="M1516" s="1245"/>
      <c r="N1516" s="1245"/>
      <c r="O1516" s="1245"/>
      <c r="P1516" s="1245">
        <f t="shared" si="306"/>
        <v>0</v>
      </c>
      <c r="Q1516" s="1245"/>
      <c r="R1516" s="1245"/>
      <c r="S1516" s="1245"/>
      <c r="T1516" s="1671"/>
      <c r="U1516" s="1664" t="str">
        <f>IFERROR(VLOOKUP(B1516,ChiTietDuToan!C:H,5,0),"")</f>
        <v/>
      </c>
      <c r="V1516" s="2309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66" t="s">
        <v>1172</v>
      </c>
      <c r="C1517" s="1189" t="str">
        <f t="shared" si="311"/>
        <v xml:space="preserve"> </v>
      </c>
      <c r="D1517" s="1236"/>
      <c r="E1517" s="1248" t="str">
        <f>VLOOKUP($B1517,DG!A:D,DG!$C$2,)</f>
        <v>Khóa đỡ dây cỡ dây 150</v>
      </c>
      <c r="F1517" s="1236" t="str">
        <f>VLOOKUP($B1517,DG!A:D,DG!$D$2,)</f>
        <v>cái</v>
      </c>
      <c r="G1517" s="1928"/>
      <c r="H1517" s="1245">
        <f t="shared" si="307"/>
        <v>0</v>
      </c>
      <c r="I1517" s="1245"/>
      <c r="J1517" s="1245">
        <f t="shared" si="313"/>
        <v>0</v>
      </c>
      <c r="K1517" s="1245"/>
      <c r="L1517" s="1245"/>
      <c r="M1517" s="1245"/>
      <c r="N1517" s="1245"/>
      <c r="O1517" s="1245"/>
      <c r="P1517" s="1245">
        <f t="shared" si="306"/>
        <v>0</v>
      </c>
      <c r="Q1517" s="1245"/>
      <c r="R1517" s="1245"/>
      <c r="S1517" s="1245"/>
      <c r="T1517" s="1671"/>
      <c r="U1517" s="1664" t="str">
        <f>IFERROR(VLOOKUP(B1517,ChiTietDuToan!C:H,5,0),"")</f>
        <v/>
      </c>
      <c r="V1517" s="2309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66" t="s">
        <v>1171</v>
      </c>
      <c r="C1518" s="1189" t="str">
        <f t="shared" si="311"/>
        <v xml:space="preserve"> </v>
      </c>
      <c r="D1518" s="1236"/>
      <c r="E1518" s="1248" t="str">
        <f>VLOOKUP($B1518,DG!A:D,DG!$C$2,)</f>
        <v>Khóa đỡ dây cỡ dây 120</v>
      </c>
      <c r="F1518" s="1236" t="str">
        <f>VLOOKUP($B1518,DG!A:D,DG!$D$2,)</f>
        <v>cái</v>
      </c>
      <c r="G1518" s="1928"/>
      <c r="H1518" s="1245">
        <f t="shared" si="307"/>
        <v>0</v>
      </c>
      <c r="I1518" s="1245"/>
      <c r="J1518" s="1245">
        <f t="shared" si="313"/>
        <v>0</v>
      </c>
      <c r="K1518" s="1245"/>
      <c r="L1518" s="1245"/>
      <c r="M1518" s="1245"/>
      <c r="N1518" s="1245"/>
      <c r="O1518" s="1245"/>
      <c r="P1518" s="1245">
        <f t="shared" si="306"/>
        <v>0</v>
      </c>
      <c r="Q1518" s="1245"/>
      <c r="R1518" s="1245"/>
      <c r="S1518" s="1245"/>
      <c r="T1518" s="1671"/>
      <c r="U1518" s="1664" t="str">
        <f>IFERROR(VLOOKUP(B1518,ChiTietDuToan!C:H,5,0),"")</f>
        <v/>
      </c>
      <c r="V1518" s="2309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66" t="s">
        <v>101</v>
      </c>
      <c r="C1519" s="1189" t="str">
        <f t="shared" si="311"/>
        <v xml:space="preserve"> </v>
      </c>
      <c r="D1519" s="1236"/>
      <c r="E1519" s="1248" t="str">
        <f>VLOOKUP($B1519,DG!A:D,DG!$C$2,)</f>
        <v>Khóa đỡ dây cỡ dây 95</v>
      </c>
      <c r="F1519" s="1236" t="str">
        <f>VLOOKUP($B1519,DG!A:D,DG!$D$2,)</f>
        <v>cái</v>
      </c>
      <c r="G1519" s="1928"/>
      <c r="H1519" s="1245">
        <f t="shared" si="307"/>
        <v>0</v>
      </c>
      <c r="I1519" s="1245"/>
      <c r="J1519" s="1245">
        <f t="shared" si="313"/>
        <v>0</v>
      </c>
      <c r="K1519" s="1245"/>
      <c r="L1519" s="1245"/>
      <c r="M1519" s="1245"/>
      <c r="N1519" s="1245"/>
      <c r="O1519" s="1245"/>
      <c r="P1519" s="1245">
        <f t="shared" si="306"/>
        <v>0</v>
      </c>
      <c r="Q1519" s="1245"/>
      <c r="R1519" s="1245"/>
      <c r="S1519" s="1245"/>
      <c r="T1519" s="1671"/>
      <c r="U1519" s="1664" t="str">
        <f>IFERROR(VLOOKUP(B1519,ChiTietDuToan!C:H,5,0),"")</f>
        <v/>
      </c>
      <c r="V1519" s="2309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66" t="s">
        <v>1533</v>
      </c>
      <c r="C1520" s="1189" t="str">
        <f t="shared" si="311"/>
        <v xml:space="preserve"> </v>
      </c>
      <c r="D1520" s="1236"/>
      <c r="E1520" s="1248" t="str">
        <f>VLOOKUP($B1520,DG!A:D,DG!$C$2,)</f>
        <v>Khóa đỡ dây cỡ dây 70</v>
      </c>
      <c r="F1520" s="1236" t="str">
        <f>VLOOKUP($B1520,DG!A:D,DG!$D$2,)</f>
        <v>cái</v>
      </c>
      <c r="G1520" s="1928"/>
      <c r="H1520" s="1245">
        <f t="shared" si="307"/>
        <v>0</v>
      </c>
      <c r="I1520" s="1245"/>
      <c r="J1520" s="1245">
        <f t="shared" si="313"/>
        <v>0</v>
      </c>
      <c r="K1520" s="1245"/>
      <c r="L1520" s="1245"/>
      <c r="M1520" s="1245"/>
      <c r="N1520" s="1245"/>
      <c r="O1520" s="1245"/>
      <c r="P1520" s="1245">
        <f t="shared" si="306"/>
        <v>0</v>
      </c>
      <c r="Q1520" s="1245"/>
      <c r="R1520" s="1245"/>
      <c r="S1520" s="1245"/>
      <c r="T1520" s="1671"/>
      <c r="U1520" s="1664" t="str">
        <f>IFERROR(VLOOKUP(B1520,ChiTietDuToan!C:H,5,0),"")</f>
        <v/>
      </c>
      <c r="V1520" s="2309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66" t="s">
        <v>1205</v>
      </c>
      <c r="C1521" s="1189" t="str">
        <f t="shared" si="311"/>
        <v xml:space="preserve"> </v>
      </c>
      <c r="D1521" s="1236"/>
      <c r="E1521" s="1248" t="str">
        <f>VLOOKUP($B1521,DG!A:D,DG!$C$2,)</f>
        <v>Khóa đỡ dây cỡ dây 50</v>
      </c>
      <c r="F1521" s="1236" t="str">
        <f>VLOOKUP($B1521,DG!A:D,DG!$D$2,)</f>
        <v>cái</v>
      </c>
      <c r="G1521" s="1928"/>
      <c r="H1521" s="1245">
        <f t="shared" si="307"/>
        <v>0</v>
      </c>
      <c r="I1521" s="1245"/>
      <c r="J1521" s="1245">
        <f t="shared" si="313"/>
        <v>0</v>
      </c>
      <c r="K1521" s="1245"/>
      <c r="L1521" s="1245"/>
      <c r="M1521" s="1245"/>
      <c r="N1521" s="1245"/>
      <c r="O1521" s="1245"/>
      <c r="P1521" s="1245">
        <f t="shared" ref="P1521:P1584" si="314">H1521+Q1521-R1521</f>
        <v>0</v>
      </c>
      <c r="Q1521" s="1245"/>
      <c r="R1521" s="1245"/>
      <c r="S1521" s="1245"/>
      <c r="T1521" s="1671"/>
      <c r="U1521" s="1664" t="str">
        <f>IFERROR(VLOOKUP(B1521,ChiTietDuToan!C:H,5,0),"")</f>
        <v/>
      </c>
      <c r="V1521" s="2309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66" t="s">
        <v>1794</v>
      </c>
      <c r="C1522" s="1189" t="str">
        <f t="shared" si="311"/>
        <v xml:space="preserve"> </v>
      </c>
      <c r="D1522" s="1236"/>
      <c r="E1522" s="1248" t="str">
        <f>VLOOKUP($B1522,DG!A:D,DG!$C$2,)</f>
        <v>Khóa néo dây cỡ dây 240</v>
      </c>
      <c r="F1522" s="1236" t="str">
        <f>VLOOKUP($B1522,DG!A:D,DG!$D$2,)</f>
        <v>cái</v>
      </c>
      <c r="G1522" s="1912"/>
      <c r="H1522" s="1245">
        <f t="shared" si="307"/>
        <v>0</v>
      </c>
      <c r="I1522" s="1245"/>
      <c r="J1522" s="1245">
        <f t="shared" si="313"/>
        <v>0</v>
      </c>
      <c r="K1522" s="1245"/>
      <c r="L1522" s="1245"/>
      <c r="M1522" s="1245"/>
      <c r="N1522" s="1245"/>
      <c r="O1522" s="1245"/>
      <c r="P1522" s="1245">
        <f t="shared" si="314"/>
        <v>0</v>
      </c>
      <c r="Q1522" s="1245"/>
      <c r="R1522" s="1245"/>
      <c r="S1522" s="1245"/>
      <c r="T1522" s="1671"/>
      <c r="U1522" s="1664" t="str">
        <f>IFERROR(VLOOKUP(B1522,ChiTietDuToan!C:H,5,0),"")</f>
        <v/>
      </c>
      <c r="V1522" s="2309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67" t="s">
        <v>1795</v>
      </c>
      <c r="C1523" s="1189" t="str">
        <f t="shared" si="311"/>
        <v xml:space="preserve"> </v>
      </c>
      <c r="D1523" s="1236"/>
      <c r="E1523" s="1248" t="str">
        <f>VLOOKUP($B1523,DG!A:D,DG!$C$2,)</f>
        <v>Khóa néo dây cỡ dây 185</v>
      </c>
      <c r="F1523" s="1236" t="str">
        <f>VLOOKUP($B1523,DG!A:D,DG!$D$2,)</f>
        <v>cái</v>
      </c>
      <c r="G1523" s="1912"/>
      <c r="H1523" s="1245">
        <f t="shared" si="307"/>
        <v>0</v>
      </c>
      <c r="I1523" s="1245"/>
      <c r="J1523" s="1245">
        <f t="shared" si="313"/>
        <v>0</v>
      </c>
      <c r="K1523" s="1245"/>
      <c r="L1523" s="1245"/>
      <c r="M1523" s="1245"/>
      <c r="N1523" s="1245"/>
      <c r="O1523" s="1245"/>
      <c r="P1523" s="1245">
        <f t="shared" si="314"/>
        <v>0</v>
      </c>
      <c r="Q1523" s="1245"/>
      <c r="R1523" s="1245"/>
      <c r="S1523" s="1245"/>
      <c r="T1523" s="1671"/>
      <c r="U1523" s="1664" t="str">
        <f>IFERROR(VLOOKUP(B1523,ChiTietDuToan!C:H,5,0),"")</f>
        <v/>
      </c>
      <c r="V1523" s="2309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66" t="s">
        <v>2171</v>
      </c>
      <c r="C1524" s="1189" t="str">
        <f t="shared" si="311"/>
        <v xml:space="preserve"> </v>
      </c>
      <c r="D1524" s="1236"/>
      <c r="E1524" s="1248" t="str">
        <f>VLOOKUP($B1524,DG!A:D,DG!$C$2,)</f>
        <v>Khóa néo dây cỡ dây 150</v>
      </c>
      <c r="F1524" s="1236" t="str">
        <f>VLOOKUP($B1524,DG!A:D,DG!$D$2,)</f>
        <v>cái</v>
      </c>
      <c r="G1524" s="1912"/>
      <c r="H1524" s="1245">
        <f t="shared" si="307"/>
        <v>0</v>
      </c>
      <c r="I1524" s="1245"/>
      <c r="J1524" s="1245">
        <f t="shared" si="313"/>
        <v>0</v>
      </c>
      <c r="K1524" s="1245"/>
      <c r="L1524" s="1245"/>
      <c r="M1524" s="1245"/>
      <c r="N1524" s="1245"/>
      <c r="O1524" s="1245"/>
      <c r="P1524" s="1245">
        <f t="shared" si="314"/>
        <v>0</v>
      </c>
      <c r="Q1524" s="1245"/>
      <c r="R1524" s="1245"/>
      <c r="S1524" s="1245"/>
      <c r="T1524" s="1671"/>
      <c r="U1524" s="1664" t="str">
        <f>IFERROR(VLOOKUP(B1524,ChiTietDuToan!C:H,5,0),"")</f>
        <v/>
      </c>
      <c r="V1524" s="2309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67" t="s">
        <v>434</v>
      </c>
      <c r="C1525" s="1189" t="str">
        <f t="shared" si="311"/>
        <v xml:space="preserve"> </v>
      </c>
      <c r="D1525" s="1236"/>
      <c r="E1525" s="1248" t="str">
        <f>VLOOKUP($B1525,DG!A:D,DG!$C$2,)</f>
        <v>Khóa néo dây cỡ dây 120</v>
      </c>
      <c r="F1525" s="1236" t="str">
        <f>VLOOKUP($B1525,DG!A:D,DG!$D$2,)</f>
        <v>cái</v>
      </c>
      <c r="G1525" s="1912"/>
      <c r="H1525" s="1245">
        <f t="shared" si="307"/>
        <v>0</v>
      </c>
      <c r="I1525" s="1245"/>
      <c r="J1525" s="1245">
        <f t="shared" si="313"/>
        <v>0</v>
      </c>
      <c r="K1525" s="1245"/>
      <c r="L1525" s="1245"/>
      <c r="M1525" s="1245"/>
      <c r="N1525" s="1245"/>
      <c r="O1525" s="1245"/>
      <c r="P1525" s="1245">
        <f t="shared" si="314"/>
        <v>0</v>
      </c>
      <c r="Q1525" s="1245"/>
      <c r="R1525" s="1245"/>
      <c r="S1525" s="1245"/>
      <c r="T1525" s="1671"/>
      <c r="U1525" s="1664" t="str">
        <f>IFERROR(VLOOKUP(B1525,ChiTietDuToan!C:H,5,0),"")</f>
        <v>cái</v>
      </c>
      <c r="V1525" s="2309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66" t="s">
        <v>1290</v>
      </c>
      <c r="C1526" s="1189" t="str">
        <f t="shared" si="311"/>
        <v xml:space="preserve"> </v>
      </c>
      <c r="D1526" s="1236"/>
      <c r="E1526" s="1248" t="str">
        <f>VLOOKUP($B1526,DG!A:D,DG!$C$2,)</f>
        <v>Khóa néo dây cỡ dây 95</v>
      </c>
      <c r="F1526" s="1236" t="str">
        <f>VLOOKUP($B1526,DG!A:D,DG!$D$2,)</f>
        <v>cái</v>
      </c>
      <c r="G1526" s="1915"/>
      <c r="H1526" s="1245">
        <f t="shared" si="307"/>
        <v>0</v>
      </c>
      <c r="I1526" s="1245"/>
      <c r="J1526" s="1245">
        <f t="shared" si="313"/>
        <v>0</v>
      </c>
      <c r="K1526" s="1245"/>
      <c r="L1526" s="1245"/>
      <c r="M1526" s="1245"/>
      <c r="N1526" s="1245"/>
      <c r="O1526" s="1245"/>
      <c r="P1526" s="1245">
        <f t="shared" si="314"/>
        <v>0</v>
      </c>
      <c r="Q1526" s="1245"/>
      <c r="R1526" s="1245"/>
      <c r="S1526" s="1245"/>
      <c r="T1526" s="1671"/>
      <c r="U1526" s="1664" t="str">
        <f>IFERROR(VLOOKUP(B1526,ChiTietDuToan!C:H,5,0),"")</f>
        <v/>
      </c>
      <c r="V1526" s="2309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67" t="s">
        <v>2293</v>
      </c>
      <c r="C1527" s="1189" t="str">
        <f t="shared" si="311"/>
        <v xml:space="preserve"> </v>
      </c>
      <c r="D1527" s="1236"/>
      <c r="E1527" s="1248" t="str">
        <f>VLOOKUP($B1527,DG!A:D,DG!$C$2,)</f>
        <v>Khóa néo dây cỡ dây 70</v>
      </c>
      <c r="F1527" s="1236" t="str">
        <f>VLOOKUP($B1527,DG!A:D,DG!$D$2,)</f>
        <v>cái</v>
      </c>
      <c r="G1527" s="1912"/>
      <c r="H1527" s="1245">
        <f t="shared" si="307"/>
        <v>0</v>
      </c>
      <c r="I1527" s="1245"/>
      <c r="J1527" s="1245">
        <f t="shared" si="313"/>
        <v>0</v>
      </c>
      <c r="K1527" s="1245"/>
      <c r="L1527" s="1245"/>
      <c r="M1527" s="1245"/>
      <c r="N1527" s="1245"/>
      <c r="O1527" s="1245"/>
      <c r="P1527" s="1245">
        <f t="shared" si="314"/>
        <v>0</v>
      </c>
      <c r="Q1527" s="1245"/>
      <c r="R1527" s="1245"/>
      <c r="S1527" s="1245"/>
      <c r="T1527" s="1671"/>
      <c r="U1527" s="1664" t="str">
        <f>IFERROR(VLOOKUP(B1527,ChiTietDuToan!C:H,5,0),"")</f>
        <v/>
      </c>
      <c r="V1527" s="2309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67" t="s">
        <v>1534</v>
      </c>
      <c r="C1528" s="1189" t="str">
        <f t="shared" si="311"/>
        <v xml:space="preserve"> </v>
      </c>
      <c r="D1528" s="1236"/>
      <c r="E1528" s="1248" t="str">
        <f>VLOOKUP($B1528,DG!A:D,DG!$C$2,)</f>
        <v>Khóa néo dây cỡ dây 50</v>
      </c>
      <c r="F1528" s="1236" t="str">
        <f>VLOOKUP($B1528,DG!A:D,DG!$D$2,)</f>
        <v>cái</v>
      </c>
      <c r="G1528" s="1912"/>
      <c r="H1528" s="1245">
        <f t="shared" si="307"/>
        <v>0</v>
      </c>
      <c r="I1528" s="1245"/>
      <c r="J1528" s="1245">
        <f t="shared" si="313"/>
        <v>0</v>
      </c>
      <c r="K1528" s="1245"/>
      <c r="L1528" s="1245"/>
      <c r="M1528" s="1245"/>
      <c r="N1528" s="1245"/>
      <c r="O1528" s="1245"/>
      <c r="P1528" s="1245">
        <f t="shared" si="314"/>
        <v>0</v>
      </c>
      <c r="Q1528" s="1245"/>
      <c r="R1528" s="1245"/>
      <c r="S1528" s="1245"/>
      <c r="T1528" s="1671"/>
      <c r="U1528" s="1664" t="str">
        <f>IFERROR(VLOOKUP(B1528,ChiTietDuToan!C:H,5,0),"")</f>
        <v/>
      </c>
      <c r="V1528" s="2309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66" t="s">
        <v>1634</v>
      </c>
      <c r="C1529" s="1189" t="str">
        <f t="shared" si="311"/>
        <v xml:space="preserve"> </v>
      </c>
      <c r="D1529" s="1236"/>
      <c r="E1529" s="1248" t="str">
        <f>VLOOKUP($B1529,DG!A:D,DG!$C$2,)</f>
        <v>Kẹp 2 rãnh (APC) cỡ dây 50mm2</v>
      </c>
      <c r="F1529" s="1236" t="str">
        <f>VLOOKUP($B1529,DG!A:D,DG!$D$2,)</f>
        <v>cái</v>
      </c>
      <c r="G1529" s="1928"/>
      <c r="H1529" s="1245">
        <f t="shared" si="307"/>
        <v>0</v>
      </c>
      <c r="I1529" s="1245"/>
      <c r="J1529" s="1245">
        <f t="shared" si="313"/>
        <v>0</v>
      </c>
      <c r="K1529" s="1245"/>
      <c r="L1529" s="1245"/>
      <c r="M1529" s="1245"/>
      <c r="N1529" s="1245"/>
      <c r="O1529" s="1245"/>
      <c r="P1529" s="1245">
        <f t="shared" si="314"/>
        <v>0</v>
      </c>
      <c r="Q1529" s="1245"/>
      <c r="R1529" s="1245"/>
      <c r="S1529" s="1245"/>
      <c r="T1529" s="1671"/>
      <c r="U1529" s="1664" t="str">
        <f>IFERROR(VLOOKUP(B1529,ChiTietDuToan!C:H,5,0),"")</f>
        <v/>
      </c>
      <c r="V1529" s="2309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66" t="s">
        <v>1633</v>
      </c>
      <c r="C1530" s="1189" t="str">
        <f t="shared" si="311"/>
        <v xml:space="preserve"> </v>
      </c>
      <c r="D1530" s="1236"/>
      <c r="E1530" s="1248" t="str">
        <f>VLOOKUP($B1530,DG!A:D,DG!$C$2,)</f>
        <v>Kẹp 2 rãnh (APC) cỡ dây 70mm2</v>
      </c>
      <c r="F1530" s="1236" t="str">
        <f>VLOOKUP($B1530,DG!A:D,DG!$D$2,)</f>
        <v>cái</v>
      </c>
      <c r="G1530" s="1928"/>
      <c r="H1530" s="1245">
        <f t="shared" si="307"/>
        <v>0</v>
      </c>
      <c r="I1530" s="1245"/>
      <c r="J1530" s="1245">
        <f t="shared" si="313"/>
        <v>0</v>
      </c>
      <c r="K1530" s="1245"/>
      <c r="L1530" s="1245"/>
      <c r="M1530" s="1245"/>
      <c r="N1530" s="1245"/>
      <c r="O1530" s="1245"/>
      <c r="P1530" s="1245">
        <f t="shared" si="314"/>
        <v>0</v>
      </c>
      <c r="Q1530" s="1245"/>
      <c r="R1530" s="1245"/>
      <c r="S1530" s="1245"/>
      <c r="T1530" s="1671"/>
      <c r="U1530" s="1664" t="str">
        <f>IFERROR(VLOOKUP(B1530,ChiTietDuToan!C:H,5,0),"")</f>
        <v/>
      </c>
      <c r="V1530" s="2309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66" t="s">
        <v>1052</v>
      </c>
      <c r="C1531" s="1189" t="str">
        <f t="shared" si="311"/>
        <v xml:space="preserve"> </v>
      </c>
      <c r="D1531" s="1236"/>
      <c r="E1531" s="1248" t="str">
        <f>VLOOKUP($B1531,DG!A:D,DG!$C$2,)</f>
        <v>Kẹp 2 rãnh (APC) cỡ dây 95mm2</v>
      </c>
      <c r="F1531" s="1236" t="str">
        <f>VLOOKUP($B1531,DG!A:D,DG!$D$2,)</f>
        <v>cái</v>
      </c>
      <c r="G1531" s="1928"/>
      <c r="H1531" s="1245">
        <f t="shared" si="307"/>
        <v>0</v>
      </c>
      <c r="I1531" s="1245"/>
      <c r="J1531" s="1245">
        <f t="shared" ref="J1531:J1544" si="315">G1531</f>
        <v>0</v>
      </c>
      <c r="K1531" s="1245"/>
      <c r="L1531" s="1245"/>
      <c r="M1531" s="1245"/>
      <c r="N1531" s="1245"/>
      <c r="O1531" s="1245"/>
      <c r="P1531" s="1245">
        <f t="shared" si="314"/>
        <v>0</v>
      </c>
      <c r="Q1531" s="1245"/>
      <c r="R1531" s="1245"/>
      <c r="S1531" s="1245"/>
      <c r="T1531" s="1671"/>
      <c r="U1531" s="1664" t="str">
        <f>IFERROR(VLOOKUP(B1531,ChiTietDuToan!C:H,5,0),"")</f>
        <v/>
      </c>
      <c r="V1531" s="2309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91"/>
      <c r="B1532" s="1965" t="s">
        <v>1531</v>
      </c>
      <c r="C1532" s="1189" t="str">
        <f t="shared" si="311"/>
        <v xml:space="preserve"> </v>
      </c>
      <c r="D1532" s="1236"/>
      <c r="E1532" s="1248" t="str">
        <f>VLOOKUP($B1532,DG!A:D,DG!$C$2,)</f>
        <v>Kẹp quai 2/0</v>
      </c>
      <c r="F1532" s="1236" t="str">
        <f>VLOOKUP($B1532,DG!A:D,DG!$D$2,)</f>
        <v>cái</v>
      </c>
      <c r="G1532" s="1928">
        <f>pp_NC!DP95</f>
        <v>0</v>
      </c>
      <c r="H1532" s="1245">
        <f t="shared" si="307"/>
        <v>0</v>
      </c>
      <c r="I1532" s="1245"/>
      <c r="J1532" s="1245">
        <f>G1532</f>
        <v>0</v>
      </c>
      <c r="K1532" s="1245"/>
      <c r="L1532" s="1245"/>
      <c r="M1532" s="1245"/>
      <c r="N1532" s="1245"/>
      <c r="O1532" s="1245"/>
      <c r="P1532" s="1245">
        <f t="shared" si="314"/>
        <v>0</v>
      </c>
      <c r="Q1532" s="1245"/>
      <c r="R1532" s="1245"/>
      <c r="S1532" s="1245"/>
      <c r="T1532" s="1663"/>
      <c r="U1532" s="1664" t="str">
        <f>IFERROR(VLOOKUP(B1532,ChiTietDuToan!C:H,5,0),"")</f>
        <v/>
      </c>
      <c r="V1532" s="2309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91"/>
      <c r="B1533" s="1965" t="s">
        <v>1529</v>
      </c>
      <c r="C1533" s="1189" t="str">
        <f t="shared" si="311"/>
        <v xml:space="preserve"> </v>
      </c>
      <c r="D1533" s="1236"/>
      <c r="E1533" s="1248" t="str">
        <f>VLOOKUP($B1533,DG!A:D,DG!$C$2,)</f>
        <v>Kẹp hotline 2/0</v>
      </c>
      <c r="F1533" s="1236" t="str">
        <f>VLOOKUP($B1533,DG!A:D,DG!$D$2,)</f>
        <v>cái</v>
      </c>
      <c r="G1533" s="1928">
        <f>pp_NC!DQ95</f>
        <v>0</v>
      </c>
      <c r="H1533" s="1245">
        <f t="shared" si="307"/>
        <v>0</v>
      </c>
      <c r="I1533" s="1245"/>
      <c r="J1533" s="1245">
        <f>G1533</f>
        <v>0</v>
      </c>
      <c r="K1533" s="1245"/>
      <c r="L1533" s="1245"/>
      <c r="M1533" s="1245"/>
      <c r="N1533" s="1245"/>
      <c r="O1533" s="1245"/>
      <c r="P1533" s="1245">
        <f t="shared" si="314"/>
        <v>0</v>
      </c>
      <c r="Q1533" s="1245"/>
      <c r="R1533" s="1245"/>
      <c r="S1533" s="1245"/>
      <c r="T1533" s="1663"/>
      <c r="U1533" s="1664" t="str">
        <f>IFERROR(VLOOKUP(B1533,ChiTietDuToan!C:H,5,0),"")</f>
        <v/>
      </c>
      <c r="V1533" s="2309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91"/>
      <c r="B1534" s="1965" t="s">
        <v>922</v>
      </c>
      <c r="C1534" s="1189" t="str">
        <f t="shared" si="311"/>
        <v xml:space="preserve"> </v>
      </c>
      <c r="D1534" s="1236"/>
      <c r="E1534" s="1248" t="str">
        <f>VLOOKUP($B1534,DG!A:D,DG!$C$2,)</f>
        <v>Kẹp ép WR cỡ dây 50mm2</v>
      </c>
      <c r="F1534" s="1236" t="str">
        <f>VLOOKUP($B1534,DG!A:D,DG!$D$2,)</f>
        <v>cái</v>
      </c>
      <c r="G1534" s="1928">
        <f>pp_NC!DR95</f>
        <v>0</v>
      </c>
      <c r="H1534" s="1245">
        <f t="shared" si="307"/>
        <v>0</v>
      </c>
      <c r="I1534" s="1245"/>
      <c r="J1534" s="1245">
        <f>G1534</f>
        <v>0</v>
      </c>
      <c r="K1534" s="1245"/>
      <c r="L1534" s="1245"/>
      <c r="M1534" s="1245"/>
      <c r="N1534" s="1245"/>
      <c r="O1534" s="1245"/>
      <c r="P1534" s="1245">
        <f t="shared" si="314"/>
        <v>0</v>
      </c>
      <c r="Q1534" s="1245"/>
      <c r="R1534" s="1245"/>
      <c r="S1534" s="1245"/>
      <c r="T1534" s="1663"/>
      <c r="U1534" s="1664" t="str">
        <f>IFERROR(VLOOKUP(B1534,ChiTietDuToan!C:H,5,0),"")</f>
        <v/>
      </c>
      <c r="V1534" s="2309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91"/>
      <c r="B1535" s="1965" t="s">
        <v>36</v>
      </c>
      <c r="C1535" s="1189" t="str">
        <f t="shared" si="311"/>
        <v xml:space="preserve"> </v>
      </c>
      <c r="D1535" s="1236"/>
      <c r="E1535" s="1248" t="str">
        <f>VLOOKUP($B1535,DG!A:D,DG!$C$2,)</f>
        <v>Kẹp ép WR cỡ dây 95mm2</v>
      </c>
      <c r="F1535" s="1236" t="str">
        <f>VLOOKUP($B1535,DG!A:D,DG!$D$2,)</f>
        <v>cái</v>
      </c>
      <c r="G1535" s="1928">
        <f>pp_NC!DS95</f>
        <v>0</v>
      </c>
      <c r="H1535" s="1245">
        <f t="shared" si="307"/>
        <v>0</v>
      </c>
      <c r="I1535" s="1245"/>
      <c r="J1535" s="1245">
        <f t="shared" si="315"/>
        <v>0</v>
      </c>
      <c r="K1535" s="1245"/>
      <c r="L1535" s="1245"/>
      <c r="M1535" s="1245"/>
      <c r="N1535" s="1245"/>
      <c r="O1535" s="1245"/>
      <c r="P1535" s="1245">
        <f t="shared" si="314"/>
        <v>0</v>
      </c>
      <c r="Q1535" s="1245"/>
      <c r="R1535" s="1245"/>
      <c r="S1535" s="1245"/>
      <c r="T1535" s="1663"/>
      <c r="U1535" s="1664" t="str">
        <f>IFERROR(VLOOKUP(B1535,ChiTietDuToan!C:H,5,0),"")</f>
        <v/>
      </c>
      <c r="V1535" s="2309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66" t="s">
        <v>1097</v>
      </c>
      <c r="C1536" s="1189" t="str">
        <f t="shared" si="311"/>
        <v xml:space="preserve"> </v>
      </c>
      <c r="D1536" s="1236"/>
      <c r="E1536" s="1248" t="str">
        <f>VLOOKUP($B1536,DG!A:D,DG!$C$2,)</f>
        <v>Kẹp ép WR cỡ dây 150mm2</v>
      </c>
      <c r="F1536" s="1236" t="str">
        <f>VLOOKUP($B1536,DG!A:D,DG!$D$2,)</f>
        <v>cái</v>
      </c>
      <c r="G1536" s="1928">
        <f>pp_NC!DU95</f>
        <v>0</v>
      </c>
      <c r="H1536" s="1245">
        <f t="shared" si="307"/>
        <v>0</v>
      </c>
      <c r="I1536" s="1245"/>
      <c r="J1536" s="1245">
        <f t="shared" si="315"/>
        <v>0</v>
      </c>
      <c r="K1536" s="1245"/>
      <c r="L1536" s="1245"/>
      <c r="M1536" s="1245"/>
      <c r="N1536" s="1245"/>
      <c r="O1536" s="1245"/>
      <c r="P1536" s="1245">
        <f t="shared" si="314"/>
        <v>0</v>
      </c>
      <c r="Q1536" s="1245"/>
      <c r="R1536" s="1245"/>
      <c r="S1536" s="1245"/>
      <c r="T1536" s="1671"/>
      <c r="U1536" s="1664" t="str">
        <f>IFERROR(VLOOKUP(B1536,ChiTietDuToan!C:H,5,0),"")</f>
        <v/>
      </c>
      <c r="V1536" s="2309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66" t="s">
        <v>14</v>
      </c>
      <c r="C1537" s="1189" t="str">
        <f t="shared" si="311"/>
        <v xml:space="preserve"> </v>
      </c>
      <c r="D1537" s="1236"/>
      <c r="E1537" s="1248" t="str">
        <f>VLOOKUP($B1537,DG!A:D,DG!$C$2,)</f>
        <v>Kẹp ép WR cỡ dây 185mm2</v>
      </c>
      <c r="F1537" s="1236" t="str">
        <f>VLOOKUP($B1537,DG!A:D,DG!$D$2,)</f>
        <v>cái</v>
      </c>
      <c r="G1537" s="1928"/>
      <c r="H1537" s="1245">
        <f t="shared" si="307"/>
        <v>0</v>
      </c>
      <c r="I1537" s="1245"/>
      <c r="J1537" s="1245">
        <f t="shared" si="315"/>
        <v>0</v>
      </c>
      <c r="K1537" s="1245"/>
      <c r="L1537" s="1245"/>
      <c r="M1537" s="1245"/>
      <c r="N1537" s="1245"/>
      <c r="O1537" s="1245"/>
      <c r="P1537" s="1245">
        <f t="shared" si="314"/>
        <v>0</v>
      </c>
      <c r="Q1537" s="1245"/>
      <c r="R1537" s="1245"/>
      <c r="S1537" s="1245"/>
      <c r="T1537" s="1671"/>
      <c r="U1537" s="1664" t="str">
        <f>IFERROR(VLOOKUP(B1537,ChiTietDuToan!C:H,5,0),"")</f>
        <v/>
      </c>
      <c r="V1537" s="2309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66" t="s">
        <v>1098</v>
      </c>
      <c r="C1538" s="1189" t="str">
        <f t="shared" si="311"/>
        <v xml:space="preserve"> </v>
      </c>
      <c r="D1538" s="1236"/>
      <c r="E1538" s="1248" t="str">
        <f>VLOOKUP($B1538,DG!A:D,DG!$C$2,)</f>
        <v>Kẹp ép WR cỡ dây 240mm2</v>
      </c>
      <c r="F1538" s="1236" t="str">
        <f>VLOOKUP($B1538,DG!A:D,DG!$D$2,)</f>
        <v>cái</v>
      </c>
      <c r="G1538" s="1928">
        <f>pp_NC!DV95</f>
        <v>0</v>
      </c>
      <c r="H1538" s="1245">
        <f t="shared" si="307"/>
        <v>0</v>
      </c>
      <c r="I1538" s="1245"/>
      <c r="J1538" s="1245">
        <f t="shared" si="315"/>
        <v>0</v>
      </c>
      <c r="K1538" s="1245"/>
      <c r="L1538" s="1245"/>
      <c r="M1538" s="1245"/>
      <c r="N1538" s="1245"/>
      <c r="O1538" s="1245"/>
      <c r="P1538" s="1245">
        <f t="shared" si="314"/>
        <v>0</v>
      </c>
      <c r="Q1538" s="1245"/>
      <c r="R1538" s="1245"/>
      <c r="S1538" s="1245"/>
      <c r="T1538" s="1671"/>
      <c r="U1538" s="1664" t="str">
        <f>IFERROR(VLOOKUP(B1538,ChiTietDuToan!C:H,5,0),"")</f>
        <v/>
      </c>
      <c r="V1538" s="2309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66" t="s">
        <v>1940</v>
      </c>
      <c r="C1539" s="1189" t="str">
        <f t="shared" si="311"/>
        <v xml:space="preserve"> </v>
      </c>
      <c r="D1539" s="1236" t="str">
        <f>VLOOKUP($B1539,DG!A:D,DG!$B$2,)</f>
        <v>03.4003</v>
      </c>
      <c r="E1539" s="1248" t="str">
        <f>VLOOKUP($B1539,DG!A:D,DG!$C$2,)</f>
        <v>Đầu cosse ép Cu-Al 70mm2</v>
      </c>
      <c r="F1539" s="1236" t="str">
        <f>VLOOKUP($B1539,DG!A:D,DG!$D$2,)</f>
        <v>cái</v>
      </c>
      <c r="G1539" s="1928">
        <f>pp_NC!DW184</f>
        <v>0</v>
      </c>
      <c r="H1539" s="1245">
        <f t="shared" si="307"/>
        <v>0</v>
      </c>
      <c r="I1539" s="1245"/>
      <c r="J1539" s="1245">
        <f t="shared" si="315"/>
        <v>0</v>
      </c>
      <c r="K1539" s="1245"/>
      <c r="L1539" s="1245"/>
      <c r="M1539" s="1245"/>
      <c r="N1539" s="1245"/>
      <c r="O1539" s="1245"/>
      <c r="P1539" s="1245">
        <f t="shared" si="314"/>
        <v>0</v>
      </c>
      <c r="Q1539" s="1245"/>
      <c r="R1539" s="1245"/>
      <c r="S1539" s="1245"/>
      <c r="T1539" s="1671"/>
      <c r="U1539" s="1664" t="str">
        <f>IFERROR(VLOOKUP(B1539,ChiTietDuToan!C:H,5,0),"")</f>
        <v/>
      </c>
      <c r="V1539" s="2309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66" t="s">
        <v>1941</v>
      </c>
      <c r="C1540" s="1189" t="str">
        <f t="shared" si="311"/>
        <v xml:space="preserve"> </v>
      </c>
      <c r="D1540" s="1236" t="str">
        <f>VLOOKUP($B1540,DG!A:D,DG!$B$2,)</f>
        <v>03.4004</v>
      </c>
      <c r="E1540" s="1248" t="str">
        <f>VLOOKUP($B1540,DG!A:D,DG!$C$2,)</f>
        <v>Đầu cosse ép Cu-Al 95mm2</v>
      </c>
      <c r="F1540" s="1236" t="str">
        <f>VLOOKUP($B1540,DG!A:D,DG!$D$2,)</f>
        <v>cái</v>
      </c>
      <c r="G1540" s="1928">
        <f>pp_NC!DY184</f>
        <v>0</v>
      </c>
      <c r="H1540" s="1245">
        <f t="shared" si="307"/>
        <v>0</v>
      </c>
      <c r="I1540" s="1245"/>
      <c r="J1540" s="1245">
        <f t="shared" si="315"/>
        <v>0</v>
      </c>
      <c r="K1540" s="1245"/>
      <c r="L1540" s="1245"/>
      <c r="M1540" s="1245"/>
      <c r="N1540" s="1245"/>
      <c r="O1540" s="1245"/>
      <c r="P1540" s="1245">
        <f t="shared" si="314"/>
        <v>0</v>
      </c>
      <c r="Q1540" s="1245"/>
      <c r="R1540" s="1245"/>
      <c r="S1540" s="1245"/>
      <c r="T1540" s="1671"/>
      <c r="U1540" s="1664" t="str">
        <f>IFERROR(VLOOKUP(B1540,ChiTietDuToan!C:H,5,0),"")</f>
        <v/>
      </c>
      <c r="V1540" s="2309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66" t="s">
        <v>1942</v>
      </c>
      <c r="C1541" s="1189" t="str">
        <f t="shared" si="311"/>
        <v xml:space="preserve"> </v>
      </c>
      <c r="D1541" s="1236" t="str">
        <f>VLOOKUP($B1541,DG!A:D,DG!$B$2,)</f>
        <v>03.4005</v>
      </c>
      <c r="E1541" s="1248" t="str">
        <f>VLOOKUP($B1541,DG!A:D,DG!$C$2,)</f>
        <v>Đầu cosse ép Cu-Al 120mm2</v>
      </c>
      <c r="F1541" s="1236" t="str">
        <f>VLOOKUP($B1541,DG!A:D,DG!$D$2,)</f>
        <v>cái</v>
      </c>
      <c r="G1541" s="1928">
        <f>pp_NC!DZ184</f>
        <v>0</v>
      </c>
      <c r="H1541" s="1245">
        <f t="shared" si="307"/>
        <v>0</v>
      </c>
      <c r="I1541" s="1245"/>
      <c r="J1541" s="1245">
        <f t="shared" si="315"/>
        <v>0</v>
      </c>
      <c r="K1541" s="1245"/>
      <c r="L1541" s="1245"/>
      <c r="M1541" s="1245"/>
      <c r="N1541" s="1245"/>
      <c r="O1541" s="1245"/>
      <c r="P1541" s="1245">
        <f t="shared" si="314"/>
        <v>0</v>
      </c>
      <c r="Q1541" s="1245"/>
      <c r="R1541" s="1245"/>
      <c r="S1541" s="1245"/>
      <c r="T1541" s="1671"/>
      <c r="U1541" s="1664" t="str">
        <f>IFERROR(VLOOKUP(B1541,ChiTietDuToan!C:H,5,0),"")</f>
        <v/>
      </c>
      <c r="V1541" s="2309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66" t="s">
        <v>1049</v>
      </c>
      <c r="C1542" s="1189" t="str">
        <f t="shared" si="311"/>
        <v xml:space="preserve"> </v>
      </c>
      <c r="D1542" s="1236" t="str">
        <f>VLOOKUP($B1542,DG!A:D,DG!$B$2,)</f>
        <v>03.4006</v>
      </c>
      <c r="E1542" s="1248" t="str">
        <f>VLOOKUP($B1542,DG!A:D,DG!$C$2,)</f>
        <v>Đầu cosse ép Cu-Al 150mm2</v>
      </c>
      <c r="F1542" s="1236" t="str">
        <f>VLOOKUP($B1542,DG!A:D,DG!$D$2,)</f>
        <v>cái</v>
      </c>
      <c r="G1542" s="1928">
        <f>pp_NC!EA184</f>
        <v>0</v>
      </c>
      <c r="H1542" s="1245">
        <f t="shared" si="307"/>
        <v>0</v>
      </c>
      <c r="I1542" s="1245"/>
      <c r="J1542" s="1245">
        <f t="shared" si="315"/>
        <v>0</v>
      </c>
      <c r="K1542" s="1245"/>
      <c r="L1542" s="1245"/>
      <c r="M1542" s="1245"/>
      <c r="N1542" s="1245"/>
      <c r="O1542" s="1245"/>
      <c r="P1542" s="1245">
        <f t="shared" si="314"/>
        <v>0</v>
      </c>
      <c r="Q1542" s="1245"/>
      <c r="R1542" s="1245"/>
      <c r="S1542" s="1245"/>
      <c r="T1542" s="1671"/>
      <c r="U1542" s="1664" t="str">
        <f>IFERROR(VLOOKUP(B1542,ChiTietDuToan!C:H,5,0),"")</f>
        <v/>
      </c>
      <c r="V1542" s="2309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66" t="s">
        <v>1050</v>
      </c>
      <c r="C1543" s="1189" t="str">
        <f t="shared" si="311"/>
        <v xml:space="preserve"> </v>
      </c>
      <c r="D1543" s="1236" t="str">
        <f>VLOOKUP($B1543,DG!A:D,DG!$B$2,)</f>
        <v>03.4007</v>
      </c>
      <c r="E1543" s="1248" t="str">
        <f>VLOOKUP($B1543,DG!A:D,DG!$C$2,)</f>
        <v>Đầu cosse ép Cu-Al 185mm2</v>
      </c>
      <c r="F1543" s="1236" t="str">
        <f>VLOOKUP($B1543,DG!A:D,DG!$D$2,)</f>
        <v>cái</v>
      </c>
      <c r="G1543" s="1928"/>
      <c r="H1543" s="1245">
        <f t="shared" si="307"/>
        <v>0</v>
      </c>
      <c r="I1543" s="1245"/>
      <c r="J1543" s="1245">
        <f t="shared" si="315"/>
        <v>0</v>
      </c>
      <c r="K1543" s="1245"/>
      <c r="L1543" s="1245"/>
      <c r="M1543" s="1245"/>
      <c r="N1543" s="1245"/>
      <c r="O1543" s="1245"/>
      <c r="P1543" s="1245">
        <f t="shared" si="314"/>
        <v>0</v>
      </c>
      <c r="Q1543" s="1245"/>
      <c r="R1543" s="1245"/>
      <c r="S1543" s="1245"/>
      <c r="T1543" s="1671"/>
      <c r="U1543" s="1664" t="str">
        <f>IFERROR(VLOOKUP(B1543,ChiTietDuToan!C:H,5,0),"")</f>
        <v/>
      </c>
      <c r="V1543" s="2309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66" t="s">
        <v>1884</v>
      </c>
      <c r="C1544" s="1189" t="str">
        <f t="shared" si="311"/>
        <v xml:space="preserve"> </v>
      </c>
      <c r="D1544" s="1236" t="str">
        <f>VLOOKUP($B1544,DG!A:D,DG!$B$2,)</f>
        <v>03.4008</v>
      </c>
      <c r="E1544" s="1248" t="str">
        <f>VLOOKUP($B1544,DG!A:D,DG!$C$2,)</f>
        <v>Đầu cosse ép Cu-Al 240mm2</v>
      </c>
      <c r="F1544" s="1236" t="str">
        <f>VLOOKUP($B1544,DG!A:D,DG!$D$2,)</f>
        <v>cái</v>
      </c>
      <c r="G1544" s="1928">
        <f>pp_NC!EC95</f>
        <v>0</v>
      </c>
      <c r="H1544" s="1245">
        <f t="shared" si="307"/>
        <v>0</v>
      </c>
      <c r="I1544" s="1245"/>
      <c r="J1544" s="1245">
        <f t="shared" si="315"/>
        <v>0</v>
      </c>
      <c r="K1544" s="1245"/>
      <c r="L1544" s="1245"/>
      <c r="M1544" s="1245"/>
      <c r="N1544" s="1245"/>
      <c r="O1544" s="1245"/>
      <c r="P1544" s="1245">
        <f t="shared" si="314"/>
        <v>0</v>
      </c>
      <c r="Q1544" s="1245"/>
      <c r="R1544" s="1245"/>
      <c r="S1544" s="1245"/>
      <c r="T1544" s="1671"/>
      <c r="U1544" s="1664" t="str">
        <f>IFERROR(VLOOKUP(B1544,ChiTietDuToan!C:H,5,0),"")</f>
        <v/>
      </c>
      <c r="V1544" s="2309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66" t="s">
        <v>440</v>
      </c>
      <c r="C1545" s="1189" t="str">
        <f t="shared" si="311"/>
        <v xml:space="preserve"> </v>
      </c>
      <c r="D1545" s="1236">
        <f>VLOOKUP($B1545,DG!A:D,DG!$B$2,)</f>
        <v>0</v>
      </c>
      <c r="E1545" s="1248" t="str">
        <f>VLOOKUP($B1545,DG!A:D,DG!$C$2,)</f>
        <v>Boulon 12x30+ 2 long đền vuông D14-50x50x3/Zn</v>
      </c>
      <c r="F1545" s="1236" t="str">
        <f>VLOOKUP($B1545,DG!A:D,DG!$D$2,)</f>
        <v>bộ</v>
      </c>
      <c r="G1545" s="1928">
        <f>SUM(G1539:G1544)*2</f>
        <v>0</v>
      </c>
      <c r="H1545" s="1245">
        <f t="shared" si="307"/>
        <v>0</v>
      </c>
      <c r="I1545" s="1245"/>
      <c r="J1545" s="1245">
        <f t="shared" ref="J1545:J1558" si="316">G1545</f>
        <v>0</v>
      </c>
      <c r="K1545" s="1245"/>
      <c r="L1545" s="1245"/>
      <c r="M1545" s="1245"/>
      <c r="N1545" s="1245"/>
      <c r="O1545" s="1245"/>
      <c r="P1545" s="1245">
        <f t="shared" si="314"/>
        <v>0</v>
      </c>
      <c r="Q1545" s="1245"/>
      <c r="R1545" s="1245"/>
      <c r="S1545" s="1245"/>
      <c r="T1545" s="1671"/>
      <c r="U1545" s="1664" t="str">
        <f>IFERROR(VLOOKUP(B1545,ChiTietDuToan!C:H,5,0),"")</f>
        <v/>
      </c>
      <c r="V1545" s="2309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66" t="s">
        <v>1531</v>
      </c>
      <c r="C1546" s="1189" t="str">
        <f t="shared" si="311"/>
        <v xml:space="preserve"> </v>
      </c>
      <c r="D1546" s="1236" t="str">
        <f>VLOOKUP($B1546,DG!A:D,DG!$B$2,)</f>
        <v>04.3007</v>
      </c>
      <c r="E1546" s="1248" t="str">
        <f>VLOOKUP($B1546,DG!A:D,DG!$C$2,)</f>
        <v>Kẹp quai 2/0</v>
      </c>
      <c r="F1546" s="1236" t="str">
        <f>VLOOKUP($B1546,DG!A:D,DG!$D$2,)</f>
        <v>cái</v>
      </c>
      <c r="G1546" s="1928"/>
      <c r="H1546" s="1245">
        <f t="shared" si="307"/>
        <v>0</v>
      </c>
      <c r="I1546" s="1245"/>
      <c r="J1546" s="1245">
        <f t="shared" si="316"/>
        <v>0</v>
      </c>
      <c r="K1546" s="1245"/>
      <c r="L1546" s="1245"/>
      <c r="M1546" s="1245"/>
      <c r="N1546" s="1245"/>
      <c r="O1546" s="1245"/>
      <c r="P1546" s="1245">
        <f t="shared" si="314"/>
        <v>0</v>
      </c>
      <c r="Q1546" s="1245"/>
      <c r="R1546" s="1245"/>
      <c r="S1546" s="1245"/>
      <c r="T1546" s="1671"/>
      <c r="U1546" s="1664" t="str">
        <f>IFERROR(VLOOKUP(B1546,ChiTietDuToan!C:H,5,0),"")</f>
        <v/>
      </c>
      <c r="V1546" s="2309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66" t="s">
        <v>237</v>
      </c>
      <c r="C1547" s="1189" t="str">
        <f t="shared" si="311"/>
        <v xml:space="preserve"> </v>
      </c>
      <c r="D1547" s="1236" t="str">
        <f>VLOOKUP($B1547,DG!A:D,DG!$B$2,)</f>
        <v>04.3007</v>
      </c>
      <c r="E1547" s="1248" t="str">
        <f>VLOOKUP($B1547,DG!A:D,DG!$C$2,)</f>
        <v>Kẹp quai 4/0</v>
      </c>
      <c r="F1547" s="1236" t="str">
        <f>VLOOKUP($B1547,DG!A:D,DG!$D$2,)</f>
        <v>cái</v>
      </c>
      <c r="G1547" s="1915">
        <f>G1546</f>
        <v>0</v>
      </c>
      <c r="H1547" s="1245">
        <f t="shared" si="307"/>
        <v>0</v>
      </c>
      <c r="I1547" s="1245"/>
      <c r="J1547" s="1245">
        <f t="shared" si="316"/>
        <v>0</v>
      </c>
      <c r="K1547" s="1245"/>
      <c r="L1547" s="1245"/>
      <c r="M1547" s="1245"/>
      <c r="N1547" s="1245"/>
      <c r="O1547" s="1245"/>
      <c r="P1547" s="1245">
        <f t="shared" si="314"/>
        <v>0</v>
      </c>
      <c r="Q1547" s="1245"/>
      <c r="R1547" s="1245"/>
      <c r="S1547" s="1245"/>
      <c r="T1547" s="1671"/>
      <c r="U1547" s="1664" t="str">
        <f>IFERROR(VLOOKUP(B1547,ChiTietDuToan!C:H,5,0),"")</f>
        <v>cái</v>
      </c>
      <c r="V1547" s="2309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85" t="s">
        <v>1529</v>
      </c>
      <c r="C1548" s="1189" t="str">
        <f t="shared" si="311"/>
        <v xml:space="preserve"> </v>
      </c>
      <c r="D1548" s="1236"/>
      <c r="E1548" s="1248" t="str">
        <f>VLOOKUP($B1548,DG!A:D,DG!$C$2,)</f>
        <v>Kẹp hotline 2/0</v>
      </c>
      <c r="F1548" s="1236" t="str">
        <f>VLOOKUP($B1548,DG!A:D,DG!$D$2,)</f>
        <v>cái</v>
      </c>
      <c r="G1548" s="1915">
        <f>G1546*3/2</f>
        <v>0</v>
      </c>
      <c r="H1548" s="1245">
        <f t="shared" si="307"/>
        <v>0</v>
      </c>
      <c r="I1548" s="1245"/>
      <c r="J1548" s="1245">
        <f t="shared" si="316"/>
        <v>0</v>
      </c>
      <c r="K1548" s="1245"/>
      <c r="L1548" s="1245"/>
      <c r="M1548" s="1245"/>
      <c r="N1548" s="1245"/>
      <c r="O1548" s="1245"/>
      <c r="P1548" s="1245">
        <f t="shared" si="314"/>
        <v>0</v>
      </c>
      <c r="Q1548" s="1245"/>
      <c r="R1548" s="1245"/>
      <c r="S1548" s="1245"/>
      <c r="T1548" s="1671"/>
      <c r="U1548" s="1664" t="str">
        <f>IFERROR(VLOOKUP(B1548,ChiTietDuToan!C:H,5,0),"")</f>
        <v/>
      </c>
      <c r="V1548" s="2309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85" t="s">
        <v>1079</v>
      </c>
      <c r="C1549" s="1189" t="str">
        <f t="shared" si="311"/>
        <v xml:space="preserve"> </v>
      </c>
      <c r="D1549" s="1236"/>
      <c r="E1549" s="1248" t="str">
        <f>VLOOKUP($B1549,DG!A:D,DG!$C$2,)</f>
        <v>Kẹp hotline 4/0</v>
      </c>
      <c r="F1549" s="1236" t="str">
        <f>VLOOKUP($B1549,DG!A:D,DG!$D$2,)</f>
        <v>cái</v>
      </c>
      <c r="G1549" s="1928">
        <f>pp_NC!BP184</f>
        <v>0</v>
      </c>
      <c r="H1549" s="1245">
        <f>$G1549</f>
        <v>0</v>
      </c>
      <c r="I1549" s="1245"/>
      <c r="J1549" s="1245">
        <f t="shared" si="316"/>
        <v>0</v>
      </c>
      <c r="K1549" s="1245"/>
      <c r="L1549" s="1245"/>
      <c r="M1549" s="1245"/>
      <c r="N1549" s="1245"/>
      <c r="O1549" s="1245"/>
      <c r="P1549" s="1245">
        <f t="shared" si="314"/>
        <v>0</v>
      </c>
      <c r="Q1549" s="1245"/>
      <c r="R1549" s="1245"/>
      <c r="S1549" s="1245"/>
      <c r="T1549" s="1671"/>
      <c r="U1549" s="1664" t="str">
        <f>IFERROR(VLOOKUP(B1549,ChiTietDuToan!C:H,5,0),"")</f>
        <v>cái</v>
      </c>
      <c r="V1549" s="2309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66" t="s">
        <v>1539</v>
      </c>
      <c r="C1550" s="1189" t="str">
        <f t="shared" si="311"/>
        <v xml:space="preserve"> </v>
      </c>
      <c r="D1550" s="1236"/>
      <c r="E1550" s="1248" t="str">
        <f>VLOOKUP($B1550,DG!A:D,DG!$C$2,)</f>
        <v>Ống nối dây cỡ 50mm2</v>
      </c>
      <c r="F1550" s="1236" t="str">
        <f>VLOOKUP($B1550,DG!A:D,DG!$D$2,)</f>
        <v>cái</v>
      </c>
      <c r="G1550" s="1915">
        <f>ROUND((D1462)*1.03/1500,0)</f>
        <v>0</v>
      </c>
      <c r="H1550" s="1245">
        <f t="shared" si="307"/>
        <v>0</v>
      </c>
      <c r="I1550" s="1245"/>
      <c r="J1550" s="1245">
        <f t="shared" si="316"/>
        <v>0</v>
      </c>
      <c r="K1550" s="1245"/>
      <c r="L1550" s="1245"/>
      <c r="M1550" s="1245"/>
      <c r="N1550" s="1245"/>
      <c r="O1550" s="1245"/>
      <c r="P1550" s="1245">
        <f t="shared" si="314"/>
        <v>0</v>
      </c>
      <c r="Q1550" s="1245"/>
      <c r="R1550" s="1245"/>
      <c r="S1550" s="1245"/>
      <c r="T1550" s="1671"/>
      <c r="U1550" s="1664" t="str">
        <f>IFERROR(VLOOKUP(B1550,ChiTietDuToan!C:H,5,0),"")</f>
        <v>cái</v>
      </c>
      <c r="V1550" s="2309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66" t="s">
        <v>1540</v>
      </c>
      <c r="C1551" s="1189" t="str">
        <f t="shared" ref="C1551:C1614" si="317">IF(OR(P1551&lt;&gt;0,H1551&lt;&gt;0),"x"," ")</f>
        <v xml:space="preserve"> </v>
      </c>
      <c r="D1551" s="1236"/>
      <c r="E1551" s="1248" t="str">
        <f>VLOOKUP($B1551,DG!A:D,DG!$C$2,)</f>
        <v>Ống nối dây cỡ 70mm2</v>
      </c>
      <c r="F1551" s="1236" t="str">
        <f>VLOOKUP($B1551,DG!A:D,DG!$D$2,)</f>
        <v>cái</v>
      </c>
      <c r="G1551" s="1915">
        <f>ROUND((D1461+D1469)*1.03/1400,0)</f>
        <v>0</v>
      </c>
      <c r="H1551" s="1245">
        <f t="shared" ref="H1551:H1558" si="318">$G1551</f>
        <v>0</v>
      </c>
      <c r="I1551" s="1245"/>
      <c r="J1551" s="1245">
        <f t="shared" si="316"/>
        <v>0</v>
      </c>
      <c r="K1551" s="1245"/>
      <c r="L1551" s="1245"/>
      <c r="M1551" s="1245"/>
      <c r="N1551" s="1245"/>
      <c r="O1551" s="1245"/>
      <c r="P1551" s="1245">
        <f t="shared" si="314"/>
        <v>0</v>
      </c>
      <c r="Q1551" s="1245"/>
      <c r="R1551" s="1245"/>
      <c r="S1551" s="1245"/>
      <c r="T1551" s="1671"/>
      <c r="U1551" s="1664" t="str">
        <f>IFERROR(VLOOKUP(B1551,ChiTietDuToan!C:H,5,0),"")</f>
        <v/>
      </c>
      <c r="V1551" s="2309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66" t="s">
        <v>435</v>
      </c>
      <c r="C1552" s="1189" t="str">
        <f t="shared" si="317"/>
        <v xml:space="preserve"> </v>
      </c>
      <c r="D1552" s="1236"/>
      <c r="E1552" s="1248" t="str">
        <f>VLOOKUP($B1552,DG!A:D,DG!$C$2,)</f>
        <v>Ống nối dây cỡ 95mm2</v>
      </c>
      <c r="F1552" s="1236" t="str">
        <f>VLOOKUP($B1552,DG!A:D,DG!$D$2,)</f>
        <v>cái</v>
      </c>
      <c r="G1552" s="1915">
        <f>ROUND((D1460+D1468)*1.03/1200,0)</f>
        <v>0</v>
      </c>
      <c r="H1552" s="1245">
        <f t="shared" si="318"/>
        <v>0</v>
      </c>
      <c r="I1552" s="1245"/>
      <c r="J1552" s="1245">
        <f t="shared" si="316"/>
        <v>0</v>
      </c>
      <c r="K1552" s="1245"/>
      <c r="L1552" s="1245"/>
      <c r="M1552" s="1245"/>
      <c r="N1552" s="1245"/>
      <c r="O1552" s="1245"/>
      <c r="P1552" s="1245">
        <f t="shared" si="314"/>
        <v>0</v>
      </c>
      <c r="Q1552" s="1245"/>
      <c r="R1552" s="1245"/>
      <c r="S1552" s="1245"/>
      <c r="T1552" s="1671"/>
      <c r="U1552" s="1664" t="str">
        <f>IFERROR(VLOOKUP(B1552,ChiTietDuToan!C:H,5,0),"")</f>
        <v/>
      </c>
      <c r="V1552" s="2309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66" t="s">
        <v>577</v>
      </c>
      <c r="C1553" s="1189" t="str">
        <f t="shared" si="317"/>
        <v xml:space="preserve"> </v>
      </c>
      <c r="D1553" s="1236"/>
      <c r="E1553" s="1248" t="str">
        <f>VLOOKUP($B1553,DG!A:D,DG!$C$2,)</f>
        <v>Ống nối dây cỡ 120mm2</v>
      </c>
      <c r="F1553" s="1236" t="str">
        <f>VLOOKUP($B1553,DG!A:D,DG!$D$2,)</f>
        <v>cái</v>
      </c>
      <c r="G1553" s="1915">
        <f>ROUND((D1459+D1467)*1.03/1200,0)</f>
        <v>0</v>
      </c>
      <c r="H1553" s="1245">
        <f t="shared" si="318"/>
        <v>0</v>
      </c>
      <c r="I1553" s="1245"/>
      <c r="J1553" s="1245">
        <f t="shared" si="316"/>
        <v>0</v>
      </c>
      <c r="K1553" s="1245"/>
      <c r="L1553" s="1245"/>
      <c r="M1553" s="1245"/>
      <c r="N1553" s="1245"/>
      <c r="O1553" s="1245"/>
      <c r="P1553" s="1245">
        <f t="shared" si="314"/>
        <v>0</v>
      </c>
      <c r="Q1553" s="1245"/>
      <c r="R1553" s="1245"/>
      <c r="S1553" s="1245"/>
      <c r="T1553" s="1671"/>
      <c r="U1553" s="1664" t="str">
        <f>IFERROR(VLOOKUP(B1553,ChiTietDuToan!C:H,5,0),"")</f>
        <v>cái</v>
      </c>
      <c r="V1553" s="2309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66" t="s">
        <v>954</v>
      </c>
      <c r="C1554" s="1189" t="str">
        <f t="shared" si="317"/>
        <v xml:space="preserve"> </v>
      </c>
      <c r="D1554" s="1236"/>
      <c r="E1554" s="1248" t="str">
        <f>VLOOKUP($B1554,DG!A:D,DG!$C$2,)</f>
        <v>Ống nối dây cỡ 150mm2</v>
      </c>
      <c r="F1554" s="1236" t="str">
        <f>VLOOKUP($B1554,DG!A:D,DG!$D$2,)</f>
        <v>cái</v>
      </c>
      <c r="G1554" s="1915">
        <f>ROUND((D1458+D1466)*1.03/1200,0)</f>
        <v>0</v>
      </c>
      <c r="H1554" s="1245">
        <f t="shared" si="318"/>
        <v>0</v>
      </c>
      <c r="I1554" s="1245"/>
      <c r="J1554" s="1245">
        <f t="shared" si="316"/>
        <v>0</v>
      </c>
      <c r="K1554" s="1245"/>
      <c r="L1554" s="1245"/>
      <c r="M1554" s="1245"/>
      <c r="N1554" s="1245"/>
      <c r="O1554" s="1245"/>
      <c r="P1554" s="1245">
        <f t="shared" si="314"/>
        <v>0</v>
      </c>
      <c r="Q1554" s="1245"/>
      <c r="R1554" s="1245"/>
      <c r="S1554" s="1245"/>
      <c r="T1554" s="1671"/>
      <c r="U1554" s="1664" t="str">
        <f>IFERROR(VLOOKUP(B1554,ChiTietDuToan!C:H,5,0),"")</f>
        <v/>
      </c>
      <c r="V1554" s="2309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66" t="s">
        <v>576</v>
      </c>
      <c r="C1555" s="1189" t="str">
        <f t="shared" si="317"/>
        <v xml:space="preserve"> </v>
      </c>
      <c r="D1555" s="1236"/>
      <c r="E1555" s="1248" t="str">
        <f>VLOOKUP($B1555,DG!A:D,DG!$C$2,)</f>
        <v>Ống nối dây cỡ 185mm2</v>
      </c>
      <c r="F1555" s="1236" t="str">
        <f>VLOOKUP($B1555,DG!A:D,DG!$D$2,)</f>
        <v>cái</v>
      </c>
      <c r="G1555" s="1915">
        <f>ROUND((D1457+D1465)*1.03/1200,0)</f>
        <v>0</v>
      </c>
      <c r="H1555" s="1245">
        <f t="shared" si="318"/>
        <v>0</v>
      </c>
      <c r="I1555" s="1245"/>
      <c r="J1555" s="1245">
        <f t="shared" si="316"/>
        <v>0</v>
      </c>
      <c r="K1555" s="1245"/>
      <c r="L1555" s="1245"/>
      <c r="M1555" s="1245"/>
      <c r="N1555" s="1245"/>
      <c r="O1555" s="1245"/>
      <c r="P1555" s="1245">
        <f t="shared" si="314"/>
        <v>0</v>
      </c>
      <c r="Q1555" s="1245"/>
      <c r="R1555" s="1245"/>
      <c r="S1555" s="1245"/>
      <c r="T1555" s="1671"/>
      <c r="U1555" s="1664" t="str">
        <f>IFERROR(VLOOKUP(B1555,ChiTietDuToan!C:H,5,0),"")</f>
        <v>cái</v>
      </c>
      <c r="V1555" s="2309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66" t="s">
        <v>575</v>
      </c>
      <c r="C1556" s="1189" t="str">
        <f t="shared" si="317"/>
        <v xml:space="preserve"> </v>
      </c>
      <c r="D1556" s="1236"/>
      <c r="E1556" s="1248" t="str">
        <f>VLOOKUP($B1556,DG!A:D,DG!$C$2,)</f>
        <v>Ống nối dây cỡ 240mm2</v>
      </c>
      <c r="F1556" s="1236" t="str">
        <f>VLOOKUP($B1556,DG!A:D,DG!$D$2,)</f>
        <v>cái</v>
      </c>
      <c r="G1556" s="1915">
        <f>ROUND((D1456+D1464)*1.03/1200,0)</f>
        <v>0</v>
      </c>
      <c r="H1556" s="1245">
        <f t="shared" si="318"/>
        <v>0</v>
      </c>
      <c r="I1556" s="1245"/>
      <c r="J1556" s="1245">
        <f t="shared" si="316"/>
        <v>0</v>
      </c>
      <c r="K1556" s="1245"/>
      <c r="L1556" s="1245"/>
      <c r="M1556" s="1245"/>
      <c r="N1556" s="1245"/>
      <c r="O1556" s="1245"/>
      <c r="P1556" s="1245">
        <f t="shared" si="314"/>
        <v>0</v>
      </c>
      <c r="Q1556" s="1245"/>
      <c r="R1556" s="1245"/>
      <c r="S1556" s="1245"/>
      <c r="T1556" s="1671"/>
      <c r="U1556" s="1664" t="str">
        <f>IFERROR(VLOOKUP(B1556,ChiTietDuToan!C:H,5,0),"")</f>
        <v/>
      </c>
      <c r="V1556" s="2309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91"/>
      <c r="B1557" s="1965" t="s">
        <v>230</v>
      </c>
      <c r="C1557" s="1189" t="str">
        <f t="shared" si="317"/>
        <v xml:space="preserve"> </v>
      </c>
      <c r="D1557" s="1236"/>
      <c r="E1557" s="1248" t="str">
        <f>VLOOKUP($B1557,DG!A:D,DG!$C$2,)</f>
        <v xml:space="preserve">Dây nhôm buộc </v>
      </c>
      <c r="F1557" s="1236" t="str">
        <f>VLOOKUP($B1557,DG!A:D,DG!$D$2,)</f>
        <v>kg</v>
      </c>
      <c r="G1557" s="1915"/>
      <c r="H1557" s="1245">
        <f>$G1557</f>
        <v>0</v>
      </c>
      <c r="I1557" s="1245"/>
      <c r="J1557" s="1245">
        <f t="shared" si="316"/>
        <v>0</v>
      </c>
      <c r="K1557" s="1245"/>
      <c r="L1557" s="1245"/>
      <c r="M1557" s="1245"/>
      <c r="N1557" s="1245"/>
      <c r="O1557" s="1245"/>
      <c r="P1557" s="1245">
        <f>H1557+Q1557-R1557</f>
        <v>0</v>
      </c>
      <c r="Q1557" s="1245"/>
      <c r="R1557" s="1245"/>
      <c r="S1557" s="1245"/>
      <c r="T1557" s="1663"/>
      <c r="U1557" s="1664" t="str">
        <f>IFERROR(VLOOKUP(B1557,ChiTietDuToan!C:H,5,0),"")</f>
        <v>kg</v>
      </c>
      <c r="V1557" s="2309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66" t="s">
        <v>1622</v>
      </c>
      <c r="C1558" s="1189" t="str">
        <f t="shared" si="317"/>
        <v xml:space="preserve"> </v>
      </c>
      <c r="D1558" s="1236"/>
      <c r="E1558" s="1248" t="str">
        <f>VLOOKUP($B1558,DG!A:D,DG!$C$2,)</f>
        <v>Biển số - Bảng nguy hiểm</v>
      </c>
      <c r="F1558" s="1236" t="str">
        <f>VLOOKUP($B1558,DG!A:D,DG!$D$2,)</f>
        <v>cái</v>
      </c>
      <c r="G1558" s="1915"/>
      <c r="H1558" s="1245">
        <f t="shared" si="318"/>
        <v>0</v>
      </c>
      <c r="I1558" s="1245"/>
      <c r="J1558" s="1245">
        <f t="shared" si="316"/>
        <v>0</v>
      </c>
      <c r="K1558" s="1245"/>
      <c r="L1558" s="1245"/>
      <c r="M1558" s="1245"/>
      <c r="N1558" s="1245"/>
      <c r="O1558" s="1245"/>
      <c r="P1558" s="1245">
        <f t="shared" si="314"/>
        <v>0</v>
      </c>
      <c r="Q1558" s="1245"/>
      <c r="R1558" s="1245"/>
      <c r="S1558" s="1245"/>
      <c r="T1558" s="1671"/>
      <c r="U1558" s="1664" t="str">
        <f>IFERROR(VLOOKUP(B1558,ChiTietDuToan!C:H,5,0),"")</f>
        <v>kg</v>
      </c>
      <c r="V1558" s="2309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66" t="s">
        <v>1302</v>
      </c>
      <c r="C1559" s="1189" t="str">
        <f t="shared" si="317"/>
        <v xml:space="preserve"> </v>
      </c>
      <c r="D1559" s="1236" t="str">
        <f>VLOOKUP($B1559,DG!A:D,DG!$B$2,)</f>
        <v>06.6114</v>
      </c>
      <c r="E1559" s="1248" t="s">
        <v>2582</v>
      </c>
      <c r="F1559" s="1236" t="str">
        <f>VLOOKUP($B1559,DG!A:D,DG!$D$2,)</f>
        <v>km</v>
      </c>
      <c r="G1559" s="1913"/>
      <c r="H1559" s="1245"/>
      <c r="I1559" s="1245"/>
      <c r="J1559" s="1245"/>
      <c r="K1559" s="1245"/>
      <c r="L1559" s="1245"/>
      <c r="M1559" s="1245"/>
      <c r="N1559" s="1245"/>
      <c r="O1559" s="1245"/>
      <c r="P1559" s="1245">
        <f t="shared" si="314"/>
        <v>0</v>
      </c>
      <c r="Q1559" s="1245"/>
      <c r="R1559" s="1245"/>
      <c r="S1559" s="1245"/>
      <c r="T1559" s="1671"/>
      <c r="U1559" s="1664" t="str">
        <f>IFERROR(VLOOKUP(B1559,ChiTietDuToan!C:H,5,0),"")</f>
        <v/>
      </c>
      <c r="V1559" s="2309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66" t="s">
        <v>1447</v>
      </c>
      <c r="C1560" s="1189" t="str">
        <f t="shared" si="317"/>
        <v xml:space="preserve"> </v>
      </c>
      <c r="D1560" s="1236" t="str">
        <f>VLOOKUP($B1560,DG!A:D,DG!$B$2,)</f>
        <v>06.6105</v>
      </c>
      <c r="E1560" s="1241" t="str">
        <f>VLOOKUP($B1560,DG!A:D,DG!$C$2,)</f>
        <v>Kéo dây nhôm lõi thép cỡ dây 70mm2</v>
      </c>
      <c r="F1560" s="1236" t="str">
        <f>VLOOKUP($B1560,DG!A:D,DG!$D$2,)</f>
        <v>km</v>
      </c>
      <c r="G1560" s="1913">
        <f>(D1461)/1000</f>
        <v>0</v>
      </c>
      <c r="H1560" s="1245"/>
      <c r="I1560" s="1245"/>
      <c r="J1560" s="1245"/>
      <c r="K1560" s="1245"/>
      <c r="L1560" s="1245"/>
      <c r="M1560" s="1245"/>
      <c r="N1560" s="1245"/>
      <c r="O1560" s="1245"/>
      <c r="P1560" s="1245">
        <f t="shared" si="314"/>
        <v>0</v>
      </c>
      <c r="Q1560" s="1245"/>
      <c r="R1560" s="1245"/>
      <c r="S1560" s="1245"/>
      <c r="T1560" s="1671"/>
      <c r="U1560" s="1664" t="str">
        <f>IFERROR(VLOOKUP(B1560,ChiTietDuToan!C:H,5,0),"")</f>
        <v/>
      </c>
      <c r="V1560" s="2309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66" t="s">
        <v>1576</v>
      </c>
      <c r="C1561" s="1189" t="str">
        <f t="shared" si="317"/>
        <v xml:space="preserve"> </v>
      </c>
      <c r="D1561" s="1236" t="str">
        <f>VLOOKUP($B1561,DG!A:D,DG!$B$2,)</f>
        <v>06.6106</v>
      </c>
      <c r="E1561" s="1241" t="str">
        <f>VLOOKUP($B1561,DG!A:D,DG!$C$2,)</f>
        <v>Kéo dây nhôm lõi thép cỡ dây 95mm2</v>
      </c>
      <c r="F1561" s="1236" t="str">
        <f>VLOOKUP($B1561,DG!A:D,DG!$D$2,)</f>
        <v>km</v>
      </c>
      <c r="G1561" s="1913">
        <f>(D1460)/1000</f>
        <v>0</v>
      </c>
      <c r="H1561" s="1245"/>
      <c r="I1561" s="1245"/>
      <c r="J1561" s="1245"/>
      <c r="K1561" s="1245"/>
      <c r="L1561" s="1245"/>
      <c r="M1561" s="1245"/>
      <c r="N1561" s="1245"/>
      <c r="O1561" s="1245"/>
      <c r="P1561" s="1245">
        <f t="shared" si="314"/>
        <v>0</v>
      </c>
      <c r="Q1561" s="1245"/>
      <c r="R1561" s="1245"/>
      <c r="S1561" s="1245"/>
      <c r="T1561" s="1671"/>
      <c r="U1561" s="1664" t="str">
        <f>IFERROR(VLOOKUP(B1561,ChiTietDuToan!C:H,5,0),"")</f>
        <v/>
      </c>
      <c r="V1561" s="2309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66" t="s">
        <v>140</v>
      </c>
      <c r="C1562" s="1189" t="str">
        <f t="shared" si="317"/>
        <v xml:space="preserve"> </v>
      </c>
      <c r="D1562" s="1236" t="str">
        <f>VLOOKUP($B1562,DG!A:D,DG!$B$2,)</f>
        <v>06.6107</v>
      </c>
      <c r="E1562" s="1241" t="str">
        <f>VLOOKUP($B1562,DG!A:D,DG!$C$2,)</f>
        <v>Kéo dây nhôm lõi thép cỡ dây 120mm2</v>
      </c>
      <c r="F1562" s="1236" t="str">
        <f>VLOOKUP($B1562,DG!A:D,DG!$D$2,)</f>
        <v>km</v>
      </c>
      <c r="G1562" s="1913">
        <f>(D1459)/1000</f>
        <v>0</v>
      </c>
      <c r="H1562" s="1245"/>
      <c r="I1562" s="1245"/>
      <c r="J1562" s="1245"/>
      <c r="K1562" s="1245"/>
      <c r="L1562" s="1245"/>
      <c r="M1562" s="1245"/>
      <c r="N1562" s="1245"/>
      <c r="O1562" s="1245"/>
      <c r="P1562" s="1245">
        <f t="shared" si="314"/>
        <v>0</v>
      </c>
      <c r="Q1562" s="1245"/>
      <c r="R1562" s="1245"/>
      <c r="S1562" s="1245"/>
      <c r="T1562" s="1671"/>
      <c r="U1562" s="1664" t="str">
        <f>IFERROR(VLOOKUP(B1562,ChiTietDuToan!C:H,5,0),"")</f>
        <v>km</v>
      </c>
      <c r="V1562" s="2309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66" t="s">
        <v>799</v>
      </c>
      <c r="C1563" s="1189" t="str">
        <f t="shared" si="317"/>
        <v xml:space="preserve"> </v>
      </c>
      <c r="D1563" s="1236" t="str">
        <f>VLOOKUP($B1563,DG!A:D,DG!$B$2,)</f>
        <v>06.6108</v>
      </c>
      <c r="E1563" s="1241" t="str">
        <f>VLOOKUP($B1563,DG!A:D,DG!$C$2,)</f>
        <v>Kéo dây nhôm lõi thép cỡ dây 150mm2</v>
      </c>
      <c r="F1563" s="1236" t="str">
        <f>VLOOKUP($B1563,DG!A:D,DG!$D$2,)</f>
        <v>km</v>
      </c>
      <c r="G1563" s="1913">
        <f>(D1458)/1000</f>
        <v>0</v>
      </c>
      <c r="H1563" s="1245"/>
      <c r="I1563" s="1245"/>
      <c r="J1563" s="1245"/>
      <c r="K1563" s="1245"/>
      <c r="L1563" s="1245"/>
      <c r="M1563" s="1245"/>
      <c r="N1563" s="1245"/>
      <c r="O1563" s="1245"/>
      <c r="P1563" s="1245">
        <f t="shared" si="314"/>
        <v>0</v>
      </c>
      <c r="Q1563" s="1245"/>
      <c r="R1563" s="1245"/>
      <c r="S1563" s="1245"/>
      <c r="T1563" s="1671"/>
      <c r="U1563" s="1664" t="str">
        <f>IFERROR(VLOOKUP(B1563,ChiTietDuToan!C:H,5,0),"")</f>
        <v/>
      </c>
      <c r="V1563" s="2309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91"/>
      <c r="B1564" s="1965" t="s">
        <v>367</v>
      </c>
      <c r="C1564" s="1189" t="str">
        <f t="shared" si="317"/>
        <v xml:space="preserve"> </v>
      </c>
      <c r="D1564" s="1236" t="str">
        <f>VLOOKUP($B1564,DG!A:D,DG!$B$2,)</f>
        <v>06.6114</v>
      </c>
      <c r="E1564" s="1241" t="str">
        <f>VLOOKUP($B1564,DG!A:D,DG!$C$2,)</f>
        <v>Kéo dây nhôm bọc cỡ dây 50mm2</v>
      </c>
      <c r="F1564" s="1236" t="str">
        <f>VLOOKUP($B1564,DG!A:D,DG!$D$2,)</f>
        <v>km</v>
      </c>
      <c r="G1564" s="1913"/>
      <c r="H1564" s="1256">
        <f>$G1564</f>
        <v>0</v>
      </c>
      <c r="I1564" s="1245"/>
      <c r="J1564" s="1245"/>
      <c r="K1564" s="1245"/>
      <c r="L1564" s="1245"/>
      <c r="M1564" s="1245"/>
      <c r="N1564" s="1245"/>
      <c r="O1564" s="1245"/>
      <c r="P1564" s="1256">
        <f t="shared" si="314"/>
        <v>0</v>
      </c>
      <c r="Q1564" s="1245"/>
      <c r="R1564" s="1245"/>
      <c r="S1564" s="1245"/>
      <c r="T1564" s="1663"/>
      <c r="U1564" s="1664" t="str">
        <f>IFERROR(VLOOKUP(B1564,ChiTietDuToan!C:H,5,0),"")</f>
        <v/>
      </c>
      <c r="V1564" s="2309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66" t="s">
        <v>141</v>
      </c>
      <c r="C1565" s="1189" t="str">
        <f t="shared" si="317"/>
        <v xml:space="preserve"> </v>
      </c>
      <c r="D1565" s="1236" t="str">
        <f>VLOOKUP($B1565,DG!A:D,DG!$B$2,)</f>
        <v>06.6109</v>
      </c>
      <c r="E1565" s="1241" t="str">
        <f>VLOOKUP($B1565,DG!A:D,DG!$C$2,)</f>
        <v>Kéo dây nhôm lõi thép cỡ dây 185mm2</v>
      </c>
      <c r="F1565" s="1236" t="str">
        <f>VLOOKUP($B1565,DG!A:D,DG!$D$2,)</f>
        <v>km</v>
      </c>
      <c r="G1565" s="1913">
        <f>(D1457)/1000</f>
        <v>0</v>
      </c>
      <c r="H1565" s="1245"/>
      <c r="I1565" s="1245"/>
      <c r="J1565" s="1245"/>
      <c r="K1565" s="1245"/>
      <c r="L1565" s="1245"/>
      <c r="M1565" s="1245"/>
      <c r="N1565" s="1245"/>
      <c r="O1565" s="1245"/>
      <c r="P1565" s="1245">
        <f t="shared" si="314"/>
        <v>0</v>
      </c>
      <c r="Q1565" s="1245"/>
      <c r="R1565" s="1245"/>
      <c r="S1565" s="1245"/>
      <c r="T1565" s="1671"/>
      <c r="U1565" s="1664" t="str">
        <f>IFERROR(VLOOKUP(B1565,ChiTietDuToan!C:H,5,0),"")</f>
        <v/>
      </c>
      <c r="V1565" s="2309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66" t="s">
        <v>719</v>
      </c>
      <c r="C1566" s="1189" t="str">
        <f t="shared" si="317"/>
        <v xml:space="preserve"> </v>
      </c>
      <c r="D1566" s="1236" t="str">
        <f>VLOOKUP($B1566,DG!A:D,DG!$B$2,)</f>
        <v>06.6110</v>
      </c>
      <c r="E1566" s="1241" t="str">
        <f>VLOOKUP($B1566,DG!A:D,DG!$C$2,)</f>
        <v>Kéo dây nhôm lõi thép cỡ dây 240mm2</v>
      </c>
      <c r="F1566" s="1236" t="str">
        <f>VLOOKUP($B1566,DG!A:D,DG!$D$2,)</f>
        <v>km</v>
      </c>
      <c r="G1566" s="1913">
        <f>(D1456)/1000</f>
        <v>0</v>
      </c>
      <c r="H1566" s="1245"/>
      <c r="I1566" s="1245"/>
      <c r="J1566" s="1245"/>
      <c r="K1566" s="1245"/>
      <c r="L1566" s="1245"/>
      <c r="M1566" s="1245"/>
      <c r="N1566" s="1245"/>
      <c r="O1566" s="1245"/>
      <c r="P1566" s="1245">
        <f t="shared" si="314"/>
        <v>0</v>
      </c>
      <c r="Q1566" s="1245"/>
      <c r="R1566" s="1245"/>
      <c r="S1566" s="1245"/>
      <c r="T1566" s="1671"/>
      <c r="U1566" s="1664" t="str">
        <f>IFERROR(VLOOKUP(B1566,ChiTietDuToan!C:H,5,0),"")</f>
        <v/>
      </c>
      <c r="V1566" s="2309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66" t="s">
        <v>79</v>
      </c>
      <c r="C1567" s="1189" t="str">
        <f t="shared" si="317"/>
        <v xml:space="preserve"> </v>
      </c>
      <c r="D1567" s="1236" t="str">
        <f>VLOOKUP($B1567,DG!A:D,DG!$B$2,)</f>
        <v>06.6105</v>
      </c>
      <c r="E1567" s="1241" t="str">
        <f>VLOOKUP($B1567,DG!A:D,DG!$C$2,)</f>
        <v>Kéo dây nhôm bọc 70mm2</v>
      </c>
      <c r="F1567" s="1236" t="str">
        <f>VLOOKUP($B1567,DG!A:D,DG!$D$2,)</f>
        <v>km</v>
      </c>
      <c r="G1567" s="1913">
        <f>D1469/1000</f>
        <v>0</v>
      </c>
      <c r="H1567" s="1245"/>
      <c r="I1567" s="1245"/>
      <c r="J1567" s="1245"/>
      <c r="K1567" s="1245"/>
      <c r="L1567" s="1245"/>
      <c r="M1567" s="1245"/>
      <c r="N1567" s="1245"/>
      <c r="O1567" s="1245"/>
      <c r="P1567" s="1245">
        <f t="shared" si="314"/>
        <v>0</v>
      </c>
      <c r="Q1567" s="1245"/>
      <c r="R1567" s="1245"/>
      <c r="S1567" s="1245"/>
      <c r="T1567" s="1671"/>
      <c r="U1567" s="1664" t="str">
        <f>IFERROR(VLOOKUP(B1567,ChiTietDuToan!C:H,5,0),"")</f>
        <v/>
      </c>
      <c r="V1567" s="2309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66" t="s">
        <v>1561</v>
      </c>
      <c r="C1568" s="1189" t="str">
        <f t="shared" si="317"/>
        <v xml:space="preserve"> </v>
      </c>
      <c r="D1568" s="1236" t="str">
        <f>VLOOKUP($B1568,DG!A:D,DG!$B$2,)</f>
        <v>06.6106</v>
      </c>
      <c r="E1568" s="1241" t="str">
        <f>VLOOKUP($B1568,DG!A:D,DG!$C$2,)</f>
        <v>Kéo dây nhôm bọc 95mm2</v>
      </c>
      <c r="F1568" s="1236" t="str">
        <f>VLOOKUP($B1568,DG!A:D,DG!$D$2,)</f>
        <v>km</v>
      </c>
      <c r="G1568" s="1913">
        <f>D1468/1000</f>
        <v>0</v>
      </c>
      <c r="H1568" s="1245"/>
      <c r="I1568" s="1245"/>
      <c r="J1568" s="1245"/>
      <c r="K1568" s="1245"/>
      <c r="L1568" s="1245"/>
      <c r="M1568" s="1245"/>
      <c r="N1568" s="1245"/>
      <c r="O1568" s="1245"/>
      <c r="P1568" s="1245">
        <f t="shared" si="314"/>
        <v>0</v>
      </c>
      <c r="Q1568" s="1245"/>
      <c r="R1568" s="1245"/>
      <c r="S1568" s="1245"/>
      <c r="T1568" s="1671"/>
      <c r="U1568" s="1664" t="str">
        <f>IFERROR(VLOOKUP(B1568,ChiTietDuToan!C:H,5,0),"")</f>
        <v/>
      </c>
      <c r="V1568" s="2309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66" t="s">
        <v>1204</v>
      </c>
      <c r="C1569" s="1189" t="str">
        <f t="shared" si="317"/>
        <v xml:space="preserve"> </v>
      </c>
      <c r="D1569" s="1236" t="str">
        <f>VLOOKUP($B1569,DG!A:D,DG!$B$2,)</f>
        <v>06.6107</v>
      </c>
      <c r="E1569" s="1241" t="str">
        <f>VLOOKUP($B1569,DG!A:D,DG!$C$2,)</f>
        <v>Kéo dây nhôm bọc 120mm2</v>
      </c>
      <c r="F1569" s="1236" t="str">
        <f>VLOOKUP($B1569,DG!A:D,DG!$D$2,)</f>
        <v>km</v>
      </c>
      <c r="G1569" s="1913">
        <f>D1467/1000</f>
        <v>0</v>
      </c>
      <c r="H1569" s="1245"/>
      <c r="I1569" s="1245"/>
      <c r="J1569" s="1245"/>
      <c r="K1569" s="1245"/>
      <c r="L1569" s="1245"/>
      <c r="M1569" s="1245"/>
      <c r="N1569" s="1245"/>
      <c r="O1569" s="1245"/>
      <c r="P1569" s="1245">
        <f t="shared" si="314"/>
        <v>0</v>
      </c>
      <c r="Q1569" s="1245"/>
      <c r="R1569" s="1245"/>
      <c r="S1569" s="1245"/>
      <c r="T1569" s="1671"/>
      <c r="U1569" s="1664" t="str">
        <f>IFERROR(VLOOKUP(B1569,ChiTietDuToan!C:H,5,0),"")</f>
        <v/>
      </c>
      <c r="V1569" s="2309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66" t="s">
        <v>941</v>
      </c>
      <c r="C1570" s="1189" t="str">
        <f t="shared" si="317"/>
        <v xml:space="preserve"> </v>
      </c>
      <c r="D1570" s="1236" t="str">
        <f>VLOOKUP($B1570,DG!A:D,DG!$B$2,)</f>
        <v>06.6108</v>
      </c>
      <c r="E1570" s="1241" t="str">
        <f>VLOOKUP($B1570,DG!A:D,DG!$C$2,)</f>
        <v>Kéo dây nhôm bọc 150mm2</v>
      </c>
      <c r="F1570" s="1236" t="str">
        <f>VLOOKUP($B1570,DG!A:D,DG!$D$2,)</f>
        <v>km</v>
      </c>
      <c r="G1570" s="1913">
        <f>D1466/1000</f>
        <v>0</v>
      </c>
      <c r="H1570" s="1245"/>
      <c r="I1570" s="1245"/>
      <c r="J1570" s="1245"/>
      <c r="K1570" s="1245"/>
      <c r="L1570" s="1245"/>
      <c r="M1570" s="1245"/>
      <c r="N1570" s="1245"/>
      <c r="O1570" s="1245"/>
      <c r="P1570" s="1245">
        <f t="shared" si="314"/>
        <v>0</v>
      </c>
      <c r="Q1570" s="1245"/>
      <c r="R1570" s="1245"/>
      <c r="S1570" s="1245"/>
      <c r="T1570" s="1671"/>
      <c r="U1570" s="1664" t="str">
        <f>IFERROR(VLOOKUP(B1570,ChiTietDuToan!C:H,5,0),"")</f>
        <v/>
      </c>
      <c r="V1570" s="2309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66" t="s">
        <v>942</v>
      </c>
      <c r="C1571" s="1189" t="str">
        <f t="shared" si="317"/>
        <v xml:space="preserve"> </v>
      </c>
      <c r="D1571" s="1236" t="str">
        <f>VLOOKUP($B1571,DG!A:D,DG!$B$2,)</f>
        <v>06.6109</v>
      </c>
      <c r="E1571" s="1241" t="str">
        <f>VLOOKUP($B1571,DG!A:D,DG!$C$2,)</f>
        <v>Kéo dây nhôm bọc 185mm2</v>
      </c>
      <c r="F1571" s="1236" t="str">
        <f>VLOOKUP($B1571,DG!A:D,DG!$D$2,)</f>
        <v>km</v>
      </c>
      <c r="G1571" s="1913">
        <f>D1465/1000</f>
        <v>0</v>
      </c>
      <c r="H1571" s="1245"/>
      <c r="I1571" s="1245"/>
      <c r="J1571" s="1245"/>
      <c r="K1571" s="1245"/>
      <c r="L1571" s="1245"/>
      <c r="M1571" s="1245"/>
      <c r="N1571" s="1245"/>
      <c r="O1571" s="1245"/>
      <c r="P1571" s="1245">
        <f t="shared" si="314"/>
        <v>0</v>
      </c>
      <c r="Q1571" s="1245"/>
      <c r="R1571" s="1245"/>
      <c r="S1571" s="1245"/>
      <c r="T1571" s="1671"/>
      <c r="U1571" s="1664" t="str">
        <f>IFERROR(VLOOKUP(B1571,ChiTietDuToan!C:H,5,0),"")</f>
        <v>km</v>
      </c>
      <c r="V1571" s="2309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66" t="s">
        <v>1474</v>
      </c>
      <c r="C1572" s="1189" t="str">
        <f t="shared" si="317"/>
        <v xml:space="preserve"> </v>
      </c>
      <c r="D1572" s="1236" t="str">
        <f>VLOOKUP($B1572,DG!A:D,DG!$B$2,)</f>
        <v>06.6110</v>
      </c>
      <c r="E1572" s="1241" t="str">
        <f>VLOOKUP($B1572,DG!A:D,DG!$C$2,)</f>
        <v>Kéo dây nhôm bọc 240mm2</v>
      </c>
      <c r="F1572" s="1236" t="str">
        <f>VLOOKUP($B1572,DG!A:D,DG!$D$2,)</f>
        <v>km</v>
      </c>
      <c r="G1572" s="1913">
        <f>D1464/1000</f>
        <v>0</v>
      </c>
      <c r="H1572" s="1245"/>
      <c r="I1572" s="1245"/>
      <c r="J1572" s="1245"/>
      <c r="K1572" s="1245"/>
      <c r="L1572" s="1245"/>
      <c r="M1572" s="1245"/>
      <c r="N1572" s="1245"/>
      <c r="O1572" s="1245"/>
      <c r="P1572" s="1245">
        <f t="shared" si="314"/>
        <v>0</v>
      </c>
      <c r="Q1572" s="1245"/>
      <c r="R1572" s="1245"/>
      <c r="S1572" s="1245"/>
      <c r="T1572" s="1671"/>
      <c r="U1572" s="1664" t="str">
        <f>IFERROR(VLOOKUP(B1572,ChiTietDuToan!C:H,5,0),"")</f>
        <v/>
      </c>
      <c r="V1572" s="2309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66" t="s">
        <v>350</v>
      </c>
      <c r="C1573" s="1189" t="str">
        <f t="shared" si="317"/>
        <v xml:space="preserve"> </v>
      </c>
      <c r="D1573" s="1236" t="str">
        <f>VLOOKUP($B1573,DG!A:D,DG!$B$2,)</f>
        <v>06.1410</v>
      </c>
      <c r="E1573" s="1241" t="str">
        <f>VLOOKUP($B1573,DG!A:D,DG!$C$2,)</f>
        <v>Lắp chuỗi sứ đỡ 2 bát/chuỗi</v>
      </c>
      <c r="F1573" s="1236" t="str">
        <f>VLOOKUP($B1573,DG!A:D,DG!$D$2,)</f>
        <v>chuỗi</v>
      </c>
      <c r="G1573" s="1915">
        <f>SUM(G1515:G1516)</f>
        <v>0</v>
      </c>
      <c r="H1573" s="1250"/>
      <c r="I1573" s="1250"/>
      <c r="J1573" s="1250"/>
      <c r="K1573" s="1250"/>
      <c r="L1573" s="1250"/>
      <c r="M1573" s="1250"/>
      <c r="N1573" s="1250"/>
      <c r="O1573" s="1250"/>
      <c r="P1573" s="1245">
        <f t="shared" si="314"/>
        <v>0</v>
      </c>
      <c r="Q1573" s="1250"/>
      <c r="R1573" s="1250"/>
      <c r="S1573" s="1250"/>
      <c r="T1573" s="1671"/>
      <c r="U1573" s="1664" t="str">
        <f>IFERROR(VLOOKUP(B1573,ChiTietDuToan!C:H,5,0),"")</f>
        <v/>
      </c>
      <c r="V1573" s="2309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66" t="s">
        <v>351</v>
      </c>
      <c r="C1574" s="1189" t="str">
        <f t="shared" si="317"/>
        <v xml:space="preserve"> </v>
      </c>
      <c r="D1574" s="1236" t="str">
        <f>VLOOKUP($B1574,DG!A:D,DG!$B$2,)</f>
        <v>06.1511</v>
      </c>
      <c r="E1574" s="1241" t="str">
        <f>VLOOKUP($B1574,DG!A:D,DG!$C$2,)</f>
        <v>Lắp chuỗi sứ néo 2 bát/chuỗi</v>
      </c>
      <c r="F1574" s="1236" t="str">
        <f>VLOOKUP($B1574,DG!A:D,DG!$D$2,)</f>
        <v>chuỗi</v>
      </c>
      <c r="G1574" s="1915">
        <f>+G1497+G1503-G1573</f>
        <v>0</v>
      </c>
      <c r="H1574" s="1250"/>
      <c r="I1574" s="1250"/>
      <c r="J1574" s="1250"/>
      <c r="K1574" s="1250"/>
      <c r="L1574" s="1250"/>
      <c r="M1574" s="1250"/>
      <c r="N1574" s="1250"/>
      <c r="O1574" s="1250"/>
      <c r="P1574" s="1245">
        <f t="shared" si="314"/>
        <v>0</v>
      </c>
      <c r="Q1574" s="1250"/>
      <c r="R1574" s="1250"/>
      <c r="S1574" s="1250"/>
      <c r="T1574" s="1671"/>
      <c r="U1574" s="1664" t="str">
        <f>IFERROR(VLOOKUP(B1574,ChiTietDuToan!C:H,5,0),"")</f>
        <v/>
      </c>
      <c r="V1574" s="2309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66" t="s">
        <v>1559</v>
      </c>
      <c r="C1575" s="1189" t="str">
        <f t="shared" si="317"/>
        <v xml:space="preserve"> </v>
      </c>
      <c r="D1575" s="1236" t="str">
        <f>VLOOKUP($B1575,DG!A:D,DG!$B$2,)</f>
        <v>06.2201</v>
      </c>
      <c r="E1575" s="1241" t="s">
        <v>2583</v>
      </c>
      <c r="F1575" s="1236" t="str">
        <f>VLOOKUP($B1575,DG!A:D,DG!$D$2,)</f>
        <v>chuỗi</v>
      </c>
      <c r="G1575" s="1915"/>
      <c r="H1575" s="1250"/>
      <c r="I1575" s="1250"/>
      <c r="J1575" s="1250"/>
      <c r="K1575" s="1250"/>
      <c r="L1575" s="1250"/>
      <c r="M1575" s="1250"/>
      <c r="N1575" s="1250"/>
      <c r="O1575" s="1250"/>
      <c r="P1575" s="1245">
        <f t="shared" si="314"/>
        <v>0</v>
      </c>
      <c r="Q1575" s="1250"/>
      <c r="R1575" s="1250"/>
      <c r="S1575" s="1250"/>
      <c r="T1575" s="1671"/>
      <c r="U1575" s="1664" t="str">
        <f>IFERROR(VLOOKUP(B1575,ChiTietDuToan!C:H,5,0),"")</f>
        <v>chuỗi</v>
      </c>
      <c r="V1575" s="2309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91"/>
      <c r="B1576" s="1965" t="s">
        <v>1559</v>
      </c>
      <c r="C1576" s="1189" t="str">
        <f t="shared" si="317"/>
        <v xml:space="preserve"> </v>
      </c>
      <c r="D1576" s="1236" t="str">
        <f>VLOOKUP($B1576,DG!A:D,DG!$B$2,)</f>
        <v>06.2201</v>
      </c>
      <c r="E1576" s="1241" t="str">
        <f>VLOOKUP($B1576,DG!A:D,DG!$C$2,)</f>
        <v>Lắp chuỗi sứ néo Polymer</v>
      </c>
      <c r="F1576" s="1236" t="str">
        <f>VLOOKUP($B1576,DG!A:D,DG!$D$2,)</f>
        <v>chuỗi</v>
      </c>
      <c r="G1576" s="1915">
        <f>SUM(I1576:O1576)</f>
        <v>0</v>
      </c>
      <c r="H1576" s="1245">
        <f>$G1576</f>
        <v>0</v>
      </c>
      <c r="I1576" s="1250"/>
      <c r="J1576" s="1250"/>
      <c r="K1576" s="1250">
        <f>pp_NC!DJ184</f>
        <v>0</v>
      </c>
      <c r="L1576" s="1250"/>
      <c r="M1576" s="1250"/>
      <c r="N1576" s="1250"/>
      <c r="O1576" s="1250"/>
      <c r="P1576" s="1245">
        <f t="shared" si="314"/>
        <v>0</v>
      </c>
      <c r="Q1576" s="1250"/>
      <c r="R1576" s="1250"/>
      <c r="S1576" s="1250"/>
      <c r="T1576" s="1663"/>
      <c r="U1576" s="1664" t="str">
        <f>IFERROR(VLOOKUP(B1576,ChiTietDuToan!C:H,5,0),"")</f>
        <v>chuỗi</v>
      </c>
      <c r="V1576" s="2309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91"/>
      <c r="B1577" s="1965" t="s">
        <v>1617</v>
      </c>
      <c r="C1577" s="1189" t="str">
        <f t="shared" si="317"/>
        <v xml:space="preserve"> </v>
      </c>
      <c r="D1577" s="1236" t="str">
        <f>VLOOKUP($B1577,DG!A:D,DG!$B$2,)</f>
        <v>06.1115</v>
      </c>
      <c r="E1577" s="1241" t="s">
        <v>3352</v>
      </c>
      <c r="F1577" s="1236" t="str">
        <f>VLOOKUP($B1577,DG!A:D,DG!$D$2,)</f>
        <v>bộ</v>
      </c>
      <c r="G1577" s="1915">
        <f>G1486</f>
        <v>0</v>
      </c>
      <c r="H1577" s="1245">
        <f>$G1577</f>
        <v>0</v>
      </c>
      <c r="I1577" s="1250"/>
      <c r="J1577" s="1250"/>
      <c r="K1577" s="1250"/>
      <c r="L1577" s="1250"/>
      <c r="M1577" s="1250"/>
      <c r="N1577" s="1250"/>
      <c r="O1577" s="1250"/>
      <c r="P1577" s="1245">
        <f t="shared" si="314"/>
        <v>0</v>
      </c>
      <c r="Q1577" s="1250"/>
      <c r="R1577" s="1250"/>
      <c r="S1577" s="1250"/>
      <c r="T1577" s="1663"/>
      <c r="U1577" s="1664" t="str">
        <f>IFERROR(VLOOKUP(B1577,ChiTietDuToan!C:H,5,0),"")</f>
        <v/>
      </c>
      <c r="V1577" s="2309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66" t="s">
        <v>352</v>
      </c>
      <c r="C1578" s="1189" t="str">
        <f t="shared" si="317"/>
        <v xml:space="preserve"> </v>
      </c>
      <c r="D1578" s="1236" t="str">
        <f>VLOOKUP($B1578,DG!A:D,DG!$B$2,)</f>
        <v>06.1211</v>
      </c>
      <c r="E1578" s="1241" t="s">
        <v>2584</v>
      </c>
      <c r="F1578" s="1236" t="str">
        <f>VLOOKUP($B1578,DG!A:D,DG!$D$2,)</f>
        <v>bộ</v>
      </c>
      <c r="G1578" s="1915"/>
      <c r="H1578" s="1245"/>
      <c r="I1578" s="1245"/>
      <c r="J1578" s="1245"/>
      <c r="K1578" s="1245"/>
      <c r="L1578" s="1245"/>
      <c r="M1578" s="1245"/>
      <c r="N1578" s="1245"/>
      <c r="O1578" s="1245"/>
      <c r="P1578" s="1245">
        <f t="shared" si="314"/>
        <v>0</v>
      </c>
      <c r="Q1578" s="1245"/>
      <c r="R1578" s="1245"/>
      <c r="S1578" s="1245"/>
      <c r="T1578" s="1671"/>
      <c r="U1578" s="1664" t="str">
        <f>IFERROR(VLOOKUP(B1578,ChiTietDuToan!C:H,5,0),"")</f>
        <v>bộ</v>
      </c>
      <c r="V1578" s="2309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66" t="s">
        <v>455</v>
      </c>
      <c r="C1579" s="1189" t="str">
        <f t="shared" si="317"/>
        <v xml:space="preserve"> </v>
      </c>
      <c r="D1579" s="1236" t="str">
        <f>VLOOKUP($B1579,DG!A:D,DG!$B$2,)</f>
        <v>06.1214</v>
      </c>
      <c r="E1579" s="1241" t="s">
        <v>2585</v>
      </c>
      <c r="F1579" s="1236" t="str">
        <f>VLOOKUP($B1579,DG!A:D,DG!$D$2,)</f>
        <v>bộ</v>
      </c>
      <c r="G1579" s="1915"/>
      <c r="H1579" s="1245"/>
      <c r="I1579" s="1245"/>
      <c r="J1579" s="1245"/>
      <c r="K1579" s="1245"/>
      <c r="L1579" s="1245"/>
      <c r="M1579" s="1245"/>
      <c r="N1579" s="1245"/>
      <c r="O1579" s="1245"/>
      <c r="P1579" s="1245">
        <f t="shared" si="314"/>
        <v>0</v>
      </c>
      <c r="Q1579" s="1245"/>
      <c r="R1579" s="1245"/>
      <c r="S1579" s="1245"/>
      <c r="T1579" s="1671"/>
      <c r="U1579" s="1664" t="str">
        <f>IFERROR(VLOOKUP(B1579,ChiTietDuToan!C:H,5,0),"")</f>
        <v/>
      </c>
      <c r="V1579" s="2309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66" t="s">
        <v>839</v>
      </c>
      <c r="C1580" s="1189" t="str">
        <f t="shared" si="317"/>
        <v xml:space="preserve"> </v>
      </c>
      <c r="D1580" s="1236" t="str">
        <f>VLOOKUP($B1580,DG!A:D,DG!$B$2,)</f>
        <v>02.3505</v>
      </c>
      <c r="E1580" s="1241" t="s">
        <v>2586</v>
      </c>
      <c r="F1580" s="1236" t="str">
        <f>VLOOKUP($B1580,DG!A:D,DG!$D$2,)</f>
        <v>cái</v>
      </c>
      <c r="G1580" s="1915"/>
      <c r="H1580" s="1245"/>
      <c r="I1580" s="1245"/>
      <c r="J1580" s="1245"/>
      <c r="K1580" s="1245"/>
      <c r="L1580" s="1245"/>
      <c r="M1580" s="1245"/>
      <c r="N1580" s="1245"/>
      <c r="O1580" s="1245"/>
      <c r="P1580" s="1245">
        <f t="shared" si="314"/>
        <v>0</v>
      </c>
      <c r="Q1580" s="1245"/>
      <c r="R1580" s="1245"/>
      <c r="S1580" s="1245"/>
      <c r="T1580" s="1671"/>
      <c r="U1580" s="1664" t="str">
        <f>IFERROR(VLOOKUP(B1580,ChiTietDuToan!C:H,5,0),"")</f>
        <v/>
      </c>
      <c r="V1580" s="2309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66" t="s">
        <v>839</v>
      </c>
      <c r="C1581" s="1189" t="str">
        <f t="shared" si="317"/>
        <v xml:space="preserve"> </v>
      </c>
      <c r="D1581" s="1236" t="str">
        <f>VLOOKUP($B1581,DG!A:D,DG!$B$2,)</f>
        <v>02.3505</v>
      </c>
      <c r="E1581" s="1241" t="str">
        <f>VLOOKUP($B1581,DG!A:D,DG!$C$2,)</f>
        <v>Lắp FCO 24KV</v>
      </c>
      <c r="F1581" s="1236" t="str">
        <f>VLOOKUP($B1581,DG!A:D,DG!$D$2,)</f>
        <v>cái</v>
      </c>
      <c r="G1581" s="1915"/>
      <c r="H1581" s="1245"/>
      <c r="I1581" s="1245"/>
      <c r="J1581" s="1245"/>
      <c r="K1581" s="1245"/>
      <c r="L1581" s="1245"/>
      <c r="M1581" s="1245"/>
      <c r="N1581" s="1245"/>
      <c r="O1581" s="1245"/>
      <c r="P1581" s="1245">
        <f t="shared" si="314"/>
        <v>0</v>
      </c>
      <c r="Q1581" s="1245"/>
      <c r="R1581" s="1245"/>
      <c r="S1581" s="1245"/>
      <c r="T1581" s="1671"/>
      <c r="U1581" s="1664" t="str">
        <f>IFERROR(VLOOKUP(B1581,ChiTietDuToan!C:H,5,0),"")</f>
        <v/>
      </c>
      <c r="V1581" s="2309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66" t="s">
        <v>1406</v>
      </c>
      <c r="C1582" s="1189" t="str">
        <f t="shared" si="317"/>
        <v xml:space="preserve"> </v>
      </c>
      <c r="D1582" s="1236" t="str">
        <f>VLOOKUP($B1582,DG!A:D,DG!$B$2,)</f>
        <v>02.5114</v>
      </c>
      <c r="E1582" s="1241" t="s">
        <v>2587</v>
      </c>
      <c r="F1582" s="1236" t="str">
        <f>VLOOKUP($B1582,DG!A:D,DG!$D$2,)</f>
        <v>cái</v>
      </c>
      <c r="G1582" s="1915"/>
      <c r="H1582" s="1245"/>
      <c r="I1582" s="1245"/>
      <c r="J1582" s="1245"/>
      <c r="K1582" s="1245"/>
      <c r="L1582" s="1245"/>
      <c r="M1582" s="1245"/>
      <c r="N1582" s="1245"/>
      <c r="O1582" s="1245"/>
      <c r="P1582" s="1245">
        <f t="shared" si="314"/>
        <v>0</v>
      </c>
      <c r="Q1582" s="1245"/>
      <c r="R1582" s="1245"/>
      <c r="S1582" s="1245"/>
      <c r="T1582" s="1671"/>
      <c r="U1582" s="1664" t="str">
        <f>IFERROR(VLOOKUP(B1582,ChiTietDuToan!C:H,5,0),"")</f>
        <v/>
      </c>
      <c r="V1582" s="2309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66" t="s">
        <v>1406</v>
      </c>
      <c r="C1583" s="1189" t="str">
        <f t="shared" si="317"/>
        <v xml:space="preserve"> </v>
      </c>
      <c r="D1583" s="1236" t="str">
        <f>VLOOKUP($B1583,DG!A:D,DG!$B$2,)</f>
        <v>02.5114</v>
      </c>
      <c r="E1583" s="1241" t="s">
        <v>2588</v>
      </c>
      <c r="F1583" s="1236" t="str">
        <f>VLOOKUP($B1583,DG!A:D,DG!$D$2,)</f>
        <v>cái</v>
      </c>
      <c r="G1583" s="1915"/>
      <c r="H1583" s="1245"/>
      <c r="I1583" s="1245"/>
      <c r="J1583" s="1245"/>
      <c r="K1583" s="1245"/>
      <c r="L1583" s="1245"/>
      <c r="M1583" s="1245"/>
      <c r="N1583" s="1245"/>
      <c r="O1583" s="1245"/>
      <c r="P1583" s="1245">
        <f t="shared" si="314"/>
        <v>0</v>
      </c>
      <c r="Q1583" s="1245"/>
      <c r="R1583" s="1245"/>
      <c r="S1583" s="1245"/>
      <c r="T1583" s="1671"/>
      <c r="U1583" s="1664" t="str">
        <f>IFERROR(VLOOKUP(B1583,ChiTietDuToan!C:H,5,0),"")</f>
        <v/>
      </c>
      <c r="V1583" s="2309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66" t="s">
        <v>1432</v>
      </c>
      <c r="C1584" s="1189" t="str">
        <f t="shared" si="317"/>
        <v xml:space="preserve"> </v>
      </c>
      <c r="D1584" s="1236" t="str">
        <f>VLOOKUP($B1584,DG!A:D,DG!$B$2,)</f>
        <v>06.2110</v>
      </c>
      <c r="E1584" s="1241" t="s">
        <v>2589</v>
      </c>
      <c r="F1584" s="1236" t="str">
        <f>VLOOKUP($B1584,DG!A:D,DG!$D$2,)</f>
        <v>bộ</v>
      </c>
      <c r="G1584" s="1915"/>
      <c r="H1584" s="1245"/>
      <c r="I1584" s="1245"/>
      <c r="J1584" s="1245"/>
      <c r="K1584" s="1245"/>
      <c r="L1584" s="1245"/>
      <c r="M1584" s="1245"/>
      <c r="N1584" s="1245"/>
      <c r="O1584" s="1245"/>
      <c r="P1584" s="1245">
        <f t="shared" si="314"/>
        <v>0</v>
      </c>
      <c r="Q1584" s="1245"/>
      <c r="R1584" s="1245"/>
      <c r="S1584" s="1245"/>
      <c r="T1584" s="1671"/>
      <c r="U1584" s="1664" t="str">
        <f>IFERROR(VLOOKUP(B1584,ChiTietDuToan!C:H,5,0),"")</f>
        <v/>
      </c>
      <c r="V1584" s="2309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66" t="s">
        <v>1432</v>
      </c>
      <c r="C1585" s="1189" t="str">
        <f t="shared" si="317"/>
        <v xml:space="preserve"> </v>
      </c>
      <c r="D1585" s="1236" t="str">
        <f>VLOOKUP($B1585,DG!A:D,DG!$B$2,)</f>
        <v>06.2110</v>
      </c>
      <c r="E1585" s="1241" t="s">
        <v>2590</v>
      </c>
      <c r="F1585" s="1236" t="str">
        <f>VLOOKUP($B1585,DG!A:D,DG!$D$2,)</f>
        <v>bộ</v>
      </c>
      <c r="G1585" s="1915"/>
      <c r="H1585" s="1245"/>
      <c r="I1585" s="1245"/>
      <c r="J1585" s="1245"/>
      <c r="K1585" s="1245"/>
      <c r="L1585" s="1245"/>
      <c r="M1585" s="1245"/>
      <c r="N1585" s="1245"/>
      <c r="O1585" s="1245"/>
      <c r="P1585" s="1245">
        <f t="shared" ref="P1585:P1648" si="320">H1585+Q1585-R1585</f>
        <v>0</v>
      </c>
      <c r="Q1585" s="1245"/>
      <c r="R1585" s="1245"/>
      <c r="S1585" s="1245"/>
      <c r="T1585" s="1671"/>
      <c r="U1585" s="1664" t="str">
        <f>IFERROR(VLOOKUP(B1585,ChiTietDuToan!C:H,5,0),"")</f>
        <v/>
      </c>
      <c r="V1585" s="2309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66" t="s">
        <v>354</v>
      </c>
      <c r="C1586" s="1189" t="str">
        <f t="shared" si="317"/>
        <v xml:space="preserve"> </v>
      </c>
      <c r="D1586" s="1236" t="str">
        <f>VLOOKUP($B1586,DG!A:D,DG!$B$2,)</f>
        <v>06.5072</v>
      </c>
      <c r="E1586" s="1241" t="str">
        <f>VLOOKUP($B1586,DG!A:D,DG!$C$2,)</f>
        <v xml:space="preserve">Kéo dây qua vị trí bẻ góc dây </v>
      </c>
      <c r="F1586" s="1236" t="str">
        <f>VLOOKUP($B1586,DG!A:D,DG!$D$2,)</f>
        <v>vị trí</v>
      </c>
      <c r="G1586" s="1915">
        <f>P1586</f>
        <v>0</v>
      </c>
      <c r="H1586" s="1250"/>
      <c r="I1586" s="1250"/>
      <c r="J1586" s="1250"/>
      <c r="K1586" s="1250"/>
      <c r="L1586" s="1250"/>
      <c r="M1586" s="1250"/>
      <c r="N1586" s="1250"/>
      <c r="O1586" s="1250"/>
      <c r="P1586" s="1245">
        <f t="shared" si="320"/>
        <v>0</v>
      </c>
      <c r="Q1586" s="1250"/>
      <c r="R1586" s="1250"/>
      <c r="S1586" s="1250"/>
      <c r="T1586" s="1671"/>
      <c r="U1586" s="1664" t="str">
        <f>IFERROR(VLOOKUP(B1586,ChiTietDuToan!C:H,5,0),"")</f>
        <v/>
      </c>
      <c r="V1586" s="2309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66" t="s">
        <v>355</v>
      </c>
      <c r="C1587" s="1189" t="str">
        <f t="shared" si="317"/>
        <v xml:space="preserve"> </v>
      </c>
      <c r="D1587" s="1236" t="str">
        <f>VLOOKUP($B1587,DG!A:D,DG!$B$2,)</f>
        <v>06.5082</v>
      </c>
      <c r="E1587" s="1241" t="str">
        <f>VLOOKUP($B1587,DG!A:D,DG!$C$2,)</f>
        <v>Kéo dây qua sông ( S&lt;=300)</v>
      </c>
      <c r="F1587" s="1236" t="str">
        <f>VLOOKUP($B1587,DG!A:D,DG!$D$2,)</f>
        <v>vị trí</v>
      </c>
      <c r="G1587" s="1912">
        <f>pp_NC!GT184</f>
        <v>0</v>
      </c>
      <c r="H1587" s="1250"/>
      <c r="I1587" s="1250"/>
      <c r="J1587" s="1250"/>
      <c r="K1587" s="1250"/>
      <c r="L1587" s="1250"/>
      <c r="M1587" s="1250"/>
      <c r="N1587" s="1250"/>
      <c r="O1587" s="1250"/>
      <c r="P1587" s="1245">
        <f t="shared" si="320"/>
        <v>0</v>
      </c>
      <c r="Q1587" s="1250"/>
      <c r="R1587" s="1250"/>
      <c r="S1587" s="1250"/>
      <c r="T1587" s="1671"/>
      <c r="U1587" s="1664" t="str">
        <f>IFERROR(VLOOKUP(B1587,ChiTietDuToan!C:H,5,0),"")</f>
        <v/>
      </c>
      <c r="V1587" s="2309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91"/>
      <c r="B1588" s="1965" t="s">
        <v>356</v>
      </c>
      <c r="C1588" s="1189" t="str">
        <f t="shared" si="317"/>
        <v xml:space="preserve"> </v>
      </c>
      <c r="D1588" s="1236" t="str">
        <f>VLOOKUP($B1588,DG!A:D,DG!$B$2,)</f>
        <v>02.1122</v>
      </c>
      <c r="E1588" s="1241" t="str">
        <f>VLOOKUP($B1588,DG!A:D,DG!$C$2,)</f>
        <v>Bốc dỡ dây</v>
      </c>
      <c r="F1588" s="1236" t="str">
        <f>VLOOKUP($B1588,DG!A:D,DG!$D$2,)</f>
        <v>tấn</v>
      </c>
      <c r="G1588" s="1914"/>
      <c r="H1588" s="1250">
        <f>G1588</f>
        <v>0</v>
      </c>
      <c r="I1588" s="1250"/>
      <c r="J1588" s="1250"/>
      <c r="K1588" s="1250"/>
      <c r="L1588" s="1250"/>
      <c r="M1588" s="1250"/>
      <c r="N1588" s="1250"/>
      <c r="O1588" s="1250"/>
      <c r="P1588" s="1249">
        <f t="shared" si="320"/>
        <v>0</v>
      </c>
      <c r="Q1588" s="1250"/>
      <c r="R1588" s="1250"/>
      <c r="S1588" s="1250"/>
      <c r="T1588" s="1663"/>
      <c r="U1588" s="1664" t="str">
        <f>IFERROR(VLOOKUP(B1588,ChiTietDuToan!C:H,5,0),"")</f>
        <v/>
      </c>
      <c r="V1588" s="2309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91"/>
      <c r="B1589" s="1965" t="s">
        <v>1955</v>
      </c>
      <c r="C1589" s="1189" t="str">
        <f t="shared" si="317"/>
        <v xml:space="preserve"> </v>
      </c>
      <c r="D1589" s="1236" t="str">
        <f>VLOOKUP($B1589,DG!A:D,DG!$B$2,)</f>
        <v>02.1120</v>
      </c>
      <c r="E1589" s="1241" t="str">
        <f>VLOOKUP($B1589,DG!A:D,DG!$C$2,)</f>
        <v>Bốc dỡ phụ kiện</v>
      </c>
      <c r="F1589" s="1236" t="str">
        <f>VLOOKUP($B1589,DG!A:D,DG!$D$2,)</f>
        <v>tấn</v>
      </c>
      <c r="G1589" s="1914"/>
      <c r="H1589" s="1250">
        <f>G1589</f>
        <v>0</v>
      </c>
      <c r="I1589" s="1250"/>
      <c r="J1589" s="1250"/>
      <c r="K1589" s="1250"/>
      <c r="L1589" s="1250"/>
      <c r="M1589" s="1250"/>
      <c r="N1589" s="1250"/>
      <c r="O1589" s="1250"/>
      <c r="P1589" s="1249">
        <f t="shared" si="320"/>
        <v>0</v>
      </c>
      <c r="Q1589" s="1250"/>
      <c r="R1589" s="1250"/>
      <c r="S1589" s="1250"/>
      <c r="T1589" s="1663"/>
      <c r="U1589" s="1664" t="str">
        <f>IFERROR(VLOOKUP(B1589,ChiTietDuToan!C:H,5,0),"")</f>
        <v/>
      </c>
      <c r="V1589" s="2309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91"/>
      <c r="B1590" s="1965" t="s">
        <v>357</v>
      </c>
      <c r="C1590" s="1189" t="str">
        <f t="shared" si="317"/>
        <v xml:space="preserve"> </v>
      </c>
      <c r="D1590" s="1236" t="str">
        <f>VLOOKUP($B1590,DG!A:D,DG!$B$2,)</f>
        <v>02.1421</v>
      </c>
      <c r="E1590" s="1241" t="str">
        <f>VLOOKUP($B1590,DG!A:D,DG!$C$2,)</f>
        <v>V/c phụ kiện vào vị trí (cự ly &lt;=100m)</v>
      </c>
      <c r="F1590" s="1236" t="str">
        <f>VLOOKUP($B1590,DG!A:D,DG!$D$2,)</f>
        <v>tấn</v>
      </c>
      <c r="G1590" s="1914"/>
      <c r="H1590" s="1250">
        <f>G1590</f>
        <v>0</v>
      </c>
      <c r="I1590" s="1250"/>
      <c r="J1590" s="1250"/>
      <c r="K1590" s="1250"/>
      <c r="L1590" s="1250"/>
      <c r="M1590" s="1250"/>
      <c r="N1590" s="1250"/>
      <c r="O1590" s="1250"/>
      <c r="P1590" s="1249">
        <f t="shared" si="320"/>
        <v>0</v>
      </c>
      <c r="Q1590" s="1250"/>
      <c r="R1590" s="1250"/>
      <c r="S1590" s="1250"/>
      <c r="T1590" s="1663"/>
      <c r="U1590" s="1664" t="str">
        <f>IFERROR(VLOOKUP(B1590,ChiTietDuToan!C:H,5,0),"")</f>
        <v>tấn</v>
      </c>
      <c r="V1590" s="2309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91"/>
      <c r="B1591" s="1965" t="s">
        <v>358</v>
      </c>
      <c r="C1591" s="1189" t="str">
        <f t="shared" si="317"/>
        <v xml:space="preserve"> </v>
      </c>
      <c r="D1591" s="1236" t="str">
        <f>VLOOKUP($B1591,DG!A:D,DG!$B$2,)</f>
        <v>02.1441</v>
      </c>
      <c r="E1591" s="1241" t="str">
        <f>VLOOKUP($B1591,DG!A:D,DG!$C$2,)</f>
        <v>V/c dây vào vị trí (cự ly &lt;=100m)</v>
      </c>
      <c r="F1591" s="1236" t="str">
        <f>VLOOKUP($B1591,DG!A:D,DG!$D$2,)</f>
        <v>tấn</v>
      </c>
      <c r="G1591" s="1914"/>
      <c r="H1591" s="1250">
        <f>G1591</f>
        <v>0</v>
      </c>
      <c r="I1591" s="1250"/>
      <c r="J1591" s="1250"/>
      <c r="K1591" s="1250"/>
      <c r="L1591" s="1250"/>
      <c r="M1591" s="1250"/>
      <c r="N1591" s="1250"/>
      <c r="O1591" s="1250"/>
      <c r="P1591" s="1249">
        <f t="shared" si="320"/>
        <v>0</v>
      </c>
      <c r="Q1591" s="1250"/>
      <c r="R1591" s="1250"/>
      <c r="S1591" s="1250"/>
      <c r="T1591" s="1663"/>
      <c r="U1591" s="1664" t="str">
        <f>IFERROR(VLOOKUP(B1591,ChiTietDuToan!C:H,5,0),"")</f>
        <v/>
      </c>
      <c r="V1591" s="2309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91"/>
      <c r="B1592" s="1986" t="s">
        <v>611</v>
      </c>
      <c r="C1592" s="1189" t="str">
        <f t="shared" si="317"/>
        <v xml:space="preserve"> </v>
      </c>
      <c r="D1592" s="1236" t="str">
        <f>VLOOKUP($B1592,DG!A:D,DG!$B$2,)</f>
        <v>02.1482</v>
      </c>
      <c r="E1592" s="1241" t="str">
        <f>VLOOKUP($B1592,DG!A:D,DG!$C$2,)</f>
        <v>V/c dụng cụ thi công vào vị trí (cự ly &lt;=100m)</v>
      </c>
      <c r="F1592" s="1236" t="str">
        <f>VLOOKUP($B1592,DG!A:D,DG!$D$2,)</f>
        <v>tấn</v>
      </c>
      <c r="G1592" s="1914"/>
      <c r="H1592" s="1250">
        <f>G1592</f>
        <v>0</v>
      </c>
      <c r="I1592" s="1250"/>
      <c r="J1592" s="1250"/>
      <c r="K1592" s="1250"/>
      <c r="L1592" s="1250"/>
      <c r="M1592" s="1250"/>
      <c r="N1592" s="1250"/>
      <c r="O1592" s="1250"/>
      <c r="P1592" s="1249">
        <f t="shared" si="320"/>
        <v>0</v>
      </c>
      <c r="Q1592" s="1250"/>
      <c r="R1592" s="1250"/>
      <c r="S1592" s="1250"/>
      <c r="T1592" s="1664"/>
      <c r="U1592" s="1664" t="str">
        <f>IFERROR(VLOOKUP(B1592,ChiTietDuToan!C:H,5,0),"")</f>
        <v/>
      </c>
      <c r="V1592" s="2309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56"/>
      <c r="C1593" s="1189" t="str">
        <f>IF(G1593&lt;&gt;0,"x"," ")</f>
        <v xml:space="preserve"> </v>
      </c>
      <c r="D1593" s="1238" t="s">
        <v>359</v>
      </c>
      <c r="E1593" s="1666" t="s">
        <v>2591</v>
      </c>
      <c r="F1593" s="1238" t="s">
        <v>2364</v>
      </c>
      <c r="G1593" s="1912"/>
      <c r="H1593" s="1523">
        <f>SUM(I1593:O1593)+T1593</f>
        <v>0</v>
      </c>
      <c r="I1593" s="1239"/>
      <c r="J1593" s="1239"/>
      <c r="K1593" s="1239"/>
      <c r="L1593" s="1239">
        <f>IFERROR(HLOOKUP(A1593,pp1p!$6:$90,85,0),0)</f>
        <v>0</v>
      </c>
      <c r="M1593" s="1239"/>
      <c r="N1593" s="1239"/>
      <c r="O1593" s="1239"/>
      <c r="P1593" s="1239"/>
      <c r="Q1593" s="1239"/>
      <c r="R1593" s="1239"/>
      <c r="S1593" s="1239"/>
      <c r="T1593" s="1671"/>
      <c r="U1593" s="1664">
        <f>IFERROR(VLOOKUP(B1593,ChiTietDuToan!C:H,5,0),"")</f>
        <v>0</v>
      </c>
      <c r="V1593" s="2309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59" t="s">
        <v>88</v>
      </c>
      <c r="C1594" s="1189" t="str">
        <f t="shared" si="317"/>
        <v xml:space="preserve"> </v>
      </c>
      <c r="D1594" s="1253">
        <f>'pp3p2m '!C90</f>
        <v>0</v>
      </c>
      <c r="E1594" s="1248" t="str">
        <f>VLOOKUP($B1594,DG!A:D,DG!$C$2,)</f>
        <v>Cáp nhôm lõi thép AC-50/8</v>
      </c>
      <c r="F1594" s="1236" t="str">
        <f>VLOOKUP($B1594,DG!A:D,DG!$D$2,)</f>
        <v>kg</v>
      </c>
      <c r="G1594" s="1918">
        <f>ROUND(D1594*1.02*0.195,2)</f>
        <v>0</v>
      </c>
      <c r="H1594" s="1245">
        <f>$G1594</f>
        <v>0</v>
      </c>
      <c r="I1594" s="1245">
        <f>G1594</f>
        <v>0</v>
      </c>
      <c r="J1594" s="1245"/>
      <c r="K1594" s="1245"/>
      <c r="L1594" s="1245"/>
      <c r="M1594" s="1245"/>
      <c r="N1594" s="1245"/>
      <c r="O1594" s="1245"/>
      <c r="P1594" s="1249">
        <f t="shared" si="320"/>
        <v>0</v>
      </c>
      <c r="Q1594" s="1245"/>
      <c r="R1594" s="1245"/>
      <c r="S1594" s="1245"/>
      <c r="T1594" s="1671"/>
      <c r="U1594" s="1664" t="str">
        <f>IFERROR(VLOOKUP(B1594,ChiTietDuToan!C:H,5,0),"")</f>
        <v/>
      </c>
      <c r="V1594" s="2309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59" t="s">
        <v>1272</v>
      </c>
      <c r="C1595" s="1189" t="str">
        <f t="shared" si="317"/>
        <v xml:space="preserve"> </v>
      </c>
      <c r="D1595" s="1253">
        <f>'pp3p2m '!C89</f>
        <v>0</v>
      </c>
      <c r="E1595" s="1248" t="str">
        <f>VLOOKUP($B1595,DG!A:D,DG!$C$2,)</f>
        <v>Cáp nhôm lõi thép AC-70/11</v>
      </c>
      <c r="F1595" s="1236" t="str">
        <f>VLOOKUP($B1595,DG!A:D,DG!$D$2,)</f>
        <v>kg</v>
      </c>
      <c r="G1595" s="1918">
        <f>ROUND(D1595*1.02*0.276,2)</f>
        <v>0</v>
      </c>
      <c r="H1595" s="1245">
        <f>$G1595</f>
        <v>0</v>
      </c>
      <c r="I1595" s="1245">
        <f>G1595</f>
        <v>0</v>
      </c>
      <c r="J1595" s="1245"/>
      <c r="K1595" s="1245"/>
      <c r="L1595" s="1245"/>
      <c r="M1595" s="1245"/>
      <c r="N1595" s="1245"/>
      <c r="O1595" s="1245"/>
      <c r="P1595" s="1249">
        <f t="shared" si="320"/>
        <v>0</v>
      </c>
      <c r="Q1595" s="1245"/>
      <c r="R1595" s="1245"/>
      <c r="S1595" s="1245"/>
      <c r="T1595" s="1671"/>
      <c r="U1595" s="1664" t="str">
        <f>IFERROR(VLOOKUP(B1595,ChiTietDuToan!C:H,5,0),"")</f>
        <v/>
      </c>
      <c r="V1595" s="2309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59" t="s">
        <v>270</v>
      </c>
      <c r="C1596" s="1189" t="str">
        <f t="shared" si="317"/>
        <v xml:space="preserve"> </v>
      </c>
      <c r="D1596" s="1253">
        <f>'pp3p2m '!C88</f>
        <v>0</v>
      </c>
      <c r="E1596" s="1248" t="str">
        <f>VLOOKUP($B1596,DG!A:D,DG!$C$2,)</f>
        <v>Cáp nhôm lõi thép AC-95/16</v>
      </c>
      <c r="F1596" s="1236" t="str">
        <f>VLOOKUP($B1596,DG!A:D,DG!$D$2,)</f>
        <v>kg</v>
      </c>
      <c r="G1596" s="1918">
        <f>ROUND(D1596*1.02*0.385,2)</f>
        <v>0</v>
      </c>
      <c r="H1596" s="1245">
        <f>$G1596</f>
        <v>0</v>
      </c>
      <c r="I1596" s="1245">
        <f>G1596</f>
        <v>0</v>
      </c>
      <c r="J1596" s="1245"/>
      <c r="K1596" s="1245"/>
      <c r="L1596" s="1245"/>
      <c r="M1596" s="1245"/>
      <c r="N1596" s="1245"/>
      <c r="O1596" s="1245"/>
      <c r="P1596" s="1249">
        <f t="shared" si="320"/>
        <v>0</v>
      </c>
      <c r="Q1596" s="1245"/>
      <c r="R1596" s="1245"/>
      <c r="S1596" s="1245"/>
      <c r="T1596" s="1671"/>
      <c r="U1596" s="1664" t="str">
        <f>IFERROR(VLOOKUP(B1596,ChiTietDuToan!C:H,5,0),"")</f>
        <v/>
      </c>
      <c r="V1596" s="2309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59" t="s">
        <v>543</v>
      </c>
      <c r="C1597" s="1189" t="str">
        <f t="shared" si="317"/>
        <v xml:space="preserve"> </v>
      </c>
      <c r="D1597" s="1253">
        <f>'pp3p2m '!C87</f>
        <v>0</v>
      </c>
      <c r="E1597" s="1248" t="str">
        <f>VLOOKUP($B1597,DG!A:D,DG!$C$2,)</f>
        <v>Cáp nhôm lõi thép AC-120/19</v>
      </c>
      <c r="F1597" s="1236" t="str">
        <f>VLOOKUP($B1597,DG!A:D,DG!$D$2,)</f>
        <v>kg</v>
      </c>
      <c r="G1597" s="1918">
        <f>ROUND(D1597*1.02*0.471,2)</f>
        <v>0</v>
      </c>
      <c r="H1597" s="1245">
        <f>$G1597</f>
        <v>0</v>
      </c>
      <c r="I1597" s="1245">
        <f>G1597</f>
        <v>0</v>
      </c>
      <c r="J1597" s="1245"/>
      <c r="K1597" s="1245"/>
      <c r="L1597" s="1245"/>
      <c r="M1597" s="1245"/>
      <c r="N1597" s="1245"/>
      <c r="O1597" s="1245"/>
      <c r="P1597" s="1249">
        <f t="shared" si="320"/>
        <v>0</v>
      </c>
      <c r="Q1597" s="1245"/>
      <c r="R1597" s="1245"/>
      <c r="S1597" s="1245"/>
      <c r="T1597" s="1671"/>
      <c r="U1597" s="1664" t="str">
        <f>IFERROR(VLOOKUP(B1597,ChiTietDuToan!C:H,5,0),"")</f>
        <v>kg</v>
      </c>
      <c r="V1597" s="2309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59" t="s">
        <v>849</v>
      </c>
      <c r="C1598" s="1189" t="str">
        <f t="shared" si="317"/>
        <v xml:space="preserve"> </v>
      </c>
      <c r="D1598" s="1253">
        <f>'pp3p2m '!C86</f>
        <v>0</v>
      </c>
      <c r="E1598" s="1248" t="str">
        <f>VLOOKUP($B1598,DG!A:D,DG!$C$2,)</f>
        <v>Cáp nhôm lõi thép AC-150/24</v>
      </c>
      <c r="F1598" s="1236" t="str">
        <f>VLOOKUP($B1598,DG!A:D,DG!$D$2,)</f>
        <v>kg</v>
      </c>
      <c r="G1598" s="1918">
        <f>ROUND(D1598*1.02*0.599,2)</f>
        <v>0</v>
      </c>
      <c r="H1598" s="1245">
        <f>$G1598</f>
        <v>0</v>
      </c>
      <c r="I1598" s="1245">
        <f>G1598</f>
        <v>0</v>
      </c>
      <c r="J1598" s="1245"/>
      <c r="K1598" s="1245"/>
      <c r="L1598" s="1245"/>
      <c r="M1598" s="1245"/>
      <c r="N1598" s="1245"/>
      <c r="O1598" s="1245"/>
      <c r="P1598" s="1249">
        <f t="shared" si="320"/>
        <v>0</v>
      </c>
      <c r="Q1598" s="1245"/>
      <c r="R1598" s="1245"/>
      <c r="S1598" s="1245"/>
      <c r="T1598" s="1671"/>
      <c r="U1598" s="1664" t="str">
        <f>IFERROR(VLOOKUP(B1598,ChiTietDuToan!C:H,5,0),"")</f>
        <v/>
      </c>
      <c r="V1598" s="2309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59" t="s">
        <v>737</v>
      </c>
      <c r="C1599" s="1189" t="str">
        <f t="shared" si="317"/>
        <v xml:space="preserve"> </v>
      </c>
      <c r="D1599" s="1253">
        <f>'pp3p2m '!C85</f>
        <v>0</v>
      </c>
      <c r="E1599" s="1248" t="str">
        <f>VLOOKUP($B1599,DG!A:D,DG!$C$2,)</f>
        <v>Cáp nhôm lõi thép AC-185/29</v>
      </c>
      <c r="F1599" s="1236" t="str">
        <f>VLOOKUP($B1599,DG!A:D,DG!$D$2,)</f>
        <v>kg</v>
      </c>
      <c r="G1599" s="1918">
        <f>ROUND(D1599*1.02*0.728,2)</f>
        <v>0</v>
      </c>
      <c r="H1599" s="1245">
        <f t="shared" ref="H1599:H1675" si="321">$G1599</f>
        <v>0</v>
      </c>
      <c r="I1599" s="1245">
        <f t="shared" ref="I1599:I1605" si="322">G1599</f>
        <v>0</v>
      </c>
      <c r="J1599" s="1245"/>
      <c r="K1599" s="1245"/>
      <c r="L1599" s="1245"/>
      <c r="M1599" s="1245"/>
      <c r="N1599" s="1245"/>
      <c r="O1599" s="1245"/>
      <c r="P1599" s="1249">
        <f t="shared" si="320"/>
        <v>0</v>
      </c>
      <c r="Q1599" s="1245"/>
      <c r="R1599" s="1245"/>
      <c r="S1599" s="1245"/>
      <c r="T1599" s="1671"/>
      <c r="U1599" s="1664" t="str">
        <f>IFERROR(VLOOKUP(B1599,ChiTietDuToan!C:H,5,0),"")</f>
        <v/>
      </c>
      <c r="V1599" s="2309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59" t="s">
        <v>736</v>
      </c>
      <c r="C1600" s="1189" t="str">
        <f t="shared" si="317"/>
        <v xml:space="preserve"> </v>
      </c>
      <c r="D1600" s="1253">
        <f>'pp3p2m '!C84</f>
        <v>0</v>
      </c>
      <c r="E1600" s="1248" t="str">
        <f>VLOOKUP($B1600,DG!A:D,DG!$C$2,)</f>
        <v>Cáp nhôm lõi thép AC-240/39</v>
      </c>
      <c r="F1600" s="1236" t="str">
        <f>VLOOKUP($B1600,DG!A:D,DG!$D$2,)</f>
        <v>kg</v>
      </c>
      <c r="G1600" s="1918">
        <f>ROUND(D1600*1.02*0.921,2)</f>
        <v>0</v>
      </c>
      <c r="H1600" s="1245">
        <f>$G1600</f>
        <v>0</v>
      </c>
      <c r="I1600" s="1245">
        <f>G1600</f>
        <v>0</v>
      </c>
      <c r="J1600" s="1245"/>
      <c r="K1600" s="1245"/>
      <c r="L1600" s="1245"/>
      <c r="M1600" s="1245"/>
      <c r="N1600" s="1245"/>
      <c r="O1600" s="1245"/>
      <c r="P1600" s="1249">
        <f t="shared" si="320"/>
        <v>0</v>
      </c>
      <c r="Q1600" s="1245"/>
      <c r="R1600" s="1245"/>
      <c r="S1600" s="1245"/>
      <c r="T1600" s="1671"/>
      <c r="U1600" s="1664" t="str">
        <f>IFERROR(VLOOKUP(B1600,ChiTietDuToan!C:H,5,0),"")</f>
        <v/>
      </c>
      <c r="V1600" s="2309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59" t="s">
        <v>1847</v>
      </c>
      <c r="C1601" s="1189" t="str">
        <f t="shared" si="317"/>
        <v xml:space="preserve"> </v>
      </c>
      <c r="D1601" s="1253">
        <f>'pp3p2m '!C98</f>
        <v>0</v>
      </c>
      <c r="E1601" s="1248" t="str">
        <f>VLOOKUP($B1601,DG!A:D,DG!$C$2,)</f>
        <v>Cáp 24KV A/XLPE/PVC 240mm2</v>
      </c>
      <c r="F1601" s="1236" t="str">
        <f>VLOOKUP($B1601,DG!A:D,DG!$D$2,)</f>
        <v>mét</v>
      </c>
      <c r="G1601" s="1915">
        <f t="shared" ref="G1601:G1606" si="323">ROUND(D1601*1.03,2)</f>
        <v>0</v>
      </c>
      <c r="H1601" s="1245">
        <f t="shared" si="321"/>
        <v>0</v>
      </c>
      <c r="I1601" s="1245">
        <f t="shared" si="322"/>
        <v>0</v>
      </c>
      <c r="J1601" s="1245"/>
      <c r="K1601" s="1245"/>
      <c r="L1601" s="1245"/>
      <c r="M1601" s="1245"/>
      <c r="N1601" s="1245"/>
      <c r="O1601" s="1245"/>
      <c r="P1601" s="1249">
        <f t="shared" si="320"/>
        <v>0</v>
      </c>
      <c r="Q1601" s="1245"/>
      <c r="R1601" s="1245"/>
      <c r="S1601" s="1245"/>
      <c r="T1601" s="1671"/>
      <c r="U1601" s="1664" t="str">
        <f>IFERROR(VLOOKUP(B1601,ChiTietDuToan!C:H,5,0),"")</f>
        <v/>
      </c>
      <c r="V1601" s="2309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59" t="s">
        <v>1061</v>
      </c>
      <c r="C1602" s="1189" t="str">
        <f t="shared" si="317"/>
        <v xml:space="preserve"> </v>
      </c>
      <c r="D1602" s="1253"/>
      <c r="E1602" s="1248" t="str">
        <f>VLOOKUP($B1602,DG!A:D,DG!$C$2,)</f>
        <v>Cáp 24KV A/XLPE/PVC 185mm2</v>
      </c>
      <c r="F1602" s="1236" t="str">
        <f>VLOOKUP($B1602,DG!A:D,DG!$D$2,)</f>
        <v>mét</v>
      </c>
      <c r="G1602" s="1915">
        <f>ROUND(D1602*1.02,2)</f>
        <v>0</v>
      </c>
      <c r="H1602" s="1245">
        <f t="shared" si="321"/>
        <v>0</v>
      </c>
      <c r="I1602" s="1245">
        <f t="shared" si="322"/>
        <v>0</v>
      </c>
      <c r="J1602" s="1245"/>
      <c r="K1602" s="1245"/>
      <c r="L1602" s="1245"/>
      <c r="M1602" s="1245"/>
      <c r="N1602" s="1245"/>
      <c r="O1602" s="1245"/>
      <c r="P1602" s="1249">
        <f t="shared" si="320"/>
        <v>0</v>
      </c>
      <c r="Q1602" s="1245"/>
      <c r="R1602" s="1245"/>
      <c r="S1602" s="1245"/>
      <c r="T1602" s="1671"/>
      <c r="U1602" s="1664" t="str">
        <f>IFERROR(VLOOKUP(B1602,ChiTietDuToan!C:H,5,0),"")</f>
        <v>mét</v>
      </c>
      <c r="V1602" s="2309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59" t="s">
        <v>1062</v>
      </c>
      <c r="C1603" s="1189" t="str">
        <f t="shared" si="317"/>
        <v xml:space="preserve"> </v>
      </c>
      <c r="D1603" s="1253">
        <f>'pp3p2m '!C100</f>
        <v>0</v>
      </c>
      <c r="E1603" s="1248" t="str">
        <f>VLOOKUP($B1603,DG!A:D,DG!$C$2,)</f>
        <v>Cáp 24KV A/XLPE/PVC 150mm2</v>
      </c>
      <c r="F1603" s="1236" t="str">
        <f>VLOOKUP($B1603,DG!A:D,DG!$D$2,)</f>
        <v>mét</v>
      </c>
      <c r="G1603" s="1915">
        <f t="shared" si="323"/>
        <v>0</v>
      </c>
      <c r="H1603" s="1245">
        <f>$G1603</f>
        <v>0</v>
      </c>
      <c r="I1603" s="1245">
        <f t="shared" si="322"/>
        <v>0</v>
      </c>
      <c r="J1603" s="1245"/>
      <c r="K1603" s="1245"/>
      <c r="L1603" s="1245"/>
      <c r="M1603" s="1245"/>
      <c r="N1603" s="1245"/>
      <c r="O1603" s="1245"/>
      <c r="P1603" s="1249">
        <f t="shared" si="320"/>
        <v>0</v>
      </c>
      <c r="Q1603" s="1245"/>
      <c r="R1603" s="1245"/>
      <c r="S1603" s="1245"/>
      <c r="T1603" s="1671"/>
      <c r="U1603" s="1664" t="str">
        <f>IFERROR(VLOOKUP(B1603,ChiTietDuToan!C:H,5,0),"")</f>
        <v/>
      </c>
      <c r="V1603" s="2309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59" t="s">
        <v>662</v>
      </c>
      <c r="C1604" s="1189" t="str">
        <f t="shared" si="317"/>
        <v xml:space="preserve"> </v>
      </c>
      <c r="D1604" s="1253">
        <f>'pp3p2m '!C101</f>
        <v>0</v>
      </c>
      <c r="E1604" s="1248" t="str">
        <f>VLOOKUP($B1604,DG!A:D,DG!$C$2,)</f>
        <v>Cáp 24KV A/XLPE/PVC 120mm2</v>
      </c>
      <c r="F1604" s="1236" t="str">
        <f>VLOOKUP($B1604,DG!A:D,DG!$D$2,)</f>
        <v>mét</v>
      </c>
      <c r="G1604" s="1915">
        <f t="shared" si="323"/>
        <v>0</v>
      </c>
      <c r="H1604" s="1245">
        <f t="shared" si="321"/>
        <v>0</v>
      </c>
      <c r="I1604" s="1245">
        <f t="shared" si="322"/>
        <v>0</v>
      </c>
      <c r="J1604" s="1245"/>
      <c r="K1604" s="1245"/>
      <c r="L1604" s="1245"/>
      <c r="M1604" s="1245"/>
      <c r="N1604" s="1245"/>
      <c r="O1604" s="1245"/>
      <c r="P1604" s="1249">
        <f t="shared" si="320"/>
        <v>0</v>
      </c>
      <c r="Q1604" s="1245"/>
      <c r="R1604" s="1245"/>
      <c r="S1604" s="1245"/>
      <c r="T1604" s="1671"/>
      <c r="U1604" s="1664" t="str">
        <f>IFERROR(VLOOKUP(B1604,ChiTietDuToan!C:H,5,0),"")</f>
        <v/>
      </c>
      <c r="V1604" s="2309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59" t="s">
        <v>57</v>
      </c>
      <c r="C1605" s="1189" t="str">
        <f t="shared" si="317"/>
        <v xml:space="preserve"> </v>
      </c>
      <c r="D1605" s="1253">
        <f>'pp3p2m '!C102</f>
        <v>0</v>
      </c>
      <c r="E1605" s="1248" t="str">
        <f>VLOOKUP($B1605,DG!A:D,DG!$C$2,)</f>
        <v>Cáp 24KV A/XLPE/PVC 95mm2</v>
      </c>
      <c r="F1605" s="1236" t="str">
        <f>VLOOKUP($B1605,DG!A:D,DG!$D$2,)</f>
        <v>mét</v>
      </c>
      <c r="G1605" s="1915">
        <f t="shared" si="323"/>
        <v>0</v>
      </c>
      <c r="H1605" s="1245">
        <f t="shared" si="321"/>
        <v>0</v>
      </c>
      <c r="I1605" s="1245">
        <f t="shared" si="322"/>
        <v>0</v>
      </c>
      <c r="J1605" s="1245"/>
      <c r="K1605" s="1245"/>
      <c r="L1605" s="1245"/>
      <c r="M1605" s="1245"/>
      <c r="N1605" s="1245"/>
      <c r="O1605" s="1245"/>
      <c r="P1605" s="1249">
        <f t="shared" si="320"/>
        <v>0</v>
      </c>
      <c r="Q1605" s="1245"/>
      <c r="R1605" s="1245"/>
      <c r="S1605" s="1245"/>
      <c r="T1605" s="1671"/>
      <c r="U1605" s="1664" t="str">
        <f>IFERROR(VLOOKUP(B1605,ChiTietDuToan!C:H,5,0),"")</f>
        <v/>
      </c>
      <c r="V1605" s="2309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59" t="s">
        <v>56</v>
      </c>
      <c r="C1606" s="1189" t="str">
        <f t="shared" si="317"/>
        <v xml:space="preserve"> </v>
      </c>
      <c r="D1606" s="1253">
        <f>'pp3p2m '!C103</f>
        <v>0</v>
      </c>
      <c r="E1606" s="1248" t="str">
        <f>VLOOKUP($B1606,DG!A:D,DG!$C$2,)</f>
        <v>Cáp 24KV A/XLPE/PVC 70mm2</v>
      </c>
      <c r="F1606" s="1236" t="str">
        <f>VLOOKUP($B1606,DG!A:D,DG!$D$2,)</f>
        <v>mét</v>
      </c>
      <c r="G1606" s="1915">
        <f t="shared" si="323"/>
        <v>0</v>
      </c>
      <c r="H1606" s="1245">
        <f t="shared" si="321"/>
        <v>0</v>
      </c>
      <c r="I1606" s="1245">
        <f>G1606</f>
        <v>0</v>
      </c>
      <c r="J1606" s="1245"/>
      <c r="K1606" s="1245"/>
      <c r="L1606" s="1245"/>
      <c r="M1606" s="1245"/>
      <c r="N1606" s="1245"/>
      <c r="O1606" s="1245"/>
      <c r="P1606" s="1249">
        <f t="shared" si="320"/>
        <v>0</v>
      </c>
      <c r="Q1606" s="1245"/>
      <c r="R1606" s="1245"/>
      <c r="S1606" s="1245"/>
      <c r="T1606" s="1671"/>
      <c r="U1606" s="1664" t="str">
        <f>IFERROR(VLOOKUP(B1606,ChiTietDuToan!C:H,5,0),"")</f>
        <v/>
      </c>
      <c r="V1606" s="2309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82" t="s">
        <v>2563</v>
      </c>
      <c r="C1607" s="1189" t="str">
        <f t="shared" si="317"/>
        <v xml:space="preserve"> </v>
      </c>
      <c r="D1607" s="1236"/>
      <c r="E1607" s="1254" t="s">
        <v>2564</v>
      </c>
      <c r="F1607" s="1255" t="s">
        <v>2503</v>
      </c>
      <c r="G1607" s="1928">
        <f>'pp3p2m '!CU82</f>
        <v>0</v>
      </c>
      <c r="H1607" s="1245">
        <f t="shared" si="321"/>
        <v>0</v>
      </c>
      <c r="I1607" s="1245">
        <f>G1607</f>
        <v>0</v>
      </c>
      <c r="J1607" s="1245"/>
      <c r="K1607" s="1245"/>
      <c r="L1607" s="1245"/>
      <c r="M1607" s="1245"/>
      <c r="N1607" s="1245"/>
      <c r="O1607" s="1245"/>
      <c r="P1607" s="1249">
        <f t="shared" si="320"/>
        <v>0</v>
      </c>
      <c r="Q1607" s="1245"/>
      <c r="R1607" s="1245"/>
      <c r="S1607" s="1245"/>
      <c r="T1607" s="1671"/>
      <c r="U1607" s="1664" t="str">
        <f>IFERROR(VLOOKUP(B1607,ChiTietDuToan!C:H,5,0),"")</f>
        <v>bộ</v>
      </c>
      <c r="V1607" s="2309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59" t="s">
        <v>1962</v>
      </c>
      <c r="C1608" s="1189" t="str">
        <f t="shared" si="317"/>
        <v xml:space="preserve"> </v>
      </c>
      <c r="D1608" s="1236"/>
      <c r="E1608" s="1248" t="str">
        <f>VLOOKUP($B1608,DG!A:D,DG!$C$2,)</f>
        <v>Uclevis</v>
      </c>
      <c r="F1608" s="1236" t="str">
        <f>VLOOKUP($B1608,DG!A:D,DG!$D$2,)</f>
        <v>bộ</v>
      </c>
      <c r="G1608" s="1915">
        <f>G1607</f>
        <v>0</v>
      </c>
      <c r="H1608" s="1245">
        <f t="shared" si="321"/>
        <v>0</v>
      </c>
      <c r="I1608" s="1245">
        <f>G1608</f>
        <v>0</v>
      </c>
      <c r="J1608" s="1245"/>
      <c r="K1608" s="1245"/>
      <c r="L1608" s="1245"/>
      <c r="M1608" s="1245"/>
      <c r="N1608" s="1245"/>
      <c r="O1608" s="1245"/>
      <c r="P1608" s="1249">
        <f t="shared" si="320"/>
        <v>0</v>
      </c>
      <c r="Q1608" s="1245"/>
      <c r="R1608" s="1245"/>
      <c r="S1608" s="1245"/>
      <c r="T1608" s="1671"/>
      <c r="U1608" s="1664" t="str">
        <f>IFERROR(VLOOKUP(B1608,ChiTietDuToan!C:H,5,0),"")</f>
        <v>bộ</v>
      </c>
      <c r="V1608" s="2309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59" t="s">
        <v>1662</v>
      </c>
      <c r="C1609" s="1189" t="str">
        <f t="shared" si="317"/>
        <v xml:space="preserve"> </v>
      </c>
      <c r="D1609" s="1236"/>
      <c r="E1609" s="1248" t="str">
        <f>VLOOKUP($B1609,DG!A:D,DG!$C$2,)</f>
        <v>Boulon 16x300+ 2 long đền vuông D18-50x50x3/Zn</v>
      </c>
      <c r="F1609" s="1236" t="str">
        <f>VLOOKUP($B1609,DG!A:D,DG!$D$2,)</f>
        <v>bộ</v>
      </c>
      <c r="G1609" s="1915">
        <f>G1607</f>
        <v>0</v>
      </c>
      <c r="H1609" s="1245">
        <f t="shared" si="321"/>
        <v>0</v>
      </c>
      <c r="I1609" s="1245">
        <f>G1609</f>
        <v>0</v>
      </c>
      <c r="J1609" s="1245"/>
      <c r="K1609" s="1245"/>
      <c r="L1609" s="1245"/>
      <c r="M1609" s="1245"/>
      <c r="N1609" s="1245"/>
      <c r="O1609" s="1245"/>
      <c r="P1609" s="1249">
        <f t="shared" si="320"/>
        <v>0</v>
      </c>
      <c r="Q1609" s="1245"/>
      <c r="R1609" s="1245"/>
      <c r="S1609" s="1245"/>
      <c r="T1609" s="1671"/>
      <c r="U1609" s="1664" t="str">
        <f>IFERROR(VLOOKUP(B1609,ChiTietDuToan!C:H,5,0),"")</f>
        <v>bộ</v>
      </c>
      <c r="V1609" s="2309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82" t="s">
        <v>1673</v>
      </c>
      <c r="C1610" s="1189" t="str">
        <f t="shared" si="317"/>
        <v xml:space="preserve"> </v>
      </c>
      <c r="D1610" s="1236"/>
      <c r="E1610" s="1254" t="s">
        <v>2565</v>
      </c>
      <c r="F1610" s="1255" t="s">
        <v>2503</v>
      </c>
      <c r="G1610" s="1928">
        <f>'pp3p2m '!CW82</f>
        <v>0</v>
      </c>
      <c r="H1610" s="1245">
        <f t="shared" si="321"/>
        <v>0</v>
      </c>
      <c r="I1610" s="1245">
        <f t="shared" ref="I1610:I1618" si="324">G1610</f>
        <v>0</v>
      </c>
      <c r="J1610" s="1245"/>
      <c r="K1610" s="1245"/>
      <c r="L1610" s="1245"/>
      <c r="M1610" s="1245"/>
      <c r="N1610" s="1245"/>
      <c r="O1610" s="1245"/>
      <c r="P1610" s="1249">
        <f t="shared" si="320"/>
        <v>0</v>
      </c>
      <c r="Q1610" s="1245"/>
      <c r="R1610" s="1245"/>
      <c r="S1610" s="1245"/>
      <c r="T1610" s="1671"/>
      <c r="U1610" s="1664" t="str">
        <f>IFERROR(VLOOKUP(B1610,ChiTietDuToan!C:H,5,0),"")</f>
        <v/>
      </c>
      <c r="V1610" s="2309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59" t="s">
        <v>1962</v>
      </c>
      <c r="C1611" s="1189" t="str">
        <f t="shared" si="317"/>
        <v xml:space="preserve"> </v>
      </c>
      <c r="D1611" s="1236"/>
      <c r="E1611" s="1248" t="str">
        <f>VLOOKUP($B1611,DG!A:D,DG!$C$2,)</f>
        <v>Uclevis</v>
      </c>
      <c r="F1611" s="1236" t="str">
        <f>VLOOKUP($B1611,DG!A:D,DG!$D$2,)</f>
        <v>bộ</v>
      </c>
      <c r="G1611" s="1915">
        <f>G1610</f>
        <v>0</v>
      </c>
      <c r="H1611" s="1245">
        <f t="shared" si="321"/>
        <v>0</v>
      </c>
      <c r="I1611" s="1245">
        <f t="shared" si="324"/>
        <v>0</v>
      </c>
      <c r="J1611" s="1245"/>
      <c r="K1611" s="1245"/>
      <c r="L1611" s="1245"/>
      <c r="M1611" s="1245"/>
      <c r="N1611" s="1245"/>
      <c r="O1611" s="1245"/>
      <c r="P1611" s="1249">
        <f t="shared" si="320"/>
        <v>0</v>
      </c>
      <c r="Q1611" s="1245"/>
      <c r="R1611" s="1245"/>
      <c r="S1611" s="1245"/>
      <c r="T1611" s="1671"/>
      <c r="U1611" s="1664" t="str">
        <f>IFERROR(VLOOKUP(B1611,ChiTietDuToan!C:H,5,0),"")</f>
        <v>bộ</v>
      </c>
      <c r="V1611" s="2309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59" t="s">
        <v>1662</v>
      </c>
      <c r="C1612" s="1189" t="str">
        <f t="shared" si="317"/>
        <v xml:space="preserve"> </v>
      </c>
      <c r="D1612" s="1236"/>
      <c r="E1612" s="1248" t="str">
        <f>VLOOKUP($B1612,DG!A:D,DG!$C$2,)</f>
        <v>Boulon 16x300+ 2 long đền vuông D18-50x50x3/Zn</v>
      </c>
      <c r="F1612" s="1236" t="str">
        <f>VLOOKUP($B1612,DG!A:D,DG!$D$2,)</f>
        <v>bộ</v>
      </c>
      <c r="G1612" s="1915">
        <f>G1610</f>
        <v>0</v>
      </c>
      <c r="H1612" s="1245">
        <f t="shared" si="321"/>
        <v>0</v>
      </c>
      <c r="I1612" s="1245">
        <f t="shared" si="324"/>
        <v>0</v>
      </c>
      <c r="J1612" s="1245"/>
      <c r="K1612" s="1245"/>
      <c r="L1612" s="1245"/>
      <c r="M1612" s="1245"/>
      <c r="N1612" s="1245"/>
      <c r="O1612" s="1245"/>
      <c r="P1612" s="1249">
        <f t="shared" si="320"/>
        <v>0</v>
      </c>
      <c r="Q1612" s="1245"/>
      <c r="R1612" s="1245"/>
      <c r="S1612" s="1245"/>
      <c r="T1612" s="1671"/>
      <c r="U1612" s="1664" t="str">
        <f>IFERROR(VLOOKUP(B1612,ChiTietDuToan!C:H,5,0),"")</f>
        <v>bộ</v>
      </c>
      <c r="V1612" s="2309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59" t="s">
        <v>1904</v>
      </c>
      <c r="C1613" s="1189" t="str">
        <f t="shared" si="317"/>
        <v xml:space="preserve"> </v>
      </c>
      <c r="D1613" s="1236"/>
      <c r="E1613" s="1248" t="str">
        <f>VLOOKUP($B1613,DG!A:D,DG!$C$2,)</f>
        <v>Kẹp 2 rãnh (APC) cỡ dây 50mm2</v>
      </c>
      <c r="F1613" s="1236" t="str">
        <f>VLOOKUP($B1613,DG!A:D,DG!$D$2,)</f>
        <v>cái</v>
      </c>
      <c r="G1613" s="1915">
        <f>G1610*6</f>
        <v>0</v>
      </c>
      <c r="H1613" s="1245">
        <f t="shared" si="321"/>
        <v>0</v>
      </c>
      <c r="I1613" s="1245">
        <f t="shared" si="324"/>
        <v>0</v>
      </c>
      <c r="J1613" s="1245"/>
      <c r="K1613" s="1245"/>
      <c r="L1613" s="1245"/>
      <c r="M1613" s="1245"/>
      <c r="N1613" s="1245"/>
      <c r="O1613" s="1245"/>
      <c r="P1613" s="1249">
        <f t="shared" si="320"/>
        <v>0</v>
      </c>
      <c r="Q1613" s="1245"/>
      <c r="R1613" s="1245"/>
      <c r="S1613" s="1245"/>
      <c r="T1613" s="1671"/>
      <c r="U1613" s="1664" t="str">
        <f>IFERROR(VLOOKUP(B1613,ChiTietDuToan!C:H,5,0),"")</f>
        <v/>
      </c>
      <c r="V1613" s="2309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82" t="s">
        <v>1674</v>
      </c>
      <c r="C1614" s="1189" t="str">
        <f t="shared" si="317"/>
        <v xml:space="preserve"> </v>
      </c>
      <c r="D1614" s="1236"/>
      <c r="E1614" s="1254" t="s">
        <v>2566</v>
      </c>
      <c r="F1614" s="1255" t="s">
        <v>2503</v>
      </c>
      <c r="G1614" s="1928">
        <f>'pp3p2m '!CX82</f>
        <v>0</v>
      </c>
      <c r="H1614" s="1245">
        <f t="shared" si="321"/>
        <v>0</v>
      </c>
      <c r="I1614" s="1245">
        <f t="shared" si="324"/>
        <v>0</v>
      </c>
      <c r="J1614" s="1245"/>
      <c r="K1614" s="1245"/>
      <c r="L1614" s="1245"/>
      <c r="M1614" s="1245"/>
      <c r="N1614" s="1245"/>
      <c r="O1614" s="1245"/>
      <c r="P1614" s="1249">
        <f t="shared" si="320"/>
        <v>0</v>
      </c>
      <c r="Q1614" s="1245"/>
      <c r="R1614" s="1245"/>
      <c r="S1614" s="1245"/>
      <c r="T1614" s="1671"/>
      <c r="U1614" s="1664" t="str">
        <f>IFERROR(VLOOKUP(B1614,ChiTietDuToan!C:H,5,0),"")</f>
        <v>bộ</v>
      </c>
      <c r="V1614" s="2309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83" t="s">
        <v>1973</v>
      </c>
      <c r="C1615" s="1189" t="str">
        <f t="shared" ref="C1615:C1678" si="325">IF(OR(P1615&lt;&gt;0,H1615&lt;&gt;0),"x"," ")</f>
        <v xml:space="preserve"> </v>
      </c>
      <c r="D1615" s="1236"/>
      <c r="E1615" s="1246" t="str">
        <f>VLOOKUP($B1615,DG!A:D,DG!$C$2,)</f>
        <v>Khóa néo dây cỡ dây 120</v>
      </c>
      <c r="F1615" s="1236" t="str">
        <f>VLOOKUP($B1615,DG!A:D,DG!$D$2,)</f>
        <v>cái</v>
      </c>
      <c r="G1615" s="1915">
        <f>G1614</f>
        <v>0</v>
      </c>
      <c r="H1615" s="1245">
        <f t="shared" si="321"/>
        <v>0</v>
      </c>
      <c r="I1615" s="1245">
        <f t="shared" si="324"/>
        <v>0</v>
      </c>
      <c r="J1615" s="1245"/>
      <c r="K1615" s="1245"/>
      <c r="L1615" s="1245"/>
      <c r="M1615" s="1245"/>
      <c r="N1615" s="1245"/>
      <c r="O1615" s="1245"/>
      <c r="P1615" s="1249">
        <f t="shared" si="320"/>
        <v>0</v>
      </c>
      <c r="Q1615" s="1245"/>
      <c r="R1615" s="1245"/>
      <c r="S1615" s="1245"/>
      <c r="T1615" s="1671"/>
      <c r="U1615" s="1664" t="str">
        <f>IFERROR(VLOOKUP(B1615,ChiTietDuToan!C:H,5,0),"")</f>
        <v>cái</v>
      </c>
      <c r="V1615" s="2309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59" t="s">
        <v>1538</v>
      </c>
      <c r="C1616" s="1189" t="str">
        <f t="shared" si="325"/>
        <v xml:space="preserve"> </v>
      </c>
      <c r="D1616" s="1236"/>
      <c r="E1616" s="1246" t="str">
        <f>VLOOKUP($B1616,DG!A:D,DG!$C$2,)</f>
        <v xml:space="preserve">Móc treo chữ U </v>
      </c>
      <c r="F1616" s="1236" t="str">
        <f>VLOOKUP($B1616,DG!A:D,DG!$D$2,)</f>
        <v>cái</v>
      </c>
      <c r="G1616" s="1915">
        <f>G1614*2</f>
        <v>0</v>
      </c>
      <c r="H1616" s="1245">
        <f t="shared" si="321"/>
        <v>0</v>
      </c>
      <c r="I1616" s="1245">
        <f t="shared" si="324"/>
        <v>0</v>
      </c>
      <c r="J1616" s="1245"/>
      <c r="K1616" s="1245"/>
      <c r="L1616" s="1245"/>
      <c r="M1616" s="1245"/>
      <c r="N1616" s="1245"/>
      <c r="O1616" s="1245"/>
      <c r="P1616" s="1249">
        <f t="shared" si="320"/>
        <v>0</v>
      </c>
      <c r="Q1616" s="1245"/>
      <c r="R1616" s="1245"/>
      <c r="S1616" s="1245"/>
      <c r="T1616" s="1671"/>
      <c r="U1616" s="1664" t="str">
        <f>IFERROR(VLOOKUP(B1616,ChiTietDuToan!C:H,5,0),"")</f>
        <v>cái</v>
      </c>
      <c r="V1616" s="2309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59" t="s">
        <v>420</v>
      </c>
      <c r="C1617" s="1189" t="str">
        <f t="shared" si="325"/>
        <v xml:space="preserve"> </v>
      </c>
      <c r="D1617" s="1236"/>
      <c r="E1617" s="1246" t="str">
        <f>VLOOKUP($B1617,DG!A:D,DG!$C$2,)</f>
        <v>Boulon mắt 16x300+ 2 long đền vuông D18-50x50x3/Zn</v>
      </c>
      <c r="F1617" s="1236" t="str">
        <f>VLOOKUP($B1617,DG!A:D,DG!$D$2,)</f>
        <v>bộ</v>
      </c>
      <c r="G1617" s="1915">
        <f>G1615</f>
        <v>0</v>
      </c>
      <c r="H1617" s="1245">
        <f t="shared" si="321"/>
        <v>0</v>
      </c>
      <c r="I1617" s="1245">
        <f t="shared" si="324"/>
        <v>0</v>
      </c>
      <c r="J1617" s="1245"/>
      <c r="K1617" s="1245"/>
      <c r="L1617" s="1245"/>
      <c r="M1617" s="1245"/>
      <c r="N1617" s="1245"/>
      <c r="O1617" s="1245"/>
      <c r="P1617" s="1249">
        <f t="shared" si="320"/>
        <v>0</v>
      </c>
      <c r="Q1617" s="1245"/>
      <c r="R1617" s="1245"/>
      <c r="S1617" s="1245"/>
      <c r="T1617" s="1671"/>
      <c r="U1617" s="1664" t="str">
        <f>IFERROR(VLOOKUP(B1617,ChiTietDuToan!C:H,5,0),"")</f>
        <v>bộ</v>
      </c>
      <c r="V1617" s="2309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59" t="s">
        <v>242</v>
      </c>
      <c r="C1618" s="1189" t="str">
        <f t="shared" si="325"/>
        <v xml:space="preserve"> </v>
      </c>
      <c r="D1618" s="1236"/>
      <c r="E1618" s="1246" t="str">
        <f>VLOOKUP($B1618,DG!A:D,DG!$C$2,)</f>
        <v>Kẹp ép WR cỡ dây 120mm2</v>
      </c>
      <c r="F1618" s="1236" t="str">
        <f>VLOOKUP($B1618,DG!A:D,DG!$D$2,)</f>
        <v>cái</v>
      </c>
      <c r="G1618" s="1915">
        <f>G1614</f>
        <v>0</v>
      </c>
      <c r="H1618" s="1245">
        <f t="shared" si="321"/>
        <v>0</v>
      </c>
      <c r="I1618" s="1245">
        <f t="shared" si="324"/>
        <v>0</v>
      </c>
      <c r="J1618" s="1245"/>
      <c r="K1618" s="1245"/>
      <c r="L1618" s="1245"/>
      <c r="M1618" s="1245"/>
      <c r="N1618" s="1245"/>
      <c r="O1618" s="1245"/>
      <c r="P1618" s="1249">
        <f t="shared" si="320"/>
        <v>0</v>
      </c>
      <c r="Q1618" s="1245"/>
      <c r="R1618" s="1245"/>
      <c r="S1618" s="1245"/>
      <c r="T1618" s="1671"/>
      <c r="U1618" s="1664" t="str">
        <f>IFERROR(VLOOKUP(B1618,ChiTietDuToan!C:H,5,0),"")</f>
        <v/>
      </c>
      <c r="V1618" s="2309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82" t="s">
        <v>2568</v>
      </c>
      <c r="C1619" s="1189" t="str">
        <f t="shared" si="325"/>
        <v xml:space="preserve"> </v>
      </c>
      <c r="D1619" s="1236"/>
      <c r="E1619" s="1254" t="s">
        <v>2569</v>
      </c>
      <c r="F1619" s="1255" t="s">
        <v>2503</v>
      </c>
      <c r="G1619" s="1928">
        <f>'pp3p2m '!CP82</f>
        <v>0</v>
      </c>
      <c r="H1619" s="1245">
        <f t="shared" si="321"/>
        <v>0</v>
      </c>
      <c r="I1619" s="1245">
        <f t="shared" ref="I1619:I1643" si="326">G1619</f>
        <v>0</v>
      </c>
      <c r="J1619" s="1245"/>
      <c r="K1619" s="1245"/>
      <c r="L1619" s="1245"/>
      <c r="M1619" s="1245"/>
      <c r="N1619" s="1245"/>
      <c r="O1619" s="1245"/>
      <c r="P1619" s="1249">
        <f t="shared" si="320"/>
        <v>0</v>
      </c>
      <c r="Q1619" s="1245"/>
      <c r="R1619" s="1245"/>
      <c r="S1619" s="1245"/>
      <c r="T1619" s="1671"/>
      <c r="U1619" s="1664" t="str">
        <f>IFERROR(VLOOKUP(B1619,ChiTietDuToan!C:H,5,0),"")</f>
        <v>bộ</v>
      </c>
      <c r="V1619" s="2309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59" t="s">
        <v>703</v>
      </c>
      <c r="C1620" s="1189" t="str">
        <f t="shared" si="325"/>
        <v xml:space="preserve"> </v>
      </c>
      <c r="D1620" s="1236"/>
      <c r="E1620" s="1248" t="str">
        <f>VLOOKUP($B1620,DG!A:D,DG!$C$2,)</f>
        <v xml:space="preserve">Sứ đứng 24KV </v>
      </c>
      <c r="F1620" s="1236" t="str">
        <f>VLOOKUP($B1620,DG!A:D,DG!$D$2,)</f>
        <v>cái</v>
      </c>
      <c r="G1620" s="1915">
        <f>G1619</f>
        <v>0</v>
      </c>
      <c r="H1620" s="1245">
        <f t="shared" si="321"/>
        <v>0</v>
      </c>
      <c r="I1620" s="1245">
        <f t="shared" si="326"/>
        <v>0</v>
      </c>
      <c r="J1620" s="1245"/>
      <c r="K1620" s="1245"/>
      <c r="L1620" s="1245"/>
      <c r="M1620" s="1245"/>
      <c r="N1620" s="1245"/>
      <c r="O1620" s="1245"/>
      <c r="P1620" s="1249">
        <f t="shared" si="320"/>
        <v>0</v>
      </c>
      <c r="Q1620" s="1245"/>
      <c r="R1620" s="1245"/>
      <c r="S1620" s="1245"/>
      <c r="T1620" s="1671"/>
      <c r="U1620" s="1664" t="str">
        <f>IFERROR(VLOOKUP(B1620,ChiTietDuToan!C:H,5,0),"")</f>
        <v>cái</v>
      </c>
      <c r="V1620" s="2309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59" t="s">
        <v>1298</v>
      </c>
      <c r="C1621" s="1189" t="str">
        <f t="shared" si="325"/>
        <v xml:space="preserve"> </v>
      </c>
      <c r="D1621" s="1236"/>
      <c r="E1621" s="1248" t="str">
        <f>VLOOKUP($B1621,DG!A:D,DG!$C$2,)</f>
        <v>Chân sứ đứng D20</v>
      </c>
      <c r="F1621" s="1236" t="str">
        <f>VLOOKUP($B1621,DG!A:D,DG!$D$2,)</f>
        <v>cái</v>
      </c>
      <c r="G1621" s="1915">
        <f>G1619</f>
        <v>0</v>
      </c>
      <c r="H1621" s="1245">
        <f t="shared" si="321"/>
        <v>0</v>
      </c>
      <c r="I1621" s="1245">
        <f t="shared" si="326"/>
        <v>0</v>
      </c>
      <c r="J1621" s="1245"/>
      <c r="K1621" s="1245"/>
      <c r="L1621" s="1245"/>
      <c r="M1621" s="1245"/>
      <c r="N1621" s="1245"/>
      <c r="O1621" s="1245"/>
      <c r="P1621" s="1249">
        <f t="shared" si="320"/>
        <v>0</v>
      </c>
      <c r="Q1621" s="1245"/>
      <c r="R1621" s="1245"/>
      <c r="S1621" s="1245"/>
      <c r="T1621" s="1671"/>
      <c r="U1621" s="1664" t="str">
        <f>IFERROR(VLOOKUP(B1621,ChiTietDuToan!C:H,5,0),"")</f>
        <v>cái</v>
      </c>
      <c r="V1621" s="2309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82" t="s">
        <v>2570</v>
      </c>
      <c r="C1622" s="1189" t="str">
        <f t="shared" si="325"/>
        <v xml:space="preserve"> </v>
      </c>
      <c r="D1622" s="1236"/>
      <c r="E1622" s="1254" t="s">
        <v>2571</v>
      </c>
      <c r="F1622" s="1255" t="s">
        <v>2503</v>
      </c>
      <c r="G1622" s="1928">
        <f>'pp3p2m '!CN82</f>
        <v>0</v>
      </c>
      <c r="H1622" s="1245">
        <f t="shared" si="321"/>
        <v>0</v>
      </c>
      <c r="I1622" s="1245">
        <f t="shared" si="326"/>
        <v>0</v>
      </c>
      <c r="J1622" s="1245"/>
      <c r="K1622" s="1245"/>
      <c r="L1622" s="1245"/>
      <c r="M1622" s="1245"/>
      <c r="N1622" s="1245"/>
      <c r="O1622" s="1245"/>
      <c r="P1622" s="1249">
        <f t="shared" si="320"/>
        <v>0</v>
      </c>
      <c r="Q1622" s="1245"/>
      <c r="R1622" s="1245"/>
      <c r="S1622" s="1245"/>
      <c r="T1622" s="1671"/>
      <c r="U1622" s="1664" t="str">
        <f>IFERROR(VLOOKUP(B1622,ChiTietDuToan!C:H,5,0),"")</f>
        <v/>
      </c>
      <c r="V1622" s="2309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59" t="s">
        <v>703</v>
      </c>
      <c r="C1623" s="1189" t="str">
        <f t="shared" si="325"/>
        <v xml:space="preserve"> </v>
      </c>
      <c r="D1623" s="1236"/>
      <c r="E1623" s="1248" t="str">
        <f>VLOOKUP($B1623,DG!A:D,DG!$C$2,)</f>
        <v xml:space="preserve">Sứ đứng 24KV </v>
      </c>
      <c r="F1623" s="1236" t="str">
        <f>VLOOKUP($B1623,DG!A:D,DG!$D$2,)</f>
        <v>cái</v>
      </c>
      <c r="G1623" s="1915">
        <f>G1622</f>
        <v>0</v>
      </c>
      <c r="H1623" s="1245">
        <f t="shared" si="321"/>
        <v>0</v>
      </c>
      <c r="I1623" s="1245">
        <f t="shared" si="326"/>
        <v>0</v>
      </c>
      <c r="J1623" s="1245"/>
      <c r="K1623" s="1245"/>
      <c r="L1623" s="1245"/>
      <c r="M1623" s="1245"/>
      <c r="N1623" s="1245"/>
      <c r="O1623" s="1245"/>
      <c r="P1623" s="1249">
        <f t="shared" si="320"/>
        <v>0</v>
      </c>
      <c r="Q1623" s="1245"/>
      <c r="R1623" s="1245"/>
      <c r="S1623" s="1245"/>
      <c r="T1623" s="1671"/>
      <c r="U1623" s="1664" t="str">
        <f>IFERROR(VLOOKUP(B1623,ChiTietDuToan!C:H,5,0),"")</f>
        <v>cái</v>
      </c>
      <c r="V1623" s="2309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59" t="s">
        <v>1299</v>
      </c>
      <c r="C1624" s="1189" t="str">
        <f t="shared" si="325"/>
        <v xml:space="preserve"> </v>
      </c>
      <c r="D1624" s="1236"/>
      <c r="E1624" s="1248" t="str">
        <f>VLOOKUP($B1624,DG!A:D,DG!$C$2,)</f>
        <v>Chân sứ đỉnh thẳng dài 870mm</v>
      </c>
      <c r="F1624" s="1236" t="str">
        <f>VLOOKUP($B1624,DG!A:D,DG!$D$2,)</f>
        <v>cái</v>
      </c>
      <c r="G1624" s="1915">
        <f>G1622</f>
        <v>0</v>
      </c>
      <c r="H1624" s="1245">
        <f t="shared" si="321"/>
        <v>0</v>
      </c>
      <c r="I1624" s="1245">
        <f t="shared" si="326"/>
        <v>0</v>
      </c>
      <c r="J1624" s="1245"/>
      <c r="K1624" s="1245"/>
      <c r="L1624" s="1245"/>
      <c r="M1624" s="1245"/>
      <c r="N1624" s="1245"/>
      <c r="O1624" s="1245"/>
      <c r="P1624" s="1249">
        <f t="shared" si="320"/>
        <v>0</v>
      </c>
      <c r="Q1624" s="1245"/>
      <c r="R1624" s="1245"/>
      <c r="S1624" s="1245"/>
      <c r="T1624" s="1671"/>
      <c r="U1624" s="1664" t="str">
        <f>IFERROR(VLOOKUP(B1624,ChiTietDuToan!C:H,5,0),"")</f>
        <v/>
      </c>
      <c r="V1624" s="2309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59" t="s">
        <v>1662</v>
      </c>
      <c r="C1625" s="1189" t="str">
        <f t="shared" si="325"/>
        <v xml:space="preserve"> </v>
      </c>
      <c r="D1625" s="1236"/>
      <c r="E1625" s="1248" t="str">
        <f>VLOOKUP($B1625,DG!A:D,DG!$C$2,)</f>
        <v>Boulon 16x300+ 2 long đền vuông D18-50x50x3/Zn</v>
      </c>
      <c r="F1625" s="1236" t="str">
        <f>VLOOKUP($B1625,DG!A:D,DG!$D$2,)</f>
        <v>bộ</v>
      </c>
      <c r="G1625" s="1915">
        <f>G1622*2</f>
        <v>0</v>
      </c>
      <c r="H1625" s="1245">
        <f t="shared" si="321"/>
        <v>0</v>
      </c>
      <c r="I1625" s="1245">
        <f t="shared" si="326"/>
        <v>0</v>
      </c>
      <c r="J1625" s="1245"/>
      <c r="K1625" s="1245"/>
      <c r="L1625" s="1245"/>
      <c r="M1625" s="1245"/>
      <c r="N1625" s="1245"/>
      <c r="O1625" s="1245"/>
      <c r="P1625" s="1249">
        <f t="shared" si="320"/>
        <v>0</v>
      </c>
      <c r="Q1625" s="1245"/>
      <c r="R1625" s="1245"/>
      <c r="S1625" s="1245"/>
      <c r="T1625" s="1671"/>
      <c r="U1625" s="1664" t="str">
        <f>IFERROR(VLOOKUP(B1625,ChiTietDuToan!C:H,5,0),"")</f>
        <v>bộ</v>
      </c>
      <c r="V1625" s="2309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84" t="s">
        <v>2572</v>
      </c>
      <c r="C1626" s="1189" t="str">
        <f t="shared" si="325"/>
        <v xml:space="preserve"> </v>
      </c>
      <c r="D1626" s="1240"/>
      <c r="E1626" s="1254" t="s">
        <v>2573</v>
      </c>
      <c r="F1626" s="1519" t="s">
        <v>2503</v>
      </c>
      <c r="G1626" s="1929">
        <f>'pp3p2m '!CO82</f>
        <v>0</v>
      </c>
      <c r="H1626" s="1245">
        <f t="shared" si="321"/>
        <v>0</v>
      </c>
      <c r="I1626" s="1244">
        <f t="shared" si="326"/>
        <v>0</v>
      </c>
      <c r="J1626" s="1244"/>
      <c r="K1626" s="1244"/>
      <c r="L1626" s="1244"/>
      <c r="M1626" s="1244"/>
      <c r="N1626" s="1244"/>
      <c r="O1626" s="1244"/>
      <c r="P1626" s="1249">
        <f t="shared" si="320"/>
        <v>0</v>
      </c>
      <c r="Q1626" s="1245"/>
      <c r="R1626" s="1245"/>
      <c r="S1626" s="1245"/>
      <c r="T1626" s="1671"/>
      <c r="U1626" s="1664" t="str">
        <f>IFERROR(VLOOKUP(B1626,ChiTietDuToan!C:H,5,0),"")</f>
        <v/>
      </c>
      <c r="V1626" s="2309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59" t="s">
        <v>703</v>
      </c>
      <c r="C1627" s="1189" t="str">
        <f t="shared" si="325"/>
        <v xml:space="preserve"> </v>
      </c>
      <c r="D1627" s="1240"/>
      <c r="E1627" s="1248" t="str">
        <f>VLOOKUP($B1627,DG!A:D,DG!$C$2,)</f>
        <v xml:space="preserve">Sứ đứng 24KV </v>
      </c>
      <c r="F1627" s="1236" t="str">
        <f>VLOOKUP($B1627,DG!A:D,DG!$D$2,)</f>
        <v>cái</v>
      </c>
      <c r="G1627" s="1918">
        <f>G1626*2</f>
        <v>0</v>
      </c>
      <c r="H1627" s="1245">
        <f t="shared" si="321"/>
        <v>0</v>
      </c>
      <c r="I1627" s="1244">
        <f t="shared" si="326"/>
        <v>0</v>
      </c>
      <c r="J1627" s="1244"/>
      <c r="K1627" s="1244"/>
      <c r="L1627" s="1244"/>
      <c r="M1627" s="1244"/>
      <c r="N1627" s="1244"/>
      <c r="O1627" s="1244"/>
      <c r="P1627" s="1249">
        <f t="shared" si="320"/>
        <v>0</v>
      </c>
      <c r="Q1627" s="1245"/>
      <c r="R1627" s="1245"/>
      <c r="S1627" s="1245"/>
      <c r="T1627" s="1671"/>
      <c r="U1627" s="1664" t="str">
        <f>IFERROR(VLOOKUP(B1627,ChiTietDuToan!C:H,5,0),"")</f>
        <v>cái</v>
      </c>
      <c r="V1627" s="2309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59" t="s">
        <v>595</v>
      </c>
      <c r="C1628" s="1189" t="str">
        <f t="shared" si="325"/>
        <v xml:space="preserve"> </v>
      </c>
      <c r="D1628" s="1240"/>
      <c r="E1628" s="1248" t="str">
        <f>VLOOKUP($B1628,DG!A:D,DG!$C$2,)</f>
        <v>Chân sứ đỉnh đỡ góc dài 870mm</v>
      </c>
      <c r="F1628" s="1236" t="str">
        <f>VLOOKUP($B1628,DG!A:D,DG!$D$2,)</f>
        <v>cái</v>
      </c>
      <c r="G1628" s="1918">
        <f>G1626*2</f>
        <v>0</v>
      </c>
      <c r="H1628" s="1245">
        <f t="shared" si="321"/>
        <v>0</v>
      </c>
      <c r="I1628" s="1244">
        <f t="shared" si="326"/>
        <v>0</v>
      </c>
      <c r="J1628" s="1244"/>
      <c r="K1628" s="1244"/>
      <c r="L1628" s="1244"/>
      <c r="M1628" s="1244"/>
      <c r="N1628" s="1244"/>
      <c r="O1628" s="1244"/>
      <c r="P1628" s="1249">
        <f t="shared" si="320"/>
        <v>0</v>
      </c>
      <c r="Q1628" s="1245"/>
      <c r="R1628" s="1245"/>
      <c r="S1628" s="1245"/>
      <c r="T1628" s="1671"/>
      <c r="U1628" s="1664" t="str">
        <f>IFERROR(VLOOKUP(B1628,ChiTietDuToan!C:H,5,0),"")</f>
        <v/>
      </c>
      <c r="V1628" s="2309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59" t="s">
        <v>1662</v>
      </c>
      <c r="C1629" s="1189" t="str">
        <f t="shared" si="325"/>
        <v xml:space="preserve"> </v>
      </c>
      <c r="D1629" s="1240"/>
      <c r="E1629" s="1248" t="str">
        <f>VLOOKUP($B1629,DG!A:D,DG!$C$2,)</f>
        <v>Boulon 16x300+ 2 long đền vuông D18-50x50x3/Zn</v>
      </c>
      <c r="F1629" s="1236" t="str">
        <f>VLOOKUP($B1629,DG!A:D,DG!$D$2,)</f>
        <v>bộ</v>
      </c>
      <c r="G1629" s="1918">
        <f>G1626*2</f>
        <v>0</v>
      </c>
      <c r="H1629" s="1245">
        <f t="shared" si="321"/>
        <v>0</v>
      </c>
      <c r="I1629" s="1244">
        <f t="shared" si="326"/>
        <v>0</v>
      </c>
      <c r="J1629" s="1244"/>
      <c r="K1629" s="1244"/>
      <c r="L1629" s="1244"/>
      <c r="M1629" s="1244"/>
      <c r="N1629" s="1244"/>
      <c r="O1629" s="1244"/>
      <c r="P1629" s="1249">
        <f t="shared" si="320"/>
        <v>0</v>
      </c>
      <c r="Q1629" s="1245"/>
      <c r="R1629" s="1245"/>
      <c r="S1629" s="1245"/>
      <c r="T1629" s="1671"/>
      <c r="U1629" s="1664" t="str">
        <f>IFERROR(VLOOKUP(B1629,ChiTietDuToan!C:H,5,0),"")</f>
        <v>bộ</v>
      </c>
      <c r="V1629" s="2309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82" t="s">
        <v>2574</v>
      </c>
      <c r="C1630" s="1189" t="str">
        <f t="shared" si="325"/>
        <v xml:space="preserve"> </v>
      </c>
      <c r="D1630" s="1236"/>
      <c r="E1630" s="1254" t="s">
        <v>2592</v>
      </c>
      <c r="F1630" s="1255" t="s">
        <v>2576</v>
      </c>
      <c r="G1630" s="1928"/>
      <c r="H1630" s="1245">
        <f t="shared" si="321"/>
        <v>0</v>
      </c>
      <c r="I1630" s="1245">
        <f t="shared" si="326"/>
        <v>0</v>
      </c>
      <c r="J1630" s="1245"/>
      <c r="K1630" s="1245"/>
      <c r="L1630" s="1245"/>
      <c r="M1630" s="1245"/>
      <c r="N1630" s="1245"/>
      <c r="O1630" s="1245"/>
      <c r="P1630" s="1249">
        <f t="shared" si="320"/>
        <v>0</v>
      </c>
      <c r="Q1630" s="1245"/>
      <c r="R1630" s="1245"/>
      <c r="S1630" s="1245"/>
      <c r="T1630" s="1671"/>
      <c r="U1630" s="1664" t="str">
        <f>IFERROR(VLOOKUP(B1630,ChiTietDuToan!C:H,5,0),"")</f>
        <v/>
      </c>
      <c r="V1630" s="2309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59" t="s">
        <v>1300</v>
      </c>
      <c r="C1631" s="1189" t="str">
        <f t="shared" si="325"/>
        <v xml:space="preserve"> </v>
      </c>
      <c r="D1631" s="1236"/>
      <c r="E1631" s="1248" t="str">
        <f>VLOOKUP($B1631,DG!A:D,DG!$C$2,)</f>
        <v>Sứ treo loại 70kN</v>
      </c>
      <c r="F1631" s="1236" t="str">
        <f>VLOOKUP($B1631,DG!A:D,DG!$D$2,)</f>
        <v>bát</v>
      </c>
      <c r="G1631" s="1915">
        <f>G1630*2</f>
        <v>0</v>
      </c>
      <c r="H1631" s="1245">
        <f t="shared" si="321"/>
        <v>0</v>
      </c>
      <c r="I1631" s="1245">
        <f t="shared" si="326"/>
        <v>0</v>
      </c>
      <c r="J1631" s="1245"/>
      <c r="K1631" s="1245"/>
      <c r="L1631" s="1245"/>
      <c r="M1631" s="1245"/>
      <c r="N1631" s="1245"/>
      <c r="O1631" s="1245"/>
      <c r="P1631" s="1249">
        <f t="shared" si="320"/>
        <v>0</v>
      </c>
      <c r="Q1631" s="1245"/>
      <c r="R1631" s="1245"/>
      <c r="S1631" s="1245"/>
      <c r="T1631" s="1671"/>
      <c r="U1631" s="1664" t="str">
        <f>IFERROR(VLOOKUP(B1631,ChiTietDuToan!C:H,5,0),"")</f>
        <v/>
      </c>
      <c r="V1631" s="2309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59" t="s">
        <v>1538</v>
      </c>
      <c r="C1632" s="1189" t="str">
        <f t="shared" si="325"/>
        <v xml:space="preserve"> </v>
      </c>
      <c r="D1632" s="1236"/>
      <c r="E1632" s="1248" t="str">
        <f>VLOOKUP($B1632,DG!A:D,DG!$C$2,)</f>
        <v xml:space="preserve">Móc treo chữ U </v>
      </c>
      <c r="F1632" s="1236" t="str">
        <f>VLOOKUP($B1632,DG!A:D,DG!$D$2,)</f>
        <v>cái</v>
      </c>
      <c r="G1632" s="1915">
        <f>G1630*2</f>
        <v>0</v>
      </c>
      <c r="H1632" s="1245">
        <f t="shared" si="321"/>
        <v>0</v>
      </c>
      <c r="I1632" s="1245">
        <f t="shared" si="326"/>
        <v>0</v>
      </c>
      <c r="J1632" s="1245"/>
      <c r="K1632" s="1245"/>
      <c r="L1632" s="1245"/>
      <c r="M1632" s="1245"/>
      <c r="N1632" s="1245"/>
      <c r="O1632" s="1245"/>
      <c r="P1632" s="1249">
        <f t="shared" si="320"/>
        <v>0</v>
      </c>
      <c r="Q1632" s="1245"/>
      <c r="R1632" s="1245"/>
      <c r="S1632" s="1245"/>
      <c r="T1632" s="1671"/>
      <c r="U1632" s="1664" t="str">
        <f>IFERROR(VLOOKUP(B1632,ChiTietDuToan!C:H,5,0),"")</f>
        <v>cái</v>
      </c>
      <c r="V1632" s="2309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59" t="s">
        <v>1621</v>
      </c>
      <c r="C1633" s="1189" t="str">
        <f t="shared" si="325"/>
        <v xml:space="preserve"> </v>
      </c>
      <c r="D1633" s="1236"/>
      <c r="E1633" s="1248" t="str">
        <f>VLOOKUP($B1633,DG!A:D,DG!$C$2,)</f>
        <v>Vòng treo đầu tròn</v>
      </c>
      <c r="F1633" s="1236" t="str">
        <f>VLOOKUP($B1633,DG!A:D,DG!$D$2,)</f>
        <v>cái</v>
      </c>
      <c r="G1633" s="1915">
        <f>G1630</f>
        <v>0</v>
      </c>
      <c r="H1633" s="1245">
        <f t="shared" si="321"/>
        <v>0</v>
      </c>
      <c r="I1633" s="1245">
        <f t="shared" si="326"/>
        <v>0</v>
      </c>
      <c r="J1633" s="1245"/>
      <c r="K1633" s="1245"/>
      <c r="L1633" s="1245"/>
      <c r="M1633" s="1245"/>
      <c r="N1633" s="1245"/>
      <c r="O1633" s="1245"/>
      <c r="P1633" s="1249">
        <f t="shared" si="320"/>
        <v>0</v>
      </c>
      <c r="Q1633" s="1245"/>
      <c r="R1633" s="1245"/>
      <c r="S1633" s="1245"/>
      <c r="T1633" s="1671"/>
      <c r="U1633" s="1664" t="str">
        <f>IFERROR(VLOOKUP(B1633,ChiTietDuToan!C:H,5,0),"")</f>
        <v/>
      </c>
      <c r="V1633" s="2309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59" t="s">
        <v>1536</v>
      </c>
      <c r="C1634" s="1189" t="str">
        <f t="shared" si="325"/>
        <v xml:space="preserve"> </v>
      </c>
      <c r="D1634" s="1236"/>
      <c r="E1634" s="1248" t="str">
        <f>VLOOKUP($B1634,DG!A:D,DG!$C$2,)</f>
        <v>Mắt nối đơn</v>
      </c>
      <c r="F1634" s="1236" t="str">
        <f>VLOOKUP($B1634,DG!A:D,DG!$D$2,)</f>
        <v>cái</v>
      </c>
      <c r="G1634" s="1915">
        <f>G1630</f>
        <v>0</v>
      </c>
      <c r="H1634" s="1245">
        <f t="shared" si="321"/>
        <v>0</v>
      </c>
      <c r="I1634" s="1245">
        <f t="shared" si="326"/>
        <v>0</v>
      </c>
      <c r="J1634" s="1245"/>
      <c r="K1634" s="1245"/>
      <c r="L1634" s="1245"/>
      <c r="M1634" s="1245"/>
      <c r="N1634" s="1245"/>
      <c r="O1634" s="1245"/>
      <c r="P1634" s="1249">
        <f t="shared" si="320"/>
        <v>0</v>
      </c>
      <c r="Q1634" s="1245"/>
      <c r="R1634" s="1245"/>
      <c r="S1634" s="1245"/>
      <c r="T1634" s="1671"/>
      <c r="U1634" s="1664" t="str">
        <f>IFERROR(VLOOKUP(B1634,ChiTietDuToan!C:H,5,0),"")</f>
        <v/>
      </c>
      <c r="V1634" s="2309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59" t="s">
        <v>1301</v>
      </c>
      <c r="C1635" s="1189" t="str">
        <f t="shared" si="325"/>
        <v xml:space="preserve"> </v>
      </c>
      <c r="D1635" s="1236"/>
      <c r="E1635" s="1248" t="str">
        <f>VLOOKUP($B1635,DG!A:D,DG!$C$2,)</f>
        <v>Boulon mắt 16x300+ 2 long đền vuông D18-50x50x3/Zn</v>
      </c>
      <c r="F1635" s="1236" t="str">
        <f>VLOOKUP($B1635,DG!A:D,DG!$D$2,)</f>
        <v>bộ</v>
      </c>
      <c r="G1635" s="1915">
        <f>G1630</f>
        <v>0</v>
      </c>
      <c r="H1635" s="1245">
        <f t="shared" si="321"/>
        <v>0</v>
      </c>
      <c r="I1635" s="1245">
        <f t="shared" si="326"/>
        <v>0</v>
      </c>
      <c r="J1635" s="1245"/>
      <c r="K1635" s="1245"/>
      <c r="L1635" s="1245"/>
      <c r="M1635" s="1245"/>
      <c r="N1635" s="1245"/>
      <c r="O1635" s="1245"/>
      <c r="P1635" s="1249">
        <f t="shared" si="320"/>
        <v>0</v>
      </c>
      <c r="Q1635" s="1245"/>
      <c r="R1635" s="1245"/>
      <c r="S1635" s="1245"/>
      <c r="T1635" s="1671"/>
      <c r="U1635" s="1664" t="str">
        <f>IFERROR(VLOOKUP(B1635,ChiTietDuToan!C:H,5,0),"")</f>
        <v>bộ</v>
      </c>
      <c r="V1635" s="2309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82" t="s">
        <v>2593</v>
      </c>
      <c r="C1636" s="1189" t="str">
        <f t="shared" si="325"/>
        <v xml:space="preserve"> </v>
      </c>
      <c r="D1636" s="1681"/>
      <c r="E1636" s="1254" t="s">
        <v>2594</v>
      </c>
      <c r="F1636" s="1255" t="s">
        <v>2576</v>
      </c>
      <c r="G1636" s="1928"/>
      <c r="H1636" s="1245">
        <f t="shared" si="321"/>
        <v>0</v>
      </c>
      <c r="I1636" s="1245">
        <f t="shared" si="326"/>
        <v>0</v>
      </c>
      <c r="J1636" s="1245"/>
      <c r="K1636" s="1245"/>
      <c r="L1636" s="1245"/>
      <c r="M1636" s="1245"/>
      <c r="N1636" s="1245"/>
      <c r="O1636" s="1245"/>
      <c r="P1636" s="1249">
        <f t="shared" si="320"/>
        <v>0</v>
      </c>
      <c r="Q1636" s="1245"/>
      <c r="R1636" s="1245"/>
      <c r="S1636" s="1245"/>
      <c r="T1636" s="1671"/>
      <c r="U1636" s="1664" t="str">
        <f>IFERROR(VLOOKUP(B1636,ChiTietDuToan!C:H,5,0),"")</f>
        <v/>
      </c>
      <c r="V1636" s="2309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59" t="s">
        <v>113</v>
      </c>
      <c r="C1637" s="1189" t="str">
        <f t="shared" si="325"/>
        <v xml:space="preserve"> </v>
      </c>
      <c r="D1637" s="1236"/>
      <c r="E1637" s="1248" t="str">
        <f>VLOOKUP($B1637,DG!A:D,DG!$C$2,)</f>
        <v>Sứ treo loại 70kN</v>
      </c>
      <c r="F1637" s="1236" t="str">
        <f>VLOOKUP($B1637,DG!A:D,DG!$D$2,)</f>
        <v>bát</v>
      </c>
      <c r="G1637" s="1915">
        <f>G1636*2</f>
        <v>0</v>
      </c>
      <c r="H1637" s="1245">
        <f t="shared" si="321"/>
        <v>0</v>
      </c>
      <c r="I1637" s="1245">
        <f t="shared" si="326"/>
        <v>0</v>
      </c>
      <c r="J1637" s="1245"/>
      <c r="K1637" s="1245"/>
      <c r="L1637" s="1245"/>
      <c r="M1637" s="1245"/>
      <c r="N1637" s="1245"/>
      <c r="O1637" s="1245"/>
      <c r="P1637" s="1249">
        <f t="shared" si="320"/>
        <v>0</v>
      </c>
      <c r="Q1637" s="1245"/>
      <c r="R1637" s="1245"/>
      <c r="S1637" s="1245"/>
      <c r="T1637" s="1671"/>
      <c r="U1637" s="1664" t="str">
        <f>IFERROR(VLOOKUP(B1637,ChiTietDuToan!C:H,5,0),"")</f>
        <v/>
      </c>
      <c r="V1637" s="2309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59" t="s">
        <v>1538</v>
      </c>
      <c r="C1638" s="1189" t="str">
        <f t="shared" si="325"/>
        <v xml:space="preserve"> </v>
      </c>
      <c r="D1638" s="1236"/>
      <c r="E1638" s="1248" t="str">
        <f>VLOOKUP($B1638,DG!A:D,DG!$C$2,)</f>
        <v xml:space="preserve">Móc treo chữ U </v>
      </c>
      <c r="F1638" s="1236" t="str">
        <f>VLOOKUP($B1638,DG!A:D,DG!$D$2,)</f>
        <v>cái</v>
      </c>
      <c r="G1638" s="1915">
        <f>G1636*2</f>
        <v>0</v>
      </c>
      <c r="H1638" s="1245">
        <f t="shared" si="321"/>
        <v>0</v>
      </c>
      <c r="I1638" s="1245">
        <f t="shared" si="326"/>
        <v>0</v>
      </c>
      <c r="J1638" s="1245"/>
      <c r="K1638" s="1245"/>
      <c r="L1638" s="1245"/>
      <c r="M1638" s="1245"/>
      <c r="N1638" s="1245"/>
      <c r="O1638" s="1245"/>
      <c r="P1638" s="1249">
        <f t="shared" si="320"/>
        <v>0</v>
      </c>
      <c r="Q1638" s="1245"/>
      <c r="R1638" s="1245"/>
      <c r="S1638" s="1245"/>
      <c r="T1638" s="1671"/>
      <c r="U1638" s="1664" t="str">
        <f>IFERROR(VLOOKUP(B1638,ChiTietDuToan!C:H,5,0),"")</f>
        <v>cái</v>
      </c>
      <c r="V1638" s="2309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82" t="s">
        <v>2577</v>
      </c>
      <c r="C1639" s="1189" t="str">
        <f t="shared" si="325"/>
        <v xml:space="preserve"> </v>
      </c>
      <c r="D1639" s="1236"/>
      <c r="E1639" s="1254" t="s">
        <v>2595</v>
      </c>
      <c r="F1639" s="1255" t="s">
        <v>2576</v>
      </c>
      <c r="G1639" s="1928">
        <f>'pp3p2m '!CQ82</f>
        <v>0</v>
      </c>
      <c r="H1639" s="1245">
        <f t="shared" si="321"/>
        <v>0</v>
      </c>
      <c r="I1639" s="1245">
        <f>G1639</f>
        <v>0</v>
      </c>
      <c r="J1639" s="1245"/>
      <c r="K1639" s="1245"/>
      <c r="L1639" s="1245"/>
      <c r="M1639" s="1245"/>
      <c r="N1639" s="1245"/>
      <c r="O1639" s="1245"/>
      <c r="P1639" s="1249">
        <f t="shared" si="320"/>
        <v>0</v>
      </c>
      <c r="Q1639" s="1245"/>
      <c r="R1639" s="1245"/>
      <c r="S1639" s="1245"/>
      <c r="T1639" s="1671"/>
      <c r="U1639" s="1664" t="str">
        <f>IFERROR(VLOOKUP(B1639,ChiTietDuToan!C:H,5,0),"")</f>
        <v/>
      </c>
      <c r="V1639" s="2309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59" t="s">
        <v>1558</v>
      </c>
      <c r="C1640" s="1189" t="str">
        <f t="shared" si="325"/>
        <v xml:space="preserve"> </v>
      </c>
      <c r="D1640" s="1236"/>
      <c r="E1640" s="1248" t="str">
        <f>VLOOKUP($B1640,DG!A:D,DG!$C$2,)</f>
        <v>Sứ treo polymer</v>
      </c>
      <c r="F1640" s="1236" t="str">
        <f>VLOOKUP($B1640,DG!A:D,DG!$D$2,)</f>
        <v>chuỗi</v>
      </c>
      <c r="G1640" s="1915">
        <f>G1639</f>
        <v>0</v>
      </c>
      <c r="H1640" s="1245">
        <f t="shared" si="321"/>
        <v>0</v>
      </c>
      <c r="I1640" s="1245">
        <f>G1640</f>
        <v>0</v>
      </c>
      <c r="J1640" s="1245"/>
      <c r="K1640" s="1245"/>
      <c r="L1640" s="1245"/>
      <c r="M1640" s="1245"/>
      <c r="N1640" s="1245"/>
      <c r="O1640" s="1245"/>
      <c r="P1640" s="1249">
        <f t="shared" si="320"/>
        <v>0</v>
      </c>
      <c r="Q1640" s="1245"/>
      <c r="R1640" s="1245"/>
      <c r="S1640" s="1245"/>
      <c r="T1640" s="1671"/>
      <c r="U1640" s="1664" t="str">
        <f>IFERROR(VLOOKUP(B1640,ChiTietDuToan!C:H,5,0),"")</f>
        <v>cái</v>
      </c>
      <c r="V1640" s="2309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59" t="s">
        <v>1538</v>
      </c>
      <c r="C1641" s="1189" t="str">
        <f t="shared" si="325"/>
        <v xml:space="preserve"> </v>
      </c>
      <c r="D1641" s="1236"/>
      <c r="E1641" s="1248" t="str">
        <f>VLOOKUP($B1641,DG!A:D,DG!$C$2,)</f>
        <v xml:space="preserve">Móc treo chữ U </v>
      </c>
      <c r="F1641" s="1236" t="str">
        <f>VLOOKUP($B1641,DG!A:D,DG!$D$2,)</f>
        <v>cái</v>
      </c>
      <c r="G1641" s="1915">
        <f>G1639*2</f>
        <v>0</v>
      </c>
      <c r="H1641" s="1245">
        <f t="shared" si="321"/>
        <v>0</v>
      </c>
      <c r="I1641" s="1245">
        <f>G1641</f>
        <v>0</v>
      </c>
      <c r="J1641" s="1245"/>
      <c r="K1641" s="1245"/>
      <c r="L1641" s="1245"/>
      <c r="M1641" s="1245"/>
      <c r="N1641" s="1245"/>
      <c r="O1641" s="1245"/>
      <c r="P1641" s="1249">
        <f t="shared" si="320"/>
        <v>0</v>
      </c>
      <c r="Q1641" s="1245"/>
      <c r="R1641" s="1245"/>
      <c r="S1641" s="1245"/>
      <c r="T1641" s="1671"/>
      <c r="U1641" s="1664" t="str">
        <f>IFERROR(VLOOKUP(B1641,ChiTietDuToan!C:H,5,0),"")</f>
        <v>cái</v>
      </c>
      <c r="V1641" s="2309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59" t="s">
        <v>1621</v>
      </c>
      <c r="C1642" s="1189" t="str">
        <f t="shared" si="325"/>
        <v xml:space="preserve"> </v>
      </c>
      <c r="D1642" s="1236"/>
      <c r="E1642" s="1248" t="str">
        <f>VLOOKUP($B1642,DG!A:D,DG!$C$2,)</f>
        <v>Vòng treo đầu tròn</v>
      </c>
      <c r="F1642" s="1236" t="str">
        <f>VLOOKUP($B1642,DG!A:D,DG!$D$2,)</f>
        <v>cái</v>
      </c>
      <c r="G1642" s="1915">
        <f>G1639</f>
        <v>0</v>
      </c>
      <c r="H1642" s="1245">
        <f t="shared" si="321"/>
        <v>0</v>
      </c>
      <c r="I1642" s="1245">
        <f t="shared" si="326"/>
        <v>0</v>
      </c>
      <c r="J1642" s="1245"/>
      <c r="K1642" s="1245"/>
      <c r="L1642" s="1245"/>
      <c r="M1642" s="1245"/>
      <c r="N1642" s="1245"/>
      <c r="O1642" s="1245"/>
      <c r="P1642" s="1249">
        <f t="shared" si="320"/>
        <v>0</v>
      </c>
      <c r="Q1642" s="1245"/>
      <c r="R1642" s="1245"/>
      <c r="S1642" s="1245"/>
      <c r="T1642" s="1671"/>
      <c r="U1642" s="1664" t="str">
        <f>IFERROR(VLOOKUP(B1642,ChiTietDuToan!C:H,5,0),"")</f>
        <v/>
      </c>
      <c r="V1642" s="2309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59" t="s">
        <v>1536</v>
      </c>
      <c r="C1643" s="1189" t="str">
        <f t="shared" si="325"/>
        <v xml:space="preserve"> </v>
      </c>
      <c r="D1643" s="1236"/>
      <c r="E1643" s="1248" t="str">
        <f>VLOOKUP($B1643,DG!A:D,DG!$C$2,)</f>
        <v>Mắt nối đơn</v>
      </c>
      <c r="F1643" s="1236" t="str">
        <f>VLOOKUP($B1643,DG!A:D,DG!$D$2,)</f>
        <v>cái</v>
      </c>
      <c r="G1643" s="1915">
        <f>G1639</f>
        <v>0</v>
      </c>
      <c r="H1643" s="1245">
        <f t="shared" si="321"/>
        <v>0</v>
      </c>
      <c r="I1643" s="1245">
        <f t="shared" si="326"/>
        <v>0</v>
      </c>
      <c r="J1643" s="1245"/>
      <c r="K1643" s="1245"/>
      <c r="L1643" s="1245"/>
      <c r="M1643" s="1245"/>
      <c r="N1643" s="1245"/>
      <c r="O1643" s="1245"/>
      <c r="P1643" s="1249">
        <f t="shared" si="320"/>
        <v>0</v>
      </c>
      <c r="Q1643" s="1245"/>
      <c r="R1643" s="1245"/>
      <c r="S1643" s="1245"/>
      <c r="T1643" s="1671"/>
      <c r="U1643" s="1664" t="str">
        <f>IFERROR(VLOOKUP(B1643,ChiTietDuToan!C:H,5,0),"")</f>
        <v/>
      </c>
      <c r="V1643" s="2309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87" t="s">
        <v>548</v>
      </c>
      <c r="C1644" s="1189" t="str">
        <f t="shared" si="325"/>
        <v xml:space="preserve"> </v>
      </c>
      <c r="D1644" s="1236"/>
      <c r="E1644" s="1248" t="str">
        <f>VLOOKUP($B1644,DG!A:D,DG!$C$2,)</f>
        <v>Giáp níu dừng dây bọc 185</v>
      </c>
      <c r="F1644" s="1236" t="str">
        <f>VLOOKUP($B1644,DG!A:D,DG!$D$2,)</f>
        <v>cái</v>
      </c>
      <c r="G1644" s="1915">
        <f>'pp3p2m '!EB82</f>
        <v>0</v>
      </c>
      <c r="H1644" s="1245">
        <f t="shared" si="321"/>
        <v>0</v>
      </c>
      <c r="I1644" s="1245">
        <f>G1644</f>
        <v>0</v>
      </c>
      <c r="J1644" s="1245"/>
      <c r="K1644" s="1245"/>
      <c r="L1644" s="1245"/>
      <c r="M1644" s="1245"/>
      <c r="N1644" s="1245"/>
      <c r="O1644" s="1245"/>
      <c r="P1644" s="1249">
        <f t="shared" si="320"/>
        <v>0</v>
      </c>
      <c r="Q1644" s="1245"/>
      <c r="R1644" s="1245"/>
      <c r="S1644" s="1245"/>
      <c r="T1644" s="1671"/>
      <c r="U1644" s="1664" t="str">
        <f>IFERROR(VLOOKUP(B1644,ChiTietDuToan!C:H,5,0),"")</f>
        <v/>
      </c>
      <c r="V1644" s="2309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66" t="s">
        <v>1174</v>
      </c>
      <c r="C1645" s="1189" t="str">
        <f t="shared" si="325"/>
        <v xml:space="preserve"> </v>
      </c>
      <c r="D1645" s="1236"/>
      <c r="E1645" s="1248" t="str">
        <f>VLOOKUP($B1645,DG!A:D,DG!$C$2,)</f>
        <v>Khóa đỡ dây cỡ dây 240</v>
      </c>
      <c r="F1645" s="1236" t="str">
        <f>VLOOKUP($B1645,DG!A:D,DG!$D$2,)</f>
        <v>cái</v>
      </c>
      <c r="G1645" s="1928">
        <f>HLOOKUP(B1645,'pp3p2m '!$EE$81:$EK$82,2,)</f>
        <v>0</v>
      </c>
      <c r="H1645" s="1245">
        <f t="shared" si="321"/>
        <v>0</v>
      </c>
      <c r="I1645" s="1245">
        <f t="shared" ref="I1645:I1683" si="328">G1645</f>
        <v>0</v>
      </c>
      <c r="J1645" s="1245"/>
      <c r="K1645" s="1245"/>
      <c r="L1645" s="1245"/>
      <c r="M1645" s="1245"/>
      <c r="N1645" s="1245"/>
      <c r="O1645" s="1245"/>
      <c r="P1645" s="1249">
        <f t="shared" si="320"/>
        <v>0</v>
      </c>
      <c r="Q1645" s="1245"/>
      <c r="R1645" s="1245"/>
      <c r="S1645" s="1245"/>
      <c r="T1645" s="1671"/>
      <c r="U1645" s="1664" t="str">
        <f>IFERROR(VLOOKUP(B1645,ChiTietDuToan!C:H,5,0),"")</f>
        <v/>
      </c>
      <c r="V1645" s="2309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66" t="s">
        <v>1173</v>
      </c>
      <c r="C1646" s="1189" t="str">
        <f t="shared" si="325"/>
        <v xml:space="preserve"> </v>
      </c>
      <c r="D1646" s="1236"/>
      <c r="E1646" s="1248" t="str">
        <f>VLOOKUP($B1646,DG!A:D,DG!$C$2,)</f>
        <v>Khóa đỡ dây cỡ dây 185</v>
      </c>
      <c r="F1646" s="1236" t="str">
        <f>VLOOKUP($B1646,DG!A:D,DG!$D$2,)</f>
        <v>cái</v>
      </c>
      <c r="G1646" s="1928">
        <f>HLOOKUP(B1646,'pp3p2m '!$EE$81:$EK$82,2,)</f>
        <v>0</v>
      </c>
      <c r="H1646" s="1245">
        <f t="shared" si="321"/>
        <v>0</v>
      </c>
      <c r="I1646" s="1245">
        <f t="shared" ref="I1646:I1651" si="329">G1646</f>
        <v>0</v>
      </c>
      <c r="J1646" s="1245"/>
      <c r="K1646" s="1245"/>
      <c r="L1646" s="1245"/>
      <c r="M1646" s="1245"/>
      <c r="N1646" s="1245"/>
      <c r="O1646" s="1245"/>
      <c r="P1646" s="1249">
        <f t="shared" si="320"/>
        <v>0</v>
      </c>
      <c r="Q1646" s="1245"/>
      <c r="R1646" s="1245"/>
      <c r="S1646" s="1245"/>
      <c r="T1646" s="1671"/>
      <c r="U1646" s="1664" t="str">
        <f>IFERROR(VLOOKUP(B1646,ChiTietDuToan!C:H,5,0),"")</f>
        <v/>
      </c>
      <c r="V1646" s="2309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66" t="s">
        <v>1172</v>
      </c>
      <c r="C1647" s="1189" t="str">
        <f t="shared" si="325"/>
        <v xml:space="preserve"> </v>
      </c>
      <c r="D1647" s="1236"/>
      <c r="E1647" s="1248" t="str">
        <f>VLOOKUP($B1647,DG!A:D,DG!$C$2,)</f>
        <v>Khóa đỡ dây cỡ dây 150</v>
      </c>
      <c r="F1647" s="1236" t="str">
        <f>VLOOKUP($B1647,DG!A:D,DG!$D$2,)</f>
        <v>cái</v>
      </c>
      <c r="G1647" s="1928">
        <f>HLOOKUP(B1647,'pp3p2m '!$EE$81:$EK$82,2,)</f>
        <v>0</v>
      </c>
      <c r="H1647" s="1245">
        <f t="shared" si="321"/>
        <v>0</v>
      </c>
      <c r="I1647" s="1245">
        <f t="shared" si="329"/>
        <v>0</v>
      </c>
      <c r="J1647" s="1245"/>
      <c r="K1647" s="1245"/>
      <c r="L1647" s="1245"/>
      <c r="M1647" s="1245"/>
      <c r="N1647" s="1245"/>
      <c r="O1647" s="1245"/>
      <c r="P1647" s="1249">
        <f t="shared" si="320"/>
        <v>0</v>
      </c>
      <c r="Q1647" s="1245"/>
      <c r="R1647" s="1245"/>
      <c r="S1647" s="1245"/>
      <c r="T1647" s="1671"/>
      <c r="U1647" s="1664" t="str">
        <f>IFERROR(VLOOKUP(B1647,ChiTietDuToan!C:H,5,0),"")</f>
        <v/>
      </c>
      <c r="V1647" s="2309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66" t="s">
        <v>1171</v>
      </c>
      <c r="C1648" s="1189" t="str">
        <f t="shared" si="325"/>
        <v xml:space="preserve"> </v>
      </c>
      <c r="D1648" s="1236"/>
      <c r="E1648" s="1248" t="str">
        <f>VLOOKUP($B1648,DG!A:D,DG!$C$2,)</f>
        <v>Khóa đỡ dây cỡ dây 120</v>
      </c>
      <c r="F1648" s="1236" t="str">
        <f>VLOOKUP($B1648,DG!A:D,DG!$D$2,)</f>
        <v>cái</v>
      </c>
      <c r="G1648" s="1928">
        <f>HLOOKUP(B1648,'pp3p2m '!$EE$81:$EK$82,2,)</f>
        <v>0</v>
      </c>
      <c r="H1648" s="1245">
        <f t="shared" si="321"/>
        <v>0</v>
      </c>
      <c r="I1648" s="1245">
        <f t="shared" si="329"/>
        <v>0</v>
      </c>
      <c r="J1648" s="1245"/>
      <c r="K1648" s="1245"/>
      <c r="L1648" s="1245"/>
      <c r="M1648" s="1245"/>
      <c r="N1648" s="1245"/>
      <c r="O1648" s="1245"/>
      <c r="P1648" s="1249">
        <f t="shared" si="320"/>
        <v>0</v>
      </c>
      <c r="Q1648" s="1245"/>
      <c r="R1648" s="1245"/>
      <c r="S1648" s="1245"/>
      <c r="T1648" s="1671"/>
      <c r="U1648" s="1664" t="str">
        <f>IFERROR(VLOOKUP(B1648,ChiTietDuToan!C:H,5,0),"")</f>
        <v/>
      </c>
      <c r="V1648" s="2309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66" t="s">
        <v>101</v>
      </c>
      <c r="C1649" s="1189" t="str">
        <f t="shared" si="325"/>
        <v xml:space="preserve"> </v>
      </c>
      <c r="D1649" s="1236"/>
      <c r="E1649" s="1248" t="str">
        <f>VLOOKUP($B1649,DG!A:D,DG!$C$2,)</f>
        <v>Khóa đỡ dây cỡ dây 95</v>
      </c>
      <c r="F1649" s="1236" t="str">
        <f>VLOOKUP($B1649,DG!A:D,DG!$D$2,)</f>
        <v>cái</v>
      </c>
      <c r="G1649" s="1928">
        <f>HLOOKUP(B1649,'pp3p2m '!$EE$81:$EK$82,2,)</f>
        <v>0</v>
      </c>
      <c r="H1649" s="1245">
        <f t="shared" si="321"/>
        <v>0</v>
      </c>
      <c r="I1649" s="1245">
        <f t="shared" si="329"/>
        <v>0</v>
      </c>
      <c r="J1649" s="1245"/>
      <c r="K1649" s="1245"/>
      <c r="L1649" s="1245"/>
      <c r="M1649" s="1245"/>
      <c r="N1649" s="1245"/>
      <c r="O1649" s="1245"/>
      <c r="P1649" s="1249">
        <f t="shared" ref="P1649:P1715" si="330">H1649+Q1649-R1649</f>
        <v>0</v>
      </c>
      <c r="Q1649" s="1245"/>
      <c r="R1649" s="1245"/>
      <c r="S1649" s="1245"/>
      <c r="T1649" s="1671"/>
      <c r="U1649" s="1664" t="str">
        <f>IFERROR(VLOOKUP(B1649,ChiTietDuToan!C:H,5,0),"")</f>
        <v/>
      </c>
      <c r="V1649" s="2309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66" t="s">
        <v>1533</v>
      </c>
      <c r="C1650" s="1189" t="str">
        <f t="shared" si="325"/>
        <v xml:space="preserve"> </v>
      </c>
      <c r="D1650" s="1236"/>
      <c r="E1650" s="1248" t="str">
        <f>VLOOKUP($B1650,DG!A:D,DG!$C$2,)</f>
        <v>Khóa đỡ dây cỡ dây 70</v>
      </c>
      <c r="F1650" s="1236" t="str">
        <f>VLOOKUP($B1650,DG!A:D,DG!$D$2,)</f>
        <v>cái</v>
      </c>
      <c r="G1650" s="1928">
        <f>HLOOKUP(B1650,'pp3p2m '!$EE$81:$EK$82,2,)</f>
        <v>0</v>
      </c>
      <c r="H1650" s="1245">
        <f t="shared" si="321"/>
        <v>0</v>
      </c>
      <c r="I1650" s="1245">
        <f t="shared" si="329"/>
        <v>0</v>
      </c>
      <c r="J1650" s="1245"/>
      <c r="K1650" s="1245"/>
      <c r="L1650" s="1245"/>
      <c r="M1650" s="1245"/>
      <c r="N1650" s="1245"/>
      <c r="O1650" s="1245"/>
      <c r="P1650" s="1249">
        <f t="shared" si="330"/>
        <v>0</v>
      </c>
      <c r="Q1650" s="1245"/>
      <c r="R1650" s="1245"/>
      <c r="S1650" s="1245"/>
      <c r="T1650" s="1671"/>
      <c r="U1650" s="1664" t="str">
        <f>IFERROR(VLOOKUP(B1650,ChiTietDuToan!C:H,5,0),"")</f>
        <v/>
      </c>
      <c r="V1650" s="2309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66" t="s">
        <v>1205</v>
      </c>
      <c r="C1651" s="1189" t="str">
        <f t="shared" si="325"/>
        <v xml:space="preserve"> </v>
      </c>
      <c r="D1651" s="1236"/>
      <c r="E1651" s="1248" t="str">
        <f>VLOOKUP($B1651,DG!A:D,DG!$C$2,)</f>
        <v>Khóa đỡ dây cỡ dây 50</v>
      </c>
      <c r="F1651" s="1236" t="str">
        <f>VLOOKUP($B1651,DG!A:D,DG!$D$2,)</f>
        <v>cái</v>
      </c>
      <c r="G1651" s="1928">
        <f>HLOOKUP(B1651,'pp3p2m '!$EE$81:$EK$82,2,)</f>
        <v>0</v>
      </c>
      <c r="H1651" s="1245">
        <f t="shared" si="321"/>
        <v>0</v>
      </c>
      <c r="I1651" s="1245">
        <f t="shared" si="329"/>
        <v>0</v>
      </c>
      <c r="J1651" s="1245"/>
      <c r="K1651" s="1245"/>
      <c r="L1651" s="1245"/>
      <c r="M1651" s="1245"/>
      <c r="N1651" s="1245"/>
      <c r="O1651" s="1245"/>
      <c r="P1651" s="1249">
        <f t="shared" si="330"/>
        <v>0</v>
      </c>
      <c r="Q1651" s="1245"/>
      <c r="R1651" s="1245"/>
      <c r="S1651" s="1245"/>
      <c r="T1651" s="1671"/>
      <c r="U1651" s="1664" t="str">
        <f>IFERROR(VLOOKUP(B1651,ChiTietDuToan!C:H,5,0),"")</f>
        <v/>
      </c>
      <c r="V1651" s="2309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66" t="s">
        <v>1794</v>
      </c>
      <c r="C1652" s="1189" t="str">
        <f t="shared" si="325"/>
        <v xml:space="preserve"> </v>
      </c>
      <c r="D1652" s="1236"/>
      <c r="E1652" s="1248" t="str">
        <f>VLOOKUP($B1652,DG!A:D,DG!$C$2,)</f>
        <v>Khóa néo dây cỡ dây 240</v>
      </c>
      <c r="F1652" s="1236" t="str">
        <f>VLOOKUP($B1652,DG!A:D,DG!$D$2,)</f>
        <v>cái</v>
      </c>
      <c r="G1652" s="1915">
        <f>'pp3p2m '!CT82</f>
        <v>0</v>
      </c>
      <c r="H1652" s="1245">
        <f t="shared" si="321"/>
        <v>0</v>
      </c>
      <c r="I1652" s="1245">
        <f t="shared" si="328"/>
        <v>0</v>
      </c>
      <c r="J1652" s="1245"/>
      <c r="K1652" s="1245"/>
      <c r="L1652" s="1245"/>
      <c r="M1652" s="1245"/>
      <c r="N1652" s="1245"/>
      <c r="O1652" s="1245"/>
      <c r="P1652" s="1249">
        <f t="shared" si="330"/>
        <v>0</v>
      </c>
      <c r="Q1652" s="1245"/>
      <c r="R1652" s="1245"/>
      <c r="S1652" s="1245"/>
      <c r="T1652" s="1671"/>
      <c r="U1652" s="1664" t="str">
        <f>IFERROR(VLOOKUP(B1652,ChiTietDuToan!C:H,5,0),"")</f>
        <v/>
      </c>
      <c r="V1652" s="2309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66" t="s">
        <v>1795</v>
      </c>
      <c r="C1653" s="1189" t="str">
        <f t="shared" si="325"/>
        <v xml:space="preserve"> </v>
      </c>
      <c r="D1653" s="1236"/>
      <c r="E1653" s="1248" t="str">
        <f>VLOOKUP($B1653,DG!A:D,DG!$C$2,)</f>
        <v>Khóa néo dây cỡ dây 185</v>
      </c>
      <c r="F1653" s="1236" t="str">
        <f>VLOOKUP($B1653,DG!A:D,DG!$D$2,)</f>
        <v>cái</v>
      </c>
      <c r="G1653" s="1915">
        <f>+G1630+G1636-G1645</f>
        <v>0</v>
      </c>
      <c r="H1653" s="1245">
        <f t="shared" si="321"/>
        <v>0</v>
      </c>
      <c r="I1653" s="1245">
        <f t="shared" ref="I1653:I1658" si="331">G1653</f>
        <v>0</v>
      </c>
      <c r="J1653" s="1245"/>
      <c r="K1653" s="1245"/>
      <c r="L1653" s="1245"/>
      <c r="M1653" s="1245"/>
      <c r="N1653" s="1245"/>
      <c r="O1653" s="1245"/>
      <c r="P1653" s="1249">
        <f t="shared" si="330"/>
        <v>0</v>
      </c>
      <c r="Q1653" s="1245"/>
      <c r="R1653" s="1245"/>
      <c r="S1653" s="1245"/>
      <c r="T1653" s="1671"/>
      <c r="U1653" s="1664" t="str">
        <f>IFERROR(VLOOKUP(B1653,ChiTietDuToan!C:H,5,0),"")</f>
        <v/>
      </c>
      <c r="V1653" s="2309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66" t="s">
        <v>2171</v>
      </c>
      <c r="C1654" s="1189" t="str">
        <f t="shared" si="325"/>
        <v xml:space="preserve"> </v>
      </c>
      <c r="D1654" s="1236"/>
      <c r="E1654" s="1248" t="str">
        <f>VLOOKUP($B1654,DG!A:D,DG!$C$2,)</f>
        <v>Khóa néo dây cỡ dây 150</v>
      </c>
      <c r="F1654" s="1236" t="str">
        <f>VLOOKUP($B1654,DG!A:D,DG!$D$2,)</f>
        <v>cái</v>
      </c>
      <c r="G1654" s="1915">
        <f>'pp3p2m '!CS82</f>
        <v>0</v>
      </c>
      <c r="H1654" s="1245">
        <f t="shared" si="321"/>
        <v>0</v>
      </c>
      <c r="I1654" s="1245">
        <f t="shared" si="331"/>
        <v>0</v>
      </c>
      <c r="J1654" s="1245"/>
      <c r="K1654" s="1245"/>
      <c r="L1654" s="1245"/>
      <c r="M1654" s="1245"/>
      <c r="N1654" s="1245"/>
      <c r="O1654" s="1245"/>
      <c r="P1654" s="1249">
        <f t="shared" si="330"/>
        <v>0</v>
      </c>
      <c r="Q1654" s="1245"/>
      <c r="R1654" s="1245"/>
      <c r="S1654" s="1245"/>
      <c r="T1654" s="1671"/>
      <c r="U1654" s="1664" t="str">
        <f>IFERROR(VLOOKUP(B1654,ChiTietDuToan!C:H,5,0),"")</f>
        <v/>
      </c>
      <c r="V1654" s="2309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66" t="s">
        <v>434</v>
      </c>
      <c r="C1655" s="1189" t="str">
        <f t="shared" si="325"/>
        <v xml:space="preserve"> </v>
      </c>
      <c r="D1655" s="1236"/>
      <c r="E1655" s="1248" t="str">
        <f>VLOOKUP($B1655,DG!A:D,DG!$C$2,)</f>
        <v>Khóa néo dây cỡ dây 120</v>
      </c>
      <c r="F1655" s="1236" t="str">
        <f>VLOOKUP($B1655,DG!A:D,DG!$D$2,)</f>
        <v>cái</v>
      </c>
      <c r="G1655" s="1915"/>
      <c r="H1655" s="1245">
        <f t="shared" si="321"/>
        <v>0</v>
      </c>
      <c r="I1655" s="1245">
        <f t="shared" si="331"/>
        <v>0</v>
      </c>
      <c r="J1655" s="1245"/>
      <c r="K1655" s="1245"/>
      <c r="L1655" s="1245"/>
      <c r="M1655" s="1245"/>
      <c r="N1655" s="1245"/>
      <c r="O1655" s="1245"/>
      <c r="P1655" s="1249">
        <f t="shared" si="330"/>
        <v>0</v>
      </c>
      <c r="Q1655" s="1245"/>
      <c r="R1655" s="1245"/>
      <c r="S1655" s="1245"/>
      <c r="T1655" s="1671"/>
      <c r="U1655" s="1664" t="str">
        <f>IFERROR(VLOOKUP(B1655,ChiTietDuToan!C:H,5,0),"")</f>
        <v>cái</v>
      </c>
      <c r="V1655" s="2309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66" t="s">
        <v>1290</v>
      </c>
      <c r="C1656" s="1189" t="str">
        <f t="shared" si="325"/>
        <v xml:space="preserve"> </v>
      </c>
      <c r="D1656" s="1236"/>
      <c r="E1656" s="1248" t="str">
        <f>VLOOKUP($B1656,DG!A:D,DG!$C$2,)</f>
        <v>Khóa néo dây cỡ dây 95</v>
      </c>
      <c r="F1656" s="1236" t="str">
        <f>VLOOKUP($B1656,DG!A:D,DG!$D$2,)</f>
        <v>cái</v>
      </c>
      <c r="G1656" s="1915"/>
      <c r="H1656" s="1245">
        <f t="shared" si="321"/>
        <v>0</v>
      </c>
      <c r="I1656" s="1245">
        <f t="shared" si="331"/>
        <v>0</v>
      </c>
      <c r="J1656" s="1245"/>
      <c r="K1656" s="1245"/>
      <c r="L1656" s="1245"/>
      <c r="M1656" s="1245"/>
      <c r="N1656" s="1245"/>
      <c r="O1656" s="1245"/>
      <c r="P1656" s="1249">
        <f t="shared" si="330"/>
        <v>0</v>
      </c>
      <c r="Q1656" s="1245"/>
      <c r="R1656" s="1245"/>
      <c r="S1656" s="1245"/>
      <c r="T1656" s="1671"/>
      <c r="U1656" s="1664" t="str">
        <f>IFERROR(VLOOKUP(B1656,ChiTietDuToan!C:H,5,0),"")</f>
        <v/>
      </c>
      <c r="V1656" s="2309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66" t="s">
        <v>2293</v>
      </c>
      <c r="C1657" s="1189" t="str">
        <f t="shared" si="325"/>
        <v xml:space="preserve"> </v>
      </c>
      <c r="D1657" s="1236"/>
      <c r="E1657" s="1248" t="str">
        <f>VLOOKUP($B1657,DG!A:D,DG!$C$2,)</f>
        <v>Khóa néo dây cỡ dây 70</v>
      </c>
      <c r="F1657" s="1236" t="str">
        <f>VLOOKUP($B1657,DG!A:D,DG!$D$2,)</f>
        <v>cái</v>
      </c>
      <c r="G1657" s="1915"/>
      <c r="H1657" s="1245">
        <f t="shared" si="321"/>
        <v>0</v>
      </c>
      <c r="I1657" s="1245">
        <f t="shared" si="331"/>
        <v>0</v>
      </c>
      <c r="J1657" s="1245"/>
      <c r="K1657" s="1245"/>
      <c r="L1657" s="1245"/>
      <c r="M1657" s="1245"/>
      <c r="N1657" s="1245"/>
      <c r="O1657" s="1245"/>
      <c r="P1657" s="1249">
        <f t="shared" si="330"/>
        <v>0</v>
      </c>
      <c r="Q1657" s="1245"/>
      <c r="R1657" s="1245"/>
      <c r="S1657" s="1245"/>
      <c r="T1657" s="1671"/>
      <c r="U1657" s="1664" t="str">
        <f>IFERROR(VLOOKUP(B1657,ChiTietDuToan!C:H,5,0),"")</f>
        <v/>
      </c>
      <c r="V1657" s="2309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66" t="s">
        <v>1534</v>
      </c>
      <c r="C1658" s="1189" t="str">
        <f t="shared" si="325"/>
        <v xml:space="preserve"> </v>
      </c>
      <c r="D1658" s="1236"/>
      <c r="E1658" s="1248" t="str">
        <f>VLOOKUP($B1658,DG!A:D,DG!$C$2,)</f>
        <v>Khóa néo dây cỡ dây 50</v>
      </c>
      <c r="F1658" s="1236" t="str">
        <f>VLOOKUP($B1658,DG!A:D,DG!$D$2,)</f>
        <v>cái</v>
      </c>
      <c r="G1658" s="1915"/>
      <c r="H1658" s="1245">
        <f t="shared" si="321"/>
        <v>0</v>
      </c>
      <c r="I1658" s="1245">
        <f t="shared" si="331"/>
        <v>0</v>
      </c>
      <c r="J1658" s="1245"/>
      <c r="K1658" s="1245"/>
      <c r="L1658" s="1245"/>
      <c r="M1658" s="1245"/>
      <c r="N1658" s="1245"/>
      <c r="O1658" s="1245"/>
      <c r="P1658" s="1249">
        <f t="shared" si="330"/>
        <v>0</v>
      </c>
      <c r="Q1658" s="1245"/>
      <c r="R1658" s="1245"/>
      <c r="S1658" s="1245"/>
      <c r="T1658" s="1671"/>
      <c r="U1658" s="1664" t="str">
        <f>IFERROR(VLOOKUP(B1658,ChiTietDuToan!C:H,5,0),"")</f>
        <v/>
      </c>
      <c r="V1658" s="2309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66" t="s">
        <v>1634</v>
      </c>
      <c r="C1659" s="1189" t="str">
        <f t="shared" si="325"/>
        <v xml:space="preserve"> </v>
      </c>
      <c r="D1659" s="1236"/>
      <c r="E1659" s="1248" t="str">
        <f>VLOOKUP($B1659,DG!A:D,DG!$C$2,)</f>
        <v>Kẹp 2 rãnh (APC) cỡ dây 50mm2</v>
      </c>
      <c r="F1659" s="1236" t="str">
        <f>VLOOKUP($B1659,DG!A:D,DG!$D$2,)</f>
        <v>cái</v>
      </c>
      <c r="G1659" s="1928">
        <f>'pp3p2m '!CY82</f>
        <v>0</v>
      </c>
      <c r="H1659" s="1245">
        <f t="shared" si="321"/>
        <v>0</v>
      </c>
      <c r="I1659" s="1245">
        <f t="shared" si="328"/>
        <v>0</v>
      </c>
      <c r="J1659" s="1245"/>
      <c r="K1659" s="1245"/>
      <c r="L1659" s="1245"/>
      <c r="M1659" s="1245"/>
      <c r="N1659" s="1245"/>
      <c r="O1659" s="1245"/>
      <c r="P1659" s="1249">
        <f t="shared" si="330"/>
        <v>0</v>
      </c>
      <c r="Q1659" s="1245"/>
      <c r="R1659" s="1245"/>
      <c r="S1659" s="1245"/>
      <c r="T1659" s="1671"/>
      <c r="U1659" s="1664" t="str">
        <f>IFERROR(VLOOKUP(B1659,ChiTietDuToan!C:H,5,0),"")</f>
        <v/>
      </c>
      <c r="V1659" s="2309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66" t="s">
        <v>1633</v>
      </c>
      <c r="C1660" s="1189" t="str">
        <f t="shared" si="325"/>
        <v xml:space="preserve"> </v>
      </c>
      <c r="D1660" s="1236"/>
      <c r="E1660" s="1248" t="str">
        <f>VLOOKUP($B1660,DG!A:D,DG!$C$2,)</f>
        <v>Kẹp 2 rãnh (APC) cỡ dây 70mm2</v>
      </c>
      <c r="F1660" s="1236" t="str">
        <f>VLOOKUP($B1660,DG!A:D,DG!$D$2,)</f>
        <v>cái</v>
      </c>
      <c r="G1660" s="1928">
        <f>'pp3p2m '!CZ82</f>
        <v>0</v>
      </c>
      <c r="H1660" s="1245">
        <f t="shared" si="321"/>
        <v>0</v>
      </c>
      <c r="I1660" s="1245">
        <f t="shared" si="328"/>
        <v>0</v>
      </c>
      <c r="J1660" s="1245"/>
      <c r="K1660" s="1245"/>
      <c r="L1660" s="1245"/>
      <c r="M1660" s="1245"/>
      <c r="N1660" s="1245"/>
      <c r="O1660" s="1245"/>
      <c r="P1660" s="1249">
        <f t="shared" si="330"/>
        <v>0</v>
      </c>
      <c r="Q1660" s="1245"/>
      <c r="R1660" s="1245"/>
      <c r="S1660" s="1245"/>
      <c r="T1660" s="1671"/>
      <c r="U1660" s="1664" t="str">
        <f>IFERROR(VLOOKUP(B1660,ChiTietDuToan!C:H,5,0),"")</f>
        <v/>
      </c>
      <c r="V1660" s="2309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66" t="s">
        <v>1052</v>
      </c>
      <c r="C1661" s="1189" t="str">
        <f t="shared" si="325"/>
        <v xml:space="preserve"> </v>
      </c>
      <c r="D1661" s="1236"/>
      <c r="E1661" s="1248" t="str">
        <f>VLOOKUP($B1661,DG!A:D,DG!$C$2,)</f>
        <v>Kẹp 2 rãnh (APC) cỡ dây 95mm2</v>
      </c>
      <c r="F1661" s="1236" t="str">
        <f>VLOOKUP($B1661,DG!A:D,DG!$D$2,)</f>
        <v>cái</v>
      </c>
      <c r="G1661" s="1928">
        <f>'pp3p2m '!DA82</f>
        <v>0</v>
      </c>
      <c r="H1661" s="1245">
        <f t="shared" si="321"/>
        <v>0</v>
      </c>
      <c r="I1661" s="1245">
        <f t="shared" si="328"/>
        <v>0</v>
      </c>
      <c r="J1661" s="1245"/>
      <c r="K1661" s="1245"/>
      <c r="L1661" s="1245"/>
      <c r="M1661" s="1245"/>
      <c r="N1661" s="1245"/>
      <c r="O1661" s="1245"/>
      <c r="P1661" s="1249">
        <f t="shared" si="330"/>
        <v>0</v>
      </c>
      <c r="Q1661" s="1245"/>
      <c r="R1661" s="1245"/>
      <c r="S1661" s="1245"/>
      <c r="T1661" s="1671"/>
      <c r="U1661" s="1664" t="str">
        <f>IFERROR(VLOOKUP(B1661,ChiTietDuToan!C:H,5,0),"")</f>
        <v/>
      </c>
      <c r="V1661" s="2309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66" t="s">
        <v>13</v>
      </c>
      <c r="C1662" s="1189" t="str">
        <f t="shared" si="325"/>
        <v xml:space="preserve"> </v>
      </c>
      <c r="D1662" s="1236"/>
      <c r="E1662" s="1248" t="str">
        <f>VLOOKUP($B1662,DG!A:D,DG!$C$2,)</f>
        <v>Kẹp ép WR cỡ dây 120mm2</v>
      </c>
      <c r="F1662" s="1236" t="str">
        <f>VLOOKUP($B1662,DG!A:D,DG!$D$2,)</f>
        <v>cái</v>
      </c>
      <c r="G1662" s="1928"/>
      <c r="H1662" s="1245">
        <f t="shared" si="321"/>
        <v>0</v>
      </c>
      <c r="I1662" s="1245">
        <f t="shared" si="328"/>
        <v>0</v>
      </c>
      <c r="J1662" s="1245"/>
      <c r="K1662" s="1245"/>
      <c r="L1662" s="1245"/>
      <c r="M1662" s="1245"/>
      <c r="N1662" s="1245"/>
      <c r="O1662" s="1245"/>
      <c r="P1662" s="1249">
        <f t="shared" si="330"/>
        <v>0</v>
      </c>
      <c r="Q1662" s="1245"/>
      <c r="R1662" s="1245"/>
      <c r="S1662" s="1245"/>
      <c r="T1662" s="1671"/>
      <c r="U1662" s="1664" t="str">
        <f>IFERROR(VLOOKUP(B1662,ChiTietDuToan!C:H,5,0),"")</f>
        <v/>
      </c>
      <c r="V1662" s="2309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66" t="s">
        <v>1097</v>
      </c>
      <c r="C1663" s="1189" t="str">
        <f t="shared" si="325"/>
        <v xml:space="preserve"> </v>
      </c>
      <c r="D1663" s="1236"/>
      <c r="E1663" s="1248" t="str">
        <f>VLOOKUP($B1663,DG!A:D,DG!$C$2,)</f>
        <v>Kẹp ép WR cỡ dây 150mm2</v>
      </c>
      <c r="F1663" s="1236" t="str">
        <f>VLOOKUP($B1663,DG!A:D,DG!$D$2,)</f>
        <v>cái</v>
      </c>
      <c r="G1663" s="1928">
        <f>'pp3p2m '!DB82</f>
        <v>0</v>
      </c>
      <c r="H1663" s="1245">
        <f t="shared" si="321"/>
        <v>0</v>
      </c>
      <c r="I1663" s="1245">
        <f t="shared" si="328"/>
        <v>0</v>
      </c>
      <c r="J1663" s="1245"/>
      <c r="K1663" s="1245"/>
      <c r="L1663" s="1245"/>
      <c r="M1663" s="1245"/>
      <c r="N1663" s="1245"/>
      <c r="O1663" s="1245"/>
      <c r="P1663" s="1249">
        <f t="shared" si="330"/>
        <v>0</v>
      </c>
      <c r="Q1663" s="1245"/>
      <c r="R1663" s="1245"/>
      <c r="S1663" s="1245"/>
      <c r="T1663" s="1671"/>
      <c r="U1663" s="1664" t="str">
        <f>IFERROR(VLOOKUP(B1663,ChiTietDuToan!C:H,5,0),"")</f>
        <v/>
      </c>
      <c r="V1663" s="2309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66" t="s">
        <v>15</v>
      </c>
      <c r="C1664" s="1189" t="str">
        <f t="shared" si="325"/>
        <v xml:space="preserve"> </v>
      </c>
      <c r="D1664" s="1236"/>
      <c r="E1664" s="1248" t="str">
        <f>VLOOKUP($B1664,DG!A:D,DG!$C$2,)</f>
        <v>Kẹp ép WR cỡ dây 240mm2</v>
      </c>
      <c r="F1664" s="1236" t="str">
        <f>VLOOKUP($B1664,DG!A:D,DG!$D$2,)</f>
        <v>cái</v>
      </c>
      <c r="G1664" s="1928">
        <f>'pp3p2m '!DD82</f>
        <v>0</v>
      </c>
      <c r="H1664" s="1245">
        <f t="shared" si="321"/>
        <v>0</v>
      </c>
      <c r="I1664" s="1245">
        <f t="shared" si="328"/>
        <v>0</v>
      </c>
      <c r="J1664" s="1245"/>
      <c r="K1664" s="1245"/>
      <c r="L1664" s="1245"/>
      <c r="M1664" s="1245"/>
      <c r="N1664" s="1245"/>
      <c r="O1664" s="1245"/>
      <c r="P1664" s="1249">
        <f t="shared" si="330"/>
        <v>0</v>
      </c>
      <c r="Q1664" s="1245"/>
      <c r="R1664" s="1245"/>
      <c r="S1664" s="1245"/>
      <c r="T1664" s="1671"/>
      <c r="U1664" s="1664" t="str">
        <f>IFERROR(VLOOKUP(B1664,ChiTietDuToan!C:H,5,0),"")</f>
        <v/>
      </c>
      <c r="V1664" s="2309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66" t="s">
        <v>1848</v>
      </c>
      <c r="C1665" s="1189" t="str">
        <f t="shared" si="325"/>
        <v xml:space="preserve"> </v>
      </c>
      <c r="D1665" s="1236"/>
      <c r="E1665" s="1248" t="str">
        <f>VLOOKUP($B1665,DG!A:D,DG!$C$2,)</f>
        <v>Kẹp 2 rãnh (APC) cỡ dây 240 mm2</v>
      </c>
      <c r="F1665" s="1236" t="str">
        <f>VLOOKUP($B1665,DG!A:D,DG!$D$2,)</f>
        <v>cái</v>
      </c>
      <c r="G1665" s="1928">
        <f>'pp3p2m '!DE82</f>
        <v>0</v>
      </c>
      <c r="H1665" s="1245">
        <f t="shared" si="321"/>
        <v>0</v>
      </c>
      <c r="I1665" s="1245">
        <f t="shared" si="328"/>
        <v>0</v>
      </c>
      <c r="J1665" s="1245"/>
      <c r="K1665" s="1245"/>
      <c r="L1665" s="1245"/>
      <c r="M1665" s="1245"/>
      <c r="N1665" s="1245"/>
      <c r="O1665" s="1245"/>
      <c r="P1665" s="1249">
        <f t="shared" si="330"/>
        <v>0</v>
      </c>
      <c r="Q1665" s="1245"/>
      <c r="R1665" s="1245"/>
      <c r="S1665" s="1245"/>
      <c r="T1665" s="1671"/>
      <c r="U1665" s="1664" t="str">
        <f>IFERROR(VLOOKUP(B1665,ChiTietDuToan!C:H,5,0),"")</f>
        <v/>
      </c>
      <c r="V1665" s="2309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66" t="s">
        <v>1940</v>
      </c>
      <c r="C1666" s="1189" t="str">
        <f t="shared" si="325"/>
        <v xml:space="preserve"> </v>
      </c>
      <c r="D1666" s="1236" t="str">
        <f>VLOOKUP($B1666,DG!A:D,DG!$B$2,)</f>
        <v>03.4003</v>
      </c>
      <c r="E1666" s="1248" t="str">
        <f>VLOOKUP($B1666,DG!A:D,DG!$C$2,)</f>
        <v>Đầu cosse ép Cu-Al 70mm2</v>
      </c>
      <c r="F1666" s="1236" t="str">
        <f>VLOOKUP($B1666,DG!A:D,DG!$D$2,)</f>
        <v>cái</v>
      </c>
      <c r="G1666" s="1928"/>
      <c r="H1666" s="1245">
        <f>$G1666*0</f>
        <v>0</v>
      </c>
      <c r="I1666" s="1245">
        <f>G1666*0</f>
        <v>0</v>
      </c>
      <c r="J1666" s="1245"/>
      <c r="K1666" s="1245"/>
      <c r="L1666" s="1245"/>
      <c r="M1666" s="1245"/>
      <c r="N1666" s="1245"/>
      <c r="O1666" s="1245"/>
      <c r="P1666" s="1249">
        <f t="shared" si="330"/>
        <v>0</v>
      </c>
      <c r="Q1666" s="1245"/>
      <c r="R1666" s="1245"/>
      <c r="S1666" s="1245"/>
      <c r="T1666" s="1671"/>
      <c r="U1666" s="1664" t="str">
        <f>IFERROR(VLOOKUP(B1666,ChiTietDuToan!C:H,5,0),"")</f>
        <v/>
      </c>
      <c r="V1666" s="2309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66" t="s">
        <v>1941</v>
      </c>
      <c r="C1667" s="1189" t="str">
        <f t="shared" si="325"/>
        <v xml:space="preserve"> </v>
      </c>
      <c r="D1667" s="1236" t="str">
        <f>VLOOKUP($B1667,DG!A:D,DG!$B$2,)</f>
        <v>03.4004</v>
      </c>
      <c r="E1667" s="1248" t="str">
        <f>VLOOKUP($B1667,DG!A:D,DG!$C$2,)</f>
        <v>Đầu cosse ép Cu-Al 95mm2</v>
      </c>
      <c r="F1667" s="1236" t="str">
        <f>VLOOKUP($B1667,DG!A:D,DG!$D$2,)</f>
        <v>cái</v>
      </c>
      <c r="G1667" s="1928">
        <f>'pp3p2m '!DF82</f>
        <v>0</v>
      </c>
      <c r="H1667" s="1245">
        <f t="shared" si="321"/>
        <v>0</v>
      </c>
      <c r="I1667" s="1245">
        <f t="shared" ref="I1667:I1672" si="332">G1667</f>
        <v>0</v>
      </c>
      <c r="J1667" s="1245"/>
      <c r="K1667" s="1245"/>
      <c r="L1667" s="1245"/>
      <c r="M1667" s="1245"/>
      <c r="N1667" s="1245"/>
      <c r="O1667" s="1245"/>
      <c r="P1667" s="1249">
        <f t="shared" si="330"/>
        <v>0</v>
      </c>
      <c r="Q1667" s="1245"/>
      <c r="R1667" s="1245"/>
      <c r="S1667" s="1245"/>
      <c r="T1667" s="1671"/>
      <c r="U1667" s="1664" t="str">
        <f>IFERROR(VLOOKUP(B1667,ChiTietDuToan!C:H,5,0),"")</f>
        <v/>
      </c>
      <c r="V1667" s="2309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66" t="s">
        <v>1942</v>
      </c>
      <c r="C1668" s="1189" t="str">
        <f t="shared" si="325"/>
        <v xml:space="preserve"> </v>
      </c>
      <c r="D1668" s="1236" t="str">
        <f>VLOOKUP($B1668,DG!A:D,DG!$B$2,)</f>
        <v>03.4005</v>
      </c>
      <c r="E1668" s="1248" t="str">
        <f>VLOOKUP($B1668,DG!A:D,DG!$C$2,)</f>
        <v>Đầu cosse ép Cu-Al 120mm2</v>
      </c>
      <c r="F1668" s="1236" t="str">
        <f>VLOOKUP($B1668,DG!A:D,DG!$D$2,)</f>
        <v>cái</v>
      </c>
      <c r="G1668" s="1928">
        <f>'pp3p2m '!DI82</f>
        <v>0</v>
      </c>
      <c r="H1668" s="1245">
        <f t="shared" si="321"/>
        <v>0</v>
      </c>
      <c r="I1668" s="1245">
        <f t="shared" si="332"/>
        <v>0</v>
      </c>
      <c r="J1668" s="1245"/>
      <c r="K1668" s="1245"/>
      <c r="L1668" s="1245"/>
      <c r="M1668" s="1245"/>
      <c r="N1668" s="1245"/>
      <c r="O1668" s="1245"/>
      <c r="P1668" s="1249">
        <f t="shared" si="330"/>
        <v>0</v>
      </c>
      <c r="Q1668" s="1245"/>
      <c r="R1668" s="1245"/>
      <c r="S1668" s="1245"/>
      <c r="T1668" s="1671"/>
      <c r="U1668" s="1664" t="str">
        <f>IFERROR(VLOOKUP(B1668,ChiTietDuToan!C:H,5,0),"")</f>
        <v/>
      </c>
      <c r="V1668" s="2309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66" t="s">
        <v>1049</v>
      </c>
      <c r="C1669" s="1189" t="str">
        <f t="shared" si="325"/>
        <v xml:space="preserve"> </v>
      </c>
      <c r="D1669" s="1236" t="str">
        <f>VLOOKUP($B1669,DG!A:D,DG!$B$2,)</f>
        <v>03.4006</v>
      </c>
      <c r="E1669" s="1248" t="str">
        <f>VLOOKUP($B1669,DG!A:D,DG!$C$2,)</f>
        <v>Đầu cosse ép Cu-Al 150mm2</v>
      </c>
      <c r="F1669" s="1236" t="str">
        <f>VLOOKUP($B1669,DG!A:D,DG!$D$2,)</f>
        <v>cái</v>
      </c>
      <c r="G1669" s="1928">
        <f>'pp3p2m '!DJ82</f>
        <v>0</v>
      </c>
      <c r="H1669" s="1245">
        <f t="shared" si="321"/>
        <v>0</v>
      </c>
      <c r="I1669" s="1245">
        <f t="shared" si="332"/>
        <v>0</v>
      </c>
      <c r="J1669" s="1245"/>
      <c r="K1669" s="1245"/>
      <c r="L1669" s="1245"/>
      <c r="M1669" s="1245"/>
      <c r="N1669" s="1245"/>
      <c r="O1669" s="1245"/>
      <c r="P1669" s="1249">
        <f t="shared" si="330"/>
        <v>0</v>
      </c>
      <c r="Q1669" s="1245"/>
      <c r="R1669" s="1245"/>
      <c r="S1669" s="1245"/>
      <c r="T1669" s="1671"/>
      <c r="U1669" s="1664" t="str">
        <f>IFERROR(VLOOKUP(B1669,ChiTietDuToan!C:H,5,0),"")</f>
        <v/>
      </c>
      <c r="V1669" s="2309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66" t="s">
        <v>1050</v>
      </c>
      <c r="C1670" s="1189" t="str">
        <f t="shared" si="325"/>
        <v xml:space="preserve"> </v>
      </c>
      <c r="D1670" s="1236" t="str">
        <f>VLOOKUP($B1670,DG!A:D,DG!$B$2,)</f>
        <v>03.4007</v>
      </c>
      <c r="E1670" s="1248" t="str">
        <f>VLOOKUP($B1670,DG!A:D,DG!$C$2,)</f>
        <v>Đầu cosse ép Cu-Al 185mm2</v>
      </c>
      <c r="F1670" s="1236" t="str">
        <f>VLOOKUP($B1670,DG!A:D,DG!$D$2,)</f>
        <v>cái</v>
      </c>
      <c r="G1670" s="1928"/>
      <c r="H1670" s="1245">
        <f t="shared" si="321"/>
        <v>0</v>
      </c>
      <c r="I1670" s="1245">
        <f t="shared" si="332"/>
        <v>0</v>
      </c>
      <c r="J1670" s="1245"/>
      <c r="K1670" s="1245"/>
      <c r="L1670" s="1245"/>
      <c r="M1670" s="1245"/>
      <c r="N1670" s="1245"/>
      <c r="O1670" s="1245"/>
      <c r="P1670" s="1249">
        <f t="shared" si="330"/>
        <v>0</v>
      </c>
      <c r="Q1670" s="1245"/>
      <c r="R1670" s="1245"/>
      <c r="S1670" s="1245"/>
      <c r="T1670" s="1671"/>
      <c r="U1670" s="1664" t="str">
        <f>IFERROR(VLOOKUP(B1670,ChiTietDuToan!C:H,5,0),"")</f>
        <v/>
      </c>
      <c r="V1670" s="2309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66" t="s">
        <v>1884</v>
      </c>
      <c r="C1671" s="1189" t="str">
        <f t="shared" si="325"/>
        <v xml:space="preserve"> </v>
      </c>
      <c r="D1671" s="1236" t="str">
        <f>VLOOKUP($B1671,DG!A:D,DG!$B$2,)</f>
        <v>03.4008</v>
      </c>
      <c r="E1671" s="1248" t="str">
        <f>VLOOKUP($B1671,DG!A:D,DG!$C$2,)</f>
        <v>Đầu cosse ép Cu-Al 240mm2</v>
      </c>
      <c r="F1671" s="1236" t="str">
        <f>VLOOKUP($B1671,DG!A:D,DG!$D$2,)</f>
        <v>cái</v>
      </c>
      <c r="G1671" s="1928">
        <f>'pp3p2m '!DK82</f>
        <v>0</v>
      </c>
      <c r="H1671" s="1245">
        <f t="shared" si="321"/>
        <v>0</v>
      </c>
      <c r="I1671" s="1245">
        <f t="shared" si="332"/>
        <v>0</v>
      </c>
      <c r="J1671" s="1245"/>
      <c r="K1671" s="1245"/>
      <c r="L1671" s="1245"/>
      <c r="M1671" s="1245"/>
      <c r="N1671" s="1245"/>
      <c r="O1671" s="1245"/>
      <c r="P1671" s="1249">
        <f t="shared" si="330"/>
        <v>0</v>
      </c>
      <c r="Q1671" s="1245"/>
      <c r="R1671" s="1245"/>
      <c r="S1671" s="1245"/>
      <c r="T1671" s="1671"/>
      <c r="U1671" s="1664" t="str">
        <f>IFERROR(VLOOKUP(B1671,ChiTietDuToan!C:H,5,0),"")</f>
        <v/>
      </c>
      <c r="V1671" s="2309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66" t="s">
        <v>440</v>
      </c>
      <c r="C1672" s="1189" t="str">
        <f t="shared" si="325"/>
        <v xml:space="preserve"> </v>
      </c>
      <c r="D1672" s="1236">
        <f>VLOOKUP($B1672,DG!A:D,DG!$B$2,)</f>
        <v>0</v>
      </c>
      <c r="E1672" s="1248" t="str">
        <f>VLOOKUP($B1672,DG!A:D,DG!$C$2,)</f>
        <v>Boulon 12x30+ 2 long đền vuông D14-50x50x3/Zn</v>
      </c>
      <c r="F1672" s="1236" t="str">
        <f>VLOOKUP($B1672,DG!A:D,DG!$D$2,)</f>
        <v>bộ</v>
      </c>
      <c r="G1672" s="1928">
        <f>SUM(G1666:G1671)/2</f>
        <v>0</v>
      </c>
      <c r="H1672" s="1245">
        <f t="shared" si="321"/>
        <v>0</v>
      </c>
      <c r="I1672" s="1245">
        <f t="shared" si="332"/>
        <v>0</v>
      </c>
      <c r="J1672" s="1245"/>
      <c r="K1672" s="1245"/>
      <c r="L1672" s="1245"/>
      <c r="M1672" s="1245"/>
      <c r="N1672" s="1245"/>
      <c r="O1672" s="1245"/>
      <c r="P1672" s="1249">
        <f t="shared" si="330"/>
        <v>0</v>
      </c>
      <c r="Q1672" s="1245"/>
      <c r="R1672" s="1245"/>
      <c r="S1672" s="1245"/>
      <c r="T1672" s="1671"/>
      <c r="U1672" s="1664" t="str">
        <f>IFERROR(VLOOKUP(B1672,ChiTietDuToan!C:H,5,0),"")</f>
        <v/>
      </c>
      <c r="V1672" s="2309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66" t="s">
        <v>1531</v>
      </c>
      <c r="C1673" s="1189" t="str">
        <f t="shared" si="325"/>
        <v xml:space="preserve"> </v>
      </c>
      <c r="D1673" s="1236" t="str">
        <f>VLOOKUP($B1673,DG!A:D,DG!$B$2,)</f>
        <v>04.3007</v>
      </c>
      <c r="E1673" s="1248" t="str">
        <f>VLOOKUP($B1673,DG!A:D,DG!$C$2,)</f>
        <v>Kẹp quai 2/0</v>
      </c>
      <c r="F1673" s="1236" t="str">
        <f>VLOOKUP($B1673,DG!A:D,DG!$D$2,)</f>
        <v>cái</v>
      </c>
      <c r="G1673" s="1928">
        <f>'pp3p2m '!DM82*2</f>
        <v>0</v>
      </c>
      <c r="H1673" s="1245">
        <f t="shared" si="321"/>
        <v>0</v>
      </c>
      <c r="I1673" s="1245">
        <f t="shared" si="328"/>
        <v>0</v>
      </c>
      <c r="J1673" s="1245"/>
      <c r="K1673" s="1245"/>
      <c r="L1673" s="1245"/>
      <c r="M1673" s="1245"/>
      <c r="N1673" s="1245"/>
      <c r="O1673" s="1245"/>
      <c r="P1673" s="1249">
        <f t="shared" si="330"/>
        <v>0</v>
      </c>
      <c r="Q1673" s="1245"/>
      <c r="R1673" s="1245"/>
      <c r="S1673" s="1245"/>
      <c r="T1673" s="1671"/>
      <c r="U1673" s="1664" t="str">
        <f>IFERROR(VLOOKUP(B1673,ChiTietDuToan!C:H,5,0),"")</f>
        <v/>
      </c>
      <c r="V1673" s="2309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66" t="s">
        <v>237</v>
      </c>
      <c r="C1674" s="1189" t="str">
        <f t="shared" si="325"/>
        <v xml:space="preserve"> </v>
      </c>
      <c r="D1674" s="1236" t="str">
        <f>VLOOKUP($B1674,DG!A:D,DG!$B$2,)</f>
        <v>04.3007</v>
      </c>
      <c r="E1674" s="1248" t="str">
        <f>VLOOKUP($B1674,DG!A:D,DG!$C$2,)</f>
        <v>Kẹp quai 4/0</v>
      </c>
      <c r="F1674" s="1236" t="str">
        <f>VLOOKUP($B1674,DG!A:D,DG!$D$2,)</f>
        <v>cái</v>
      </c>
      <c r="G1674" s="1915">
        <f>G1673</f>
        <v>0</v>
      </c>
      <c r="H1674" s="1245">
        <f t="shared" si="321"/>
        <v>0</v>
      </c>
      <c r="I1674" s="1245">
        <f t="shared" si="328"/>
        <v>0</v>
      </c>
      <c r="J1674" s="1245"/>
      <c r="K1674" s="1245"/>
      <c r="L1674" s="1245"/>
      <c r="M1674" s="1245"/>
      <c r="N1674" s="1245"/>
      <c r="O1674" s="1245"/>
      <c r="P1674" s="1249">
        <f t="shared" si="330"/>
        <v>0</v>
      </c>
      <c r="Q1674" s="1245"/>
      <c r="R1674" s="1245"/>
      <c r="S1674" s="1245"/>
      <c r="T1674" s="1671"/>
      <c r="U1674" s="1664" t="str">
        <f>IFERROR(VLOOKUP(B1674,ChiTietDuToan!C:H,5,0),"")</f>
        <v>cái</v>
      </c>
      <c r="V1674" s="2309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85" t="s">
        <v>1529</v>
      </c>
      <c r="C1675" s="1189" t="str">
        <f t="shared" si="325"/>
        <v xml:space="preserve"> </v>
      </c>
      <c r="D1675" s="1236"/>
      <c r="E1675" s="1668" t="str">
        <f>VLOOKUP($B1675,DG!A:D,DG!$C$2,)</f>
        <v>Kẹp hotline 2/0</v>
      </c>
      <c r="F1675" s="1236" t="str">
        <f>VLOOKUP($B1675,DG!A:D,DG!$D$2,)</f>
        <v>cái</v>
      </c>
      <c r="G1675" s="1915">
        <f>G1673</f>
        <v>0</v>
      </c>
      <c r="H1675" s="1245">
        <f t="shared" si="321"/>
        <v>0</v>
      </c>
      <c r="I1675" s="1245">
        <f t="shared" si="328"/>
        <v>0</v>
      </c>
      <c r="J1675" s="1245"/>
      <c r="K1675" s="1245"/>
      <c r="L1675" s="1245"/>
      <c r="M1675" s="1245"/>
      <c r="N1675" s="1245"/>
      <c r="O1675" s="1245"/>
      <c r="P1675" s="1249">
        <f t="shared" si="330"/>
        <v>0</v>
      </c>
      <c r="Q1675" s="1245"/>
      <c r="R1675" s="1245"/>
      <c r="S1675" s="1245"/>
      <c r="T1675" s="1671"/>
      <c r="U1675" s="1664" t="str">
        <f>IFERROR(VLOOKUP(B1675,ChiTietDuToan!C:H,5,0),"")</f>
        <v/>
      </c>
      <c r="V1675" s="2309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85" t="s">
        <v>1079</v>
      </c>
      <c r="C1676" s="1189" t="str">
        <f t="shared" si="325"/>
        <v xml:space="preserve"> </v>
      </c>
      <c r="D1676" s="1236"/>
      <c r="E1676" s="1248" t="str">
        <f>VLOOKUP($B1676,DG!A:D,DG!$C$2,)</f>
        <v>Kẹp hotline 4/0</v>
      </c>
      <c r="F1676" s="1236" t="str">
        <f>VLOOKUP($B1676,DG!A:D,DG!$D$2,)</f>
        <v>cái</v>
      </c>
      <c r="G1676" s="1928">
        <f>G1674</f>
        <v>0</v>
      </c>
      <c r="H1676" s="1245">
        <f t="shared" ref="H1676:H1686" si="333">$G1676</f>
        <v>0</v>
      </c>
      <c r="I1676" s="1245">
        <f t="shared" si="328"/>
        <v>0</v>
      </c>
      <c r="J1676" s="1245"/>
      <c r="K1676" s="1245"/>
      <c r="L1676" s="1245"/>
      <c r="M1676" s="1245"/>
      <c r="N1676" s="1245"/>
      <c r="O1676" s="1245"/>
      <c r="P1676" s="1249">
        <f t="shared" si="330"/>
        <v>0</v>
      </c>
      <c r="Q1676" s="1245"/>
      <c r="R1676" s="1245"/>
      <c r="S1676" s="1245"/>
      <c r="T1676" s="1671"/>
      <c r="U1676" s="1664" t="str">
        <f>IFERROR(VLOOKUP(B1676,ChiTietDuToan!C:H,5,0),"")</f>
        <v>cái</v>
      </c>
      <c r="V1676" s="2309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66" t="s">
        <v>1539</v>
      </c>
      <c r="C1677" s="1189" t="str">
        <f t="shared" si="325"/>
        <v xml:space="preserve"> </v>
      </c>
      <c r="D1677" s="1236"/>
      <c r="E1677" s="1248" t="str">
        <f>VLOOKUP($B1677,DG!A:D,DG!$C$2,)</f>
        <v>Ống nối dây cỡ 50mm2</v>
      </c>
      <c r="F1677" s="1236" t="str">
        <f>VLOOKUP($B1677,DG!A:D,DG!$D$2,)</f>
        <v>cái</v>
      </c>
      <c r="G1677" s="1915">
        <f>ROUND((D1594)*1.03/1500,0)</f>
        <v>0</v>
      </c>
      <c r="H1677" s="1245">
        <f t="shared" si="333"/>
        <v>0</v>
      </c>
      <c r="I1677" s="1245">
        <f t="shared" si="328"/>
        <v>0</v>
      </c>
      <c r="J1677" s="1245"/>
      <c r="K1677" s="1245"/>
      <c r="L1677" s="1245"/>
      <c r="M1677" s="1245"/>
      <c r="N1677" s="1245"/>
      <c r="O1677" s="1245"/>
      <c r="P1677" s="1249">
        <f t="shared" si="330"/>
        <v>0</v>
      </c>
      <c r="Q1677" s="1245"/>
      <c r="R1677" s="1245"/>
      <c r="S1677" s="1245"/>
      <c r="T1677" s="1671"/>
      <c r="U1677" s="1664" t="str">
        <f>IFERROR(VLOOKUP(B1677,ChiTietDuToan!C:H,5,0),"")</f>
        <v>cái</v>
      </c>
      <c r="V1677" s="2309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66" t="s">
        <v>1540</v>
      </c>
      <c r="C1678" s="1189" t="str">
        <f t="shared" si="325"/>
        <v xml:space="preserve"> </v>
      </c>
      <c r="D1678" s="1236"/>
      <c r="E1678" s="1248" t="str">
        <f>VLOOKUP($B1678,DG!A:D,DG!$C$2,)</f>
        <v>Ống nối dây cỡ 70mm2</v>
      </c>
      <c r="F1678" s="1236" t="str">
        <f>VLOOKUP($B1678,DG!A:D,DG!$D$2,)</f>
        <v>cái</v>
      </c>
      <c r="G1678" s="1915">
        <f>ROUND((D1595+D1606)*1.03/1400,0)</f>
        <v>0</v>
      </c>
      <c r="H1678" s="1245">
        <f t="shared" si="333"/>
        <v>0</v>
      </c>
      <c r="I1678" s="1245">
        <f t="shared" si="328"/>
        <v>0</v>
      </c>
      <c r="J1678" s="1245"/>
      <c r="K1678" s="1245"/>
      <c r="L1678" s="1245"/>
      <c r="M1678" s="1245"/>
      <c r="N1678" s="1245"/>
      <c r="O1678" s="1245"/>
      <c r="P1678" s="1249">
        <f t="shared" si="330"/>
        <v>0</v>
      </c>
      <c r="Q1678" s="1245"/>
      <c r="R1678" s="1245"/>
      <c r="S1678" s="1245"/>
      <c r="T1678" s="1671"/>
      <c r="U1678" s="1664" t="str">
        <f>IFERROR(VLOOKUP(B1678,ChiTietDuToan!C:H,5,0),"")</f>
        <v/>
      </c>
      <c r="V1678" s="2309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66" t="s">
        <v>435</v>
      </c>
      <c r="C1679" s="1189" t="str">
        <f t="shared" ref="C1679:C1742" si="334">IF(OR(P1679&lt;&gt;0,H1679&lt;&gt;0),"x"," ")</f>
        <v xml:space="preserve"> </v>
      </c>
      <c r="D1679" s="1236"/>
      <c r="E1679" s="1248" t="str">
        <f>VLOOKUP($B1679,DG!A:D,DG!$C$2,)</f>
        <v>Ống nối dây cỡ 95mm2</v>
      </c>
      <c r="F1679" s="1236" t="str">
        <f>VLOOKUP($B1679,DG!A:D,DG!$D$2,)</f>
        <v>cái</v>
      </c>
      <c r="G1679" s="1915">
        <f>ROUND((D1596+D1605)*1.03/1200,0)</f>
        <v>0</v>
      </c>
      <c r="H1679" s="1245">
        <f t="shared" si="333"/>
        <v>0</v>
      </c>
      <c r="I1679" s="1245">
        <f t="shared" si="328"/>
        <v>0</v>
      </c>
      <c r="J1679" s="1245"/>
      <c r="K1679" s="1245"/>
      <c r="L1679" s="1245"/>
      <c r="M1679" s="1245"/>
      <c r="N1679" s="1245"/>
      <c r="O1679" s="1245"/>
      <c r="P1679" s="1249">
        <f t="shared" si="330"/>
        <v>0</v>
      </c>
      <c r="Q1679" s="1245"/>
      <c r="R1679" s="1245"/>
      <c r="S1679" s="1245"/>
      <c r="T1679" s="1671"/>
      <c r="U1679" s="1664" t="str">
        <f>IFERROR(VLOOKUP(B1679,ChiTietDuToan!C:H,5,0),"")</f>
        <v/>
      </c>
      <c r="V1679" s="2309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66" t="s">
        <v>577</v>
      </c>
      <c r="C1680" s="1189" t="str">
        <f t="shared" si="334"/>
        <v xml:space="preserve"> </v>
      </c>
      <c r="D1680" s="1236"/>
      <c r="E1680" s="1248" t="str">
        <f>VLOOKUP($B1680,DG!A:D,DG!$C$2,)</f>
        <v>Ống nối dây cỡ 120mm2</v>
      </c>
      <c r="F1680" s="1236" t="str">
        <f>VLOOKUP($B1680,DG!A:D,DG!$D$2,)</f>
        <v>cái</v>
      </c>
      <c r="G1680" s="1915">
        <f>ROUND((D1597+D1604)*1.03/1200,0)</f>
        <v>0</v>
      </c>
      <c r="H1680" s="1245">
        <f t="shared" si="333"/>
        <v>0</v>
      </c>
      <c r="I1680" s="1245">
        <f t="shared" si="328"/>
        <v>0</v>
      </c>
      <c r="J1680" s="1245"/>
      <c r="K1680" s="1245"/>
      <c r="L1680" s="1245"/>
      <c r="M1680" s="1245"/>
      <c r="N1680" s="1245"/>
      <c r="O1680" s="1245"/>
      <c r="P1680" s="1249">
        <f t="shared" si="330"/>
        <v>0</v>
      </c>
      <c r="Q1680" s="1245"/>
      <c r="R1680" s="1245"/>
      <c r="S1680" s="1245"/>
      <c r="T1680" s="1671"/>
      <c r="U1680" s="1664" t="str">
        <f>IFERROR(VLOOKUP(B1680,ChiTietDuToan!C:H,5,0),"")</f>
        <v>cái</v>
      </c>
      <c r="V1680" s="2309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66" t="s">
        <v>954</v>
      </c>
      <c r="C1681" s="1189" t="str">
        <f t="shared" si="334"/>
        <v xml:space="preserve"> </v>
      </c>
      <c r="D1681" s="1236"/>
      <c r="E1681" s="1248" t="str">
        <f>VLOOKUP($B1681,DG!A:D,DG!$C$2,)</f>
        <v>Ống nối dây cỡ 150mm2</v>
      </c>
      <c r="F1681" s="1236" t="str">
        <f>VLOOKUP($B1681,DG!A:D,DG!$D$2,)</f>
        <v>cái</v>
      </c>
      <c r="G1681" s="1915">
        <f>ROUND((D1598+D1603)*1.03/1200,0)</f>
        <v>0</v>
      </c>
      <c r="H1681" s="1245">
        <f t="shared" si="333"/>
        <v>0</v>
      </c>
      <c r="I1681" s="1245">
        <f t="shared" si="328"/>
        <v>0</v>
      </c>
      <c r="J1681" s="1245"/>
      <c r="K1681" s="1245"/>
      <c r="L1681" s="1245"/>
      <c r="M1681" s="1245"/>
      <c r="N1681" s="1245"/>
      <c r="O1681" s="1245"/>
      <c r="P1681" s="1249">
        <f t="shared" si="330"/>
        <v>0</v>
      </c>
      <c r="Q1681" s="1245"/>
      <c r="R1681" s="1245"/>
      <c r="S1681" s="1245"/>
      <c r="T1681" s="1671"/>
      <c r="U1681" s="1664" t="str">
        <f>IFERROR(VLOOKUP(B1681,ChiTietDuToan!C:H,5,0),"")</f>
        <v/>
      </c>
      <c r="V1681" s="2309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66" t="s">
        <v>576</v>
      </c>
      <c r="C1682" s="1189" t="str">
        <f t="shared" si="334"/>
        <v xml:space="preserve"> </v>
      </c>
      <c r="D1682" s="1236"/>
      <c r="E1682" s="1248" t="str">
        <f>VLOOKUP($B1682,DG!A:D,DG!$C$2,)</f>
        <v>Ống nối dây cỡ 185mm2</v>
      </c>
      <c r="F1682" s="1236" t="str">
        <f>VLOOKUP($B1682,DG!A:D,DG!$D$2,)</f>
        <v>cái</v>
      </c>
      <c r="G1682" s="1915">
        <f>ROUND((D1599+D1602)*1.03/1200,0)</f>
        <v>0</v>
      </c>
      <c r="H1682" s="1245">
        <f t="shared" si="333"/>
        <v>0</v>
      </c>
      <c r="I1682" s="1245">
        <f t="shared" si="328"/>
        <v>0</v>
      </c>
      <c r="J1682" s="1245"/>
      <c r="K1682" s="1245"/>
      <c r="L1682" s="1245"/>
      <c r="M1682" s="1245"/>
      <c r="N1682" s="1245"/>
      <c r="O1682" s="1245"/>
      <c r="P1682" s="1249">
        <f t="shared" si="330"/>
        <v>0</v>
      </c>
      <c r="Q1682" s="1245"/>
      <c r="R1682" s="1245"/>
      <c r="S1682" s="1245"/>
      <c r="T1682" s="1671"/>
      <c r="U1682" s="1664" t="str">
        <f>IFERROR(VLOOKUP(B1682,ChiTietDuToan!C:H,5,0),"")</f>
        <v>cái</v>
      </c>
      <c r="V1682" s="2309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66" t="s">
        <v>575</v>
      </c>
      <c r="C1683" s="1189" t="str">
        <f t="shared" si="334"/>
        <v xml:space="preserve"> </v>
      </c>
      <c r="D1683" s="1236"/>
      <c r="E1683" s="1248" t="str">
        <f>VLOOKUP($B1683,DG!A:D,DG!$C$2,)</f>
        <v>Ống nối dây cỡ 240mm2</v>
      </c>
      <c r="F1683" s="1236" t="str">
        <f>VLOOKUP($B1683,DG!A:D,DG!$D$2,)</f>
        <v>cái</v>
      </c>
      <c r="G1683" s="1915">
        <f>ROUND((D1600+D1601)*1.03/1200,0)</f>
        <v>0</v>
      </c>
      <c r="H1683" s="1245">
        <f t="shared" si="333"/>
        <v>0</v>
      </c>
      <c r="I1683" s="1245">
        <f t="shared" si="328"/>
        <v>0</v>
      </c>
      <c r="J1683" s="1245"/>
      <c r="K1683" s="1245"/>
      <c r="L1683" s="1245"/>
      <c r="M1683" s="1245"/>
      <c r="N1683" s="1245"/>
      <c r="O1683" s="1245"/>
      <c r="P1683" s="1249">
        <f t="shared" si="330"/>
        <v>0</v>
      </c>
      <c r="Q1683" s="1245"/>
      <c r="R1683" s="1245"/>
      <c r="S1683" s="1245"/>
      <c r="T1683" s="1671"/>
      <c r="U1683" s="1664" t="str">
        <f>IFERROR(VLOOKUP(B1683,ChiTietDuToan!C:H,5,0),"")</f>
        <v/>
      </c>
      <c r="V1683" s="2309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66" t="s">
        <v>1662</v>
      </c>
      <c r="C1684" s="1189" t="str">
        <f t="shared" si="334"/>
        <v xml:space="preserve"> </v>
      </c>
      <c r="D1684" s="1236"/>
      <c r="E1684" s="1248" t="str">
        <f>VLOOKUP($B1684,DG!A:D,DG!$C$2,)</f>
        <v>Boulon 16x300+ 2 long đền vuông D18-50x50x3/Zn</v>
      </c>
      <c r="F1684" s="1236" t="str">
        <f>VLOOKUP($B1684,DG!A:D,DG!$D$2,)</f>
        <v>bộ</v>
      </c>
      <c r="G1684" s="1928">
        <f>'pp3p2m '!DF82</f>
        <v>0</v>
      </c>
      <c r="H1684" s="1245">
        <f t="shared" si="333"/>
        <v>0</v>
      </c>
      <c r="I1684" s="1245">
        <f>H1684</f>
        <v>0</v>
      </c>
      <c r="J1684" s="1245"/>
      <c r="K1684" s="1245"/>
      <c r="L1684" s="1245"/>
      <c r="M1684" s="1245"/>
      <c r="N1684" s="1245"/>
      <c r="O1684" s="1245"/>
      <c r="P1684" s="1249">
        <f t="shared" si="330"/>
        <v>0</v>
      </c>
      <c r="Q1684" s="1245"/>
      <c r="R1684" s="1245"/>
      <c r="S1684" s="1245"/>
      <c r="T1684" s="1671"/>
      <c r="U1684" s="1664" t="str">
        <f>IFERROR(VLOOKUP(B1684,ChiTietDuToan!C:H,5,0),"")</f>
        <v>bộ</v>
      </c>
      <c r="V1684" s="2309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66" t="s">
        <v>230</v>
      </c>
      <c r="C1685" s="1189" t="str">
        <f t="shared" si="334"/>
        <v xml:space="preserve"> </v>
      </c>
      <c r="D1685" s="1236"/>
      <c r="E1685" s="1248" t="str">
        <f>VLOOKUP($B1685,DG!A:D,DG!$C$2,)</f>
        <v xml:space="preserve">Dây nhôm buộc </v>
      </c>
      <c r="F1685" s="1236" t="str">
        <f>VLOOKUP($B1685,DG!A:D,DG!$D$2,)</f>
        <v>kg</v>
      </c>
      <c r="G1685" s="1915">
        <f>SUM(G1687:G1699)*5/1.4</f>
        <v>0</v>
      </c>
      <c r="H1685" s="1245">
        <f t="shared" si="333"/>
        <v>0</v>
      </c>
      <c r="I1685" s="1245">
        <f>G1685</f>
        <v>0</v>
      </c>
      <c r="J1685" s="1245"/>
      <c r="K1685" s="1245"/>
      <c r="L1685" s="1245"/>
      <c r="M1685" s="1245"/>
      <c r="N1685" s="1245"/>
      <c r="O1685" s="1245"/>
      <c r="P1685" s="1249">
        <f t="shared" si="330"/>
        <v>0</v>
      </c>
      <c r="Q1685" s="1245"/>
      <c r="R1685" s="1245"/>
      <c r="S1685" s="1245"/>
      <c r="T1685" s="1671"/>
      <c r="U1685" s="1664" t="str">
        <f>IFERROR(VLOOKUP(B1685,ChiTietDuToan!C:H,5,0),"")</f>
        <v>kg</v>
      </c>
      <c r="V1685" s="2309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66" t="s">
        <v>1622</v>
      </c>
      <c r="C1686" s="1189" t="str">
        <f t="shared" si="334"/>
        <v xml:space="preserve"> </v>
      </c>
      <c r="D1686" s="1236"/>
      <c r="E1686" s="1248" t="str">
        <f>VLOOKUP($B1686,DG!A:D,DG!$C$2,)</f>
        <v>Biển số - Bảng nguy hiểm</v>
      </c>
      <c r="F1686" s="1236" t="str">
        <f>VLOOKUP($B1686,DG!A:D,DG!$D$2,)</f>
        <v>cái</v>
      </c>
      <c r="G1686" s="1915">
        <f>SUM(F142:F145)</f>
        <v>0</v>
      </c>
      <c r="H1686" s="1245">
        <f t="shared" si="333"/>
        <v>0</v>
      </c>
      <c r="I1686" s="1245">
        <f>G1686</f>
        <v>0</v>
      </c>
      <c r="J1686" s="1245"/>
      <c r="K1686" s="1245"/>
      <c r="L1686" s="1245"/>
      <c r="M1686" s="1245"/>
      <c r="N1686" s="1245"/>
      <c r="O1686" s="1245"/>
      <c r="P1686" s="1249">
        <f t="shared" si="330"/>
        <v>0</v>
      </c>
      <c r="Q1686" s="1245"/>
      <c r="R1686" s="1245"/>
      <c r="S1686" s="1245"/>
      <c r="T1686" s="1671"/>
      <c r="U1686" s="1664" t="str">
        <f>IFERROR(VLOOKUP(B1686,ChiTietDuToan!C:H,5,0),"")</f>
        <v>kg</v>
      </c>
      <c r="V1686" s="2309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66" t="s">
        <v>1302</v>
      </c>
      <c r="C1687" s="1189" t="str">
        <f t="shared" si="334"/>
        <v xml:space="preserve"> </v>
      </c>
      <c r="D1687" s="1236" t="str">
        <f>VLOOKUP($B1687,DG!A:D,DG!$B$2,)</f>
        <v>06.6114</v>
      </c>
      <c r="E1687" s="1241" t="str">
        <f>VLOOKUP($B1687,DG!A:D,DG!$C$2,)</f>
        <v>Kéo dây nhôm lõi thép cỡ dây 50mm2</v>
      </c>
      <c r="F1687" s="1236" t="str">
        <f>VLOOKUP($B1687,DG!A:D,DG!$D$2,)</f>
        <v>km</v>
      </c>
      <c r="G1687" s="1913"/>
      <c r="H1687" s="1245"/>
      <c r="I1687" s="1245"/>
      <c r="J1687" s="1245"/>
      <c r="K1687" s="1245"/>
      <c r="L1687" s="1245"/>
      <c r="M1687" s="1245"/>
      <c r="N1687" s="1245"/>
      <c r="O1687" s="1245"/>
      <c r="P1687" s="1249">
        <f t="shared" si="330"/>
        <v>0</v>
      </c>
      <c r="Q1687" s="1245"/>
      <c r="R1687" s="1245"/>
      <c r="S1687" s="1245"/>
      <c r="T1687" s="1671"/>
      <c r="U1687" s="1664" t="str">
        <f>IFERROR(VLOOKUP(B1687,ChiTietDuToan!C:H,5,0),"")</f>
        <v/>
      </c>
      <c r="V1687" s="2309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66" t="s">
        <v>1447</v>
      </c>
      <c r="C1688" s="1189" t="str">
        <f t="shared" si="334"/>
        <v xml:space="preserve"> </v>
      </c>
      <c r="D1688" s="1236" t="str">
        <f>VLOOKUP($B1688,DG!A:D,DG!$B$2,)</f>
        <v>06.6105</v>
      </c>
      <c r="E1688" s="1241" t="str">
        <f>VLOOKUP($B1688,DG!A:D,DG!$C$2,)</f>
        <v>Kéo dây nhôm lõi thép cỡ dây 70mm2</v>
      </c>
      <c r="F1688" s="1236" t="str">
        <f>VLOOKUP($B1688,DG!A:D,DG!$D$2,)</f>
        <v>km</v>
      </c>
      <c r="G1688" s="1913">
        <f t="shared" ref="G1688:G1693" si="336">(D1595)/1000</f>
        <v>0</v>
      </c>
      <c r="H1688" s="1245"/>
      <c r="I1688" s="1245"/>
      <c r="J1688" s="1245"/>
      <c r="K1688" s="1245"/>
      <c r="L1688" s="1245"/>
      <c r="M1688" s="1245"/>
      <c r="N1688" s="1245"/>
      <c r="O1688" s="1245"/>
      <c r="P1688" s="1249">
        <f t="shared" si="330"/>
        <v>0</v>
      </c>
      <c r="Q1688" s="1245"/>
      <c r="R1688" s="1245"/>
      <c r="S1688" s="1245"/>
      <c r="T1688" s="1671"/>
      <c r="U1688" s="1664" t="str">
        <f>IFERROR(VLOOKUP(B1688,ChiTietDuToan!C:H,5,0),"")</f>
        <v/>
      </c>
      <c r="V1688" s="2309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66" t="s">
        <v>1576</v>
      </c>
      <c r="C1689" s="1189" t="str">
        <f t="shared" si="334"/>
        <v xml:space="preserve"> </v>
      </c>
      <c r="D1689" s="1236" t="str">
        <f>VLOOKUP($B1689,DG!A:D,DG!$B$2,)</f>
        <v>06.6106</v>
      </c>
      <c r="E1689" s="1241" t="str">
        <f>VLOOKUP($B1689,DG!A:D,DG!$C$2,)</f>
        <v>Kéo dây nhôm lõi thép cỡ dây 95mm2</v>
      </c>
      <c r="F1689" s="1236" t="str">
        <f>VLOOKUP($B1689,DG!A:D,DG!$D$2,)</f>
        <v>km</v>
      </c>
      <c r="G1689" s="1913">
        <f t="shared" si="336"/>
        <v>0</v>
      </c>
      <c r="H1689" s="1245"/>
      <c r="I1689" s="1245"/>
      <c r="J1689" s="1245"/>
      <c r="K1689" s="1245"/>
      <c r="L1689" s="1245"/>
      <c r="M1689" s="1245"/>
      <c r="N1689" s="1245"/>
      <c r="O1689" s="1245"/>
      <c r="P1689" s="1249">
        <f t="shared" si="330"/>
        <v>0</v>
      </c>
      <c r="Q1689" s="1245"/>
      <c r="R1689" s="1245"/>
      <c r="S1689" s="1245"/>
      <c r="T1689" s="1671"/>
      <c r="U1689" s="1664" t="str">
        <f>IFERROR(VLOOKUP(B1689,ChiTietDuToan!C:H,5,0),"")</f>
        <v/>
      </c>
      <c r="V1689" s="2309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66" t="s">
        <v>140</v>
      </c>
      <c r="C1690" s="1189" t="str">
        <f t="shared" si="334"/>
        <v xml:space="preserve"> </v>
      </c>
      <c r="D1690" s="1236" t="str">
        <f>VLOOKUP($B1690,DG!A:D,DG!$B$2,)</f>
        <v>06.6107</v>
      </c>
      <c r="E1690" s="1241" t="str">
        <f>VLOOKUP($B1690,DG!A:D,DG!$C$2,)</f>
        <v>Kéo dây nhôm lõi thép cỡ dây 120mm2</v>
      </c>
      <c r="F1690" s="1236" t="str">
        <f>VLOOKUP($B1690,DG!A:D,DG!$D$2,)</f>
        <v>km</v>
      </c>
      <c r="G1690" s="1913">
        <f t="shared" si="336"/>
        <v>0</v>
      </c>
      <c r="H1690" s="1245"/>
      <c r="I1690" s="1245"/>
      <c r="J1690" s="1245"/>
      <c r="K1690" s="1245"/>
      <c r="L1690" s="1245"/>
      <c r="M1690" s="1245"/>
      <c r="N1690" s="1245"/>
      <c r="O1690" s="1245"/>
      <c r="P1690" s="1249">
        <f t="shared" si="330"/>
        <v>0</v>
      </c>
      <c r="Q1690" s="1245"/>
      <c r="R1690" s="1245"/>
      <c r="S1690" s="1245"/>
      <c r="T1690" s="1671"/>
      <c r="U1690" s="1664" t="str">
        <f>IFERROR(VLOOKUP(B1690,ChiTietDuToan!C:H,5,0),"")</f>
        <v>km</v>
      </c>
      <c r="V1690" s="2309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66" t="s">
        <v>799</v>
      </c>
      <c r="C1691" s="1189" t="str">
        <f t="shared" si="334"/>
        <v xml:space="preserve"> </v>
      </c>
      <c r="D1691" s="1236" t="str">
        <f>VLOOKUP($B1691,DG!A:D,DG!$B$2,)</f>
        <v>06.6108</v>
      </c>
      <c r="E1691" s="1241" t="str">
        <f>VLOOKUP($B1691,DG!A:D,DG!$C$2,)</f>
        <v>Kéo dây nhôm lõi thép cỡ dây 150mm2</v>
      </c>
      <c r="F1691" s="1236" t="str">
        <f>VLOOKUP($B1691,DG!A:D,DG!$D$2,)</f>
        <v>km</v>
      </c>
      <c r="G1691" s="1913">
        <f t="shared" si="336"/>
        <v>0</v>
      </c>
      <c r="H1691" s="1245"/>
      <c r="I1691" s="1245"/>
      <c r="J1691" s="1245"/>
      <c r="K1691" s="1245"/>
      <c r="L1691" s="1245"/>
      <c r="M1691" s="1245"/>
      <c r="N1691" s="1245"/>
      <c r="O1691" s="1245"/>
      <c r="P1691" s="1249">
        <f t="shared" si="330"/>
        <v>0</v>
      </c>
      <c r="Q1691" s="1245"/>
      <c r="R1691" s="1245"/>
      <c r="S1691" s="1245"/>
      <c r="T1691" s="1671"/>
      <c r="U1691" s="1664" t="str">
        <f>IFERROR(VLOOKUP(B1691,ChiTietDuToan!C:H,5,0),"")</f>
        <v/>
      </c>
      <c r="V1691" s="2309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66" t="s">
        <v>141</v>
      </c>
      <c r="C1692" s="1189" t="str">
        <f t="shared" si="334"/>
        <v xml:space="preserve"> </v>
      </c>
      <c r="D1692" s="1236" t="str">
        <f>VLOOKUP($B1692,DG!A:D,DG!$B$2,)</f>
        <v>06.6109</v>
      </c>
      <c r="E1692" s="1241" t="str">
        <f>VLOOKUP($B1692,DG!A:D,DG!$C$2,)</f>
        <v>Kéo dây nhôm lõi thép cỡ dây 185mm2</v>
      </c>
      <c r="F1692" s="1236" t="str">
        <f>VLOOKUP($B1692,DG!A:D,DG!$D$2,)</f>
        <v>km</v>
      </c>
      <c r="G1692" s="1913">
        <f t="shared" si="336"/>
        <v>0</v>
      </c>
      <c r="H1692" s="1245"/>
      <c r="I1692" s="1245"/>
      <c r="J1692" s="1245"/>
      <c r="K1692" s="1245"/>
      <c r="L1692" s="1245"/>
      <c r="M1692" s="1245"/>
      <c r="N1692" s="1245"/>
      <c r="O1692" s="1245"/>
      <c r="P1692" s="1249">
        <f t="shared" si="330"/>
        <v>0</v>
      </c>
      <c r="Q1692" s="1245"/>
      <c r="R1692" s="1245"/>
      <c r="S1692" s="1245"/>
      <c r="T1692" s="1671"/>
      <c r="U1692" s="1664" t="str">
        <f>IFERROR(VLOOKUP(B1692,ChiTietDuToan!C:H,5,0),"")</f>
        <v/>
      </c>
      <c r="V1692" s="2309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66" t="s">
        <v>719</v>
      </c>
      <c r="C1693" s="1189" t="str">
        <f t="shared" si="334"/>
        <v xml:space="preserve"> </v>
      </c>
      <c r="D1693" s="1236" t="str">
        <f>VLOOKUP($B1693,DG!A:D,DG!$B$2,)</f>
        <v>06.6110</v>
      </c>
      <c r="E1693" s="1241" t="str">
        <f>VLOOKUP($B1693,DG!A:D,DG!$C$2,)</f>
        <v>Kéo dây nhôm lõi thép cỡ dây 240mm2</v>
      </c>
      <c r="F1693" s="1236" t="str">
        <f>VLOOKUP($B1693,DG!A:D,DG!$D$2,)</f>
        <v>km</v>
      </c>
      <c r="G1693" s="1913">
        <f t="shared" si="336"/>
        <v>0</v>
      </c>
      <c r="H1693" s="1245"/>
      <c r="I1693" s="1245"/>
      <c r="J1693" s="1245"/>
      <c r="K1693" s="1245"/>
      <c r="L1693" s="1245"/>
      <c r="M1693" s="1245"/>
      <c r="N1693" s="1245"/>
      <c r="O1693" s="1245"/>
      <c r="P1693" s="1249">
        <f t="shared" si="330"/>
        <v>0</v>
      </c>
      <c r="Q1693" s="1245"/>
      <c r="R1693" s="1245"/>
      <c r="S1693" s="1245"/>
      <c r="T1693" s="1671"/>
      <c r="U1693" s="1664" t="str">
        <f>IFERROR(VLOOKUP(B1693,ChiTietDuToan!C:H,5,0),"")</f>
        <v/>
      </c>
      <c r="V1693" s="2309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66" t="s">
        <v>79</v>
      </c>
      <c r="C1694" s="1189" t="str">
        <f t="shared" si="334"/>
        <v xml:space="preserve"> </v>
      </c>
      <c r="D1694" s="1236" t="str">
        <f>VLOOKUP($B1694,DG!A:D,DG!$B$2,)</f>
        <v>06.6105</v>
      </c>
      <c r="E1694" s="1241" t="str">
        <f>VLOOKUP($B1694,DG!A:D,DG!$C$2,)</f>
        <v>Kéo dây nhôm bọc 70mm2</v>
      </c>
      <c r="F1694" s="1236" t="str">
        <f>VLOOKUP($B1694,DG!A:D,DG!$D$2,)</f>
        <v>km</v>
      </c>
      <c r="G1694" s="1913">
        <f>D1606/1000</f>
        <v>0</v>
      </c>
      <c r="H1694" s="1245"/>
      <c r="I1694" s="1245"/>
      <c r="J1694" s="1245"/>
      <c r="K1694" s="1245"/>
      <c r="L1694" s="1245"/>
      <c r="M1694" s="1245"/>
      <c r="N1694" s="1245"/>
      <c r="O1694" s="1245"/>
      <c r="P1694" s="1249">
        <f t="shared" si="330"/>
        <v>0</v>
      </c>
      <c r="Q1694" s="1245"/>
      <c r="R1694" s="1245"/>
      <c r="S1694" s="1245"/>
      <c r="T1694" s="1671"/>
      <c r="U1694" s="1664" t="str">
        <f>IFERROR(VLOOKUP(B1694,ChiTietDuToan!C:H,5,0),"")</f>
        <v/>
      </c>
      <c r="V1694" s="2309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66" t="s">
        <v>1561</v>
      </c>
      <c r="C1695" s="1189" t="str">
        <f t="shared" si="334"/>
        <v xml:space="preserve"> </v>
      </c>
      <c r="D1695" s="1236" t="str">
        <f>VLOOKUP($B1695,DG!A:D,DG!$B$2,)</f>
        <v>06.6106</v>
      </c>
      <c r="E1695" s="1241" t="str">
        <f>VLOOKUP($B1695,DG!A:D,DG!$C$2,)</f>
        <v>Kéo dây nhôm bọc 95mm2</v>
      </c>
      <c r="F1695" s="1236" t="str">
        <f>VLOOKUP($B1695,DG!A:D,DG!$D$2,)</f>
        <v>km</v>
      </c>
      <c r="G1695" s="1913">
        <f>D1605/1000</f>
        <v>0</v>
      </c>
      <c r="H1695" s="1245"/>
      <c r="I1695" s="1245"/>
      <c r="J1695" s="1245"/>
      <c r="K1695" s="1245"/>
      <c r="L1695" s="1245"/>
      <c r="M1695" s="1245"/>
      <c r="N1695" s="1245"/>
      <c r="O1695" s="1245"/>
      <c r="P1695" s="1249">
        <f t="shared" si="330"/>
        <v>0</v>
      </c>
      <c r="Q1695" s="1245"/>
      <c r="R1695" s="1245"/>
      <c r="S1695" s="1245"/>
      <c r="T1695" s="1671"/>
      <c r="U1695" s="1664" t="str">
        <f>IFERROR(VLOOKUP(B1695,ChiTietDuToan!C:H,5,0),"")</f>
        <v/>
      </c>
      <c r="V1695" s="2309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66" t="s">
        <v>1204</v>
      </c>
      <c r="C1696" s="1189" t="str">
        <f t="shared" si="334"/>
        <v xml:space="preserve"> </v>
      </c>
      <c r="D1696" s="1236" t="str">
        <f>VLOOKUP($B1696,DG!A:D,DG!$B$2,)</f>
        <v>06.6107</v>
      </c>
      <c r="E1696" s="1241" t="str">
        <f>VLOOKUP($B1696,DG!A:D,DG!$C$2,)</f>
        <v>Kéo dây nhôm bọc 120mm2</v>
      </c>
      <c r="F1696" s="1236" t="str">
        <f>VLOOKUP($B1696,DG!A:D,DG!$D$2,)</f>
        <v>km</v>
      </c>
      <c r="G1696" s="1913">
        <f>D1604/1000</f>
        <v>0</v>
      </c>
      <c r="H1696" s="1245"/>
      <c r="I1696" s="1245"/>
      <c r="J1696" s="1245"/>
      <c r="K1696" s="1245"/>
      <c r="L1696" s="1245"/>
      <c r="M1696" s="1245"/>
      <c r="N1696" s="1245"/>
      <c r="O1696" s="1245"/>
      <c r="P1696" s="1249">
        <f t="shared" si="330"/>
        <v>0</v>
      </c>
      <c r="Q1696" s="1245"/>
      <c r="R1696" s="1245"/>
      <c r="S1696" s="1245"/>
      <c r="T1696" s="1671"/>
      <c r="U1696" s="1664" t="str">
        <f>IFERROR(VLOOKUP(B1696,ChiTietDuToan!C:H,5,0),"")</f>
        <v/>
      </c>
      <c r="V1696" s="2309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66" t="s">
        <v>941</v>
      </c>
      <c r="C1697" s="1189" t="str">
        <f t="shared" si="334"/>
        <v xml:space="preserve"> </v>
      </c>
      <c r="D1697" s="1236" t="str">
        <f>VLOOKUP($B1697,DG!A:D,DG!$B$2,)</f>
        <v>06.6108</v>
      </c>
      <c r="E1697" s="1241" t="str">
        <f>VLOOKUP($B1697,DG!A:D,DG!$C$2,)</f>
        <v>Kéo dây nhôm bọc 150mm2</v>
      </c>
      <c r="F1697" s="1236" t="str">
        <f>VLOOKUP($B1697,DG!A:D,DG!$D$2,)</f>
        <v>km</v>
      </c>
      <c r="G1697" s="1913">
        <f>D1603/1000</f>
        <v>0</v>
      </c>
      <c r="H1697" s="1245"/>
      <c r="I1697" s="1245"/>
      <c r="J1697" s="1245"/>
      <c r="K1697" s="1245"/>
      <c r="L1697" s="1245"/>
      <c r="M1697" s="1245"/>
      <c r="N1697" s="1245"/>
      <c r="O1697" s="1245"/>
      <c r="P1697" s="1249">
        <f t="shared" si="330"/>
        <v>0</v>
      </c>
      <c r="Q1697" s="1245"/>
      <c r="R1697" s="1245"/>
      <c r="S1697" s="1245"/>
      <c r="T1697" s="1671"/>
      <c r="U1697" s="1664" t="str">
        <f>IFERROR(VLOOKUP(B1697,ChiTietDuToan!C:H,5,0),"")</f>
        <v/>
      </c>
      <c r="V1697" s="2309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66" t="s">
        <v>942</v>
      </c>
      <c r="C1698" s="1189" t="str">
        <f t="shared" si="334"/>
        <v xml:space="preserve"> </v>
      </c>
      <c r="D1698" s="1236" t="str">
        <f>VLOOKUP($B1698,DG!A:D,DG!$B$2,)</f>
        <v>06.6109</v>
      </c>
      <c r="E1698" s="1241" t="str">
        <f>VLOOKUP($B1698,DG!A:D,DG!$C$2,)</f>
        <v>Kéo dây nhôm bọc 185mm2</v>
      </c>
      <c r="F1698" s="1236" t="str">
        <f>VLOOKUP($B1698,DG!A:D,DG!$D$2,)</f>
        <v>km</v>
      </c>
      <c r="G1698" s="1913">
        <f>D1602/1000</f>
        <v>0</v>
      </c>
      <c r="H1698" s="1245"/>
      <c r="I1698" s="1245"/>
      <c r="J1698" s="1245"/>
      <c r="K1698" s="1245"/>
      <c r="L1698" s="1245"/>
      <c r="M1698" s="1245"/>
      <c r="N1698" s="1245"/>
      <c r="O1698" s="1245"/>
      <c r="P1698" s="1249">
        <f t="shared" si="330"/>
        <v>0</v>
      </c>
      <c r="Q1698" s="1245"/>
      <c r="R1698" s="1245"/>
      <c r="S1698" s="1245"/>
      <c r="T1698" s="1671"/>
      <c r="U1698" s="1664" t="str">
        <f>IFERROR(VLOOKUP(B1698,ChiTietDuToan!C:H,5,0),"")</f>
        <v>km</v>
      </c>
      <c r="V1698" s="2309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66" t="s">
        <v>1474</v>
      </c>
      <c r="C1699" s="1189" t="str">
        <f t="shared" si="334"/>
        <v xml:space="preserve"> </v>
      </c>
      <c r="D1699" s="1236" t="str">
        <f>VLOOKUP($B1699,DG!A:D,DG!$B$2,)</f>
        <v>06.6110</v>
      </c>
      <c r="E1699" s="1241" t="str">
        <f>VLOOKUP($B1699,DG!A:D,DG!$C$2,)</f>
        <v>Kéo dây nhôm bọc 240mm2</v>
      </c>
      <c r="F1699" s="1236" t="str">
        <f>VLOOKUP($B1699,DG!A:D,DG!$D$2,)</f>
        <v>km</v>
      </c>
      <c r="G1699" s="1913">
        <f>D1601/1000</f>
        <v>0</v>
      </c>
      <c r="H1699" s="1245"/>
      <c r="I1699" s="1245"/>
      <c r="J1699" s="1245"/>
      <c r="K1699" s="1245"/>
      <c r="L1699" s="1245"/>
      <c r="M1699" s="1245"/>
      <c r="N1699" s="1245"/>
      <c r="O1699" s="1245"/>
      <c r="P1699" s="1249">
        <f t="shared" si="330"/>
        <v>0</v>
      </c>
      <c r="Q1699" s="1245"/>
      <c r="R1699" s="1245"/>
      <c r="S1699" s="1245"/>
      <c r="T1699" s="1671"/>
      <c r="U1699" s="1664" t="str">
        <f>IFERROR(VLOOKUP(B1699,ChiTietDuToan!C:H,5,0),"")</f>
        <v/>
      </c>
      <c r="V1699" s="2309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59" t="s">
        <v>348</v>
      </c>
      <c r="C1700" s="1189" t="str">
        <f t="shared" si="334"/>
        <v xml:space="preserve"> </v>
      </c>
      <c r="D1700" s="1236" t="str">
        <f>VLOOKUP($B1700,DG!A:D,DG!$B$2,)</f>
        <v>06.1115</v>
      </c>
      <c r="E1700" s="1241" t="str">
        <f>VLOOKUP($B1700,DG!A:D,DG!$C$2,)</f>
        <v>Lắp sứ đứng 24KV</v>
      </c>
      <c r="F1700" s="1236" t="str">
        <f>VLOOKUP($B1700,DG!A:D,DG!$D$2,)</f>
        <v>bộ</v>
      </c>
      <c r="G1700" s="1915">
        <f>G1619+G1622+G1626*2</f>
        <v>0</v>
      </c>
      <c r="H1700" s="1245"/>
      <c r="I1700" s="1245"/>
      <c r="J1700" s="1245"/>
      <c r="K1700" s="1245"/>
      <c r="L1700" s="1245"/>
      <c r="M1700" s="1245"/>
      <c r="N1700" s="1245"/>
      <c r="O1700" s="1245"/>
      <c r="P1700" s="1249">
        <f t="shared" si="330"/>
        <v>0</v>
      </c>
      <c r="Q1700" s="1245"/>
      <c r="R1700" s="1245"/>
      <c r="S1700" s="1245"/>
      <c r="T1700" s="1671"/>
      <c r="U1700" s="1664" t="str">
        <f>IFERROR(VLOOKUP(B1700,ChiTietDuToan!C:H,5,0),"")</f>
        <v/>
      </c>
      <c r="V1700" s="2309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59" t="s">
        <v>349</v>
      </c>
      <c r="C1701" s="1189" t="str">
        <f t="shared" si="334"/>
        <v xml:space="preserve"> </v>
      </c>
      <c r="D1701" s="1236" t="str">
        <f>VLOOKUP($B1701,DG!A:D,DG!$B$2,)</f>
        <v>06.3231</v>
      </c>
      <c r="E1701" s="1241" t="str">
        <f>VLOOKUP($B1701,DG!A:D,DG!$C$2,)</f>
        <v>Lắp chân sứ đỉnh</v>
      </c>
      <c r="F1701" s="1236" t="str">
        <f>VLOOKUP($B1701,DG!A:D,DG!$D$2,)</f>
        <v>cái</v>
      </c>
      <c r="G1701" s="1915">
        <f>G1622+G1626*2</f>
        <v>0</v>
      </c>
      <c r="H1701" s="1245"/>
      <c r="I1701" s="1245"/>
      <c r="J1701" s="1245"/>
      <c r="K1701" s="1245"/>
      <c r="L1701" s="1245"/>
      <c r="M1701" s="1245"/>
      <c r="N1701" s="1245"/>
      <c r="O1701" s="1245"/>
      <c r="P1701" s="1249">
        <f t="shared" si="330"/>
        <v>0</v>
      </c>
      <c r="Q1701" s="1245"/>
      <c r="R1701" s="1245"/>
      <c r="S1701" s="1245"/>
      <c r="T1701" s="1671"/>
      <c r="U1701" s="1664" t="str">
        <f>IFERROR(VLOOKUP(B1701,ChiTietDuToan!C:H,5,0),"")</f>
        <v/>
      </c>
      <c r="V1701" s="2309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59" t="s">
        <v>350</v>
      </c>
      <c r="C1702" s="1189" t="str">
        <f t="shared" si="334"/>
        <v xml:space="preserve"> </v>
      </c>
      <c r="D1702" s="1236" t="str">
        <f>VLOOKUP($B1702,DG!A:D,DG!$B$2,)</f>
        <v>06.1410</v>
      </c>
      <c r="E1702" s="1241" t="str">
        <f>VLOOKUP($B1702,DG!A:D,DG!$C$2,)</f>
        <v>Lắp chuỗi sứ đỡ 2 bát/chuỗi</v>
      </c>
      <c r="F1702" s="1236" t="str">
        <f>VLOOKUP($B1702,DG!A:D,DG!$D$2,)</f>
        <v>chuỗi</v>
      </c>
      <c r="G1702" s="1915">
        <f>-SUM(G1645:G1646)</f>
        <v>0</v>
      </c>
      <c r="H1702" s="1245"/>
      <c r="I1702" s="1245"/>
      <c r="J1702" s="1245"/>
      <c r="K1702" s="1245"/>
      <c r="L1702" s="1245"/>
      <c r="M1702" s="1245"/>
      <c r="N1702" s="1245"/>
      <c r="O1702" s="1245"/>
      <c r="P1702" s="1249">
        <f t="shared" si="330"/>
        <v>0</v>
      </c>
      <c r="Q1702" s="1245"/>
      <c r="R1702" s="1245"/>
      <c r="S1702" s="1245"/>
      <c r="T1702" s="1671"/>
      <c r="U1702" s="1664" t="str">
        <f>IFERROR(VLOOKUP(B1702,ChiTietDuToan!C:H,5,0),"")</f>
        <v/>
      </c>
      <c r="V1702" s="2309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59" t="s">
        <v>351</v>
      </c>
      <c r="C1703" s="1189" t="str">
        <f t="shared" si="334"/>
        <v xml:space="preserve"> </v>
      </c>
      <c r="D1703" s="1236" t="str">
        <f>VLOOKUP($B1703,DG!A:D,DG!$B$2,)</f>
        <v>06.1511</v>
      </c>
      <c r="E1703" s="1241" t="str">
        <f>VLOOKUP($B1703,DG!A:D,DG!$C$2,)</f>
        <v>Lắp chuỗi sứ néo 2 bát/chuỗi</v>
      </c>
      <c r="F1703" s="1236" t="str">
        <f>VLOOKUP($B1703,DG!A:D,DG!$D$2,)</f>
        <v>chuỗi</v>
      </c>
      <c r="G1703" s="1915">
        <f>G1636+G1630-G1702</f>
        <v>0</v>
      </c>
      <c r="H1703" s="1250"/>
      <c r="I1703" s="1250"/>
      <c r="J1703" s="1250"/>
      <c r="K1703" s="1250"/>
      <c r="L1703" s="1250"/>
      <c r="M1703" s="1250"/>
      <c r="N1703" s="1250"/>
      <c r="O1703" s="1250"/>
      <c r="P1703" s="1249">
        <f t="shared" si="330"/>
        <v>0</v>
      </c>
      <c r="Q1703" s="1250"/>
      <c r="R1703" s="1250"/>
      <c r="S1703" s="1250"/>
      <c r="T1703" s="1671"/>
      <c r="U1703" s="1664" t="str">
        <f>IFERROR(VLOOKUP(B1703,ChiTietDuToan!C:H,5,0),"")</f>
        <v/>
      </c>
      <c r="V1703" s="2309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59" t="s">
        <v>1559</v>
      </c>
      <c r="C1704" s="1189" t="str">
        <f t="shared" si="334"/>
        <v xml:space="preserve"> </v>
      </c>
      <c r="D1704" s="1236" t="str">
        <f>VLOOKUP($B1704,DG!A:D,DG!$B$2,)</f>
        <v>06.2201</v>
      </c>
      <c r="E1704" s="1241" t="str">
        <f>VLOOKUP($B1704,DG!A:D,DG!$C$2,)</f>
        <v>Lắp chuỗi sứ néo Polymer</v>
      </c>
      <c r="F1704" s="1236" t="str">
        <f>VLOOKUP($B1704,DG!A:D,DG!$D$2,)</f>
        <v>chuỗi</v>
      </c>
      <c r="G1704" s="1915">
        <f>G1637+G1631-G1703</f>
        <v>0</v>
      </c>
      <c r="H1704" s="1250"/>
      <c r="I1704" s="1250"/>
      <c r="J1704" s="1250"/>
      <c r="K1704" s="1250"/>
      <c r="L1704" s="1250"/>
      <c r="M1704" s="1250"/>
      <c r="N1704" s="1250"/>
      <c r="O1704" s="1250"/>
      <c r="P1704" s="1249">
        <f t="shared" si="330"/>
        <v>0</v>
      </c>
      <c r="Q1704" s="1250"/>
      <c r="R1704" s="1250"/>
      <c r="S1704" s="1250"/>
      <c r="T1704" s="1671"/>
      <c r="U1704" s="1664" t="str">
        <f>IFERROR(VLOOKUP(B1704,ChiTietDuToan!C:H,5,0),"")</f>
        <v>chuỗi</v>
      </c>
      <c r="V1704" s="2309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59" t="s">
        <v>352</v>
      </c>
      <c r="C1705" s="1189" t="str">
        <f t="shared" si="334"/>
        <v xml:space="preserve"> </v>
      </c>
      <c r="D1705" s="1236" t="str">
        <f>VLOOKUP($B1705,DG!A:D,DG!$B$2,)</f>
        <v>06.1211</v>
      </c>
      <c r="E1705" s="1241" t="str">
        <f>VLOOKUP($B1705,DG!A:D,DG!$C$2,)</f>
        <v>Lắp rack sứ + sứ ống chỉ</v>
      </c>
      <c r="F1705" s="1236" t="str">
        <f>VLOOKUP($B1705,DG!A:D,DG!$D$2,)</f>
        <v>bộ</v>
      </c>
      <c r="G1705" s="1915">
        <f>G1607+G1610</f>
        <v>0</v>
      </c>
      <c r="H1705" s="1245"/>
      <c r="I1705" s="1245"/>
      <c r="J1705" s="1245"/>
      <c r="K1705" s="1245"/>
      <c r="L1705" s="1245"/>
      <c r="M1705" s="1245"/>
      <c r="N1705" s="1245"/>
      <c r="O1705" s="1245"/>
      <c r="P1705" s="1249">
        <f t="shared" si="330"/>
        <v>0</v>
      </c>
      <c r="Q1705" s="1245"/>
      <c r="R1705" s="1245"/>
      <c r="S1705" s="1245"/>
      <c r="T1705" s="1671"/>
      <c r="U1705" s="1664" t="str">
        <f>IFERROR(VLOOKUP(B1705,ChiTietDuToan!C:H,5,0),"")</f>
        <v>bộ</v>
      </c>
      <c r="V1705" s="2309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59" t="s">
        <v>354</v>
      </c>
      <c r="C1706" s="1189" t="str">
        <f t="shared" si="334"/>
        <v xml:space="preserve"> </v>
      </c>
      <c r="D1706" s="1236" t="str">
        <f>VLOOKUP($B1706,DG!A:D,DG!$B$2,)</f>
        <v>06.5072</v>
      </c>
      <c r="E1706" s="1241" t="str">
        <f>VLOOKUP($B1706,DG!A:D,DG!$C$2,)</f>
        <v xml:space="preserve">Kéo dây qua vị trí bẻ góc dây </v>
      </c>
      <c r="F1706" s="1236" t="str">
        <f>VLOOKUP($B1706,DG!A:D,DG!$D$2,)</f>
        <v>vị trí</v>
      </c>
      <c r="G1706" s="1915">
        <f>P1706</f>
        <v>0</v>
      </c>
      <c r="H1706" s="1250"/>
      <c r="I1706" s="1250"/>
      <c r="J1706" s="1250"/>
      <c r="K1706" s="1250"/>
      <c r="L1706" s="1250"/>
      <c r="M1706" s="1250"/>
      <c r="N1706" s="1250"/>
      <c r="O1706" s="1250"/>
      <c r="P1706" s="1249">
        <f t="shared" si="330"/>
        <v>0</v>
      </c>
      <c r="Q1706" s="1250"/>
      <c r="R1706" s="1250"/>
      <c r="S1706" s="1250"/>
      <c r="T1706" s="1671"/>
      <c r="U1706" s="1664" t="str">
        <f>IFERROR(VLOOKUP(B1706,ChiTietDuToan!C:H,5,0),"")</f>
        <v/>
      </c>
      <c r="V1706" s="2309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59" t="s">
        <v>355</v>
      </c>
      <c r="C1707" s="1189" t="str">
        <f t="shared" si="334"/>
        <v xml:space="preserve"> </v>
      </c>
      <c r="D1707" s="1236" t="str">
        <f>VLOOKUP($B1707,DG!A:D,DG!$B$2,)</f>
        <v>06.5082</v>
      </c>
      <c r="E1707" s="1241" t="str">
        <f>VLOOKUP($B1707,DG!A:D,DG!$C$2,)</f>
        <v>Kéo dây qua sông ( S&lt;=300)</v>
      </c>
      <c r="F1707" s="1236" t="str">
        <f>VLOOKUP($B1707,DG!A:D,DG!$D$2,)</f>
        <v>vị trí</v>
      </c>
      <c r="G1707" s="1912">
        <f>'pp3p2m '!EA82</f>
        <v>0</v>
      </c>
      <c r="H1707" s="1250"/>
      <c r="I1707" s="1250"/>
      <c r="J1707" s="1250"/>
      <c r="K1707" s="1250"/>
      <c r="L1707" s="1250"/>
      <c r="M1707" s="1250"/>
      <c r="N1707" s="1250"/>
      <c r="O1707" s="1250"/>
      <c r="P1707" s="1249">
        <f t="shared" si="330"/>
        <v>0</v>
      </c>
      <c r="Q1707" s="1250"/>
      <c r="R1707" s="1250"/>
      <c r="S1707" s="1250"/>
      <c r="T1707" s="1671"/>
      <c r="U1707" s="1664" t="str">
        <f>IFERROR(VLOOKUP(B1707,ChiTietDuToan!C:H,5,0),"")</f>
        <v/>
      </c>
      <c r="V1707" s="2309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59" t="s">
        <v>356</v>
      </c>
      <c r="C1708" s="1189" t="str">
        <f t="shared" si="334"/>
        <v xml:space="preserve"> </v>
      </c>
      <c r="D1708" s="1236" t="str">
        <f>VLOOKUP($B1708,DG!A:D,DG!$B$2,)</f>
        <v>02.1122</v>
      </c>
      <c r="E1708" s="1241" t="str">
        <f>VLOOKUP($B1708,DG!A:D,DG!$C$2,)</f>
        <v>Bốc dỡ dây</v>
      </c>
      <c r="F1708" s="1236" t="str">
        <f>VLOOKUP($B1708,DG!A:D,DG!$D$2,)</f>
        <v>tấn</v>
      </c>
      <c r="G1708" s="1914">
        <f>G1591</f>
        <v>0</v>
      </c>
      <c r="H1708" s="1250"/>
      <c r="I1708" s="1250"/>
      <c r="J1708" s="1250"/>
      <c r="K1708" s="1250"/>
      <c r="L1708" s="1250"/>
      <c r="M1708" s="1250"/>
      <c r="N1708" s="1250"/>
      <c r="O1708" s="1250"/>
      <c r="P1708" s="1249">
        <f t="shared" si="330"/>
        <v>0</v>
      </c>
      <c r="Q1708" s="1250"/>
      <c r="R1708" s="1250"/>
      <c r="S1708" s="1250"/>
      <c r="T1708" s="1671"/>
      <c r="U1708" s="1664" t="str">
        <f>IFERROR(VLOOKUP(B1708,ChiTietDuToan!C:H,5,0),"")</f>
        <v/>
      </c>
      <c r="V1708" s="2309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59" t="s">
        <v>1955</v>
      </c>
      <c r="C1709" s="1189" t="str">
        <f t="shared" si="334"/>
        <v xml:space="preserve"> </v>
      </c>
      <c r="D1709" s="1236" t="str">
        <f>VLOOKUP($B1709,DG!A:D,DG!$B$2,)</f>
        <v>02.1120</v>
      </c>
      <c r="E1709" s="1241" t="str">
        <f>VLOOKUP($B1709,DG!A:D,DG!$C$2,)</f>
        <v>Bốc dỡ phụ kiện</v>
      </c>
      <c r="F1709" s="1236" t="str">
        <f>VLOOKUP($B1709,DG!A:D,DG!$D$2,)</f>
        <v>tấn</v>
      </c>
      <c r="G1709" s="1914">
        <f>G1590</f>
        <v>0</v>
      </c>
      <c r="H1709" s="1250"/>
      <c r="I1709" s="1250"/>
      <c r="J1709" s="1250"/>
      <c r="K1709" s="1250"/>
      <c r="L1709" s="1250"/>
      <c r="M1709" s="1250"/>
      <c r="N1709" s="1250"/>
      <c r="O1709" s="1250"/>
      <c r="P1709" s="1249">
        <f t="shared" si="330"/>
        <v>0</v>
      </c>
      <c r="Q1709" s="1250"/>
      <c r="R1709" s="1250"/>
      <c r="S1709" s="1250"/>
      <c r="T1709" s="1671"/>
      <c r="U1709" s="1664" t="str">
        <f>IFERROR(VLOOKUP(B1709,ChiTietDuToan!C:H,5,0),"")</f>
        <v/>
      </c>
      <c r="V1709" s="2309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76" t="s">
        <v>357</v>
      </c>
      <c r="C1710" s="1189" t="str">
        <f t="shared" si="334"/>
        <v xml:space="preserve"> </v>
      </c>
      <c r="D1710" s="1236" t="str">
        <f>VLOOKUP($B1710,DG!A:D,DG!$B$2,)</f>
        <v>02.1421</v>
      </c>
      <c r="E1710" s="1241" t="str">
        <f>VLOOKUP($B1710,DG!A:D,DG!$C$2,)</f>
        <v>V/c phụ kiện vào vị trí (cự ly &lt;=100m)</v>
      </c>
      <c r="F1710" s="1236" t="str">
        <f>VLOOKUP($B1710,DG!A:D,DG!$D$2,)</f>
        <v>tấn</v>
      </c>
      <c r="G1710" s="1930"/>
      <c r="H1710" s="1250"/>
      <c r="I1710" s="1250"/>
      <c r="J1710" s="1250"/>
      <c r="K1710" s="1250"/>
      <c r="L1710" s="1250"/>
      <c r="M1710" s="1250"/>
      <c r="N1710" s="1250"/>
      <c r="O1710" s="1250"/>
      <c r="P1710" s="1249">
        <f t="shared" si="330"/>
        <v>0</v>
      </c>
      <c r="Q1710" s="1250"/>
      <c r="R1710" s="1250"/>
      <c r="S1710" s="1250"/>
      <c r="T1710" s="1671"/>
      <c r="U1710" s="1664" t="str">
        <f>IFERROR(VLOOKUP(B1710,ChiTietDuToan!C:H,5,0),"")</f>
        <v>tấn</v>
      </c>
      <c r="V1710" s="2309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76" t="s">
        <v>358</v>
      </c>
      <c r="C1711" s="1189" t="str">
        <f t="shared" si="334"/>
        <v xml:space="preserve"> </v>
      </c>
      <c r="D1711" s="1236" t="str">
        <f>VLOOKUP($B1711,DG!A:D,DG!$B$2,)</f>
        <v>02.1441</v>
      </c>
      <c r="E1711" s="1241" t="str">
        <f>VLOOKUP($B1711,DG!A:D,DG!$C$2,)</f>
        <v>V/c dây vào vị trí (cự ly &lt;=100m)</v>
      </c>
      <c r="F1711" s="1236" t="str">
        <f>VLOOKUP($B1711,DG!A:D,DG!$D$2,)</f>
        <v>tấn</v>
      </c>
      <c r="G1711" s="1930"/>
      <c r="H1711" s="1250"/>
      <c r="I1711" s="1250"/>
      <c r="J1711" s="1250"/>
      <c r="K1711" s="1250"/>
      <c r="L1711" s="1250"/>
      <c r="M1711" s="1250"/>
      <c r="N1711" s="1250"/>
      <c r="O1711" s="1250"/>
      <c r="P1711" s="1249">
        <f t="shared" si="330"/>
        <v>0</v>
      </c>
      <c r="Q1711" s="1250"/>
      <c r="R1711" s="1250"/>
      <c r="S1711" s="1250"/>
      <c r="T1711" s="1671"/>
      <c r="U1711" s="1664" t="str">
        <f>IFERROR(VLOOKUP(B1711,ChiTietDuToan!C:H,5,0),"")</f>
        <v/>
      </c>
      <c r="V1711" s="2309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74" t="s">
        <v>611</v>
      </c>
      <c r="C1712" s="1189" t="str">
        <f t="shared" si="334"/>
        <v xml:space="preserve"> </v>
      </c>
      <c r="D1712" s="1236" t="str">
        <f>VLOOKUP($B1712,DG!A:D,DG!$B$2,)</f>
        <v>02.1482</v>
      </c>
      <c r="E1712" s="1241" t="str">
        <f>VLOOKUP($B1712,DG!A:D,DG!$C$2,)</f>
        <v>V/c dụng cụ thi công vào vị trí (cự ly &lt;=100m)</v>
      </c>
      <c r="F1712" s="1236" t="str">
        <f>VLOOKUP($B1712,DG!A:D,DG!$D$2,)</f>
        <v>tấn</v>
      </c>
      <c r="G1712" s="1930"/>
      <c r="H1712" s="1250"/>
      <c r="I1712" s="1250"/>
      <c r="J1712" s="1250"/>
      <c r="K1712" s="1250"/>
      <c r="L1712" s="1250"/>
      <c r="M1712" s="1250"/>
      <c r="N1712" s="1250"/>
      <c r="O1712" s="1250"/>
      <c r="P1712" s="1249">
        <f t="shared" si="330"/>
        <v>0</v>
      </c>
      <c r="Q1712" s="1250"/>
      <c r="R1712" s="1250"/>
      <c r="S1712" s="1250"/>
      <c r="T1712" s="1671"/>
      <c r="U1712" s="1664" t="str">
        <f>IFERROR(VLOOKUP(B1712,ChiTietDuToan!C:H,5,0),"")</f>
        <v/>
      </c>
      <c r="V1712" s="2309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53" t="s">
        <v>1972</v>
      </c>
      <c r="B1713" s="1954" t="str">
        <f>A1713</f>
        <v>DDTT3P1m-m</v>
      </c>
      <c r="C1713" s="1189" t="str">
        <f>IF(G1713&lt;&gt;0,"x"," ")</f>
        <v xml:space="preserve"> </v>
      </c>
      <c r="D1713" s="1238">
        <v>1</v>
      </c>
      <c r="E1713" s="1666" t="s">
        <v>4734</v>
      </c>
      <c r="F1713" s="1238" t="s">
        <v>2364</v>
      </c>
      <c r="G1713" s="1912">
        <f>IF(SUM(G1714:G1732)&lt;&gt;0,1,0)</f>
        <v>0</v>
      </c>
      <c r="H1713" s="1523">
        <f>SUM(I1713:O1713)+T1713</f>
        <v>0</v>
      </c>
      <c r="I1713" s="1239"/>
      <c r="J1713" s="1239"/>
      <c r="K1713" s="1239"/>
      <c r="L1713" s="1239">
        <f>IFERROR(HLOOKUP(A1713,pp1p!$6:$90,85,0),0)</f>
        <v>0</v>
      </c>
      <c r="M1713" s="1239"/>
      <c r="N1713" s="1239"/>
      <c r="O1713" s="1239"/>
      <c r="P1713" s="1523">
        <f>H1713</f>
        <v>0</v>
      </c>
      <c r="Q1713" s="1239"/>
      <c r="R1713" s="1239"/>
      <c r="S1713" s="1239"/>
      <c r="T1713" s="1664"/>
      <c r="U1713" s="1664" t="str">
        <f>IFERROR(VLOOKUP(B1713,ChiTietDuToan!C:H,5,0),"")</f>
        <v>Tbộ</v>
      </c>
      <c r="V1713" s="2309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59" t="s">
        <v>736</v>
      </c>
      <c r="C1714" s="1189" t="str">
        <f t="shared" si="334"/>
        <v xml:space="preserve"> </v>
      </c>
      <c r="D1714" s="1253"/>
      <c r="E1714" s="1248" t="str">
        <f>VLOOKUP($B1714,DG!A:D,DG!$C$2,)</f>
        <v>Cáp nhôm lõi thép AC-240/39</v>
      </c>
      <c r="F1714" s="1236" t="str">
        <f>VLOOKUP($B1714,DG!A:D,DG!$D$2,)</f>
        <v>kg</v>
      </c>
      <c r="G1714" s="1918">
        <f>ROUND(D1714*1.02*0.921,2)</f>
        <v>0</v>
      </c>
      <c r="H1714" s="1245">
        <f>$G1714</f>
        <v>0</v>
      </c>
      <c r="I1714" s="1245"/>
      <c r="J1714" s="1245"/>
      <c r="K1714" s="1245">
        <f>G1714</f>
        <v>0</v>
      </c>
      <c r="L1714" s="1245"/>
      <c r="M1714" s="1245"/>
      <c r="N1714" s="1245"/>
      <c r="O1714" s="1245"/>
      <c r="P1714" s="1257">
        <f t="shared" si="330"/>
        <v>0</v>
      </c>
      <c r="Q1714" s="1245"/>
      <c r="R1714" s="1245"/>
      <c r="S1714" s="1245"/>
      <c r="T1714" s="1671"/>
      <c r="U1714" s="1664" t="str">
        <f>IFERROR(VLOOKUP(B1714,ChiTietDuToan!C:H,5,0),"")</f>
        <v/>
      </c>
      <c r="V1714" s="2309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59" t="s">
        <v>737</v>
      </c>
      <c r="C1715" s="1189" t="str">
        <f t="shared" si="334"/>
        <v xml:space="preserve"> </v>
      </c>
      <c r="D1715" s="1253"/>
      <c r="E1715" s="1248" t="str">
        <f>VLOOKUP($B1715,DG!A:D,DG!$C$2,)</f>
        <v>Cáp nhôm lõi thép AC-185/29</v>
      </c>
      <c r="F1715" s="1236" t="str">
        <f>VLOOKUP($B1715,DG!A:D,DG!$D$2,)</f>
        <v>kg</v>
      </c>
      <c r="G1715" s="1920">
        <f>ROUND(D1715*1.02*0.728,2)</f>
        <v>0</v>
      </c>
      <c r="H1715" s="1245">
        <f t="shared" ref="H1715:H1837" si="337">$G1715</f>
        <v>0</v>
      </c>
      <c r="I1715" s="1245"/>
      <c r="J1715" s="1245"/>
      <c r="K1715" s="1245">
        <f t="shared" ref="K1715:K1801" si="338">G1715</f>
        <v>0</v>
      </c>
      <c r="L1715" s="1245"/>
      <c r="M1715" s="1245"/>
      <c r="N1715" s="1245"/>
      <c r="O1715" s="1245"/>
      <c r="P1715" s="1257">
        <f t="shared" si="330"/>
        <v>0</v>
      </c>
      <c r="Q1715" s="1245"/>
      <c r="R1715" s="1245"/>
      <c r="S1715" s="1245"/>
      <c r="T1715" s="1671"/>
      <c r="U1715" s="1664" t="str">
        <f>IFERROR(VLOOKUP(B1715,ChiTietDuToan!C:H,5,0),"")</f>
        <v/>
      </c>
      <c r="V1715" s="2309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59" t="s">
        <v>849</v>
      </c>
      <c r="C1716" s="1189" t="str">
        <f t="shared" si="334"/>
        <v xml:space="preserve"> </v>
      </c>
      <c r="D1716" s="1253"/>
      <c r="E1716" s="1248" t="str">
        <f>VLOOKUP($B1716,DG!A:D,DG!$C$2,)</f>
        <v>Cáp nhôm lõi thép AC-150/24</v>
      </c>
      <c r="F1716" s="1236" t="str">
        <f>VLOOKUP($B1716,DG!A:D,DG!$D$2,)</f>
        <v>kg</v>
      </c>
      <c r="G1716" s="1918">
        <f>ROUND(D1716*1.02*0.599,2)</f>
        <v>0</v>
      </c>
      <c r="H1716" s="1245">
        <f t="shared" si="337"/>
        <v>0</v>
      </c>
      <c r="I1716" s="1245"/>
      <c r="J1716" s="1245"/>
      <c r="K1716" s="1245">
        <f t="shared" si="338"/>
        <v>0</v>
      </c>
      <c r="L1716" s="1245"/>
      <c r="M1716" s="1245"/>
      <c r="N1716" s="1245"/>
      <c r="O1716" s="1245"/>
      <c r="P1716" s="1257">
        <f t="shared" ref="P1716:P1779" si="339">H1716+Q1716-R1716</f>
        <v>0</v>
      </c>
      <c r="Q1716" s="1245"/>
      <c r="R1716" s="1245"/>
      <c r="S1716" s="1245"/>
      <c r="T1716" s="1671"/>
      <c r="U1716" s="1664" t="str">
        <f>IFERROR(VLOOKUP(B1716,ChiTietDuToan!C:H,5,0),"")</f>
        <v/>
      </c>
      <c r="V1716" s="2309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59" t="s">
        <v>543</v>
      </c>
      <c r="C1717" s="1189" t="str">
        <f t="shared" si="334"/>
        <v xml:space="preserve"> </v>
      </c>
      <c r="D1717" s="1253"/>
      <c r="E1717" s="1248" t="str">
        <f>VLOOKUP($B1717,DG!A:D,DG!$C$2,)</f>
        <v>Cáp nhôm lõi thép AC-120/19</v>
      </c>
      <c r="F1717" s="1236" t="str">
        <f>VLOOKUP($B1717,DG!A:D,DG!$D$2,)</f>
        <v>kg</v>
      </c>
      <c r="G1717" s="1920">
        <f>ROUND(D1717*1.02*0.471,2)</f>
        <v>0</v>
      </c>
      <c r="H1717" s="1245">
        <f t="shared" si="337"/>
        <v>0</v>
      </c>
      <c r="I1717" s="1245"/>
      <c r="J1717" s="1245"/>
      <c r="K1717" s="1245">
        <f t="shared" si="338"/>
        <v>0</v>
      </c>
      <c r="L1717" s="1245"/>
      <c r="M1717" s="1245"/>
      <c r="N1717" s="1245"/>
      <c r="O1717" s="1245"/>
      <c r="P1717" s="1257">
        <f t="shared" si="339"/>
        <v>0</v>
      </c>
      <c r="Q1717" s="1245"/>
      <c r="R1717" s="1245"/>
      <c r="S1717" s="1245"/>
      <c r="T1717" s="1671"/>
      <c r="U1717" s="1664" t="str">
        <f>IFERROR(VLOOKUP(B1717,ChiTietDuToan!C:H,5,0),"")</f>
        <v>kg</v>
      </c>
      <c r="V1717" s="2309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59" t="s">
        <v>270</v>
      </c>
      <c r="C1718" s="1189" t="str">
        <f t="shared" si="334"/>
        <v xml:space="preserve"> </v>
      </c>
      <c r="D1718" s="1253"/>
      <c r="E1718" s="1248" t="str">
        <f>VLOOKUP($B1718,DG!A:D,DG!$C$2,)</f>
        <v>Cáp nhôm lõi thép AC-95/16</v>
      </c>
      <c r="F1718" s="1236" t="str">
        <f>VLOOKUP($B1718,DG!A:D,DG!$D$2,)</f>
        <v>kg</v>
      </c>
      <c r="G1718" s="1915">
        <f>ROUND(D1718*1.02*0.385,2)</f>
        <v>0</v>
      </c>
      <c r="H1718" s="1245">
        <f t="shared" si="337"/>
        <v>0</v>
      </c>
      <c r="I1718" s="1245"/>
      <c r="J1718" s="1245"/>
      <c r="K1718" s="1245">
        <f t="shared" si="338"/>
        <v>0</v>
      </c>
      <c r="L1718" s="1245"/>
      <c r="M1718" s="1245"/>
      <c r="N1718" s="1245"/>
      <c r="O1718" s="1245"/>
      <c r="P1718" s="1257">
        <f t="shared" si="339"/>
        <v>0</v>
      </c>
      <c r="Q1718" s="1245"/>
      <c r="R1718" s="1245"/>
      <c r="S1718" s="1245"/>
      <c r="T1718" s="1671"/>
      <c r="U1718" s="1664" t="str">
        <f>IFERROR(VLOOKUP(B1718,ChiTietDuToan!C:H,5,0),"")</f>
        <v/>
      </c>
      <c r="V1718" s="2309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59" t="s">
        <v>1272</v>
      </c>
      <c r="C1719" s="1189" t="str">
        <f t="shared" si="334"/>
        <v xml:space="preserve"> </v>
      </c>
      <c r="D1719" s="1253"/>
      <c r="E1719" s="1248" t="str">
        <f>VLOOKUP($B1719,DG!A:D,DG!$C$2,)</f>
        <v>Cáp nhôm lõi thép AC-70/11</v>
      </c>
      <c r="F1719" s="1236" t="str">
        <f>VLOOKUP($B1719,DG!A:D,DG!$D$2,)</f>
        <v>kg</v>
      </c>
      <c r="G1719" s="1925">
        <f>ROUND(D1719*1.02*0.276,2)</f>
        <v>0</v>
      </c>
      <c r="H1719" s="1245">
        <f t="shared" si="337"/>
        <v>0</v>
      </c>
      <c r="I1719" s="1245"/>
      <c r="J1719" s="1245"/>
      <c r="K1719" s="1245">
        <f t="shared" si="338"/>
        <v>0</v>
      </c>
      <c r="L1719" s="1245"/>
      <c r="M1719" s="1245"/>
      <c r="N1719" s="1245"/>
      <c r="O1719" s="1245"/>
      <c r="P1719" s="1257">
        <f t="shared" si="339"/>
        <v>0</v>
      </c>
      <c r="Q1719" s="1245"/>
      <c r="R1719" s="1245"/>
      <c r="S1719" s="1245"/>
      <c r="T1719" s="1671"/>
      <c r="U1719" s="1664" t="str">
        <f>IFERROR(VLOOKUP(B1719,ChiTietDuToan!C:H,5,0),"")</f>
        <v/>
      </c>
      <c r="V1719" s="2309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52" t="s">
        <v>88</v>
      </c>
      <c r="C1720" s="1189" t="str">
        <f t="shared" si="334"/>
        <v xml:space="preserve"> </v>
      </c>
      <c r="D1720" s="1662">
        <f>pp3p1m!B111</f>
        <v>0</v>
      </c>
      <c r="E1720" s="1248" t="str">
        <f>VLOOKUP($B1720,DG!A:D,DG!$C$2,)</f>
        <v>Cáp nhôm lõi thép AC-50/8</v>
      </c>
      <c r="F1720" s="1236" t="str">
        <f>VLOOKUP($B1720,DG!A:D,DG!$D$2,)</f>
        <v>kg</v>
      </c>
      <c r="G1720" s="1925">
        <f>ROUND(D1720*1.02*0.195,2)</f>
        <v>0</v>
      </c>
      <c r="H1720" s="1249">
        <f t="shared" si="337"/>
        <v>0</v>
      </c>
      <c r="I1720" s="1245"/>
      <c r="J1720" s="1245"/>
      <c r="K1720" s="1245">
        <f t="shared" si="338"/>
        <v>0</v>
      </c>
      <c r="L1720" s="1245"/>
      <c r="M1720" s="1245"/>
      <c r="N1720" s="1245"/>
      <c r="O1720" s="1245"/>
      <c r="P1720" s="2200">
        <f t="shared" si="339"/>
        <v>0</v>
      </c>
      <c r="Q1720" s="1245"/>
      <c r="R1720" s="1245"/>
      <c r="S1720" s="1245"/>
      <c r="T1720" s="1664"/>
      <c r="U1720" s="1664" t="str">
        <f>IFERROR(VLOOKUP(B1720,ChiTietDuToan!C:H,5,0),"")</f>
        <v/>
      </c>
      <c r="V1720" s="2309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52" t="s">
        <v>361</v>
      </c>
      <c r="C1721" s="1189" t="str">
        <f t="shared" si="334"/>
        <v xml:space="preserve"> </v>
      </c>
      <c r="D1721" s="1662">
        <f>pp3p1m!B111*3</f>
        <v>0</v>
      </c>
      <c r="E1721" s="1248" t="str">
        <f>VLOOKUP($B1721,DG!A:D,DG!$C$2,)</f>
        <v>Cáp 24KV AS/XLPE/PVC 50 mm2</v>
      </c>
      <c r="F1721" s="1236" t="str">
        <f>VLOOKUP($B1721,DG!A:D,DG!$D$2,)</f>
        <v>mét</v>
      </c>
      <c r="G1721" s="1925">
        <f>ROUND(D1721*1.02,2)</f>
        <v>0</v>
      </c>
      <c r="H1721" s="1249">
        <f t="shared" si="337"/>
        <v>0</v>
      </c>
      <c r="I1721" s="1245"/>
      <c r="J1721" s="1245"/>
      <c r="K1721" s="1245">
        <f>G1721</f>
        <v>0</v>
      </c>
      <c r="L1721" s="1245"/>
      <c r="M1721" s="1245"/>
      <c r="N1721" s="1245"/>
      <c r="O1721" s="1245"/>
      <c r="P1721" s="2200">
        <f t="shared" si="339"/>
        <v>0</v>
      </c>
      <c r="Q1721" s="1245"/>
      <c r="R1721" s="1245"/>
      <c r="S1721" s="1245"/>
      <c r="T1721" s="1664"/>
      <c r="U1721" s="1664" t="str">
        <f>IFERROR(VLOOKUP(B1721,ChiTietDuToan!C:H,5,0),"")</f>
        <v/>
      </c>
      <c r="V1721" s="2309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59" t="s">
        <v>1847</v>
      </c>
      <c r="C1722" s="1189" t="str">
        <f t="shared" si="334"/>
        <v xml:space="preserve"> </v>
      </c>
      <c r="D1722" s="1253"/>
      <c r="E1722" s="1248" t="str">
        <f>VLOOKUP($B1722,DG!A:D,DG!$C$2,)</f>
        <v>Cáp 24KV A/XLPE/PVC 240mm2</v>
      </c>
      <c r="F1722" s="1236" t="str">
        <f>VLOOKUP($B1722,DG!A:D,DG!$D$2,)</f>
        <v>mét</v>
      </c>
      <c r="G1722" s="1915">
        <f t="shared" ref="G1722:G1730" si="340">ROUND(D1722*1.02,2)</f>
        <v>0</v>
      </c>
      <c r="H1722" s="1245">
        <f t="shared" si="337"/>
        <v>0</v>
      </c>
      <c r="I1722" s="1245"/>
      <c r="J1722" s="1245"/>
      <c r="K1722" s="1245">
        <f t="shared" si="338"/>
        <v>0</v>
      </c>
      <c r="L1722" s="1245"/>
      <c r="M1722" s="1245"/>
      <c r="N1722" s="1245"/>
      <c r="O1722" s="1245"/>
      <c r="P1722" s="1257">
        <f t="shared" si="339"/>
        <v>0</v>
      </c>
      <c r="Q1722" s="1245"/>
      <c r="R1722" s="1245"/>
      <c r="S1722" s="1245"/>
      <c r="T1722" s="1671"/>
      <c r="U1722" s="1664" t="str">
        <f>IFERROR(VLOOKUP(B1722,ChiTietDuToan!C:H,5,0),"")</f>
        <v/>
      </c>
      <c r="V1722" s="2309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59" t="s">
        <v>1061</v>
      </c>
      <c r="C1723" s="1189" t="str">
        <f t="shared" si="334"/>
        <v xml:space="preserve"> </v>
      </c>
      <c r="D1723" s="1253"/>
      <c r="E1723" s="1248" t="str">
        <f>VLOOKUP($B1723,DG!A:D,DG!$C$2,)</f>
        <v>Cáp 24KV A/XLPE/PVC 185mm2</v>
      </c>
      <c r="F1723" s="1236" t="str">
        <f>VLOOKUP($B1723,DG!A:D,DG!$D$2,)</f>
        <v>mét</v>
      </c>
      <c r="G1723" s="1915">
        <f t="shared" si="340"/>
        <v>0</v>
      </c>
      <c r="H1723" s="1245">
        <f t="shared" si="337"/>
        <v>0</v>
      </c>
      <c r="I1723" s="1245"/>
      <c r="J1723" s="1245"/>
      <c r="K1723" s="1245">
        <f t="shared" si="338"/>
        <v>0</v>
      </c>
      <c r="L1723" s="1245"/>
      <c r="M1723" s="1245"/>
      <c r="N1723" s="1245"/>
      <c r="O1723" s="1245"/>
      <c r="P1723" s="1257">
        <f t="shared" si="339"/>
        <v>0</v>
      </c>
      <c r="Q1723" s="1245"/>
      <c r="R1723" s="1245"/>
      <c r="S1723" s="1245"/>
      <c r="T1723" s="1671"/>
      <c r="U1723" s="1664" t="str">
        <f>IFERROR(VLOOKUP(B1723,ChiTietDuToan!C:H,5,0),"")</f>
        <v>mét</v>
      </c>
      <c r="V1723" s="2309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59" t="s">
        <v>1062</v>
      </c>
      <c r="C1724" s="1189" t="str">
        <f t="shared" si="334"/>
        <v xml:space="preserve"> </v>
      </c>
      <c r="D1724" s="1253"/>
      <c r="E1724" s="1248" t="str">
        <f>VLOOKUP($B1724,DG!A:D,DG!$C$2,)</f>
        <v>Cáp 24KV A/XLPE/PVC 150mm2</v>
      </c>
      <c r="F1724" s="1236" t="str">
        <f>VLOOKUP($B1724,DG!A:D,DG!$D$2,)</f>
        <v>mét</v>
      </c>
      <c r="G1724" s="1915">
        <f t="shared" si="340"/>
        <v>0</v>
      </c>
      <c r="H1724" s="1245">
        <f>$G1724</f>
        <v>0</v>
      </c>
      <c r="I1724" s="1245"/>
      <c r="J1724" s="1245"/>
      <c r="K1724" s="1245">
        <f t="shared" si="338"/>
        <v>0</v>
      </c>
      <c r="L1724" s="1245"/>
      <c r="M1724" s="1245"/>
      <c r="N1724" s="1245"/>
      <c r="O1724" s="1245"/>
      <c r="P1724" s="1257">
        <f t="shared" si="339"/>
        <v>0</v>
      </c>
      <c r="Q1724" s="1245"/>
      <c r="R1724" s="1245"/>
      <c r="S1724" s="1245"/>
      <c r="T1724" s="1671"/>
      <c r="U1724" s="1664" t="str">
        <f>IFERROR(VLOOKUP(B1724,ChiTietDuToan!C:H,5,0),"")</f>
        <v/>
      </c>
      <c r="V1724" s="2309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59" t="s">
        <v>662</v>
      </c>
      <c r="C1725" s="1189" t="str">
        <f t="shared" si="334"/>
        <v xml:space="preserve"> </v>
      </c>
      <c r="D1725" s="1253"/>
      <c r="E1725" s="1248" t="str">
        <f>VLOOKUP($B1725,DG!A:D,DG!$C$2,)</f>
        <v>Cáp 24KV A/XLPE/PVC 120mm2</v>
      </c>
      <c r="F1725" s="1236" t="str">
        <f>VLOOKUP($B1725,DG!A:D,DG!$D$2,)</f>
        <v>mét</v>
      </c>
      <c r="G1725" s="1915">
        <f t="shared" si="340"/>
        <v>0</v>
      </c>
      <c r="H1725" s="1245">
        <f t="shared" si="337"/>
        <v>0</v>
      </c>
      <c r="I1725" s="1245"/>
      <c r="J1725" s="1245"/>
      <c r="K1725" s="1245">
        <f t="shared" si="338"/>
        <v>0</v>
      </c>
      <c r="L1725" s="1245"/>
      <c r="M1725" s="1245"/>
      <c r="N1725" s="1245"/>
      <c r="O1725" s="1245"/>
      <c r="P1725" s="1257">
        <f t="shared" si="339"/>
        <v>0</v>
      </c>
      <c r="Q1725" s="1245"/>
      <c r="R1725" s="1245"/>
      <c r="S1725" s="1245"/>
      <c r="T1725" s="1671"/>
      <c r="U1725" s="1664" t="str">
        <f>IFERROR(VLOOKUP(B1725,ChiTietDuToan!C:H,5,0),"")</f>
        <v/>
      </c>
      <c r="V1725" s="2309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59" t="s">
        <v>57</v>
      </c>
      <c r="C1726" s="1189" t="str">
        <f t="shared" si="334"/>
        <v xml:space="preserve"> </v>
      </c>
      <c r="D1726" s="1253"/>
      <c r="E1726" s="1248" t="str">
        <f>VLOOKUP($B1726,DG!A:D,DG!$C$2,)</f>
        <v>Cáp 24KV A/XLPE/PVC 95mm2</v>
      </c>
      <c r="F1726" s="1236" t="str">
        <f>VLOOKUP($B1726,DG!A:D,DG!$D$2,)</f>
        <v>mét</v>
      </c>
      <c r="G1726" s="1915">
        <f t="shared" si="340"/>
        <v>0</v>
      </c>
      <c r="H1726" s="1245">
        <f t="shared" si="337"/>
        <v>0</v>
      </c>
      <c r="I1726" s="1245"/>
      <c r="J1726" s="1245"/>
      <c r="K1726" s="1245">
        <f t="shared" si="338"/>
        <v>0</v>
      </c>
      <c r="L1726" s="1245"/>
      <c r="M1726" s="1245"/>
      <c r="N1726" s="1245"/>
      <c r="O1726" s="1245"/>
      <c r="P1726" s="1257">
        <f t="shared" si="339"/>
        <v>0</v>
      </c>
      <c r="Q1726" s="1245"/>
      <c r="R1726" s="1245"/>
      <c r="S1726" s="1245"/>
      <c r="T1726" s="1671"/>
      <c r="U1726" s="1664" t="str">
        <f>IFERROR(VLOOKUP(B1726,ChiTietDuToan!C:H,5,0),"")</f>
        <v/>
      </c>
      <c r="V1726" s="2309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59" t="s">
        <v>56</v>
      </c>
      <c r="C1727" s="1189" t="str">
        <f t="shared" si="334"/>
        <v xml:space="preserve"> </v>
      </c>
      <c r="D1727" s="1253"/>
      <c r="E1727" s="1248" t="str">
        <f>VLOOKUP($B1727,DG!A:D,DG!$C$2,)</f>
        <v>Cáp 24KV A/XLPE/PVC 70mm2</v>
      </c>
      <c r="F1727" s="1236" t="str">
        <f>VLOOKUP($B1727,DG!A:D,DG!$D$2,)</f>
        <v>mét</v>
      </c>
      <c r="G1727" s="1915">
        <f t="shared" si="340"/>
        <v>0</v>
      </c>
      <c r="H1727" s="1245">
        <f t="shared" si="337"/>
        <v>0</v>
      </c>
      <c r="I1727" s="1245"/>
      <c r="J1727" s="1245"/>
      <c r="K1727" s="1245">
        <f t="shared" si="338"/>
        <v>0</v>
      </c>
      <c r="L1727" s="1245"/>
      <c r="M1727" s="1245"/>
      <c r="N1727" s="1245"/>
      <c r="O1727" s="1245"/>
      <c r="P1727" s="1257">
        <f t="shared" si="339"/>
        <v>0</v>
      </c>
      <c r="Q1727" s="1245"/>
      <c r="R1727" s="1245"/>
      <c r="S1727" s="1245"/>
      <c r="T1727" s="1671"/>
      <c r="U1727" s="1664" t="str">
        <f>IFERROR(VLOOKUP(B1727,ChiTietDuToan!C:H,5,0),"")</f>
        <v/>
      </c>
      <c r="V1727" s="2309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59" t="s">
        <v>55</v>
      </c>
      <c r="C1728" s="1189" t="str">
        <f t="shared" si="334"/>
        <v xml:space="preserve"> </v>
      </c>
      <c r="D1728" s="1253"/>
      <c r="E1728" s="1248" t="str">
        <f>VLOOKUP($B1728,DG!A:D,DG!$C$2,)</f>
        <v>Cáp 24KV A/XLPE/PVC 50mm2</v>
      </c>
      <c r="F1728" s="1236" t="str">
        <f>VLOOKUP($B1728,DG!A:D,DG!$D$2,)</f>
        <v>mét</v>
      </c>
      <c r="G1728" s="1925">
        <f t="shared" si="340"/>
        <v>0</v>
      </c>
      <c r="H1728" s="1245">
        <f t="shared" si="337"/>
        <v>0</v>
      </c>
      <c r="I1728" s="1245"/>
      <c r="J1728" s="1245"/>
      <c r="K1728" s="1245">
        <f>G1728</f>
        <v>0</v>
      </c>
      <c r="L1728" s="1245"/>
      <c r="M1728" s="1245"/>
      <c r="N1728" s="1245"/>
      <c r="O1728" s="1245"/>
      <c r="P1728" s="1257">
        <f t="shared" si="339"/>
        <v>0</v>
      </c>
      <c r="Q1728" s="1245"/>
      <c r="R1728" s="1245"/>
      <c r="S1728" s="1245"/>
      <c r="T1728" s="1671"/>
      <c r="U1728" s="1664" t="str">
        <f>IFERROR(VLOOKUP(B1728,ChiTietDuToan!C:H,5,0),"")</f>
        <v/>
      </c>
      <c r="V1728" s="2309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88" t="s">
        <v>55</v>
      </c>
      <c r="C1729" s="1189" t="str">
        <f t="shared" si="334"/>
        <v xml:space="preserve"> </v>
      </c>
      <c r="D1729" s="1682"/>
      <c r="E1729" s="1248" t="str">
        <f>VLOOKUP($B1729,DG!A:D,DG!$C$2,)</f>
        <v>Cáp 24KV A/XLPE/PVC 50mm2</v>
      </c>
      <c r="F1729" s="1236" t="s">
        <v>2596</v>
      </c>
      <c r="G1729" s="1925">
        <f t="shared" si="340"/>
        <v>0</v>
      </c>
      <c r="H1729" s="1251">
        <f t="shared" si="337"/>
        <v>0</v>
      </c>
      <c r="I1729" s="1245"/>
      <c r="J1729" s="1245"/>
      <c r="K1729" s="1245">
        <f>G1729</f>
        <v>0</v>
      </c>
      <c r="L1729" s="1245"/>
      <c r="M1729" s="1245"/>
      <c r="N1729" s="1245"/>
      <c r="O1729" s="1683"/>
      <c r="P1729" s="1257">
        <f t="shared" si="339"/>
        <v>0</v>
      </c>
      <c r="Q1729" s="1251"/>
      <c r="R1729" s="1251"/>
      <c r="S1729" s="1251"/>
      <c r="T1729" s="1671"/>
      <c r="U1729" s="1664" t="str">
        <f>IFERROR(VLOOKUP(B1729,ChiTietDuToan!C:H,5,0),"")</f>
        <v/>
      </c>
      <c r="V1729" s="2309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59" t="s">
        <v>272</v>
      </c>
      <c r="C1730" s="1189" t="str">
        <f t="shared" si="334"/>
        <v xml:space="preserve"> </v>
      </c>
      <c r="D1730" s="1253"/>
      <c r="E1730" s="1248" t="str">
        <f>VLOOKUP($B1730,DG!A:D,DG!$C$2,)</f>
        <v>Cáp 24KV C/XLPE/PVC 50mm2</v>
      </c>
      <c r="F1730" s="1236" t="s">
        <v>2596</v>
      </c>
      <c r="G1730" s="1921">
        <f t="shared" si="340"/>
        <v>0</v>
      </c>
      <c r="H1730" s="1251">
        <f t="shared" si="337"/>
        <v>0</v>
      </c>
      <c r="I1730" s="1245"/>
      <c r="J1730" s="1245"/>
      <c r="K1730" s="1245">
        <f>G1730</f>
        <v>0</v>
      </c>
      <c r="L1730" s="1245"/>
      <c r="M1730" s="1245"/>
      <c r="N1730" s="1245"/>
      <c r="O1730" s="1245"/>
      <c r="P1730" s="1257">
        <f t="shared" si="339"/>
        <v>0</v>
      </c>
      <c r="Q1730" s="1251"/>
      <c r="R1730" s="1251"/>
      <c r="S1730" s="1251"/>
      <c r="T1730" s="1671"/>
      <c r="U1730" s="1664" t="str">
        <f>IFERROR(VLOOKUP(B1730,ChiTietDuToan!C:H,5,0),"")</f>
        <v/>
      </c>
      <c r="V1730" s="2309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59" t="s">
        <v>1063</v>
      </c>
      <c r="C1731" s="1189" t="str">
        <f t="shared" si="334"/>
        <v xml:space="preserve"> </v>
      </c>
      <c r="D1731" s="1682"/>
      <c r="E1731" s="1248" t="str">
        <f>VLOOKUP($B1731,DG!A:D,DG!$C$2,)</f>
        <v>Cáp đồng trần M25mm2</v>
      </c>
      <c r="F1731" s="1236" t="str">
        <f>VLOOKUP($B1731,DG!A:D,DG!$D$2,)</f>
        <v>kg</v>
      </c>
      <c r="G1731" s="1925">
        <f>ROUND(D1731*1.02*0.224,2)</f>
        <v>0</v>
      </c>
      <c r="H1731" s="1251">
        <f t="shared" si="337"/>
        <v>0</v>
      </c>
      <c r="I1731" s="1245"/>
      <c r="J1731" s="1245"/>
      <c r="K1731" s="1245">
        <f t="shared" si="338"/>
        <v>0</v>
      </c>
      <c r="L1731" s="1245"/>
      <c r="M1731" s="1245"/>
      <c r="N1731" s="1245"/>
      <c r="O1731" s="1683"/>
      <c r="P1731" s="1257">
        <f t="shared" si="339"/>
        <v>0</v>
      </c>
      <c r="Q1731" s="1251"/>
      <c r="R1731" s="1251"/>
      <c r="S1731" s="1251"/>
      <c r="T1731" s="1671"/>
      <c r="U1731" s="1664" t="str">
        <f>IFERROR(VLOOKUP(B1731,ChiTietDuToan!C:H,5,0),"")</f>
        <v>kg</v>
      </c>
      <c r="V1731" s="2309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59" t="s">
        <v>617</v>
      </c>
      <c r="C1732" s="1189" t="str">
        <f t="shared" si="334"/>
        <v xml:space="preserve"> </v>
      </c>
      <c r="D1732" s="1662"/>
      <c r="E1732" s="1248" t="str">
        <f>VLOOKUP($B1732,DG!A:D,DG!$C$2,)</f>
        <v>Cáp đồng trần M38mm2</v>
      </c>
      <c r="F1732" s="1236" t="str">
        <f>VLOOKUP($B1732,DG!A:D,DG!$D$2,)</f>
        <v>kg</v>
      </c>
      <c r="G1732" s="1921">
        <f>ROUND(D1732*1.02*0.224,2)</f>
        <v>0</v>
      </c>
      <c r="H1732" s="1251">
        <f t="shared" si="337"/>
        <v>0</v>
      </c>
      <c r="I1732" s="1245"/>
      <c r="J1732" s="1245"/>
      <c r="K1732" s="1245">
        <f>G1732</f>
        <v>0</v>
      </c>
      <c r="L1732" s="1245"/>
      <c r="M1732" s="1245"/>
      <c r="N1732" s="1245"/>
      <c r="O1732" s="1245"/>
      <c r="P1732" s="1257">
        <f t="shared" si="339"/>
        <v>0</v>
      </c>
      <c r="Q1732" s="1251"/>
      <c r="R1732" s="1251"/>
      <c r="S1732" s="1251"/>
      <c r="T1732" s="1671"/>
      <c r="U1732" s="1664" t="str">
        <f>IFERROR(VLOOKUP(B1732,ChiTietDuToan!C:H,5,0),"")</f>
        <v/>
      </c>
      <c r="V1732" s="2309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64" t="s">
        <v>2563</v>
      </c>
      <c r="C1733" s="1189" t="str">
        <f t="shared" si="334"/>
        <v xml:space="preserve"> </v>
      </c>
      <c r="D1733" s="1236"/>
      <c r="E1733" s="1254" t="s">
        <v>2597</v>
      </c>
      <c r="F1733" s="1255" t="s">
        <v>2503</v>
      </c>
      <c r="G1733" s="1928">
        <f>pp3p1m!EG111-T1733</f>
        <v>0</v>
      </c>
      <c r="H1733" s="1245">
        <f t="shared" si="337"/>
        <v>0</v>
      </c>
      <c r="I1733" s="1245"/>
      <c r="J1733" s="1245"/>
      <c r="K1733" s="1245">
        <f t="shared" si="338"/>
        <v>0</v>
      </c>
      <c r="L1733" s="1245"/>
      <c r="M1733" s="1245"/>
      <c r="N1733" s="1245"/>
      <c r="O1733" s="1683"/>
      <c r="P1733" s="1257">
        <f t="shared" si="339"/>
        <v>0</v>
      </c>
      <c r="Q1733" s="1245"/>
      <c r="R1733" s="1245"/>
      <c r="S1733" s="1245"/>
      <c r="T1733" s="1664"/>
      <c r="U1733" s="1664" t="str">
        <f>IFERROR(VLOOKUP(B1733,ChiTietDuToan!C:H,5,0),"")</f>
        <v>bộ</v>
      </c>
      <c r="V1733" s="2309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52" t="s">
        <v>1962</v>
      </c>
      <c r="C1734" s="1189" t="str">
        <f t="shared" si="334"/>
        <v xml:space="preserve"> </v>
      </c>
      <c r="D1734" s="1236"/>
      <c r="E1734" s="1248" t="str">
        <f>VLOOKUP($B1734,DG!A:D,DG!$C$2,)</f>
        <v>Uclevis</v>
      </c>
      <c r="F1734" s="1236" t="str">
        <f>VLOOKUP($B1734,DG!A:D,DG!$D$2,)</f>
        <v>bộ</v>
      </c>
      <c r="G1734" s="1915">
        <f>G1733</f>
        <v>0</v>
      </c>
      <c r="H1734" s="1245">
        <f t="shared" si="337"/>
        <v>0</v>
      </c>
      <c r="I1734" s="1245"/>
      <c r="J1734" s="1245"/>
      <c r="K1734" s="1245">
        <f t="shared" si="338"/>
        <v>0</v>
      </c>
      <c r="L1734" s="1245"/>
      <c r="M1734" s="1245"/>
      <c r="N1734" s="1245"/>
      <c r="O1734" s="1683"/>
      <c r="P1734" s="1257">
        <f t="shared" si="339"/>
        <v>0</v>
      </c>
      <c r="Q1734" s="1245"/>
      <c r="R1734" s="1245"/>
      <c r="S1734" s="1245"/>
      <c r="T1734" s="1664"/>
      <c r="U1734" s="1664" t="str">
        <f>IFERROR(VLOOKUP(B1734,ChiTietDuToan!C:H,5,0),"")</f>
        <v>bộ</v>
      </c>
      <c r="V1734" s="2309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52" t="s">
        <v>1662</v>
      </c>
      <c r="C1735" s="1189" t="str">
        <f t="shared" si="334"/>
        <v xml:space="preserve"> </v>
      </c>
      <c r="D1735" s="1236"/>
      <c r="E1735" s="1248" t="str">
        <f>VLOOKUP($B1735,DG!A:D,DG!$C$2,)</f>
        <v>Boulon 16x300+ 2 long đền vuông D18-50x50x3/Zn</v>
      </c>
      <c r="F1735" s="1236" t="str">
        <f>VLOOKUP($B1735,DG!A:D,DG!$D$2,)</f>
        <v>bộ</v>
      </c>
      <c r="G1735" s="1915">
        <f>G1733</f>
        <v>0</v>
      </c>
      <c r="H1735" s="1245">
        <f t="shared" si="337"/>
        <v>0</v>
      </c>
      <c r="I1735" s="1245"/>
      <c r="J1735" s="1245"/>
      <c r="K1735" s="1245">
        <f t="shared" si="338"/>
        <v>0</v>
      </c>
      <c r="L1735" s="1245"/>
      <c r="M1735" s="1245"/>
      <c r="N1735" s="1245"/>
      <c r="O1735" s="1683"/>
      <c r="P1735" s="1257">
        <f t="shared" si="339"/>
        <v>0</v>
      </c>
      <c r="Q1735" s="1245"/>
      <c r="R1735" s="1245"/>
      <c r="S1735" s="1245"/>
      <c r="T1735" s="1664"/>
      <c r="U1735" s="1664" t="str">
        <f>IFERROR(VLOOKUP(B1735,ChiTietDuToan!C:H,5,0),"")</f>
        <v>bộ</v>
      </c>
      <c r="V1735" s="2309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82" t="s">
        <v>2598</v>
      </c>
      <c r="C1736" s="1189" t="str">
        <f t="shared" si="334"/>
        <v xml:space="preserve"> </v>
      </c>
      <c r="D1736" s="1236"/>
      <c r="E1736" s="1254" t="s">
        <v>2599</v>
      </c>
      <c r="F1736" s="1255" t="s">
        <v>2503</v>
      </c>
      <c r="G1736" s="1928"/>
      <c r="H1736" s="1245">
        <f t="shared" si="337"/>
        <v>0</v>
      </c>
      <c r="I1736" s="1245"/>
      <c r="J1736" s="1245"/>
      <c r="K1736" s="1245">
        <f t="shared" ref="K1736:K1741" si="341">G1736</f>
        <v>0</v>
      </c>
      <c r="L1736" s="1245"/>
      <c r="M1736" s="1245"/>
      <c r="N1736" s="1245"/>
      <c r="O1736" s="1245"/>
      <c r="P1736" s="1257">
        <f t="shared" si="339"/>
        <v>0</v>
      </c>
      <c r="Q1736" s="1245"/>
      <c r="R1736" s="1245"/>
      <c r="S1736" s="1245"/>
      <c r="T1736" s="1671"/>
      <c r="U1736" s="1664" t="str">
        <f>IFERROR(VLOOKUP(B1736,ChiTietDuToan!C:H,5,0),"")</f>
        <v/>
      </c>
      <c r="V1736" s="2309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59" t="s">
        <v>1962</v>
      </c>
      <c r="C1737" s="1189" t="str">
        <f t="shared" si="334"/>
        <v xml:space="preserve"> </v>
      </c>
      <c r="D1737" s="1236"/>
      <c r="E1737" s="1248" t="str">
        <f>VLOOKUP($B1737,DG!A:D,DG!$C$2,)</f>
        <v>Uclevis</v>
      </c>
      <c r="F1737" s="1236" t="str">
        <f>VLOOKUP($B1737,DG!A:D,DG!$D$2,)</f>
        <v>bộ</v>
      </c>
      <c r="G1737" s="1915">
        <f>G1736</f>
        <v>0</v>
      </c>
      <c r="H1737" s="1245">
        <f t="shared" si="337"/>
        <v>0</v>
      </c>
      <c r="I1737" s="1245"/>
      <c r="J1737" s="1245"/>
      <c r="K1737" s="1245">
        <f t="shared" si="341"/>
        <v>0</v>
      </c>
      <c r="L1737" s="1245"/>
      <c r="M1737" s="1245"/>
      <c r="N1737" s="1245"/>
      <c r="O1737" s="1245"/>
      <c r="P1737" s="1257">
        <f t="shared" si="339"/>
        <v>0</v>
      </c>
      <c r="Q1737" s="1245"/>
      <c r="R1737" s="1245"/>
      <c r="S1737" s="1245"/>
      <c r="T1737" s="1671"/>
      <c r="U1737" s="1664" t="str">
        <f>IFERROR(VLOOKUP(B1737,ChiTietDuToan!C:H,5,0),"")</f>
        <v>bộ</v>
      </c>
      <c r="V1737" s="2309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59" t="s">
        <v>1415</v>
      </c>
      <c r="C1738" s="1189" t="str">
        <f t="shared" si="334"/>
        <v xml:space="preserve"> </v>
      </c>
      <c r="D1738" s="1236"/>
      <c r="E1738" s="1248" t="str">
        <f>VLOOKUP($B1738,DG!A:D,DG!$C$2,)</f>
        <v>Boulon 16x600VRS+ 4 long đền vuông D18-50x50x3/Zn</v>
      </c>
      <c r="F1738" s="1236" t="str">
        <f>VLOOKUP($B1738,DG!A:D,DG!$D$2,)</f>
        <v>bộ</v>
      </c>
      <c r="G1738" s="1915">
        <f>G1736</f>
        <v>0</v>
      </c>
      <c r="H1738" s="1245">
        <f t="shared" si="337"/>
        <v>0</v>
      </c>
      <c r="I1738" s="1245"/>
      <c r="J1738" s="1245"/>
      <c r="K1738" s="1245">
        <f t="shared" si="341"/>
        <v>0</v>
      </c>
      <c r="L1738" s="1245"/>
      <c r="M1738" s="1245"/>
      <c r="N1738" s="1245"/>
      <c r="O1738" s="1245"/>
      <c r="P1738" s="1257">
        <f t="shared" si="339"/>
        <v>0</v>
      </c>
      <c r="Q1738" s="1245"/>
      <c r="R1738" s="1245"/>
      <c r="S1738" s="1245"/>
      <c r="T1738" s="1671"/>
      <c r="U1738" s="1664" t="str">
        <f>IFERROR(VLOOKUP(B1738,ChiTietDuToan!C:H,5,0),"")</f>
        <v/>
      </c>
      <c r="V1738" s="2309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82" t="s">
        <v>2600</v>
      </c>
      <c r="C1739" s="1189" t="str">
        <f t="shared" si="334"/>
        <v xml:space="preserve"> </v>
      </c>
      <c r="D1739" s="1236"/>
      <c r="E1739" s="1254" t="s">
        <v>2601</v>
      </c>
      <c r="F1739" s="1255" t="s">
        <v>2503</v>
      </c>
      <c r="G1739" s="1928"/>
      <c r="H1739" s="1245">
        <f t="shared" si="337"/>
        <v>0</v>
      </c>
      <c r="I1739" s="1245"/>
      <c r="J1739" s="1245"/>
      <c r="K1739" s="1245">
        <f t="shared" si="341"/>
        <v>0</v>
      </c>
      <c r="L1739" s="1245"/>
      <c r="M1739" s="1245"/>
      <c r="N1739" s="1245"/>
      <c r="O1739" s="1245"/>
      <c r="P1739" s="1257">
        <f t="shared" si="339"/>
        <v>0</v>
      </c>
      <c r="Q1739" s="1245"/>
      <c r="R1739" s="1245"/>
      <c r="S1739" s="1245"/>
      <c r="T1739" s="1671"/>
      <c r="U1739" s="1664" t="str">
        <f>IFERROR(VLOOKUP(B1739,ChiTietDuToan!C:H,5,0),"")</f>
        <v/>
      </c>
      <c r="V1739" s="2309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59" t="s">
        <v>1962</v>
      </c>
      <c r="C1740" s="1189" t="str">
        <f t="shared" si="334"/>
        <v xml:space="preserve"> </v>
      </c>
      <c r="D1740" s="1236"/>
      <c r="E1740" s="1248" t="str">
        <f>VLOOKUP($B1740,DG!A:D,DG!$C$2,)</f>
        <v>Uclevis</v>
      </c>
      <c r="F1740" s="1236" t="str">
        <f>VLOOKUP($B1740,DG!A:D,DG!$D$2,)</f>
        <v>bộ</v>
      </c>
      <c r="G1740" s="1915">
        <f>G1739</f>
        <v>0</v>
      </c>
      <c r="H1740" s="1245">
        <f t="shared" si="337"/>
        <v>0</v>
      </c>
      <c r="I1740" s="1245"/>
      <c r="J1740" s="1245"/>
      <c r="K1740" s="1245">
        <f t="shared" si="341"/>
        <v>0</v>
      </c>
      <c r="L1740" s="1245"/>
      <c r="M1740" s="1245"/>
      <c r="N1740" s="1245"/>
      <c r="O1740" s="1245"/>
      <c r="P1740" s="1257">
        <f t="shared" si="339"/>
        <v>0</v>
      </c>
      <c r="Q1740" s="1245"/>
      <c r="R1740" s="1245"/>
      <c r="S1740" s="1245"/>
      <c r="T1740" s="1671"/>
      <c r="U1740" s="1664" t="str">
        <f>IFERROR(VLOOKUP(B1740,ChiTietDuToan!C:H,5,0),"")</f>
        <v>bộ</v>
      </c>
      <c r="V1740" s="2309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59" t="s">
        <v>810</v>
      </c>
      <c r="C1741" s="1189" t="str">
        <f t="shared" si="334"/>
        <v xml:space="preserve"> </v>
      </c>
      <c r="D1741" s="1236"/>
      <c r="E1741" s="1248" t="str">
        <f>VLOOKUP($B1741,DG!A:D,DG!$C$2,)</f>
        <v>Boulon 16x100+ 2 long đền vuông D18-50x50x3/Zn</v>
      </c>
      <c r="F1741" s="1236" t="str">
        <f>VLOOKUP($B1741,DG!A:D,DG!$D$2,)</f>
        <v>bộ</v>
      </c>
      <c r="G1741" s="1915">
        <f>G1739</f>
        <v>0</v>
      </c>
      <c r="H1741" s="1245">
        <f t="shared" si="337"/>
        <v>0</v>
      </c>
      <c r="I1741" s="1245"/>
      <c r="J1741" s="1245"/>
      <c r="K1741" s="1245">
        <f t="shared" si="341"/>
        <v>0</v>
      </c>
      <c r="L1741" s="1245"/>
      <c r="M1741" s="1245"/>
      <c r="N1741" s="1245"/>
      <c r="O1741" s="1245"/>
      <c r="P1741" s="1257">
        <f t="shared" si="339"/>
        <v>0</v>
      </c>
      <c r="Q1741" s="1245"/>
      <c r="R1741" s="1245"/>
      <c r="S1741" s="1245"/>
      <c r="T1741" s="1671"/>
      <c r="U1741" s="1664" t="str">
        <f>IFERROR(VLOOKUP(B1741,ChiTietDuToan!C:H,5,0),"")</f>
        <v/>
      </c>
      <c r="V1741" s="2309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82" t="s">
        <v>1673</v>
      </c>
      <c r="C1742" s="1189" t="str">
        <f t="shared" si="334"/>
        <v xml:space="preserve"> </v>
      </c>
      <c r="D1742" s="1236"/>
      <c r="E1742" s="1254" t="s">
        <v>2565</v>
      </c>
      <c r="F1742" s="1255" t="s">
        <v>2503</v>
      </c>
      <c r="G1742" s="1928"/>
      <c r="H1742" s="1245">
        <f t="shared" si="337"/>
        <v>0</v>
      </c>
      <c r="I1742" s="1245"/>
      <c r="J1742" s="1245"/>
      <c r="K1742" s="1245">
        <f t="shared" si="338"/>
        <v>0</v>
      </c>
      <c r="L1742" s="1245"/>
      <c r="M1742" s="1245"/>
      <c r="N1742" s="1245"/>
      <c r="O1742" s="1245"/>
      <c r="P1742" s="1257">
        <f t="shared" si="339"/>
        <v>0</v>
      </c>
      <c r="Q1742" s="1245"/>
      <c r="R1742" s="1245"/>
      <c r="S1742" s="1245"/>
      <c r="T1742" s="1671"/>
      <c r="U1742" s="1664" t="str">
        <f>IFERROR(VLOOKUP(B1742,ChiTietDuToan!C:H,5,0),"")</f>
        <v/>
      </c>
      <c r="V1742" s="2309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59" t="s">
        <v>1962</v>
      </c>
      <c r="C1743" s="1189" t="str">
        <f t="shared" ref="C1743:C1806" si="342">IF(OR(P1743&lt;&gt;0,H1743&lt;&gt;0),"x"," ")</f>
        <v xml:space="preserve"> </v>
      </c>
      <c r="D1743" s="1236"/>
      <c r="E1743" s="1248" t="str">
        <f>VLOOKUP($B1743,DG!A:D,DG!$C$2,)</f>
        <v>Uclevis</v>
      </c>
      <c r="F1743" s="1236" t="str">
        <f>VLOOKUP($B1743,DG!A:D,DG!$D$2,)</f>
        <v>bộ</v>
      </c>
      <c r="G1743" s="1915">
        <f>G1742</f>
        <v>0</v>
      </c>
      <c r="H1743" s="1245">
        <f t="shared" si="337"/>
        <v>0</v>
      </c>
      <c r="I1743" s="1245"/>
      <c r="J1743" s="1245"/>
      <c r="K1743" s="1245">
        <f t="shared" si="338"/>
        <v>0</v>
      </c>
      <c r="L1743" s="1245"/>
      <c r="M1743" s="1245"/>
      <c r="N1743" s="1245"/>
      <c r="O1743" s="1245"/>
      <c r="P1743" s="1257">
        <f t="shared" si="339"/>
        <v>0</v>
      </c>
      <c r="Q1743" s="1245"/>
      <c r="R1743" s="1245"/>
      <c r="S1743" s="1245"/>
      <c r="T1743" s="1671"/>
      <c r="U1743" s="1664" t="str">
        <f>IFERROR(VLOOKUP(B1743,ChiTietDuToan!C:H,5,0),"")</f>
        <v>bộ</v>
      </c>
      <c r="V1743" s="2309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59" t="s">
        <v>1662</v>
      </c>
      <c r="C1744" s="1189" t="str">
        <f t="shared" si="342"/>
        <v xml:space="preserve"> </v>
      </c>
      <c r="D1744" s="1236"/>
      <c r="E1744" s="1248" t="str">
        <f>VLOOKUP($B1744,DG!A:D,DG!$C$2,)</f>
        <v>Boulon 16x300+ 2 long đền vuông D18-50x50x3/Zn</v>
      </c>
      <c r="F1744" s="1236" t="str">
        <f>VLOOKUP($B1744,DG!A:D,DG!$D$2,)</f>
        <v>bộ</v>
      </c>
      <c r="G1744" s="1915">
        <f>G1742</f>
        <v>0</v>
      </c>
      <c r="H1744" s="1245">
        <f t="shared" si="337"/>
        <v>0</v>
      </c>
      <c r="I1744" s="1245"/>
      <c r="J1744" s="1245"/>
      <c r="K1744" s="1245">
        <f t="shared" si="338"/>
        <v>0</v>
      </c>
      <c r="L1744" s="1245"/>
      <c r="M1744" s="1245"/>
      <c r="N1744" s="1245"/>
      <c r="O1744" s="1245"/>
      <c r="P1744" s="1257">
        <f t="shared" si="339"/>
        <v>0</v>
      </c>
      <c r="Q1744" s="1245"/>
      <c r="R1744" s="1245"/>
      <c r="S1744" s="1245"/>
      <c r="T1744" s="1671"/>
      <c r="U1744" s="1664" t="str">
        <f>IFERROR(VLOOKUP(B1744,ChiTietDuToan!C:H,5,0),"")</f>
        <v>bộ</v>
      </c>
      <c r="V1744" s="2309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59" t="s">
        <v>922</v>
      </c>
      <c r="C1745" s="1189" t="str">
        <f t="shared" si="342"/>
        <v xml:space="preserve"> </v>
      </c>
      <c r="D1745" s="1236"/>
      <c r="E1745" s="1248" t="str">
        <f>VLOOKUP($B1745,DG!A:D,DG!$C$2,)</f>
        <v>Kẹp ép WR cỡ dây 50mm2</v>
      </c>
      <c r="F1745" s="1236" t="str">
        <f>VLOOKUP($B1745,DG!A:D,DG!$D$2,)</f>
        <v>cái</v>
      </c>
      <c r="G1745" s="1915">
        <f>G1742*2</f>
        <v>0</v>
      </c>
      <c r="H1745" s="1245">
        <f t="shared" si="337"/>
        <v>0</v>
      </c>
      <c r="I1745" s="1245"/>
      <c r="J1745" s="1245"/>
      <c r="K1745" s="1245">
        <f t="shared" si="338"/>
        <v>0</v>
      </c>
      <c r="L1745" s="1245"/>
      <c r="M1745" s="1245"/>
      <c r="N1745" s="1245"/>
      <c r="O1745" s="1245"/>
      <c r="P1745" s="1257">
        <f t="shared" si="339"/>
        <v>0</v>
      </c>
      <c r="Q1745" s="1245"/>
      <c r="R1745" s="1245"/>
      <c r="S1745" s="1245"/>
      <c r="T1745" s="1671"/>
      <c r="U1745" s="1664" t="str">
        <f>IFERROR(VLOOKUP(B1745,ChiTietDuToan!C:H,5,0),"")</f>
        <v/>
      </c>
      <c r="V1745" s="2309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64" t="s">
        <v>1674</v>
      </c>
      <c r="C1746" s="1189" t="str">
        <f t="shared" si="342"/>
        <v xml:space="preserve"> </v>
      </c>
      <c r="D1746" s="1236"/>
      <c r="E1746" s="1254" t="s">
        <v>2566</v>
      </c>
      <c r="F1746" s="1255" t="s">
        <v>2503</v>
      </c>
      <c r="G1746" s="1928">
        <f>pp3p1m!EN111</f>
        <v>0</v>
      </c>
      <c r="H1746" s="1245">
        <f t="shared" si="337"/>
        <v>0</v>
      </c>
      <c r="I1746" s="1245"/>
      <c r="J1746" s="1245"/>
      <c r="K1746" s="1245">
        <f t="shared" si="338"/>
        <v>0</v>
      </c>
      <c r="L1746" s="1245"/>
      <c r="M1746" s="1245"/>
      <c r="N1746" s="1245"/>
      <c r="O1746" s="1683"/>
      <c r="P1746" s="1257">
        <f t="shared" si="339"/>
        <v>0</v>
      </c>
      <c r="Q1746" s="1245"/>
      <c r="R1746" s="1245"/>
      <c r="S1746" s="1245"/>
      <c r="T1746" s="1664"/>
      <c r="U1746" s="1664" t="str">
        <f>IFERROR(VLOOKUP(B1746,ChiTietDuToan!C:H,5,0),"")</f>
        <v>bộ</v>
      </c>
      <c r="V1746" s="2309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60" t="s">
        <v>921</v>
      </c>
      <c r="C1747" s="1189" t="str">
        <f t="shared" si="342"/>
        <v xml:space="preserve"> </v>
      </c>
      <c r="D1747" s="1236"/>
      <c r="E1747" s="1248" t="str">
        <f>VLOOKUP($B1747,DG!A:D,DG!$C$2,)</f>
        <v>Khóa néo dây cỡ dây 50</v>
      </c>
      <c r="F1747" s="1236" t="str">
        <f>VLOOKUP($B1747,DG!A:D,DG!$D$2,)</f>
        <v>cái</v>
      </c>
      <c r="G1747" s="1915">
        <f>G1746</f>
        <v>0</v>
      </c>
      <c r="H1747" s="1245">
        <f t="shared" si="337"/>
        <v>0</v>
      </c>
      <c r="I1747" s="1245"/>
      <c r="J1747" s="1245"/>
      <c r="K1747" s="1245">
        <f t="shared" si="338"/>
        <v>0</v>
      </c>
      <c r="L1747" s="1245"/>
      <c r="M1747" s="1245"/>
      <c r="N1747" s="1245"/>
      <c r="O1747" s="1683"/>
      <c r="P1747" s="1257">
        <f t="shared" si="339"/>
        <v>0</v>
      </c>
      <c r="Q1747" s="1245"/>
      <c r="R1747" s="1245"/>
      <c r="S1747" s="1245"/>
      <c r="T1747" s="1664"/>
      <c r="U1747" s="1664" t="str">
        <f>IFERROR(VLOOKUP(B1747,ChiTietDuToan!C:H,5,0),"")</f>
        <v/>
      </c>
      <c r="V1747" s="2309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52" t="s">
        <v>420</v>
      </c>
      <c r="C1748" s="1189" t="str">
        <f t="shared" si="342"/>
        <v xml:space="preserve"> </v>
      </c>
      <c r="D1748" s="1236"/>
      <c r="E1748" s="1248" t="str">
        <f>VLOOKUP($B1748,DG!A:D,DG!$C$2,)</f>
        <v>Boulon mắt 16x300+ 2 long đền vuông D18-50x50x3/Zn</v>
      </c>
      <c r="F1748" s="1236" t="str">
        <f>VLOOKUP($B1748,DG!A:D,DG!$D$2,)</f>
        <v>bộ</v>
      </c>
      <c r="G1748" s="1915">
        <f>G1746</f>
        <v>0</v>
      </c>
      <c r="H1748" s="1245">
        <f t="shared" si="337"/>
        <v>0</v>
      </c>
      <c r="I1748" s="1245"/>
      <c r="J1748" s="1245"/>
      <c r="K1748" s="1245">
        <f t="shared" si="338"/>
        <v>0</v>
      </c>
      <c r="L1748" s="1245"/>
      <c r="M1748" s="1245"/>
      <c r="N1748" s="1245"/>
      <c r="O1748" s="1683"/>
      <c r="P1748" s="1257">
        <f t="shared" si="339"/>
        <v>0</v>
      </c>
      <c r="Q1748" s="1245"/>
      <c r="R1748" s="1245"/>
      <c r="S1748" s="1245"/>
      <c r="T1748" s="1664"/>
      <c r="U1748" s="1664" t="str">
        <f>IFERROR(VLOOKUP(B1748,ChiTietDuToan!C:H,5,0),"")</f>
        <v>bộ</v>
      </c>
      <c r="V1748" s="2309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59" t="s">
        <v>922</v>
      </c>
      <c r="C1749" s="1189" t="str">
        <f t="shared" si="342"/>
        <v xml:space="preserve"> </v>
      </c>
      <c r="D1749" s="1236"/>
      <c r="E1749" s="1248" t="str">
        <f>VLOOKUP($B1749,DG!A:D,DG!$C$2,)</f>
        <v>Kẹp ép WR cỡ dây 50mm2</v>
      </c>
      <c r="F1749" s="1236" t="str">
        <f>VLOOKUP($B1749,DG!A:D,DG!$D$2,)</f>
        <v>cái</v>
      </c>
      <c r="G1749" s="1915">
        <f>G1746*0</f>
        <v>0</v>
      </c>
      <c r="H1749" s="1245">
        <f t="shared" si="337"/>
        <v>0</v>
      </c>
      <c r="I1749" s="1245"/>
      <c r="J1749" s="1245"/>
      <c r="K1749" s="1245">
        <f t="shared" si="338"/>
        <v>0</v>
      </c>
      <c r="L1749" s="1245"/>
      <c r="M1749" s="1245"/>
      <c r="N1749" s="1245"/>
      <c r="O1749" s="1245"/>
      <c r="P1749" s="1257">
        <f t="shared" si="339"/>
        <v>0</v>
      </c>
      <c r="Q1749" s="1245"/>
      <c r="R1749" s="1245"/>
      <c r="S1749" s="1245"/>
      <c r="T1749" s="1671"/>
      <c r="U1749" s="1664" t="str">
        <f>IFERROR(VLOOKUP(B1749,ChiTietDuToan!C:H,5,0),"")</f>
        <v/>
      </c>
      <c r="V1749" s="2309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82" t="s">
        <v>537</v>
      </c>
      <c r="C1750" s="1189" t="str">
        <f t="shared" si="342"/>
        <v xml:space="preserve"> </v>
      </c>
      <c r="D1750" s="1236"/>
      <c r="E1750" s="1254" t="s">
        <v>2602</v>
      </c>
      <c r="F1750" s="1255" t="s">
        <v>2503</v>
      </c>
      <c r="G1750" s="1928"/>
      <c r="H1750" s="1245">
        <f t="shared" si="337"/>
        <v>0</v>
      </c>
      <c r="I1750" s="1245"/>
      <c r="J1750" s="1245"/>
      <c r="K1750" s="1245">
        <f t="shared" ref="K1750:K1757" si="344">G1750</f>
        <v>0</v>
      </c>
      <c r="L1750" s="1245"/>
      <c r="M1750" s="1245"/>
      <c r="N1750" s="1245"/>
      <c r="O1750" s="1245"/>
      <c r="P1750" s="1257">
        <f t="shared" si="339"/>
        <v>0</v>
      </c>
      <c r="Q1750" s="1245"/>
      <c r="R1750" s="1245"/>
      <c r="S1750" s="1245"/>
      <c r="T1750" s="1671"/>
      <c r="U1750" s="1664" t="str">
        <f>IFERROR(VLOOKUP(B1750,ChiTietDuToan!C:H,5,0),"")</f>
        <v/>
      </c>
      <c r="V1750" s="2309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83" t="s">
        <v>921</v>
      </c>
      <c r="C1751" s="1189" t="str">
        <f t="shared" si="342"/>
        <v xml:space="preserve"> </v>
      </c>
      <c r="D1751" s="1236"/>
      <c r="E1751" s="1248" t="str">
        <f>VLOOKUP($B1751,DG!A:D,DG!$C$2,)</f>
        <v>Khóa néo dây cỡ dây 50</v>
      </c>
      <c r="F1751" s="1236" t="str">
        <f>VLOOKUP($B1751,DG!A:D,DG!$D$2,)</f>
        <v>cái</v>
      </c>
      <c r="G1751" s="1915">
        <f>G1750</f>
        <v>0</v>
      </c>
      <c r="H1751" s="1245">
        <f t="shared" si="337"/>
        <v>0</v>
      </c>
      <c r="I1751" s="1245"/>
      <c r="J1751" s="1245"/>
      <c r="K1751" s="1245">
        <f t="shared" si="344"/>
        <v>0</v>
      </c>
      <c r="L1751" s="1245"/>
      <c r="M1751" s="1245"/>
      <c r="N1751" s="1245"/>
      <c r="O1751" s="1245"/>
      <c r="P1751" s="1257">
        <f t="shared" si="339"/>
        <v>0</v>
      </c>
      <c r="Q1751" s="1245"/>
      <c r="R1751" s="1245"/>
      <c r="S1751" s="1245"/>
      <c r="T1751" s="1671"/>
      <c r="U1751" s="1664" t="str">
        <f>IFERROR(VLOOKUP(B1751,ChiTietDuToan!C:H,5,0),"")</f>
        <v/>
      </c>
      <c r="V1751" s="2309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89" t="s">
        <v>2603</v>
      </c>
      <c r="C1752" s="1189" t="str">
        <f t="shared" si="342"/>
        <v xml:space="preserve"> </v>
      </c>
      <c r="D1752" s="1236"/>
      <c r="E1752" s="1248" t="str">
        <f>VLOOKUP($B1752,DG!A:D,DG!$C$2,)</f>
        <v>Boulon 16x500VRS + đai ốc mắt + 2 long đền vuông D18-50x50x3/Zn</v>
      </c>
      <c r="F1752" s="1236" t="str">
        <f>VLOOKUP($B1752,DG!A:D,DG!$D$2,)</f>
        <v>bộ</v>
      </c>
      <c r="G1752" s="1915">
        <f>G1750</f>
        <v>0</v>
      </c>
      <c r="H1752" s="1245">
        <f t="shared" si="337"/>
        <v>0</v>
      </c>
      <c r="I1752" s="1245"/>
      <c r="J1752" s="1245"/>
      <c r="K1752" s="1245">
        <f t="shared" si="344"/>
        <v>0</v>
      </c>
      <c r="L1752" s="1245"/>
      <c r="M1752" s="1245"/>
      <c r="N1752" s="1245"/>
      <c r="O1752" s="1245"/>
      <c r="P1752" s="1257">
        <f t="shared" si="339"/>
        <v>0</v>
      </c>
      <c r="Q1752" s="1245"/>
      <c r="R1752" s="1245"/>
      <c r="S1752" s="1245"/>
      <c r="T1752" s="1671"/>
      <c r="U1752" s="1664" t="str">
        <f>IFERROR(VLOOKUP(B1752,ChiTietDuToan!C:H,5,0),"")</f>
        <v/>
      </c>
      <c r="V1752" s="2309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59" t="s">
        <v>922</v>
      </c>
      <c r="C1753" s="1189" t="str">
        <f t="shared" si="342"/>
        <v xml:space="preserve"> </v>
      </c>
      <c r="D1753" s="1236"/>
      <c r="E1753" s="1248" t="str">
        <f>VLOOKUP($B1753,DG!A:D,DG!$C$2,)</f>
        <v>Kẹp ép WR cỡ dây 50mm2</v>
      </c>
      <c r="F1753" s="1236" t="str">
        <f>VLOOKUP($B1753,DG!A:D,DG!$D$2,)</f>
        <v>cái</v>
      </c>
      <c r="G1753" s="1915">
        <f>G1750*2</f>
        <v>0</v>
      </c>
      <c r="H1753" s="1245">
        <f t="shared" si="337"/>
        <v>0</v>
      </c>
      <c r="I1753" s="1245"/>
      <c r="J1753" s="1245"/>
      <c r="K1753" s="1245">
        <f t="shared" si="344"/>
        <v>0</v>
      </c>
      <c r="L1753" s="1245"/>
      <c r="M1753" s="1245"/>
      <c r="N1753" s="1245"/>
      <c r="O1753" s="1245"/>
      <c r="P1753" s="1257">
        <f t="shared" si="339"/>
        <v>0</v>
      </c>
      <c r="Q1753" s="1245"/>
      <c r="R1753" s="1245"/>
      <c r="S1753" s="1245"/>
      <c r="T1753" s="1671"/>
      <c r="U1753" s="1664" t="str">
        <f>IFERROR(VLOOKUP(B1753,ChiTietDuToan!C:H,5,0),"")</f>
        <v/>
      </c>
      <c r="V1753" s="2309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82" t="s">
        <v>2222</v>
      </c>
      <c r="C1754" s="1189" t="str">
        <f t="shared" si="342"/>
        <v xml:space="preserve"> </v>
      </c>
      <c r="D1754" s="1236"/>
      <c r="E1754" s="1254" t="s">
        <v>2604</v>
      </c>
      <c r="F1754" s="1255" t="s">
        <v>2503</v>
      </c>
      <c r="G1754" s="1928"/>
      <c r="H1754" s="1245">
        <f t="shared" si="337"/>
        <v>0</v>
      </c>
      <c r="I1754" s="1245"/>
      <c r="J1754" s="1245"/>
      <c r="K1754" s="1245">
        <f t="shared" si="344"/>
        <v>0</v>
      </c>
      <c r="L1754" s="1245"/>
      <c r="M1754" s="1245"/>
      <c r="N1754" s="1245"/>
      <c r="O1754" s="1245"/>
      <c r="P1754" s="1257">
        <f t="shared" si="339"/>
        <v>0</v>
      </c>
      <c r="Q1754" s="1245"/>
      <c r="R1754" s="1245"/>
      <c r="S1754" s="1245"/>
      <c r="T1754" s="1671"/>
      <c r="U1754" s="1664" t="str">
        <f>IFERROR(VLOOKUP(B1754,ChiTietDuToan!C:H,5,0),"")</f>
        <v/>
      </c>
      <c r="V1754" s="2309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83" t="s">
        <v>921</v>
      </c>
      <c r="C1755" s="1189" t="str">
        <f t="shared" si="342"/>
        <v xml:space="preserve"> </v>
      </c>
      <c r="D1755" s="1236"/>
      <c r="E1755" s="1248" t="str">
        <f>VLOOKUP($B1755,DG!A:D,DG!$C$2,)</f>
        <v>Khóa néo dây cỡ dây 50</v>
      </c>
      <c r="F1755" s="1236" t="str">
        <f>VLOOKUP($B1755,DG!A:D,DG!$D$2,)</f>
        <v>cái</v>
      </c>
      <c r="G1755" s="1915">
        <f>G1754</f>
        <v>0</v>
      </c>
      <c r="H1755" s="1245">
        <f t="shared" si="337"/>
        <v>0</v>
      </c>
      <c r="I1755" s="1245"/>
      <c r="J1755" s="1245"/>
      <c r="K1755" s="1245">
        <f t="shared" si="344"/>
        <v>0</v>
      </c>
      <c r="L1755" s="1245"/>
      <c r="M1755" s="1245"/>
      <c r="N1755" s="1245"/>
      <c r="O1755" s="1245"/>
      <c r="P1755" s="1257">
        <f t="shared" si="339"/>
        <v>0</v>
      </c>
      <c r="Q1755" s="1245"/>
      <c r="R1755" s="1245"/>
      <c r="S1755" s="1245"/>
      <c r="T1755" s="1671"/>
      <c r="U1755" s="1664" t="str">
        <f>IFERROR(VLOOKUP(B1755,ChiTietDuToan!C:H,5,0),"")</f>
        <v/>
      </c>
      <c r="V1755" s="2309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59" t="s">
        <v>1538</v>
      </c>
      <c r="C1756" s="1189" t="str">
        <f t="shared" si="342"/>
        <v xml:space="preserve"> </v>
      </c>
      <c r="D1756" s="1236"/>
      <c r="E1756" s="1248" t="str">
        <f>VLOOKUP($B1756,DG!A:D,DG!$C$2,)</f>
        <v xml:space="preserve">Móc treo chữ U </v>
      </c>
      <c r="F1756" s="1236" t="str">
        <f>VLOOKUP($B1756,DG!A:D,DG!$D$2,)</f>
        <v>cái</v>
      </c>
      <c r="G1756" s="1915">
        <f>G1754*2</f>
        <v>0</v>
      </c>
      <c r="H1756" s="1245">
        <f t="shared" si="337"/>
        <v>0</v>
      </c>
      <c r="I1756" s="1245"/>
      <c r="J1756" s="1245"/>
      <c r="K1756" s="1245">
        <f t="shared" si="344"/>
        <v>0</v>
      </c>
      <c r="L1756" s="1245"/>
      <c r="M1756" s="1245"/>
      <c r="N1756" s="1245"/>
      <c r="O1756" s="1245"/>
      <c r="P1756" s="1257">
        <f t="shared" si="339"/>
        <v>0</v>
      </c>
      <c r="Q1756" s="1245"/>
      <c r="R1756" s="1245"/>
      <c r="S1756" s="1245"/>
      <c r="T1756" s="1671"/>
      <c r="U1756" s="1664" t="str">
        <f>IFERROR(VLOOKUP(B1756,ChiTietDuToan!C:H,5,0),"")</f>
        <v>cái</v>
      </c>
      <c r="V1756" s="2309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59" t="s">
        <v>1631</v>
      </c>
      <c r="C1757" s="1189" t="str">
        <f t="shared" si="342"/>
        <v xml:space="preserve"> </v>
      </c>
      <c r="D1757" s="1236"/>
      <c r="E1757" s="1248" t="str">
        <f>VLOOKUP($B1757,DG!A:D,DG!$C$2,)</f>
        <v>Kẹp ép WR cỡ dây 50mm2</v>
      </c>
      <c r="F1757" s="1236" t="str">
        <f>VLOOKUP($B1757,DG!A:D,DG!$D$2,)</f>
        <v>cái</v>
      </c>
      <c r="G1757" s="1915">
        <f>G1754*2</f>
        <v>0</v>
      </c>
      <c r="H1757" s="1245">
        <f t="shared" si="337"/>
        <v>0</v>
      </c>
      <c r="I1757" s="1245"/>
      <c r="J1757" s="1245"/>
      <c r="K1757" s="1245">
        <f t="shared" si="344"/>
        <v>0</v>
      </c>
      <c r="L1757" s="1245"/>
      <c r="M1757" s="1245"/>
      <c r="N1757" s="1245"/>
      <c r="O1757" s="1245"/>
      <c r="P1757" s="1257">
        <f t="shared" si="339"/>
        <v>0</v>
      </c>
      <c r="Q1757" s="1245"/>
      <c r="R1757" s="1245"/>
      <c r="S1757" s="1245"/>
      <c r="T1757" s="1671"/>
      <c r="U1757" s="1664" t="str">
        <f>IFERROR(VLOOKUP(B1757,ChiTietDuToan!C:H,5,0),"")</f>
        <v/>
      </c>
      <c r="V1757" s="2309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64" t="s">
        <v>2568</v>
      </c>
      <c r="C1758" s="1189" t="str">
        <f t="shared" si="342"/>
        <v xml:space="preserve"> </v>
      </c>
      <c r="D1758" s="1236"/>
      <c r="E1758" s="1254" t="s">
        <v>2569</v>
      </c>
      <c r="F1758" s="1236" t="s">
        <v>2503</v>
      </c>
      <c r="G1758" s="1928">
        <f>pp3p1m!EB111-T1758</f>
        <v>0</v>
      </c>
      <c r="H1758" s="1245">
        <f>$G1758</f>
        <v>0</v>
      </c>
      <c r="I1758" s="1245"/>
      <c r="J1758" s="1245"/>
      <c r="K1758" s="1245">
        <f t="shared" si="338"/>
        <v>0</v>
      </c>
      <c r="L1758" s="1245"/>
      <c r="M1758" s="1245"/>
      <c r="N1758" s="1245"/>
      <c r="O1758" s="1683"/>
      <c r="P1758" s="1257">
        <f>H1758+Q1758-R1758</f>
        <v>0</v>
      </c>
      <c r="Q1758" s="1245"/>
      <c r="R1758" s="1245"/>
      <c r="S1758" s="1245"/>
      <c r="T1758" s="1664"/>
      <c r="U1758" s="1664" t="str">
        <f>IFERROR(VLOOKUP(B1758,ChiTietDuToan!C:H,5,0),"")</f>
        <v>bộ</v>
      </c>
      <c r="V1758" s="2309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52" t="s">
        <v>703</v>
      </c>
      <c r="C1759" s="1189" t="str">
        <f t="shared" si="342"/>
        <v xml:space="preserve"> </v>
      </c>
      <c r="D1759" s="1236"/>
      <c r="E1759" s="1248" t="str">
        <f>VLOOKUP($B1759,DG!A:D,DG!$C$2,)</f>
        <v xml:space="preserve">Sứ đứng 24KV </v>
      </c>
      <c r="F1759" s="1236" t="str">
        <f>VLOOKUP($B1759,DG!A:D,DG!$D$2,)</f>
        <v>cái</v>
      </c>
      <c r="G1759" s="1915">
        <f>G1758</f>
        <v>0</v>
      </c>
      <c r="H1759" s="1245">
        <f t="shared" si="337"/>
        <v>0</v>
      </c>
      <c r="I1759" s="1245"/>
      <c r="J1759" s="1245"/>
      <c r="K1759" s="1245">
        <f t="shared" si="338"/>
        <v>0</v>
      </c>
      <c r="L1759" s="1245"/>
      <c r="M1759" s="1245"/>
      <c r="N1759" s="1245"/>
      <c r="O1759" s="1683"/>
      <c r="P1759" s="1257">
        <f t="shared" si="339"/>
        <v>0</v>
      </c>
      <c r="Q1759" s="1245"/>
      <c r="R1759" s="1245"/>
      <c r="S1759" s="1245"/>
      <c r="T1759" s="1664"/>
      <c r="U1759" s="1664" t="str">
        <f>IFERROR(VLOOKUP(B1759,ChiTietDuToan!C:H,5,0),"")</f>
        <v>cái</v>
      </c>
      <c r="V1759" s="2309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52" t="s">
        <v>1298</v>
      </c>
      <c r="C1760" s="1189" t="str">
        <f t="shared" si="342"/>
        <v xml:space="preserve"> </v>
      </c>
      <c r="D1760" s="1236"/>
      <c r="E1760" s="1248" t="str">
        <f>VLOOKUP($B1760,DG!A:D,DG!$C$2,)</f>
        <v>Chân sứ đứng D20</v>
      </c>
      <c r="F1760" s="1236" t="str">
        <f>VLOOKUP($B1760,DG!A:D,DG!$D$2,)</f>
        <v>cái</v>
      </c>
      <c r="G1760" s="1915">
        <f>G1758</f>
        <v>0</v>
      </c>
      <c r="H1760" s="1245">
        <f t="shared" si="337"/>
        <v>0</v>
      </c>
      <c r="I1760" s="1245"/>
      <c r="J1760" s="1245"/>
      <c r="K1760" s="1245">
        <f t="shared" si="338"/>
        <v>0</v>
      </c>
      <c r="L1760" s="1245"/>
      <c r="M1760" s="1245"/>
      <c r="N1760" s="1245"/>
      <c r="O1760" s="1683"/>
      <c r="P1760" s="1257">
        <f t="shared" si="339"/>
        <v>0</v>
      </c>
      <c r="Q1760" s="1245"/>
      <c r="R1760" s="1245"/>
      <c r="S1760" s="1245"/>
      <c r="T1760" s="1664"/>
      <c r="U1760" s="1664" t="str">
        <f>IFERROR(VLOOKUP(B1760,ChiTietDuToan!C:H,5,0),"")</f>
        <v>cái</v>
      </c>
      <c r="V1760" s="2309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82" t="s">
        <v>2570</v>
      </c>
      <c r="C1761" s="1189" t="str">
        <f t="shared" si="342"/>
        <v xml:space="preserve"> </v>
      </c>
      <c r="D1761" s="1236"/>
      <c r="E1761" s="1254" t="s">
        <v>2571</v>
      </c>
      <c r="F1761" s="1255" t="s">
        <v>2503</v>
      </c>
      <c r="G1761" s="1928">
        <f>pp3p1m!DZ111</f>
        <v>0</v>
      </c>
      <c r="H1761" s="1245">
        <f t="shared" si="337"/>
        <v>0</v>
      </c>
      <c r="I1761" s="1245"/>
      <c r="J1761" s="1245"/>
      <c r="K1761" s="1245">
        <f t="shared" si="338"/>
        <v>0</v>
      </c>
      <c r="L1761" s="1245"/>
      <c r="M1761" s="1245"/>
      <c r="N1761" s="1245"/>
      <c r="O1761" s="1245"/>
      <c r="P1761" s="1257">
        <f t="shared" si="339"/>
        <v>0</v>
      </c>
      <c r="Q1761" s="1245"/>
      <c r="R1761" s="1245"/>
      <c r="S1761" s="1245"/>
      <c r="T1761" s="1671"/>
      <c r="U1761" s="1664" t="str">
        <f>IFERROR(VLOOKUP(B1761,ChiTietDuToan!C:H,5,0),"")</f>
        <v/>
      </c>
      <c r="V1761" s="2309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59" t="s">
        <v>703</v>
      </c>
      <c r="C1762" s="1189" t="str">
        <f t="shared" si="342"/>
        <v xml:space="preserve"> </v>
      </c>
      <c r="D1762" s="1236"/>
      <c r="E1762" s="1248" t="str">
        <f>VLOOKUP($B1762,DG!A:D,DG!$C$2,)</f>
        <v xml:space="preserve">Sứ đứng 24KV </v>
      </c>
      <c r="F1762" s="1236" t="str">
        <f>VLOOKUP($B1762,DG!A:D,DG!$D$2,)</f>
        <v>cái</v>
      </c>
      <c r="G1762" s="1915">
        <f>G1761</f>
        <v>0</v>
      </c>
      <c r="H1762" s="1245">
        <f t="shared" si="337"/>
        <v>0</v>
      </c>
      <c r="I1762" s="1245"/>
      <c r="J1762" s="1245"/>
      <c r="K1762" s="1245">
        <f t="shared" si="338"/>
        <v>0</v>
      </c>
      <c r="L1762" s="1245"/>
      <c r="M1762" s="1245"/>
      <c r="N1762" s="1245"/>
      <c r="O1762" s="1245"/>
      <c r="P1762" s="1257">
        <f t="shared" si="339"/>
        <v>0</v>
      </c>
      <c r="Q1762" s="1245"/>
      <c r="R1762" s="1245"/>
      <c r="S1762" s="1245"/>
      <c r="T1762" s="1671"/>
      <c r="U1762" s="1664" t="str">
        <f>IFERROR(VLOOKUP(B1762,ChiTietDuToan!C:H,5,0),"")</f>
        <v>cái</v>
      </c>
      <c r="V1762" s="2309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59" t="s">
        <v>1299</v>
      </c>
      <c r="C1763" s="1189" t="str">
        <f t="shared" si="342"/>
        <v xml:space="preserve"> </v>
      </c>
      <c r="D1763" s="1236"/>
      <c r="E1763" s="1248" t="str">
        <f>VLOOKUP($B1763,DG!A:D,DG!$C$2,)</f>
        <v>Chân sứ đỉnh thẳng dài 870mm</v>
      </c>
      <c r="F1763" s="1236" t="str">
        <f>VLOOKUP($B1763,DG!A:D,DG!$D$2,)</f>
        <v>cái</v>
      </c>
      <c r="G1763" s="1915">
        <f>G1761</f>
        <v>0</v>
      </c>
      <c r="H1763" s="1245">
        <f t="shared" si="337"/>
        <v>0</v>
      </c>
      <c r="I1763" s="1245"/>
      <c r="J1763" s="1245"/>
      <c r="K1763" s="1245">
        <f t="shared" si="338"/>
        <v>0</v>
      </c>
      <c r="L1763" s="1245"/>
      <c r="M1763" s="1245"/>
      <c r="N1763" s="1245"/>
      <c r="O1763" s="1245"/>
      <c r="P1763" s="1257">
        <f t="shared" si="339"/>
        <v>0</v>
      </c>
      <c r="Q1763" s="1245"/>
      <c r="R1763" s="1245"/>
      <c r="S1763" s="1245"/>
      <c r="T1763" s="1671"/>
      <c r="U1763" s="1664" t="str">
        <f>IFERROR(VLOOKUP(B1763,ChiTietDuToan!C:H,5,0),"")</f>
        <v/>
      </c>
      <c r="V1763" s="2309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59" t="s">
        <v>1661</v>
      </c>
      <c r="C1764" s="1189" t="str">
        <f t="shared" si="342"/>
        <v xml:space="preserve"> </v>
      </c>
      <c r="D1764" s="1236"/>
      <c r="E1764" s="1248" t="str">
        <f>VLOOKUP($B1764,DG!A:D,DG!$C$2,)</f>
        <v>Boulon 16x250+ 2 long đền vuông D18-50x50x3/Zn</v>
      </c>
      <c r="F1764" s="1236" t="str">
        <f>VLOOKUP($B1764,DG!A:D,DG!$D$2,)</f>
        <v>bộ</v>
      </c>
      <c r="G1764" s="1915">
        <f>G1761*2</f>
        <v>0</v>
      </c>
      <c r="H1764" s="1245">
        <f t="shared" si="337"/>
        <v>0</v>
      </c>
      <c r="I1764" s="1245"/>
      <c r="J1764" s="1245"/>
      <c r="K1764" s="1245">
        <f t="shared" si="338"/>
        <v>0</v>
      </c>
      <c r="L1764" s="1245"/>
      <c r="M1764" s="1245"/>
      <c r="N1764" s="1245"/>
      <c r="O1764" s="1245"/>
      <c r="P1764" s="1257">
        <f t="shared" si="339"/>
        <v>0</v>
      </c>
      <c r="Q1764" s="1245"/>
      <c r="R1764" s="1245"/>
      <c r="S1764" s="1245"/>
      <c r="T1764" s="1671"/>
      <c r="U1764" s="1664" t="str">
        <f>IFERROR(VLOOKUP(B1764,ChiTietDuToan!C:H,5,0),"")</f>
        <v>bộ</v>
      </c>
      <c r="V1764" s="2309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84" t="s">
        <v>2572</v>
      </c>
      <c r="C1765" s="1189" t="str">
        <f t="shared" si="342"/>
        <v xml:space="preserve"> </v>
      </c>
      <c r="D1765" s="1240"/>
      <c r="E1765" s="1254" t="s">
        <v>2573</v>
      </c>
      <c r="F1765" s="1519" t="s">
        <v>2503</v>
      </c>
      <c r="G1765" s="1929"/>
      <c r="H1765" s="1245">
        <f t="shared" si="337"/>
        <v>0</v>
      </c>
      <c r="I1765" s="1244"/>
      <c r="J1765" s="1244"/>
      <c r="K1765" s="1245">
        <f t="shared" si="338"/>
        <v>0</v>
      </c>
      <c r="L1765" s="1244"/>
      <c r="M1765" s="1244"/>
      <c r="N1765" s="1244"/>
      <c r="O1765" s="1244"/>
      <c r="P1765" s="1257">
        <f t="shared" si="339"/>
        <v>0</v>
      </c>
      <c r="Q1765" s="1245"/>
      <c r="R1765" s="1245"/>
      <c r="S1765" s="1245"/>
      <c r="T1765" s="1671"/>
      <c r="U1765" s="1664" t="str">
        <f>IFERROR(VLOOKUP(B1765,ChiTietDuToan!C:H,5,0),"")</f>
        <v/>
      </c>
      <c r="V1765" s="2309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59" t="s">
        <v>703</v>
      </c>
      <c r="C1766" s="1189" t="str">
        <f t="shared" si="342"/>
        <v xml:space="preserve"> </v>
      </c>
      <c r="D1766" s="1240"/>
      <c r="E1766" s="1248" t="str">
        <f>VLOOKUP($B1766,DG!A:D,DG!$C$2,)</f>
        <v xml:space="preserve">Sứ đứng 24KV </v>
      </c>
      <c r="F1766" s="1236" t="str">
        <f>VLOOKUP($B1766,DG!A:D,DG!$D$2,)</f>
        <v>cái</v>
      </c>
      <c r="G1766" s="1918">
        <f>G1765*2</f>
        <v>0</v>
      </c>
      <c r="H1766" s="1245">
        <f t="shared" si="337"/>
        <v>0</v>
      </c>
      <c r="I1766" s="1244"/>
      <c r="J1766" s="1244"/>
      <c r="K1766" s="1245">
        <f t="shared" si="338"/>
        <v>0</v>
      </c>
      <c r="L1766" s="1244"/>
      <c r="M1766" s="1244"/>
      <c r="N1766" s="1244"/>
      <c r="O1766" s="1244"/>
      <c r="P1766" s="1257">
        <f t="shared" si="339"/>
        <v>0</v>
      </c>
      <c r="Q1766" s="1245"/>
      <c r="R1766" s="1245"/>
      <c r="S1766" s="1245"/>
      <c r="T1766" s="1671"/>
      <c r="U1766" s="1664" t="str">
        <f>IFERROR(VLOOKUP(B1766,ChiTietDuToan!C:H,5,0),"")</f>
        <v>cái</v>
      </c>
      <c r="V1766" s="2309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59" t="s">
        <v>595</v>
      </c>
      <c r="C1767" s="1189" t="str">
        <f t="shared" si="342"/>
        <v xml:space="preserve"> </v>
      </c>
      <c r="D1767" s="1240"/>
      <c r="E1767" s="1248" t="str">
        <f>VLOOKUP($B1767,DG!A:D,DG!$C$2,)</f>
        <v>Chân sứ đỉnh đỡ góc dài 870mm</v>
      </c>
      <c r="F1767" s="1236" t="str">
        <f>VLOOKUP($B1767,DG!A:D,DG!$D$2,)</f>
        <v>cái</v>
      </c>
      <c r="G1767" s="1918">
        <f>G1765*2</f>
        <v>0</v>
      </c>
      <c r="H1767" s="1245">
        <f t="shared" si="337"/>
        <v>0</v>
      </c>
      <c r="I1767" s="1244"/>
      <c r="J1767" s="1244"/>
      <c r="K1767" s="1245">
        <f t="shared" si="338"/>
        <v>0</v>
      </c>
      <c r="L1767" s="1244"/>
      <c r="M1767" s="1244"/>
      <c r="N1767" s="1244"/>
      <c r="O1767" s="1244"/>
      <c r="P1767" s="1257">
        <f t="shared" si="339"/>
        <v>0</v>
      </c>
      <c r="Q1767" s="1245"/>
      <c r="R1767" s="1245"/>
      <c r="S1767" s="1245"/>
      <c r="T1767" s="1671"/>
      <c r="U1767" s="1664" t="str">
        <f>IFERROR(VLOOKUP(B1767,ChiTietDuToan!C:H,5,0),"")</f>
        <v/>
      </c>
      <c r="V1767" s="2309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59" t="s">
        <v>1661</v>
      </c>
      <c r="C1768" s="1189" t="str">
        <f t="shared" si="342"/>
        <v xml:space="preserve"> </v>
      </c>
      <c r="D1768" s="1240"/>
      <c r="E1768" s="1248" t="str">
        <f>VLOOKUP($B1768,DG!A:D,DG!$C$2,)</f>
        <v>Boulon 16x250+ 2 long đền vuông D18-50x50x3/Zn</v>
      </c>
      <c r="F1768" s="1236" t="str">
        <f>VLOOKUP($B1768,DG!A:D,DG!$D$2,)</f>
        <v>bộ</v>
      </c>
      <c r="G1768" s="1918"/>
      <c r="H1768" s="1245">
        <f t="shared" si="337"/>
        <v>0</v>
      </c>
      <c r="I1768" s="1244"/>
      <c r="J1768" s="1244"/>
      <c r="K1768" s="1245">
        <f t="shared" si="338"/>
        <v>0</v>
      </c>
      <c r="L1768" s="1244"/>
      <c r="M1768" s="1244"/>
      <c r="N1768" s="1244"/>
      <c r="O1768" s="1244"/>
      <c r="P1768" s="1257">
        <f t="shared" si="339"/>
        <v>0</v>
      </c>
      <c r="Q1768" s="1245"/>
      <c r="R1768" s="1245"/>
      <c r="S1768" s="1245"/>
      <c r="T1768" s="1671"/>
      <c r="U1768" s="1664" t="str">
        <f>IFERROR(VLOOKUP(B1768,ChiTietDuToan!C:H,5,0),"")</f>
        <v>bộ</v>
      </c>
      <c r="V1768" s="2309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82" t="s">
        <v>2574</v>
      </c>
      <c r="C1769" s="1189" t="str">
        <f t="shared" si="342"/>
        <v xml:space="preserve"> </v>
      </c>
      <c r="D1769" s="1236"/>
      <c r="E1769" s="1254" t="s">
        <v>2592</v>
      </c>
      <c r="F1769" s="1255" t="s">
        <v>2576</v>
      </c>
      <c r="G1769" s="1928"/>
      <c r="H1769" s="1245">
        <f t="shared" si="337"/>
        <v>0</v>
      </c>
      <c r="I1769" s="1245"/>
      <c r="J1769" s="1245"/>
      <c r="K1769" s="1245">
        <f t="shared" si="338"/>
        <v>0</v>
      </c>
      <c r="L1769" s="1245"/>
      <c r="M1769" s="1245"/>
      <c r="N1769" s="1245"/>
      <c r="O1769" s="1245"/>
      <c r="P1769" s="1257">
        <f t="shared" si="339"/>
        <v>0</v>
      </c>
      <c r="Q1769" s="1245"/>
      <c r="R1769" s="1245"/>
      <c r="S1769" s="1245"/>
      <c r="T1769" s="1671"/>
      <c r="U1769" s="1664" t="str">
        <f>IFERROR(VLOOKUP(B1769,ChiTietDuToan!C:H,5,0),"")</f>
        <v/>
      </c>
      <c r="V1769" s="2309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59" t="s">
        <v>1300</v>
      </c>
      <c r="C1770" s="1189" t="str">
        <f t="shared" si="342"/>
        <v xml:space="preserve"> </v>
      </c>
      <c r="D1770" s="1236"/>
      <c r="E1770" s="1248" t="str">
        <f>VLOOKUP($B1770,DG!A:D,DG!$C$2,)</f>
        <v>Sứ treo loại 70kN</v>
      </c>
      <c r="F1770" s="1236" t="str">
        <f>VLOOKUP($B1770,DG!A:D,DG!$D$2,)</f>
        <v>bát</v>
      </c>
      <c r="G1770" s="1915">
        <f>G1769*2</f>
        <v>0</v>
      </c>
      <c r="H1770" s="1245">
        <f t="shared" si="337"/>
        <v>0</v>
      </c>
      <c r="I1770" s="1245"/>
      <c r="J1770" s="1245"/>
      <c r="K1770" s="1245">
        <f t="shared" si="338"/>
        <v>0</v>
      </c>
      <c r="L1770" s="1245"/>
      <c r="M1770" s="1245"/>
      <c r="N1770" s="1245"/>
      <c r="O1770" s="1245"/>
      <c r="P1770" s="1257">
        <f t="shared" si="339"/>
        <v>0</v>
      </c>
      <c r="Q1770" s="1245"/>
      <c r="R1770" s="1245"/>
      <c r="S1770" s="1245"/>
      <c r="T1770" s="1671"/>
      <c r="U1770" s="1664" t="str">
        <f>IFERROR(VLOOKUP(B1770,ChiTietDuToan!C:H,5,0),"")</f>
        <v/>
      </c>
      <c r="V1770" s="2309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59" t="s">
        <v>1538</v>
      </c>
      <c r="C1771" s="1189" t="str">
        <f t="shared" si="342"/>
        <v xml:space="preserve"> </v>
      </c>
      <c r="D1771" s="1236"/>
      <c r="E1771" s="1248" t="str">
        <f>VLOOKUP($B1771,DG!A:D,DG!$C$2,)</f>
        <v xml:space="preserve">Móc treo chữ U </v>
      </c>
      <c r="F1771" s="1236" t="str">
        <f>VLOOKUP($B1771,DG!A:D,DG!$D$2,)</f>
        <v>cái</v>
      </c>
      <c r="G1771" s="1915">
        <f>G1769*2</f>
        <v>0</v>
      </c>
      <c r="H1771" s="1245">
        <f t="shared" si="337"/>
        <v>0</v>
      </c>
      <c r="I1771" s="1245"/>
      <c r="J1771" s="1245"/>
      <c r="K1771" s="1245">
        <f t="shared" si="338"/>
        <v>0</v>
      </c>
      <c r="L1771" s="1245"/>
      <c r="M1771" s="1245"/>
      <c r="N1771" s="1245"/>
      <c r="O1771" s="1245"/>
      <c r="P1771" s="1257">
        <f t="shared" si="339"/>
        <v>0</v>
      </c>
      <c r="Q1771" s="1245"/>
      <c r="R1771" s="1245"/>
      <c r="S1771" s="1245"/>
      <c r="T1771" s="1671"/>
      <c r="U1771" s="1664" t="str">
        <f>IFERROR(VLOOKUP(B1771,ChiTietDuToan!C:H,5,0),"")</f>
        <v>cái</v>
      </c>
      <c r="V1771" s="2309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59" t="s">
        <v>1621</v>
      </c>
      <c r="C1772" s="1189" t="str">
        <f t="shared" si="342"/>
        <v xml:space="preserve"> </v>
      </c>
      <c r="D1772" s="1236"/>
      <c r="E1772" s="1248" t="str">
        <f>VLOOKUP($B1772,DG!A:D,DG!$C$2,)</f>
        <v>Vòng treo đầu tròn</v>
      </c>
      <c r="F1772" s="1236" t="str">
        <f>VLOOKUP($B1772,DG!A:D,DG!$D$2,)</f>
        <v>cái</v>
      </c>
      <c r="G1772" s="1915">
        <f>G1769</f>
        <v>0</v>
      </c>
      <c r="H1772" s="1245">
        <f t="shared" si="337"/>
        <v>0</v>
      </c>
      <c r="I1772" s="1245"/>
      <c r="J1772" s="1245"/>
      <c r="K1772" s="1245">
        <f t="shared" si="338"/>
        <v>0</v>
      </c>
      <c r="L1772" s="1245"/>
      <c r="M1772" s="1245"/>
      <c r="N1772" s="1245"/>
      <c r="O1772" s="1245"/>
      <c r="P1772" s="1257">
        <f t="shared" si="339"/>
        <v>0</v>
      </c>
      <c r="Q1772" s="1245"/>
      <c r="R1772" s="1245"/>
      <c r="S1772" s="1245"/>
      <c r="T1772" s="1671"/>
      <c r="U1772" s="1664" t="str">
        <f>IFERROR(VLOOKUP(B1772,ChiTietDuToan!C:H,5,0),"")</f>
        <v/>
      </c>
      <c r="V1772" s="2309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59" t="s">
        <v>1536</v>
      </c>
      <c r="C1773" s="1189" t="str">
        <f t="shared" si="342"/>
        <v xml:space="preserve"> </v>
      </c>
      <c r="D1773" s="1236"/>
      <c r="E1773" s="1248" t="str">
        <f>VLOOKUP($B1773,DG!A:D,DG!$C$2,)</f>
        <v>Mắt nối đơn</v>
      </c>
      <c r="F1773" s="1236" t="str">
        <f>VLOOKUP($B1773,DG!A:D,DG!$D$2,)</f>
        <v>cái</v>
      </c>
      <c r="G1773" s="1915">
        <f>G1769</f>
        <v>0</v>
      </c>
      <c r="H1773" s="1245">
        <f t="shared" si="337"/>
        <v>0</v>
      </c>
      <c r="I1773" s="1245"/>
      <c r="J1773" s="1245"/>
      <c r="K1773" s="1245">
        <f t="shared" si="338"/>
        <v>0</v>
      </c>
      <c r="L1773" s="1245"/>
      <c r="M1773" s="1245"/>
      <c r="N1773" s="1245"/>
      <c r="O1773" s="1245"/>
      <c r="P1773" s="1257">
        <f t="shared" si="339"/>
        <v>0</v>
      </c>
      <c r="Q1773" s="1245"/>
      <c r="R1773" s="1245"/>
      <c r="S1773" s="1245"/>
      <c r="T1773" s="1671"/>
      <c r="U1773" s="1664" t="str">
        <f>IFERROR(VLOOKUP(B1773,ChiTietDuToan!C:H,5,0),"")</f>
        <v/>
      </c>
      <c r="V1773" s="2309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59" t="s">
        <v>1301</v>
      </c>
      <c r="C1774" s="1189" t="str">
        <f t="shared" si="342"/>
        <v xml:space="preserve"> </v>
      </c>
      <c r="D1774" s="1236"/>
      <c r="E1774" s="1248" t="str">
        <f>VLOOKUP($B1774,DG!A:D,DG!$C$2,)</f>
        <v>Boulon mắt 16x300+ 2 long đền vuông D18-50x50x3/Zn</v>
      </c>
      <c r="F1774" s="1236" t="str">
        <f>VLOOKUP($B1774,DG!A:D,DG!$D$2,)</f>
        <v>bộ</v>
      </c>
      <c r="G1774" s="1915">
        <f>G1769</f>
        <v>0</v>
      </c>
      <c r="H1774" s="1245">
        <f t="shared" si="337"/>
        <v>0</v>
      </c>
      <c r="I1774" s="1245"/>
      <c r="J1774" s="1245"/>
      <c r="K1774" s="1245">
        <f t="shared" si="338"/>
        <v>0</v>
      </c>
      <c r="L1774" s="1245"/>
      <c r="M1774" s="1245"/>
      <c r="N1774" s="1245"/>
      <c r="O1774" s="1245"/>
      <c r="P1774" s="1257">
        <f t="shared" si="339"/>
        <v>0</v>
      </c>
      <c r="Q1774" s="1245"/>
      <c r="R1774" s="1245"/>
      <c r="S1774" s="1245"/>
      <c r="T1774" s="1671"/>
      <c r="U1774" s="1664" t="str">
        <f>IFERROR(VLOOKUP(B1774,ChiTietDuToan!C:H,5,0),"")</f>
        <v>bộ</v>
      </c>
      <c r="V1774" s="2309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82" t="s">
        <v>2577</v>
      </c>
      <c r="C1775" s="1189" t="str">
        <f t="shared" si="342"/>
        <v xml:space="preserve"> </v>
      </c>
      <c r="D1775" s="1236"/>
      <c r="E1775" s="1254" t="s">
        <v>2605</v>
      </c>
      <c r="F1775" s="1255" t="s">
        <v>2576</v>
      </c>
      <c r="G1775" s="1928"/>
      <c r="H1775" s="1245">
        <f t="shared" si="337"/>
        <v>0</v>
      </c>
      <c r="I1775" s="1245"/>
      <c r="J1775" s="1245"/>
      <c r="K1775" s="1245">
        <f t="shared" si="338"/>
        <v>0</v>
      </c>
      <c r="L1775" s="1245"/>
      <c r="M1775" s="1245"/>
      <c r="N1775" s="1245"/>
      <c r="O1775" s="1245"/>
      <c r="P1775" s="1257">
        <f t="shared" si="339"/>
        <v>0</v>
      </c>
      <c r="Q1775" s="1245"/>
      <c r="R1775" s="1245"/>
      <c r="S1775" s="1245"/>
      <c r="T1775" s="1671"/>
      <c r="U1775" s="1664" t="str">
        <f>IFERROR(VLOOKUP(B1775,ChiTietDuToan!C:H,5,0),"")</f>
        <v/>
      </c>
      <c r="V1775" s="2309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59" t="s">
        <v>113</v>
      </c>
      <c r="C1776" s="1189" t="str">
        <f t="shared" si="342"/>
        <v xml:space="preserve"> </v>
      </c>
      <c r="D1776" s="1236"/>
      <c r="E1776" s="1248" t="str">
        <f>VLOOKUP($B1776,DG!A:D,DG!$C$2,)</f>
        <v>Sứ treo loại 70kN</v>
      </c>
      <c r="F1776" s="1236" t="str">
        <f>VLOOKUP($B1776,DG!A:D,DG!$D$2,)</f>
        <v>bát</v>
      </c>
      <c r="G1776" s="1915"/>
      <c r="H1776" s="1245">
        <f t="shared" si="337"/>
        <v>0</v>
      </c>
      <c r="I1776" s="1245"/>
      <c r="J1776" s="1245"/>
      <c r="K1776" s="1245">
        <f t="shared" si="338"/>
        <v>0</v>
      </c>
      <c r="L1776" s="1245"/>
      <c r="M1776" s="1245"/>
      <c r="N1776" s="1245"/>
      <c r="O1776" s="1245"/>
      <c r="P1776" s="1257">
        <f t="shared" si="339"/>
        <v>0</v>
      </c>
      <c r="Q1776" s="1245"/>
      <c r="R1776" s="1245"/>
      <c r="S1776" s="1245"/>
      <c r="T1776" s="1671"/>
      <c r="U1776" s="1664" t="str">
        <f>IFERROR(VLOOKUP(B1776,ChiTietDuToan!C:H,5,0),"")</f>
        <v/>
      </c>
      <c r="V1776" s="2309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59" t="s">
        <v>1538</v>
      </c>
      <c r="C1777" s="1189" t="str">
        <f t="shared" si="342"/>
        <v xml:space="preserve"> </v>
      </c>
      <c r="D1777" s="1236"/>
      <c r="E1777" s="1248" t="str">
        <f>VLOOKUP($B1777,DG!A:D,DG!$C$2,)</f>
        <v xml:space="preserve">Móc treo chữ U </v>
      </c>
      <c r="F1777" s="1236" t="str">
        <f>VLOOKUP($B1777,DG!A:D,DG!$D$2,)</f>
        <v>cái</v>
      </c>
      <c r="G1777" s="1915">
        <f>G1775*2</f>
        <v>0</v>
      </c>
      <c r="H1777" s="1245">
        <f t="shared" si="337"/>
        <v>0</v>
      </c>
      <c r="I1777" s="1245"/>
      <c r="J1777" s="1245"/>
      <c r="K1777" s="1245">
        <f t="shared" si="338"/>
        <v>0</v>
      </c>
      <c r="L1777" s="1245"/>
      <c r="M1777" s="1245"/>
      <c r="N1777" s="1245"/>
      <c r="O1777" s="1245"/>
      <c r="P1777" s="1257">
        <f t="shared" si="339"/>
        <v>0</v>
      </c>
      <c r="Q1777" s="1245"/>
      <c r="R1777" s="1245"/>
      <c r="S1777" s="1245"/>
      <c r="T1777" s="1671"/>
      <c r="U1777" s="1664" t="str">
        <f>IFERROR(VLOOKUP(B1777,ChiTietDuToan!C:H,5,0),"")</f>
        <v>cái</v>
      </c>
      <c r="V1777" s="2309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64" t="s">
        <v>2606</v>
      </c>
      <c r="C1778" s="1189" t="str">
        <f t="shared" si="342"/>
        <v xml:space="preserve"> </v>
      </c>
      <c r="D1778" s="1236"/>
      <c r="E1778" s="1254" t="s">
        <v>2580</v>
      </c>
      <c r="F1778" s="1236" t="s">
        <v>2576</v>
      </c>
      <c r="G1778" s="1928">
        <f>pp3p1m!EC111-T1778</f>
        <v>0</v>
      </c>
      <c r="H1778" s="1245">
        <f t="shared" si="337"/>
        <v>0</v>
      </c>
      <c r="I1778" s="1245"/>
      <c r="J1778" s="1245"/>
      <c r="K1778" s="1245">
        <f t="shared" si="338"/>
        <v>0</v>
      </c>
      <c r="L1778" s="1245"/>
      <c r="M1778" s="1245"/>
      <c r="N1778" s="1245"/>
      <c r="O1778" s="1683"/>
      <c r="P1778" s="1257">
        <f t="shared" si="339"/>
        <v>0</v>
      </c>
      <c r="Q1778" s="1245"/>
      <c r="R1778" s="1245"/>
      <c r="S1778" s="1245"/>
      <c r="T1778" s="1664"/>
      <c r="U1778" s="1664" t="str">
        <f>IFERROR(VLOOKUP(B1778,ChiTietDuToan!C:H,5,0),"")</f>
        <v>chuỗi</v>
      </c>
      <c r="V1778" s="2309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52" t="s">
        <v>1558</v>
      </c>
      <c r="C1779" s="1189" t="str">
        <f t="shared" si="342"/>
        <v xml:space="preserve"> </v>
      </c>
      <c r="D1779" s="1236"/>
      <c r="E1779" s="1248" t="str">
        <f>VLOOKUP($B1779,DG!A:D,DG!$C$2,)</f>
        <v>Sứ treo polymer</v>
      </c>
      <c r="F1779" s="1236" t="str">
        <f>VLOOKUP($B1779,DG!A:D,DG!$D$2,)</f>
        <v>chuỗi</v>
      </c>
      <c r="G1779" s="1915">
        <f>G1778</f>
        <v>0</v>
      </c>
      <c r="H1779" s="1245">
        <f t="shared" si="337"/>
        <v>0</v>
      </c>
      <c r="I1779" s="1245"/>
      <c r="J1779" s="1245"/>
      <c r="K1779" s="1245">
        <f t="shared" si="338"/>
        <v>0</v>
      </c>
      <c r="L1779" s="1245"/>
      <c r="M1779" s="1245"/>
      <c r="N1779" s="1245"/>
      <c r="O1779" s="1683"/>
      <c r="P1779" s="1257">
        <f t="shared" si="339"/>
        <v>0</v>
      </c>
      <c r="Q1779" s="1245"/>
      <c r="R1779" s="1245"/>
      <c r="S1779" s="1245"/>
      <c r="T1779" s="1664"/>
      <c r="U1779" s="1664" t="str">
        <f>IFERROR(VLOOKUP(B1779,ChiTietDuToan!C:H,5,0),"")</f>
        <v>cái</v>
      </c>
      <c r="V1779" s="2309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52" t="s">
        <v>1538</v>
      </c>
      <c r="C1780" s="1189" t="str">
        <f t="shared" si="342"/>
        <v xml:space="preserve"> </v>
      </c>
      <c r="D1780" s="1236"/>
      <c r="E1780" s="1248" t="str">
        <f>VLOOKUP($B1780,DG!A:D,DG!$C$2,)&amp;""</f>
        <v xml:space="preserve">Móc treo chữ U </v>
      </c>
      <c r="F1780" s="1236" t="str">
        <f>VLOOKUP($B1780,DG!A:D,DG!$D$2,)</f>
        <v>cái</v>
      </c>
      <c r="G1780" s="1915">
        <f>G1778*2</f>
        <v>0</v>
      </c>
      <c r="H1780" s="1245">
        <f t="shared" si="337"/>
        <v>0</v>
      </c>
      <c r="I1780" s="1245"/>
      <c r="J1780" s="1245"/>
      <c r="K1780" s="1245">
        <f t="shared" si="338"/>
        <v>0</v>
      </c>
      <c r="L1780" s="1245"/>
      <c r="M1780" s="1245"/>
      <c r="N1780" s="1245"/>
      <c r="O1780" s="1683"/>
      <c r="P1780" s="1257">
        <f t="shared" ref="P1780:P1843" si="345">H1780+Q1780-R1780</f>
        <v>0</v>
      </c>
      <c r="Q1780" s="1245"/>
      <c r="R1780" s="1245"/>
      <c r="S1780" s="1245"/>
      <c r="T1780" s="1664"/>
      <c r="U1780" s="1664" t="str">
        <f>IFERROR(VLOOKUP(B1780,ChiTietDuToan!C:H,5,0),"")</f>
        <v>cái</v>
      </c>
      <c r="V1780" s="2309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52" t="s">
        <v>386</v>
      </c>
      <c r="C1781" s="1189" t="str">
        <f t="shared" si="342"/>
        <v xml:space="preserve"> </v>
      </c>
      <c r="D1781" s="1236"/>
      <c r="E1781" s="1248" t="str">
        <f>VLOOKUP($B1781,DG!A:D,DG!$C$2,)</f>
        <v>Khóa néo dây cỡ dây 185</v>
      </c>
      <c r="F1781" s="1236" t="str">
        <f>VLOOKUP($B1781,DG!A:D,DG!$D$2,)</f>
        <v>cái</v>
      </c>
      <c r="G1781" s="1915">
        <f>G1779</f>
        <v>0</v>
      </c>
      <c r="H1781" s="1245">
        <f t="shared" si="337"/>
        <v>0</v>
      </c>
      <c r="I1781" s="1245"/>
      <c r="J1781" s="1245"/>
      <c r="K1781" s="1245">
        <f t="shared" si="338"/>
        <v>0</v>
      </c>
      <c r="L1781" s="1245"/>
      <c r="M1781" s="1245"/>
      <c r="N1781" s="1245"/>
      <c r="O1781" s="1683"/>
      <c r="P1781" s="1257">
        <f t="shared" si="345"/>
        <v>0</v>
      </c>
      <c r="Q1781" s="1245"/>
      <c r="R1781" s="1245"/>
      <c r="S1781" s="1245"/>
      <c r="T1781" s="1664"/>
      <c r="U1781" s="1664" t="str">
        <f>IFERROR(VLOOKUP(B1781,ChiTietDuToan!C:H,5,0),"")</f>
        <v/>
      </c>
      <c r="V1781" s="2309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59" t="s">
        <v>591</v>
      </c>
      <c r="C1782" s="1189" t="str">
        <f t="shared" si="342"/>
        <v xml:space="preserve"> </v>
      </c>
      <c r="D1782" s="1236"/>
      <c r="E1782" s="1248" t="str">
        <f>VLOOKUP($B1782,DG!A:D,DG!$C$2,)</f>
        <v>Khóa néo dây cỡ dây 240</v>
      </c>
      <c r="F1782" s="1236" t="str">
        <f>VLOOKUP($B1782,DG!A:D,DG!$D$2,)</f>
        <v>cái</v>
      </c>
      <c r="G1782" s="1915">
        <f>G1779*0</f>
        <v>0</v>
      </c>
      <c r="H1782" s="1245"/>
      <c r="I1782" s="1245"/>
      <c r="J1782" s="1245"/>
      <c r="K1782" s="1245"/>
      <c r="L1782" s="1245"/>
      <c r="M1782" s="1245"/>
      <c r="N1782" s="1245"/>
      <c r="O1782" s="1245"/>
      <c r="P1782" s="1257">
        <f t="shared" si="345"/>
        <v>0</v>
      </c>
      <c r="Q1782" s="1245"/>
      <c r="R1782" s="1245"/>
      <c r="S1782" s="1245"/>
      <c r="T1782" s="1671"/>
      <c r="U1782" s="1664" t="str">
        <f>IFERROR(VLOOKUP(B1782,ChiTietDuToan!C:H,5,0),"")</f>
        <v/>
      </c>
      <c r="V1782" s="2309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79" t="s">
        <v>1848</v>
      </c>
      <c r="C1783" s="1189" t="str">
        <f t="shared" si="342"/>
        <v xml:space="preserve"> </v>
      </c>
      <c r="D1783" s="1236"/>
      <c r="E1783" s="1248" t="str">
        <f>VLOOKUP($B1783,DG!A:D,DG!$C$2,)</f>
        <v>Kẹp 2 rãnh (APC) cỡ dây 240 mm2</v>
      </c>
      <c r="F1783" s="1236" t="str">
        <f>VLOOKUP($B1783,DG!A:D,DG!$D$2,)</f>
        <v>cái</v>
      </c>
      <c r="G1783" s="1915">
        <f>G1778*G1782</f>
        <v>0</v>
      </c>
      <c r="H1783" s="1245">
        <f t="shared" si="337"/>
        <v>0</v>
      </c>
      <c r="I1783" s="1245"/>
      <c r="J1783" s="1245"/>
      <c r="K1783" s="1245">
        <f>G1783</f>
        <v>0</v>
      </c>
      <c r="L1783" s="1245"/>
      <c r="M1783" s="1245"/>
      <c r="N1783" s="1245"/>
      <c r="O1783" s="1245"/>
      <c r="P1783" s="1257">
        <f t="shared" si="345"/>
        <v>0</v>
      </c>
      <c r="Q1783" s="1245"/>
      <c r="R1783" s="1245"/>
      <c r="S1783" s="1245"/>
      <c r="T1783" s="1671"/>
      <c r="U1783" s="1664" t="str">
        <f>IFERROR(VLOOKUP(B1783,ChiTietDuToan!C:H,5,0),"")</f>
        <v/>
      </c>
      <c r="V1783" s="2309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82" t="s">
        <v>2607</v>
      </c>
      <c r="C1784" s="1189" t="str">
        <f t="shared" si="342"/>
        <v xml:space="preserve"> </v>
      </c>
      <c r="D1784" s="1236"/>
      <c r="E1784" s="1254" t="s">
        <v>2608</v>
      </c>
      <c r="F1784" s="1236" t="s">
        <v>2576</v>
      </c>
      <c r="G1784" s="1928"/>
      <c r="H1784" s="1245">
        <f t="shared" si="337"/>
        <v>0</v>
      </c>
      <c r="I1784" s="1245"/>
      <c r="J1784" s="1245"/>
      <c r="K1784" s="1245">
        <f t="shared" ref="K1784:K1790" si="346">G1784</f>
        <v>0</v>
      </c>
      <c r="L1784" s="1245"/>
      <c r="M1784" s="1245"/>
      <c r="N1784" s="1245"/>
      <c r="O1784" s="1245"/>
      <c r="P1784" s="1257">
        <f t="shared" si="345"/>
        <v>0</v>
      </c>
      <c r="Q1784" s="1245"/>
      <c r="R1784" s="1245"/>
      <c r="S1784" s="1245"/>
      <c r="T1784" s="1671"/>
      <c r="U1784" s="1664" t="str">
        <f>IFERROR(VLOOKUP(B1784,ChiTietDuToan!C:H,5,0),"")</f>
        <v/>
      </c>
      <c r="V1784" s="2309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59" t="s">
        <v>1558</v>
      </c>
      <c r="C1785" s="1189" t="str">
        <f t="shared" si="342"/>
        <v xml:space="preserve"> </v>
      </c>
      <c r="D1785" s="1236"/>
      <c r="E1785" s="1248" t="str">
        <f>VLOOKUP($B1785,DG!A:D,DG!$C$2,)&amp;" "</f>
        <v xml:space="preserve">Sứ treo polymer </v>
      </c>
      <c r="F1785" s="1236" t="str">
        <f>VLOOKUP($B1785,DG!A:D,DG!$D$2,)</f>
        <v>chuỗi</v>
      </c>
      <c r="G1785" s="1915">
        <f>G1784</f>
        <v>0</v>
      </c>
      <c r="H1785" s="1245">
        <f t="shared" si="337"/>
        <v>0</v>
      </c>
      <c r="I1785" s="1245"/>
      <c r="J1785" s="1245"/>
      <c r="K1785" s="1245">
        <f t="shared" si="346"/>
        <v>0</v>
      </c>
      <c r="L1785" s="1245"/>
      <c r="M1785" s="1245"/>
      <c r="N1785" s="1245"/>
      <c r="O1785" s="1245"/>
      <c r="P1785" s="1257">
        <f t="shared" si="345"/>
        <v>0</v>
      </c>
      <c r="Q1785" s="1245"/>
      <c r="R1785" s="1245"/>
      <c r="S1785" s="1245"/>
      <c r="T1785" s="1671"/>
      <c r="U1785" s="1664" t="str">
        <f>IFERROR(VLOOKUP(B1785,ChiTietDuToan!C:H,5,0),"")</f>
        <v>cái</v>
      </c>
      <c r="V1785" s="2309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59" t="s">
        <v>1538</v>
      </c>
      <c r="C1786" s="1189" t="str">
        <f t="shared" si="342"/>
        <v xml:space="preserve"> </v>
      </c>
      <c r="D1786" s="1236"/>
      <c r="E1786" s="1248" t="str">
        <f>VLOOKUP($B1786,DG!A:D,DG!$C$2,)&amp;""</f>
        <v xml:space="preserve">Móc treo chữ U </v>
      </c>
      <c r="F1786" s="1236" t="str">
        <f>VLOOKUP($B1786,DG!A:D,DG!$D$2,)</f>
        <v>cái</v>
      </c>
      <c r="G1786" s="1915">
        <f>G1784*2</f>
        <v>0</v>
      </c>
      <c r="H1786" s="1245">
        <f t="shared" si="337"/>
        <v>0</v>
      </c>
      <c r="I1786" s="1245"/>
      <c r="J1786" s="1245"/>
      <c r="K1786" s="1245">
        <f t="shared" si="346"/>
        <v>0</v>
      </c>
      <c r="L1786" s="1245"/>
      <c r="M1786" s="1245"/>
      <c r="N1786" s="1245"/>
      <c r="O1786" s="1245"/>
      <c r="P1786" s="1257">
        <f t="shared" si="345"/>
        <v>0</v>
      </c>
      <c r="Q1786" s="1245"/>
      <c r="R1786" s="1245"/>
      <c r="S1786" s="1245"/>
      <c r="T1786" s="1671"/>
      <c r="U1786" s="1664" t="str">
        <f>IFERROR(VLOOKUP(B1786,ChiTietDuToan!C:H,5,0),"")</f>
        <v>cái</v>
      </c>
      <c r="V1786" s="2309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59" t="s">
        <v>1795</v>
      </c>
      <c r="C1787" s="1189" t="str">
        <f t="shared" si="342"/>
        <v xml:space="preserve"> </v>
      </c>
      <c r="D1787" s="1236"/>
      <c r="E1787" s="1248" t="str">
        <f>VLOOKUP($B1787,DG!A:D,DG!$C$2,)</f>
        <v>Khóa néo dây cỡ dây 185</v>
      </c>
      <c r="F1787" s="1236" t="str">
        <f>VLOOKUP($B1787,DG!A:D,DG!$D$2,)</f>
        <v>cái</v>
      </c>
      <c r="G1787" s="1915">
        <f>G1784</f>
        <v>0</v>
      </c>
      <c r="H1787" s="1245">
        <f t="shared" si="337"/>
        <v>0</v>
      </c>
      <c r="I1787" s="1245"/>
      <c r="J1787" s="1245"/>
      <c r="K1787" s="1245">
        <f t="shared" si="346"/>
        <v>0</v>
      </c>
      <c r="L1787" s="1245"/>
      <c r="M1787" s="1245"/>
      <c r="N1787" s="1245"/>
      <c r="O1787" s="1245"/>
      <c r="P1787" s="1257">
        <f t="shared" si="345"/>
        <v>0</v>
      </c>
      <c r="Q1787" s="1245"/>
      <c r="R1787" s="1245"/>
      <c r="S1787" s="1245"/>
      <c r="T1787" s="1671"/>
      <c r="U1787" s="1664" t="str">
        <f>IFERROR(VLOOKUP(B1787,ChiTietDuToan!C:H,5,0),"")</f>
        <v/>
      </c>
      <c r="V1787" s="2309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59" t="s">
        <v>420</v>
      </c>
      <c r="C1788" s="1189" t="str">
        <f t="shared" si="342"/>
        <v xml:space="preserve"> </v>
      </c>
      <c r="D1788" s="1236"/>
      <c r="E1788" s="1248" t="str">
        <f>VLOOKUP($B1788,DG!A:D,DG!$C$2,)</f>
        <v>Boulon mắt 16x300+ 2 long đền vuông D18-50x50x3/Zn</v>
      </c>
      <c r="F1788" s="1236" t="str">
        <f>VLOOKUP($B1788,DG!A:D,DG!$D$2,)</f>
        <v>bộ</v>
      </c>
      <c r="G1788" s="1915">
        <f>G1784</f>
        <v>0</v>
      </c>
      <c r="H1788" s="1245">
        <f t="shared" si="337"/>
        <v>0</v>
      </c>
      <c r="I1788" s="1245"/>
      <c r="J1788" s="1245"/>
      <c r="K1788" s="1245">
        <f t="shared" si="346"/>
        <v>0</v>
      </c>
      <c r="L1788" s="1245"/>
      <c r="M1788" s="1245"/>
      <c r="N1788" s="1245"/>
      <c r="O1788" s="1245"/>
      <c r="P1788" s="1257">
        <f t="shared" si="345"/>
        <v>0</v>
      </c>
      <c r="Q1788" s="1245"/>
      <c r="R1788" s="1245"/>
      <c r="S1788" s="1245"/>
      <c r="T1788" s="1671"/>
      <c r="U1788" s="1664" t="str">
        <f>IFERROR(VLOOKUP(B1788,ChiTietDuToan!C:H,5,0),"")</f>
        <v>bộ</v>
      </c>
      <c r="V1788" s="2309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76" t="s">
        <v>2484</v>
      </c>
      <c r="C1789" s="1189" t="str">
        <f t="shared" si="342"/>
        <v xml:space="preserve"> </v>
      </c>
      <c r="D1789" s="1236"/>
      <c r="E1789" s="1248" t="str">
        <f>VLOOKUP($B1789,DG!A:D,DG!$C$2,)&amp;""</f>
        <v>Cổ dê bắt xà + bulon</v>
      </c>
      <c r="F1789" s="1236" t="s">
        <v>2503</v>
      </c>
      <c r="G1789" s="1931"/>
      <c r="H1789" s="1245">
        <f t="shared" si="337"/>
        <v>0</v>
      </c>
      <c r="I1789" s="1245"/>
      <c r="J1789" s="1245"/>
      <c r="K1789" s="1245">
        <f t="shared" si="346"/>
        <v>0</v>
      </c>
      <c r="L1789" s="1245"/>
      <c r="M1789" s="1245"/>
      <c r="N1789" s="1245"/>
      <c r="O1789" s="1245"/>
      <c r="P1789" s="1257">
        <f t="shared" si="345"/>
        <v>0</v>
      </c>
      <c r="Q1789" s="1245"/>
      <c r="R1789" s="1245"/>
      <c r="S1789" s="1245"/>
      <c r="T1789" s="1671"/>
      <c r="U1789" s="1664" t="str">
        <f>IFERROR(VLOOKUP(B1789,ChiTietDuToan!C:H,5,0),"")</f>
        <v/>
      </c>
      <c r="V1789" s="2309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76" t="s">
        <v>1305</v>
      </c>
      <c r="C1790" s="1189" t="str">
        <f t="shared" si="342"/>
        <v xml:space="preserve"> </v>
      </c>
      <c r="D1790" s="1236"/>
      <c r="E1790" s="1248" t="str">
        <f>VLOOKUP($B1790,DG!A:D,DG!$C$2,)&amp;""</f>
        <v xml:space="preserve">Cổ dê giữ ống D140 vào trụ + Bulon </v>
      </c>
      <c r="F1790" s="1236" t="s">
        <v>2503</v>
      </c>
      <c r="G1790" s="1931"/>
      <c r="H1790" s="1245">
        <f t="shared" si="337"/>
        <v>0</v>
      </c>
      <c r="I1790" s="1245"/>
      <c r="J1790" s="1245"/>
      <c r="K1790" s="1245">
        <f t="shared" si="346"/>
        <v>0</v>
      </c>
      <c r="L1790" s="1245"/>
      <c r="M1790" s="1245"/>
      <c r="N1790" s="1245"/>
      <c r="O1790" s="1245"/>
      <c r="P1790" s="1257">
        <f t="shared" si="345"/>
        <v>0</v>
      </c>
      <c r="Q1790" s="1245"/>
      <c r="R1790" s="1245"/>
      <c r="S1790" s="1245"/>
      <c r="T1790" s="1671"/>
      <c r="U1790" s="1664" t="str">
        <f>IFERROR(VLOOKUP(B1790,ChiTietDuToan!C:H,5,0),"")</f>
        <v/>
      </c>
      <c r="V1790" s="2309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82" t="s">
        <v>2577</v>
      </c>
      <c r="C1791" s="1189" t="str">
        <f t="shared" si="342"/>
        <v xml:space="preserve"> </v>
      </c>
      <c r="D1791" s="1236"/>
      <c r="E1791" s="1254" t="s">
        <v>2609</v>
      </c>
      <c r="F1791" s="1236" t="s">
        <v>2503</v>
      </c>
      <c r="G1791" s="1928"/>
      <c r="H1791" s="1245"/>
      <c r="I1791" s="1245"/>
      <c r="J1791" s="1245"/>
      <c r="K1791" s="1245"/>
      <c r="L1791" s="1245"/>
      <c r="M1791" s="1245"/>
      <c r="N1791" s="1245"/>
      <c r="O1791" s="1245"/>
      <c r="P1791" s="1257">
        <f t="shared" si="345"/>
        <v>0</v>
      </c>
      <c r="Q1791" s="1245"/>
      <c r="R1791" s="1245"/>
      <c r="S1791" s="1245"/>
      <c r="T1791" s="1671"/>
      <c r="U1791" s="1664" t="str">
        <f>IFERROR(VLOOKUP(B1791,ChiTietDuToan!C:H,5,0),"")</f>
        <v/>
      </c>
      <c r="V1791" s="2309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59" t="s">
        <v>2168</v>
      </c>
      <c r="C1792" s="1189" t="str">
        <f t="shared" si="342"/>
        <v xml:space="preserve"> </v>
      </c>
      <c r="D1792" s="1236"/>
      <c r="E1792" s="1248" t="str">
        <f>VLOOKUP($B1792,DG!A:D,DG!$C$2,)&amp;""</f>
        <v>Sắt dẹt 50 x 5</v>
      </c>
      <c r="F1792" s="1236" t="str">
        <f>VLOOKUP($B1792,DG!A:D,DG!$D$2,)</f>
        <v>kg</v>
      </c>
      <c r="G1792" s="1925">
        <f>2.826*(3.14159*0.225+0.06*4)*G1791</f>
        <v>0</v>
      </c>
      <c r="H1792" s="1245"/>
      <c r="I1792" s="1245"/>
      <c r="J1792" s="1245"/>
      <c r="K1792" s="1245"/>
      <c r="L1792" s="1245"/>
      <c r="M1792" s="1245"/>
      <c r="N1792" s="1245"/>
      <c r="O1792" s="1245"/>
      <c r="P1792" s="1257">
        <f t="shared" si="345"/>
        <v>0</v>
      </c>
      <c r="Q1792" s="1245"/>
      <c r="R1792" s="1245"/>
      <c r="S1792" s="1245"/>
      <c r="T1792" s="1671"/>
      <c r="U1792" s="1664" t="str">
        <f>IFERROR(VLOOKUP(B1792,ChiTietDuToan!C:H,5,0),"")</f>
        <v/>
      </c>
      <c r="V1792" s="2309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59" t="s">
        <v>1850</v>
      </c>
      <c r="C1793" s="1189" t="str">
        <f t="shared" si="342"/>
        <v xml:space="preserve"> </v>
      </c>
      <c r="D1793" s="1236"/>
      <c r="E1793" s="1248" t="str">
        <f>VLOOKUP($B1793,DG!A:D,DG!$C$2,)&amp;""</f>
        <v>Boulon 10x40+ 2 long đền vuông D12-50x50x3/Zn</v>
      </c>
      <c r="F1793" s="1236" t="str">
        <f>VLOOKUP($B1793,DG!A:D,DG!$D$2,)</f>
        <v>bộ</v>
      </c>
      <c r="G1793" s="1915">
        <f>G1791*2</f>
        <v>0</v>
      </c>
      <c r="H1793" s="1245"/>
      <c r="I1793" s="1245"/>
      <c r="J1793" s="1245"/>
      <c r="K1793" s="1245"/>
      <c r="L1793" s="1245"/>
      <c r="M1793" s="1245"/>
      <c r="N1793" s="1245"/>
      <c r="O1793" s="1245"/>
      <c r="P1793" s="1257">
        <f t="shared" si="345"/>
        <v>0</v>
      </c>
      <c r="Q1793" s="1245"/>
      <c r="R1793" s="1245"/>
      <c r="S1793" s="1245"/>
      <c r="T1793" s="1671"/>
      <c r="U1793" s="1664" t="str">
        <f>IFERROR(VLOOKUP(B1793,ChiTietDuToan!C:H,5,0),"")</f>
        <v/>
      </c>
      <c r="V1793" s="2309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90"/>
      <c r="C1794" s="1189" t="str">
        <f t="shared" si="342"/>
        <v xml:space="preserve"> </v>
      </c>
      <c r="D1794" s="1684"/>
      <c r="E1794" s="1254" t="s">
        <v>2610</v>
      </c>
      <c r="F1794" s="1684"/>
      <c r="G1794" s="1918"/>
      <c r="H1794" s="1971">
        <f>SUM(H1795:H1910)</f>
        <v>0</v>
      </c>
      <c r="I1794" s="1685"/>
      <c r="J1794" s="1685"/>
      <c r="K1794" s="1685">
        <f t="shared" si="338"/>
        <v>0</v>
      </c>
      <c r="L1794" s="1685"/>
      <c r="M1794" s="1685"/>
      <c r="N1794" s="1685"/>
      <c r="O1794" s="1686"/>
      <c r="P1794" s="1972">
        <f t="shared" si="345"/>
        <v>0</v>
      </c>
      <c r="Q1794" s="1685"/>
      <c r="R1794" s="1685"/>
      <c r="S1794" s="1685"/>
      <c r="T1794" s="1671"/>
      <c r="U1794" s="1664">
        <f>IFERROR(VLOOKUP(B1794,ChiTietDuToan!C:H,5,0),"")</f>
        <v>0</v>
      </c>
      <c r="V1794" s="2309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66" t="s">
        <v>1174</v>
      </c>
      <c r="C1795" s="1189" t="str">
        <f t="shared" si="342"/>
        <v xml:space="preserve"> </v>
      </c>
      <c r="D1795" s="1236"/>
      <c r="E1795" s="1248" t="str">
        <f>VLOOKUP($B1795,DG!A:D,DG!$C$2,)</f>
        <v>Khóa đỡ dây cỡ dây 240</v>
      </c>
      <c r="F1795" s="1236" t="str">
        <f>VLOOKUP($B1795,DG!A:D,DG!$D$2,)</f>
        <v>cái</v>
      </c>
      <c r="G1795" s="1928"/>
      <c r="H1795" s="1245">
        <f t="shared" si="337"/>
        <v>0</v>
      </c>
      <c r="I1795" s="1245"/>
      <c r="J1795" s="1245"/>
      <c r="K1795" s="1245">
        <f t="shared" si="338"/>
        <v>0</v>
      </c>
      <c r="L1795" s="1245"/>
      <c r="M1795" s="1245"/>
      <c r="N1795" s="1245"/>
      <c r="O1795" s="1245"/>
      <c r="P1795" s="1257">
        <f t="shared" si="345"/>
        <v>0</v>
      </c>
      <c r="Q1795" s="1245"/>
      <c r="R1795" s="1245"/>
      <c r="S1795" s="1245"/>
      <c r="T1795" s="1671"/>
      <c r="U1795" s="1664" t="str">
        <f>IFERROR(VLOOKUP(B1795,ChiTietDuToan!C:H,5,0),"")</f>
        <v/>
      </c>
      <c r="V1795" s="2309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66" t="s">
        <v>1173</v>
      </c>
      <c r="C1796" s="1189" t="str">
        <f t="shared" si="342"/>
        <v xml:space="preserve"> </v>
      </c>
      <c r="D1796" s="1236"/>
      <c r="E1796" s="1248" t="str">
        <f>VLOOKUP($B1796,DG!A:D,DG!$C$2,)</f>
        <v>Khóa đỡ dây cỡ dây 185</v>
      </c>
      <c r="F1796" s="1236" t="str">
        <f>VLOOKUP($B1796,DG!A:D,DG!$D$2,)</f>
        <v>cái</v>
      </c>
      <c r="G1796" s="1915"/>
      <c r="H1796" s="1245">
        <f t="shared" si="337"/>
        <v>0</v>
      </c>
      <c r="I1796" s="1245"/>
      <c r="J1796" s="1245"/>
      <c r="K1796" s="1245">
        <f t="shared" si="338"/>
        <v>0</v>
      </c>
      <c r="L1796" s="1245"/>
      <c r="M1796" s="1245"/>
      <c r="N1796" s="1245"/>
      <c r="O1796" s="1245"/>
      <c r="P1796" s="1257">
        <f t="shared" si="345"/>
        <v>0</v>
      </c>
      <c r="Q1796" s="1245"/>
      <c r="R1796" s="1245"/>
      <c r="S1796" s="1245"/>
      <c r="T1796" s="1671"/>
      <c r="U1796" s="1664" t="str">
        <f>IFERROR(VLOOKUP(B1796,ChiTietDuToan!C:H,5,0),"")</f>
        <v/>
      </c>
      <c r="V1796" s="2309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66" t="s">
        <v>1172</v>
      </c>
      <c r="C1797" s="1189" t="str">
        <f t="shared" si="342"/>
        <v xml:space="preserve"> </v>
      </c>
      <c r="D1797" s="1236"/>
      <c r="E1797" s="1248" t="str">
        <f>VLOOKUP($B1797,DG!A:D,DG!$C$2,)</f>
        <v>Khóa đỡ dây cỡ dây 150</v>
      </c>
      <c r="F1797" s="1236" t="str">
        <f>VLOOKUP($B1797,DG!A:D,DG!$D$2,)</f>
        <v>cái</v>
      </c>
      <c r="G1797" s="1928"/>
      <c r="H1797" s="1245">
        <f t="shared" si="337"/>
        <v>0</v>
      </c>
      <c r="I1797" s="1245"/>
      <c r="J1797" s="1245"/>
      <c r="K1797" s="1245">
        <f t="shared" si="338"/>
        <v>0</v>
      </c>
      <c r="L1797" s="1245"/>
      <c r="M1797" s="1245"/>
      <c r="N1797" s="1245"/>
      <c r="O1797" s="1245"/>
      <c r="P1797" s="1257">
        <f t="shared" si="345"/>
        <v>0</v>
      </c>
      <c r="Q1797" s="1245"/>
      <c r="R1797" s="1245"/>
      <c r="S1797" s="1245"/>
      <c r="T1797" s="1671"/>
      <c r="U1797" s="1664" t="str">
        <f>IFERROR(VLOOKUP(B1797,ChiTietDuToan!C:H,5,0),"")</f>
        <v/>
      </c>
      <c r="V1797" s="2309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66" t="s">
        <v>1171</v>
      </c>
      <c r="C1798" s="1189" t="str">
        <f t="shared" si="342"/>
        <v xml:space="preserve"> </v>
      </c>
      <c r="D1798" s="1236"/>
      <c r="E1798" s="1248" t="str">
        <f>VLOOKUP($B1798,DG!A:D,DG!$C$2,)</f>
        <v>Khóa đỡ dây cỡ dây 120</v>
      </c>
      <c r="F1798" s="1236" t="str">
        <f>VLOOKUP($B1798,DG!A:D,DG!$D$2,)</f>
        <v>cái</v>
      </c>
      <c r="G1798" s="1915"/>
      <c r="H1798" s="1245">
        <f t="shared" si="337"/>
        <v>0</v>
      </c>
      <c r="I1798" s="1245"/>
      <c r="J1798" s="1245"/>
      <c r="K1798" s="1245">
        <f t="shared" si="338"/>
        <v>0</v>
      </c>
      <c r="L1798" s="1245"/>
      <c r="M1798" s="1245"/>
      <c r="N1798" s="1245"/>
      <c r="O1798" s="1245"/>
      <c r="P1798" s="1257">
        <f t="shared" si="345"/>
        <v>0</v>
      </c>
      <c r="Q1798" s="1245"/>
      <c r="R1798" s="1245"/>
      <c r="S1798" s="1245"/>
      <c r="T1798" s="1671"/>
      <c r="U1798" s="1664" t="str">
        <f>IFERROR(VLOOKUP(B1798,ChiTietDuToan!C:H,5,0),"")</f>
        <v/>
      </c>
      <c r="V1798" s="2309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66" t="s">
        <v>101</v>
      </c>
      <c r="C1799" s="1189" t="str">
        <f t="shared" si="342"/>
        <v xml:space="preserve"> </v>
      </c>
      <c r="D1799" s="1236"/>
      <c r="E1799" s="1248" t="str">
        <f>VLOOKUP($B1799,DG!A:D,DG!$C$2,)</f>
        <v>Khóa đỡ dây cỡ dây 95</v>
      </c>
      <c r="F1799" s="1236" t="str">
        <f>VLOOKUP($B1799,DG!A:D,DG!$D$2,)</f>
        <v>cái</v>
      </c>
      <c r="G1799" s="1928"/>
      <c r="H1799" s="1245">
        <f t="shared" si="337"/>
        <v>0</v>
      </c>
      <c r="I1799" s="1245"/>
      <c r="J1799" s="1245"/>
      <c r="K1799" s="1245">
        <f t="shared" si="338"/>
        <v>0</v>
      </c>
      <c r="L1799" s="1245"/>
      <c r="M1799" s="1245"/>
      <c r="N1799" s="1245"/>
      <c r="O1799" s="1245"/>
      <c r="P1799" s="1257">
        <f t="shared" si="345"/>
        <v>0</v>
      </c>
      <c r="Q1799" s="1245"/>
      <c r="R1799" s="1245"/>
      <c r="S1799" s="1245"/>
      <c r="T1799" s="1671"/>
      <c r="U1799" s="1664" t="str">
        <f>IFERROR(VLOOKUP(B1799,ChiTietDuToan!C:H,5,0),"")</f>
        <v/>
      </c>
      <c r="V1799" s="2309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66" t="s">
        <v>1533</v>
      </c>
      <c r="C1800" s="1189" t="str">
        <f t="shared" si="342"/>
        <v xml:space="preserve"> </v>
      </c>
      <c r="D1800" s="1236"/>
      <c r="E1800" s="1248" t="str">
        <f>VLOOKUP($B1800,DG!A:D,DG!$C$2,)</f>
        <v>Khóa đỡ dây cỡ dây 70</v>
      </c>
      <c r="F1800" s="1236" t="str">
        <f>VLOOKUP($B1800,DG!A:D,DG!$D$2,)</f>
        <v>cái</v>
      </c>
      <c r="G1800" s="1915"/>
      <c r="H1800" s="1245">
        <f t="shared" si="337"/>
        <v>0</v>
      </c>
      <c r="I1800" s="1245"/>
      <c r="J1800" s="1245"/>
      <c r="K1800" s="1245">
        <f t="shared" si="338"/>
        <v>0</v>
      </c>
      <c r="L1800" s="1245"/>
      <c r="M1800" s="1245"/>
      <c r="N1800" s="1245"/>
      <c r="O1800" s="1245"/>
      <c r="P1800" s="1257">
        <f t="shared" si="345"/>
        <v>0</v>
      </c>
      <c r="Q1800" s="1245"/>
      <c r="R1800" s="1245"/>
      <c r="S1800" s="1245"/>
      <c r="T1800" s="1671"/>
      <c r="U1800" s="1664" t="str">
        <f>IFERROR(VLOOKUP(B1800,ChiTietDuToan!C:H,5,0),"")</f>
        <v/>
      </c>
      <c r="V1800" s="2309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66" t="s">
        <v>1205</v>
      </c>
      <c r="C1801" s="1189" t="str">
        <f t="shared" si="342"/>
        <v xml:space="preserve"> </v>
      </c>
      <c r="D1801" s="1236"/>
      <c r="E1801" s="1248" t="str">
        <f>VLOOKUP($B1801,DG!A:D,DG!$C$2,)</f>
        <v>Khóa đỡ dây cỡ dây 50</v>
      </c>
      <c r="F1801" s="1236" t="str">
        <f>VLOOKUP($B1801,DG!A:D,DG!$D$2,)</f>
        <v>cái</v>
      </c>
      <c r="G1801" s="1915"/>
      <c r="H1801" s="1245">
        <f t="shared" si="337"/>
        <v>0</v>
      </c>
      <c r="I1801" s="1245"/>
      <c r="J1801" s="1245"/>
      <c r="K1801" s="1245">
        <f t="shared" si="338"/>
        <v>0</v>
      </c>
      <c r="L1801" s="1245"/>
      <c r="M1801" s="1245"/>
      <c r="N1801" s="1245"/>
      <c r="O1801" s="1245"/>
      <c r="P1801" s="1257">
        <f t="shared" si="345"/>
        <v>0</v>
      </c>
      <c r="Q1801" s="1245"/>
      <c r="R1801" s="1245"/>
      <c r="S1801" s="1245"/>
      <c r="T1801" s="1671"/>
      <c r="U1801" s="1664" t="str">
        <f>IFERROR(VLOOKUP(B1801,ChiTietDuToan!C:H,5,0),"")</f>
        <v/>
      </c>
      <c r="V1801" s="2309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66" t="s">
        <v>1794</v>
      </c>
      <c r="C1802" s="1189" t="str">
        <f t="shared" si="342"/>
        <v xml:space="preserve"> </v>
      </c>
      <c r="D1802" s="1236"/>
      <c r="E1802" s="1248" t="str">
        <f>VLOOKUP($B1802,DG!A:D,DG!$C$2,)</f>
        <v>Khóa néo dây cỡ dây 240</v>
      </c>
      <c r="F1802" s="1236" t="str">
        <f>VLOOKUP($B1802,DG!A:D,DG!$D$2,)</f>
        <v>cái</v>
      </c>
      <c r="G1802" s="1915">
        <f>+G1775</f>
        <v>0</v>
      </c>
      <c r="H1802" s="1245">
        <f t="shared" si="337"/>
        <v>0</v>
      </c>
      <c r="I1802" s="1245"/>
      <c r="J1802" s="1245"/>
      <c r="K1802" s="1245">
        <f t="shared" ref="K1802:K1861" si="347">G1802</f>
        <v>0</v>
      </c>
      <c r="L1802" s="1245"/>
      <c r="M1802" s="1245"/>
      <c r="N1802" s="1245"/>
      <c r="O1802" s="1245"/>
      <c r="P1802" s="1257">
        <f t="shared" si="345"/>
        <v>0</v>
      </c>
      <c r="Q1802" s="1245"/>
      <c r="R1802" s="1245"/>
      <c r="S1802" s="1245"/>
      <c r="T1802" s="1671"/>
      <c r="U1802" s="1664" t="str">
        <f>IFERROR(VLOOKUP(B1802,ChiTietDuToan!C:H,5,0),"")</f>
        <v/>
      </c>
      <c r="V1802" s="2309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66" t="s">
        <v>921</v>
      </c>
      <c r="C1803" s="1189" t="str">
        <f t="shared" si="342"/>
        <v xml:space="preserve"> </v>
      </c>
      <c r="D1803" s="1236"/>
      <c r="E1803" s="1248" t="str">
        <f>VLOOKUP($B1803,DG!A:D,DG!$C$2,)</f>
        <v>Khóa néo dây cỡ dây 50</v>
      </c>
      <c r="F1803" s="1236" t="str">
        <f>VLOOKUP($B1803,DG!A:D,DG!$D$2,)</f>
        <v>cái</v>
      </c>
      <c r="G1803" s="1915"/>
      <c r="H1803" s="1245">
        <f t="shared" si="337"/>
        <v>0</v>
      </c>
      <c r="I1803" s="1245"/>
      <c r="J1803" s="1245"/>
      <c r="K1803" s="1245">
        <f t="shared" si="347"/>
        <v>0</v>
      </c>
      <c r="L1803" s="1245"/>
      <c r="M1803" s="1245"/>
      <c r="N1803" s="1245"/>
      <c r="O1803" s="1245"/>
      <c r="P1803" s="1257">
        <f t="shared" si="345"/>
        <v>0</v>
      </c>
      <c r="Q1803" s="1245"/>
      <c r="R1803" s="1245"/>
      <c r="S1803" s="1245"/>
      <c r="T1803" s="1671"/>
      <c r="U1803" s="1664" t="str">
        <f>IFERROR(VLOOKUP(B1803,ChiTietDuToan!C:H,5,0),"")</f>
        <v/>
      </c>
      <c r="V1803" s="2309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66" t="s">
        <v>2171</v>
      </c>
      <c r="C1804" s="1189" t="str">
        <f t="shared" si="342"/>
        <v xml:space="preserve"> </v>
      </c>
      <c r="D1804" s="1236"/>
      <c r="E1804" s="1248" t="str">
        <f>VLOOKUP($B1804,DG!A:D,DG!$C$2,)</f>
        <v>Khóa néo dây cỡ dây 150</v>
      </c>
      <c r="F1804" s="1236" t="str">
        <f>VLOOKUP($B1804,DG!A:D,DG!$D$2,)</f>
        <v>cái</v>
      </c>
      <c r="G1804" s="1915"/>
      <c r="H1804" s="1245">
        <f t="shared" si="337"/>
        <v>0</v>
      </c>
      <c r="I1804" s="1245"/>
      <c r="J1804" s="1245"/>
      <c r="K1804" s="1245">
        <f t="shared" si="347"/>
        <v>0</v>
      </c>
      <c r="L1804" s="1245"/>
      <c r="M1804" s="1245"/>
      <c r="N1804" s="1245"/>
      <c r="O1804" s="1245"/>
      <c r="P1804" s="1257">
        <f t="shared" si="345"/>
        <v>0</v>
      </c>
      <c r="Q1804" s="1245"/>
      <c r="R1804" s="1245"/>
      <c r="S1804" s="1245"/>
      <c r="T1804" s="1671"/>
      <c r="U1804" s="1664" t="str">
        <f>IFERROR(VLOOKUP(B1804,ChiTietDuToan!C:H,5,0),"")</f>
        <v/>
      </c>
      <c r="V1804" s="2309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66" t="s">
        <v>434</v>
      </c>
      <c r="C1805" s="1189" t="str">
        <f t="shared" si="342"/>
        <v xml:space="preserve"> </v>
      </c>
      <c r="D1805" s="1236"/>
      <c r="E1805" s="1248" t="str">
        <f>VLOOKUP($B1805,DG!A:D,DG!$C$2,)</f>
        <v>Khóa néo dây cỡ dây 120</v>
      </c>
      <c r="F1805" s="1236" t="str">
        <f>VLOOKUP($B1805,DG!A:D,DG!$D$2,)</f>
        <v>cái</v>
      </c>
      <c r="G1805" s="1915"/>
      <c r="H1805" s="1245">
        <f t="shared" si="337"/>
        <v>0</v>
      </c>
      <c r="I1805" s="1245"/>
      <c r="J1805" s="1245"/>
      <c r="K1805" s="1245">
        <f t="shared" si="347"/>
        <v>0</v>
      </c>
      <c r="L1805" s="1245"/>
      <c r="M1805" s="1245"/>
      <c r="N1805" s="1245"/>
      <c r="O1805" s="1245"/>
      <c r="P1805" s="1257">
        <f t="shared" si="345"/>
        <v>0</v>
      </c>
      <c r="Q1805" s="1245"/>
      <c r="R1805" s="1245"/>
      <c r="S1805" s="1245"/>
      <c r="T1805" s="1671"/>
      <c r="U1805" s="1664" t="str">
        <f>IFERROR(VLOOKUP(B1805,ChiTietDuToan!C:H,5,0),"")</f>
        <v>cái</v>
      </c>
      <c r="V1805" s="2309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66" t="s">
        <v>1290</v>
      </c>
      <c r="C1806" s="1189" t="str">
        <f t="shared" si="342"/>
        <v xml:space="preserve"> </v>
      </c>
      <c r="D1806" s="1236"/>
      <c r="E1806" s="1248" t="str">
        <f>VLOOKUP($B1806,DG!A:D,DG!$C$2,)</f>
        <v>Khóa néo dây cỡ dây 95</v>
      </c>
      <c r="F1806" s="1236" t="str">
        <f>VLOOKUP($B1806,DG!A:D,DG!$D$2,)</f>
        <v>cái</v>
      </c>
      <c r="G1806" s="1915"/>
      <c r="H1806" s="1245">
        <f>$G1806</f>
        <v>0</v>
      </c>
      <c r="I1806" s="1245"/>
      <c r="J1806" s="1245"/>
      <c r="K1806" s="1245">
        <f t="shared" si="347"/>
        <v>0</v>
      </c>
      <c r="L1806" s="1245"/>
      <c r="M1806" s="1245"/>
      <c r="N1806" s="1245"/>
      <c r="O1806" s="1245"/>
      <c r="P1806" s="1257">
        <f t="shared" si="345"/>
        <v>0</v>
      </c>
      <c r="Q1806" s="1245"/>
      <c r="R1806" s="1245"/>
      <c r="S1806" s="1245"/>
      <c r="T1806" s="1671"/>
      <c r="U1806" s="1664" t="str">
        <f>IFERROR(VLOOKUP(B1806,ChiTietDuToan!C:H,5,0),"")</f>
        <v/>
      </c>
      <c r="V1806" s="2309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66" t="s">
        <v>2293</v>
      </c>
      <c r="C1807" s="1189" t="str">
        <f t="shared" ref="C1807:C1870" si="348">IF(OR(P1807&lt;&gt;0,H1807&lt;&gt;0),"x"," ")</f>
        <v xml:space="preserve"> </v>
      </c>
      <c r="D1807" s="1236"/>
      <c r="E1807" s="1248" t="str">
        <f>VLOOKUP($B1807,DG!A:D,DG!$C$2,)</f>
        <v>Khóa néo dây cỡ dây 70</v>
      </c>
      <c r="F1807" s="1236" t="str">
        <f>VLOOKUP($B1807,DG!A:D,DG!$D$2,)</f>
        <v>cái</v>
      </c>
      <c r="G1807" s="1915"/>
      <c r="H1807" s="1245">
        <f t="shared" si="337"/>
        <v>0</v>
      </c>
      <c r="I1807" s="1245"/>
      <c r="J1807" s="1245"/>
      <c r="K1807" s="1245">
        <f t="shared" si="347"/>
        <v>0</v>
      </c>
      <c r="L1807" s="1245"/>
      <c r="M1807" s="1245"/>
      <c r="N1807" s="1245"/>
      <c r="O1807" s="1245"/>
      <c r="P1807" s="1257">
        <f t="shared" si="345"/>
        <v>0</v>
      </c>
      <c r="Q1807" s="1245"/>
      <c r="R1807" s="1245"/>
      <c r="S1807" s="1245"/>
      <c r="T1807" s="1671"/>
      <c r="U1807" s="1664" t="str">
        <f>IFERROR(VLOOKUP(B1807,ChiTietDuToan!C:H,5,0),"")</f>
        <v/>
      </c>
      <c r="V1807" s="2309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91" t="s">
        <v>1534</v>
      </c>
      <c r="C1808" s="1189" t="str">
        <f t="shared" si="348"/>
        <v xml:space="preserve"> </v>
      </c>
      <c r="D1808" s="1236"/>
      <c r="E1808" s="1248" t="str">
        <f>VLOOKUP($B1808,DG!A:D,DG!$C$2,)</f>
        <v>Khóa néo dây cỡ dây 50</v>
      </c>
      <c r="F1808" s="1236" t="str">
        <f>VLOOKUP($B1808,DG!A:D,DG!$D$2,)</f>
        <v>cái</v>
      </c>
      <c r="G1808" s="1912"/>
      <c r="H1808" s="1245">
        <f t="shared" si="337"/>
        <v>0</v>
      </c>
      <c r="I1808" s="1245"/>
      <c r="J1808" s="1245"/>
      <c r="K1808" s="1245">
        <f t="shared" si="347"/>
        <v>0</v>
      </c>
      <c r="L1808" s="1245"/>
      <c r="M1808" s="1245"/>
      <c r="N1808" s="1245"/>
      <c r="O1808" s="1245"/>
      <c r="P1808" s="1257">
        <f t="shared" si="345"/>
        <v>0</v>
      </c>
      <c r="Q1808" s="1245"/>
      <c r="R1808" s="1245"/>
      <c r="S1808" s="1245"/>
      <c r="T1808" s="1671"/>
      <c r="U1808" s="1664" t="str">
        <f>IFERROR(VLOOKUP(B1808,ChiTietDuToan!C:H,5,0),"")</f>
        <v/>
      </c>
      <c r="V1808" s="2309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66" t="s">
        <v>824</v>
      </c>
      <c r="C1809" s="1189" t="str">
        <f t="shared" si="348"/>
        <v xml:space="preserve"> </v>
      </c>
      <c r="D1809" s="1236"/>
      <c r="E1809" s="1248" t="str">
        <f>VLOOKUP($B1809,DG!A:D,DG!$C$2,)</f>
        <v>Ốc xiết cáp cỡ 25mm2</v>
      </c>
      <c r="F1809" s="1236" t="str">
        <f>VLOOKUP($B1809,DG!A:D,DG!$D$2,)</f>
        <v>cái</v>
      </c>
      <c r="G1809" s="1928"/>
      <c r="H1809" s="1245">
        <f t="shared" si="337"/>
        <v>0</v>
      </c>
      <c r="I1809" s="1245"/>
      <c r="J1809" s="1245"/>
      <c r="K1809" s="1245">
        <f t="shared" ref="K1809:K1815" si="349">G1809</f>
        <v>0</v>
      </c>
      <c r="L1809" s="1245"/>
      <c r="M1809" s="1245"/>
      <c r="N1809" s="1245"/>
      <c r="O1809" s="1245"/>
      <c r="P1809" s="1257">
        <f t="shared" si="345"/>
        <v>0</v>
      </c>
      <c r="Q1809" s="1245"/>
      <c r="R1809" s="1245"/>
      <c r="S1809" s="1245"/>
      <c r="T1809" s="1671"/>
      <c r="U1809" s="1664" t="str">
        <f>IFERROR(VLOOKUP(B1809,ChiTietDuToan!C:H,5,0),"")</f>
        <v/>
      </c>
      <c r="V1809" s="2309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66" t="s">
        <v>1391</v>
      </c>
      <c r="C1810" s="1189" t="str">
        <f t="shared" si="348"/>
        <v xml:space="preserve"> </v>
      </c>
      <c r="D1810" s="1236"/>
      <c r="E1810" s="1248" t="str">
        <f>VLOOKUP($B1810,DG!A:D,DG!$C$2,)</f>
        <v xml:space="preserve">Ốc xiết cáp cỡ 50mm2 </v>
      </c>
      <c r="F1810" s="1236" t="str">
        <f>VLOOKUP($B1810,DG!A:D,DG!$D$2,)</f>
        <v>cái</v>
      </c>
      <c r="G1810" s="1928"/>
      <c r="H1810" s="1245">
        <f t="shared" si="337"/>
        <v>0</v>
      </c>
      <c r="I1810" s="1245"/>
      <c r="J1810" s="1245"/>
      <c r="K1810" s="1245">
        <f>G1810</f>
        <v>0</v>
      </c>
      <c r="L1810" s="1245"/>
      <c r="M1810" s="1245"/>
      <c r="N1810" s="1245"/>
      <c r="O1810" s="1245"/>
      <c r="P1810" s="1257">
        <f t="shared" si="345"/>
        <v>0</v>
      </c>
      <c r="Q1810" s="1245"/>
      <c r="R1810" s="1245"/>
      <c r="S1810" s="1245"/>
      <c r="T1810" s="1671"/>
      <c r="U1810" s="1664" t="str">
        <f>IFERROR(VLOOKUP(B1810,ChiTietDuToan!C:H,5,0),"")</f>
        <v/>
      </c>
      <c r="V1810" s="2309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66" t="s">
        <v>2016</v>
      </c>
      <c r="C1811" s="1189" t="str">
        <f t="shared" si="348"/>
        <v xml:space="preserve"> </v>
      </c>
      <c r="D1811" s="1236"/>
      <c r="E1811" s="1248" t="str">
        <f>VLOOKUP($B1811,DG!A:D,DG!$C$2,)</f>
        <v>Kẹp ép WR cỡ dây 35mm2</v>
      </c>
      <c r="F1811" s="1236" t="str">
        <f>VLOOKUP($B1811,DG!A:D,DG!$D$2,)</f>
        <v>cái</v>
      </c>
      <c r="G1811" s="1928"/>
      <c r="H1811" s="1245">
        <f t="shared" ref="H1811:H1818" si="350">$G1811</f>
        <v>0</v>
      </c>
      <c r="I1811" s="1245"/>
      <c r="J1811" s="1245"/>
      <c r="K1811" s="1245">
        <f t="shared" si="349"/>
        <v>0</v>
      </c>
      <c r="L1811" s="1245"/>
      <c r="M1811" s="1245"/>
      <c r="N1811" s="1245"/>
      <c r="O1811" s="1245"/>
      <c r="P1811" s="1257">
        <f t="shared" si="345"/>
        <v>0</v>
      </c>
      <c r="Q1811" s="1245"/>
      <c r="R1811" s="1245"/>
      <c r="S1811" s="1245"/>
      <c r="T1811" s="1671"/>
      <c r="U1811" s="1664" t="str">
        <f>IFERROR(VLOOKUP(B1811,ChiTietDuToan!C:H,5,0),"")</f>
        <v/>
      </c>
      <c r="V1811" s="2309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65" t="s">
        <v>922</v>
      </c>
      <c r="C1812" s="1189" t="str">
        <f t="shared" si="348"/>
        <v xml:space="preserve"> </v>
      </c>
      <c r="D1812" s="1236"/>
      <c r="E1812" s="1248" t="str">
        <f>VLOOKUP($B1812,DG!A:D,DG!$C$2,)</f>
        <v>Kẹp ép WR cỡ dây 50mm2</v>
      </c>
      <c r="F1812" s="1236" t="str">
        <f>VLOOKUP($B1812,DG!A:D,DG!$D$2,)</f>
        <v>cái</v>
      </c>
      <c r="G1812" s="1928">
        <f>pp3p1m!FD111</f>
        <v>0</v>
      </c>
      <c r="H1812" s="1245">
        <f t="shared" si="350"/>
        <v>0</v>
      </c>
      <c r="I1812" s="1245"/>
      <c r="J1812" s="1245"/>
      <c r="K1812" s="1245">
        <f t="shared" si="349"/>
        <v>0</v>
      </c>
      <c r="L1812" s="1245"/>
      <c r="M1812" s="1245"/>
      <c r="N1812" s="1245"/>
      <c r="O1812" s="1683"/>
      <c r="P1812" s="1257">
        <f t="shared" si="345"/>
        <v>0</v>
      </c>
      <c r="Q1812" s="1245"/>
      <c r="R1812" s="1245"/>
      <c r="S1812" s="1245"/>
      <c r="T1812" s="1664"/>
      <c r="U1812" s="1664" t="str">
        <f>IFERROR(VLOOKUP(B1812,ChiTietDuToan!C:H,5,0),"")</f>
        <v/>
      </c>
      <c r="V1812" s="2309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66" t="s">
        <v>35</v>
      </c>
      <c r="C1813" s="1189" t="str">
        <f t="shared" si="348"/>
        <v xml:space="preserve"> </v>
      </c>
      <c r="D1813" s="1236"/>
      <c r="E1813" s="1248" t="str">
        <f>VLOOKUP($B1813,DG!A:D,DG!$C$2,)</f>
        <v>Kẹp ép WR cỡ dây 70mm2</v>
      </c>
      <c r="F1813" s="1236" t="str">
        <f>VLOOKUP($B1813,DG!A:D,DG!$D$2,)</f>
        <v>cái</v>
      </c>
      <c r="G1813" s="1928"/>
      <c r="H1813" s="1245">
        <f t="shared" si="350"/>
        <v>0</v>
      </c>
      <c r="I1813" s="1245"/>
      <c r="J1813" s="1245"/>
      <c r="K1813" s="1245">
        <f t="shared" si="349"/>
        <v>0</v>
      </c>
      <c r="L1813" s="1245"/>
      <c r="M1813" s="1245"/>
      <c r="N1813" s="1245"/>
      <c r="O1813" s="1245"/>
      <c r="P1813" s="1257">
        <f t="shared" si="345"/>
        <v>0</v>
      </c>
      <c r="Q1813" s="1245"/>
      <c r="R1813" s="1245"/>
      <c r="S1813" s="1245"/>
      <c r="T1813" s="1671"/>
      <c r="U1813" s="1664" t="str">
        <f>IFERROR(VLOOKUP(B1813,ChiTietDuToan!C:H,5,0),"")</f>
        <v/>
      </c>
      <c r="V1813" s="2309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66" t="s">
        <v>36</v>
      </c>
      <c r="C1814" s="1189" t="str">
        <f t="shared" si="348"/>
        <v xml:space="preserve"> </v>
      </c>
      <c r="D1814" s="1236"/>
      <c r="E1814" s="1248" t="str">
        <f>VLOOKUP($B1814,DG!A:D,DG!$C$2,)</f>
        <v>Kẹp ép WR cỡ dây 95mm2</v>
      </c>
      <c r="F1814" s="1236" t="str">
        <f>VLOOKUP($B1814,DG!A:D,DG!$D$2,)</f>
        <v>cái</v>
      </c>
      <c r="G1814" s="1928"/>
      <c r="H1814" s="1245">
        <f t="shared" si="350"/>
        <v>0</v>
      </c>
      <c r="I1814" s="1245"/>
      <c r="J1814" s="1245"/>
      <c r="K1814" s="1245">
        <f t="shared" si="349"/>
        <v>0</v>
      </c>
      <c r="L1814" s="1245"/>
      <c r="M1814" s="1245"/>
      <c r="N1814" s="1245"/>
      <c r="O1814" s="1245"/>
      <c r="P1814" s="1257">
        <f t="shared" si="345"/>
        <v>0</v>
      </c>
      <c r="Q1814" s="1245"/>
      <c r="R1814" s="1245"/>
      <c r="S1814" s="1245"/>
      <c r="T1814" s="1671"/>
      <c r="U1814" s="1664" t="str">
        <f>IFERROR(VLOOKUP(B1814,ChiTietDuToan!C:H,5,0),"")</f>
        <v/>
      </c>
      <c r="V1814" s="2309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66" t="s">
        <v>13</v>
      </c>
      <c r="C1815" s="1189" t="str">
        <f t="shared" si="348"/>
        <v xml:space="preserve"> </v>
      </c>
      <c r="D1815" s="1236"/>
      <c r="E1815" s="1248" t="str">
        <f>VLOOKUP($B1815,DG!A:D,DG!$C$2,)</f>
        <v>Kẹp ép WR cỡ dây 120mm2</v>
      </c>
      <c r="F1815" s="1236" t="str">
        <f>VLOOKUP($B1815,DG!A:D,DG!$D$2,)</f>
        <v>cái</v>
      </c>
      <c r="G1815" s="1928"/>
      <c r="H1815" s="1245">
        <f t="shared" si="350"/>
        <v>0</v>
      </c>
      <c r="I1815" s="1245"/>
      <c r="J1815" s="1245"/>
      <c r="K1815" s="1245">
        <f t="shared" si="349"/>
        <v>0</v>
      </c>
      <c r="L1815" s="1245"/>
      <c r="M1815" s="1245"/>
      <c r="N1815" s="1245"/>
      <c r="O1815" s="1245"/>
      <c r="P1815" s="1257">
        <f t="shared" si="345"/>
        <v>0</v>
      </c>
      <c r="Q1815" s="1245"/>
      <c r="R1815" s="1245"/>
      <c r="S1815" s="1245"/>
      <c r="T1815" s="1671"/>
      <c r="U1815" s="1664" t="str">
        <f>IFERROR(VLOOKUP(B1815,ChiTietDuToan!C:H,5,0),"")</f>
        <v/>
      </c>
      <c r="V1815" s="2309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66" t="s">
        <v>143</v>
      </c>
      <c r="C1816" s="1189" t="str">
        <f t="shared" si="348"/>
        <v xml:space="preserve"> </v>
      </c>
      <c r="D1816" s="1236"/>
      <c r="E1816" s="1248" t="str">
        <f>VLOOKUP($B1816,DG!A:D,DG!$C$2,)</f>
        <v>Kẹp ép WR cỡ dây 150mm2</v>
      </c>
      <c r="F1816" s="1236" t="str">
        <f>VLOOKUP($B1816,DG!A:D,DG!$D$2,)</f>
        <v>cái</v>
      </c>
      <c r="G1816" s="1928"/>
      <c r="H1816" s="1245">
        <f t="shared" si="350"/>
        <v>0</v>
      </c>
      <c r="I1816" s="1245"/>
      <c r="J1816" s="1245"/>
      <c r="K1816" s="1245">
        <f>G1816</f>
        <v>0</v>
      </c>
      <c r="L1816" s="1245"/>
      <c r="M1816" s="1245"/>
      <c r="N1816" s="1245"/>
      <c r="O1816" s="1245"/>
      <c r="P1816" s="1257">
        <f t="shared" si="345"/>
        <v>0</v>
      </c>
      <c r="Q1816" s="1245"/>
      <c r="R1816" s="1245"/>
      <c r="S1816" s="1245"/>
      <c r="T1816" s="1671"/>
      <c r="U1816" s="1664" t="str">
        <f>IFERROR(VLOOKUP(B1816,ChiTietDuToan!C:H,5,0),"")</f>
        <v/>
      </c>
      <c r="V1816" s="2309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66" t="s">
        <v>14</v>
      </c>
      <c r="C1817" s="1189" t="str">
        <f t="shared" si="348"/>
        <v xml:space="preserve"> </v>
      </c>
      <c r="D1817" s="1236"/>
      <c r="E1817" s="1248" t="str">
        <f>VLOOKUP($B1817,DG!A:D,DG!$C$2,)</f>
        <v>Kẹp ép WR cỡ dây 185mm2</v>
      </c>
      <c r="F1817" s="1236" t="str">
        <f>VLOOKUP($B1817,DG!A:D,DG!$D$2,)</f>
        <v>cái</v>
      </c>
      <c r="G1817" s="1928"/>
      <c r="H1817" s="1245">
        <f t="shared" si="350"/>
        <v>0</v>
      </c>
      <c r="I1817" s="1245"/>
      <c r="J1817" s="1245"/>
      <c r="K1817" s="1245">
        <f>G1817</f>
        <v>0</v>
      </c>
      <c r="L1817" s="1245"/>
      <c r="M1817" s="1245"/>
      <c r="N1817" s="1245"/>
      <c r="O1817" s="1245"/>
      <c r="P1817" s="1257">
        <f t="shared" si="345"/>
        <v>0</v>
      </c>
      <c r="Q1817" s="1245"/>
      <c r="R1817" s="1245"/>
      <c r="S1817" s="1245"/>
      <c r="T1817" s="1671"/>
      <c r="U1817" s="1664" t="str">
        <f>IFERROR(VLOOKUP(B1817,ChiTietDuToan!C:H,5,0),"")</f>
        <v/>
      </c>
      <c r="V1817" s="2309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66" t="s">
        <v>15</v>
      </c>
      <c r="C1818" s="1189" t="str">
        <f t="shared" si="348"/>
        <v xml:space="preserve"> </v>
      </c>
      <c r="D1818" s="1236"/>
      <c r="E1818" s="1248" t="str">
        <f>VLOOKUP($B1818,DG!A:D,DG!$C$2,)</f>
        <v>Kẹp ép WR cỡ dây 240mm2</v>
      </c>
      <c r="F1818" s="1236" t="str">
        <f>VLOOKUP($B1818,DG!A:D,DG!$D$2,)</f>
        <v>cái</v>
      </c>
      <c r="G1818" s="1928"/>
      <c r="H1818" s="1245">
        <f t="shared" si="350"/>
        <v>0</v>
      </c>
      <c r="I1818" s="1245"/>
      <c r="J1818" s="1245"/>
      <c r="K1818" s="1245">
        <f>G1818</f>
        <v>0</v>
      </c>
      <c r="L1818" s="1245"/>
      <c r="M1818" s="1245"/>
      <c r="N1818" s="1245"/>
      <c r="O1818" s="1245"/>
      <c r="P1818" s="1257">
        <f t="shared" si="345"/>
        <v>0</v>
      </c>
      <c r="Q1818" s="1245"/>
      <c r="R1818" s="1245"/>
      <c r="S1818" s="1245"/>
      <c r="T1818" s="1671"/>
      <c r="U1818" s="1664" t="str">
        <f>IFERROR(VLOOKUP(B1818,ChiTietDuToan!C:H,5,0),"")</f>
        <v/>
      </c>
      <c r="V1818" s="2309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66" t="s">
        <v>1634</v>
      </c>
      <c r="C1819" s="1189" t="str">
        <f t="shared" si="348"/>
        <v xml:space="preserve"> </v>
      </c>
      <c r="D1819" s="1236"/>
      <c r="E1819" s="1248" t="str">
        <f>VLOOKUP($B1819,DG!A:D,DG!$C$2,)</f>
        <v>Kẹp 2 rãnh (APC) cỡ dây 50mm2</v>
      </c>
      <c r="F1819" s="1236" t="str">
        <f>VLOOKUP($B1819,DG!A:D,DG!$D$2,)</f>
        <v>cái</v>
      </c>
      <c r="G1819" s="1928"/>
      <c r="H1819" s="1245">
        <f t="shared" si="337"/>
        <v>0</v>
      </c>
      <c r="I1819" s="1245"/>
      <c r="J1819" s="1245"/>
      <c r="K1819" s="1245">
        <f t="shared" si="347"/>
        <v>0</v>
      </c>
      <c r="L1819" s="1245"/>
      <c r="M1819" s="1245"/>
      <c r="N1819" s="1245"/>
      <c r="O1819" s="1245"/>
      <c r="P1819" s="1257">
        <f t="shared" si="345"/>
        <v>0</v>
      </c>
      <c r="Q1819" s="1245"/>
      <c r="R1819" s="1245"/>
      <c r="S1819" s="1245"/>
      <c r="T1819" s="1671"/>
      <c r="U1819" s="1664" t="str">
        <f>IFERROR(VLOOKUP(B1819,ChiTietDuToan!C:H,5,0),"")</f>
        <v/>
      </c>
      <c r="V1819" s="2309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66" t="s">
        <v>1633</v>
      </c>
      <c r="C1820" s="1189" t="str">
        <f t="shared" si="348"/>
        <v xml:space="preserve"> </v>
      </c>
      <c r="D1820" s="1236"/>
      <c r="E1820" s="1248" t="str">
        <f>VLOOKUP($B1820,DG!A:D,DG!$C$2,)</f>
        <v>Kẹp 2 rãnh (APC) cỡ dây 70mm2</v>
      </c>
      <c r="F1820" s="1236" t="str">
        <f>VLOOKUP($B1820,DG!A:D,DG!$D$2,)</f>
        <v>cái</v>
      </c>
      <c r="G1820" s="1928"/>
      <c r="H1820" s="1245">
        <f t="shared" si="337"/>
        <v>0</v>
      </c>
      <c r="I1820" s="1245"/>
      <c r="J1820" s="1245"/>
      <c r="K1820" s="1245">
        <f t="shared" si="347"/>
        <v>0</v>
      </c>
      <c r="L1820" s="1245"/>
      <c r="M1820" s="1245"/>
      <c r="N1820" s="1245"/>
      <c r="O1820" s="1245"/>
      <c r="P1820" s="1257">
        <f t="shared" si="345"/>
        <v>0</v>
      </c>
      <c r="Q1820" s="1245"/>
      <c r="R1820" s="1245"/>
      <c r="S1820" s="1245"/>
      <c r="T1820" s="1671"/>
      <c r="U1820" s="1664" t="str">
        <f>IFERROR(VLOOKUP(B1820,ChiTietDuToan!C:H,5,0),"")</f>
        <v/>
      </c>
      <c r="V1820" s="2309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66" t="s">
        <v>1052</v>
      </c>
      <c r="C1821" s="1189" t="str">
        <f t="shared" si="348"/>
        <v xml:space="preserve"> </v>
      </c>
      <c r="D1821" s="1236"/>
      <c r="E1821" s="1248" t="str">
        <f>VLOOKUP($B1821,DG!A:D,DG!$C$2,)</f>
        <v>Kẹp 2 rãnh (APC) cỡ dây 95mm2</v>
      </c>
      <c r="F1821" s="1236" t="str">
        <f>VLOOKUP($B1821,DG!A:D,DG!$D$2,)</f>
        <v>cái</v>
      </c>
      <c r="G1821" s="1928"/>
      <c r="H1821" s="1245">
        <f t="shared" si="337"/>
        <v>0</v>
      </c>
      <c r="I1821" s="1245"/>
      <c r="J1821" s="1245"/>
      <c r="K1821" s="1245">
        <f t="shared" si="347"/>
        <v>0</v>
      </c>
      <c r="L1821" s="1245"/>
      <c r="M1821" s="1245"/>
      <c r="N1821" s="1245"/>
      <c r="O1821" s="1245"/>
      <c r="P1821" s="1257">
        <f t="shared" si="345"/>
        <v>0</v>
      </c>
      <c r="Q1821" s="1245"/>
      <c r="R1821" s="1245"/>
      <c r="S1821" s="1245"/>
      <c r="T1821" s="1671"/>
      <c r="U1821" s="1664" t="str">
        <f>IFERROR(VLOOKUP(B1821,ChiTietDuToan!C:H,5,0),"")</f>
        <v/>
      </c>
      <c r="V1821" s="2309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66" t="s">
        <v>1283</v>
      </c>
      <c r="C1822" s="1189" t="str">
        <f t="shared" si="348"/>
        <v xml:space="preserve"> </v>
      </c>
      <c r="D1822" s="1236"/>
      <c r="E1822" s="1248" t="str">
        <f>VLOOKUP($B1822,DG!A:D,DG!$C$2,)</f>
        <v>Kẹp 2 rãnh (APC) cỡ dây 150mm2</v>
      </c>
      <c r="F1822" s="1236" t="str">
        <f>VLOOKUP($B1822,DG!A:D,DG!$D$2,)</f>
        <v>cái</v>
      </c>
      <c r="G1822" s="1928"/>
      <c r="H1822" s="1245">
        <f t="shared" si="337"/>
        <v>0</v>
      </c>
      <c r="I1822" s="1245"/>
      <c r="J1822" s="1245"/>
      <c r="K1822" s="1245">
        <f t="shared" si="347"/>
        <v>0</v>
      </c>
      <c r="L1822" s="1245"/>
      <c r="M1822" s="1245"/>
      <c r="N1822" s="1245"/>
      <c r="O1822" s="1245"/>
      <c r="P1822" s="1257">
        <f t="shared" si="345"/>
        <v>0</v>
      </c>
      <c r="Q1822" s="1245"/>
      <c r="R1822" s="1245"/>
      <c r="S1822" s="1245"/>
      <c r="T1822" s="1671"/>
      <c r="U1822" s="1664" t="str">
        <f>IFERROR(VLOOKUP(B1822,ChiTietDuToan!C:H,5,0),"")</f>
        <v/>
      </c>
      <c r="V1822" s="2309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66" t="s">
        <v>786</v>
      </c>
      <c r="C1823" s="1189" t="str">
        <f t="shared" si="348"/>
        <v xml:space="preserve"> </v>
      </c>
      <c r="D1823" s="1236"/>
      <c r="E1823" s="1248" t="str">
        <f>VLOOKUP($B1823,DG!A:D,DG!$C$2,)</f>
        <v>Kẹp 2 rãnh (APC) cỡ dây 185mm2</v>
      </c>
      <c r="F1823" s="1236" t="str">
        <f>VLOOKUP($B1823,DG!A:D,DG!$D$2,)</f>
        <v>cái</v>
      </c>
      <c r="G1823" s="1928"/>
      <c r="H1823" s="1245">
        <f t="shared" si="337"/>
        <v>0</v>
      </c>
      <c r="I1823" s="1245"/>
      <c r="J1823" s="1245"/>
      <c r="K1823" s="1245">
        <f>G1823</f>
        <v>0</v>
      </c>
      <c r="L1823" s="1245"/>
      <c r="M1823" s="1245"/>
      <c r="N1823" s="1245"/>
      <c r="O1823" s="1245"/>
      <c r="P1823" s="1257">
        <f t="shared" si="345"/>
        <v>0</v>
      </c>
      <c r="Q1823" s="1245"/>
      <c r="R1823" s="1245"/>
      <c r="S1823" s="1245"/>
      <c r="T1823" s="1671"/>
      <c r="U1823" s="1664" t="str">
        <f>IFERROR(VLOOKUP(B1823,ChiTietDuToan!C:H,5,0),"")</f>
        <v/>
      </c>
      <c r="V1823" s="2309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66" t="s">
        <v>1634</v>
      </c>
      <c r="C1824" s="1189" t="str">
        <f t="shared" si="348"/>
        <v xml:space="preserve"> </v>
      </c>
      <c r="D1824" s="1236"/>
      <c r="E1824" s="1248" t="str">
        <f>VLOOKUP($B1824,DG!A:D,DG!$C$2,)</f>
        <v>Kẹp 2 rãnh (APC) cỡ dây 50mm2</v>
      </c>
      <c r="F1824" s="1236" t="str">
        <f>VLOOKUP($B1824,DG!A:D,DG!$D$2,)</f>
        <v>cái</v>
      </c>
      <c r="G1824" s="1928"/>
      <c r="H1824" s="1245">
        <f t="shared" si="337"/>
        <v>0</v>
      </c>
      <c r="I1824" s="1245"/>
      <c r="J1824" s="1245"/>
      <c r="K1824" s="1245">
        <f t="shared" si="347"/>
        <v>0</v>
      </c>
      <c r="L1824" s="1245"/>
      <c r="M1824" s="1245"/>
      <c r="N1824" s="1245"/>
      <c r="O1824" s="1245"/>
      <c r="P1824" s="1257">
        <f t="shared" si="345"/>
        <v>0</v>
      </c>
      <c r="Q1824" s="1245"/>
      <c r="R1824" s="1245"/>
      <c r="S1824" s="1245"/>
      <c r="T1824" s="1671"/>
      <c r="U1824" s="1664" t="str">
        <f>IFERROR(VLOOKUP(B1824,ChiTietDuToan!C:H,5,0),"")</f>
        <v/>
      </c>
      <c r="V1824" s="2309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66" t="s">
        <v>923</v>
      </c>
      <c r="C1825" s="1189" t="str">
        <f t="shared" si="348"/>
        <v xml:space="preserve"> </v>
      </c>
      <c r="D1825" s="1236" t="str">
        <f>VLOOKUP($B1825,DG!A:D,DG!$B$2,)</f>
        <v>03.4002</v>
      </c>
      <c r="E1825" s="1248" t="str">
        <f>VLOOKUP($B1825,DG!A:D,DG!$C$2,)</f>
        <v>Đầu cosse ép Cu-Al 50mm2</v>
      </c>
      <c r="F1825" s="1236" t="str">
        <f>VLOOKUP($B1825,DG!A:D,DG!$D$2,)</f>
        <v>cái</v>
      </c>
      <c r="G1825" s="1928"/>
      <c r="H1825" s="1245">
        <f>$G1825</f>
        <v>0</v>
      </c>
      <c r="I1825" s="1245"/>
      <c r="J1825" s="1245"/>
      <c r="K1825" s="1245">
        <f t="shared" si="347"/>
        <v>0</v>
      </c>
      <c r="L1825" s="1245"/>
      <c r="M1825" s="1245"/>
      <c r="N1825" s="1245"/>
      <c r="O1825" s="1245"/>
      <c r="P1825" s="1257">
        <f t="shared" si="345"/>
        <v>0</v>
      </c>
      <c r="Q1825" s="1245"/>
      <c r="R1825" s="1245"/>
      <c r="S1825" s="1245"/>
      <c r="T1825" s="1671"/>
      <c r="U1825" s="1664" t="str">
        <f>IFERROR(VLOOKUP(B1825,ChiTietDuToan!C:H,5,0),"")</f>
        <v/>
      </c>
      <c r="V1825" s="2309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66" t="s">
        <v>1105</v>
      </c>
      <c r="C1826" s="1189" t="str">
        <f t="shared" si="348"/>
        <v xml:space="preserve"> </v>
      </c>
      <c r="D1826" s="1236" t="str">
        <f>VLOOKUP($B1826,DG!A:D,DG!$B$2,)</f>
        <v>03.4004</v>
      </c>
      <c r="E1826" s="1248" t="str">
        <f>VLOOKUP($B1826,DG!A:D,DG!$C$2,)</f>
        <v>Đầu cosse ép Cu 95mm2</v>
      </c>
      <c r="F1826" s="1236" t="str">
        <f>VLOOKUP($B1826,DG!A:D,DG!$D$2,)</f>
        <v>cái</v>
      </c>
      <c r="G1826" s="1928"/>
      <c r="H1826" s="1245">
        <f t="shared" si="337"/>
        <v>0</v>
      </c>
      <c r="I1826" s="1245"/>
      <c r="J1826" s="1245"/>
      <c r="K1826" s="1245">
        <f t="shared" si="347"/>
        <v>0</v>
      </c>
      <c r="L1826" s="1245"/>
      <c r="M1826" s="1245"/>
      <c r="N1826" s="1245"/>
      <c r="O1826" s="1245"/>
      <c r="P1826" s="1257">
        <f t="shared" si="345"/>
        <v>0</v>
      </c>
      <c r="Q1826" s="1245"/>
      <c r="R1826" s="1245"/>
      <c r="S1826" s="1245"/>
      <c r="T1826" s="1671"/>
      <c r="U1826" s="1664" t="str">
        <f>IFERROR(VLOOKUP(B1826,ChiTietDuToan!C:H,5,0),"")</f>
        <v/>
      </c>
      <c r="V1826" s="2309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66" t="s">
        <v>50</v>
      </c>
      <c r="C1827" s="1189" t="str">
        <f t="shared" si="348"/>
        <v xml:space="preserve"> </v>
      </c>
      <c r="D1827" s="1236" t="str">
        <f>VLOOKUP($B1827,DG!A:D,DG!$B$2,)</f>
        <v>03.4005</v>
      </c>
      <c r="E1827" s="1248" t="str">
        <f>VLOOKUP($B1827,DG!A:D,DG!$C$2,)</f>
        <v>Đầu cosse ép Cu 120mm2</v>
      </c>
      <c r="F1827" s="1236" t="str">
        <f>VLOOKUP($B1827,DG!A:D,DG!$D$2,)</f>
        <v>cái</v>
      </c>
      <c r="G1827" s="1928"/>
      <c r="H1827" s="1245">
        <f t="shared" si="337"/>
        <v>0</v>
      </c>
      <c r="I1827" s="1245"/>
      <c r="J1827" s="1245"/>
      <c r="K1827" s="1245">
        <f t="shared" si="347"/>
        <v>0</v>
      </c>
      <c r="L1827" s="1245"/>
      <c r="M1827" s="1245"/>
      <c r="N1827" s="1245"/>
      <c r="O1827" s="1245"/>
      <c r="P1827" s="1257">
        <f t="shared" si="345"/>
        <v>0</v>
      </c>
      <c r="Q1827" s="1245"/>
      <c r="R1827" s="1245"/>
      <c r="S1827" s="1245"/>
      <c r="T1827" s="1671"/>
      <c r="U1827" s="1664" t="str">
        <f>IFERROR(VLOOKUP(B1827,ChiTietDuToan!C:H,5,0),"")</f>
        <v/>
      </c>
      <c r="V1827" s="2309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66" t="s">
        <v>0</v>
      </c>
      <c r="C1828" s="1189" t="str">
        <f t="shared" si="348"/>
        <v xml:space="preserve"> </v>
      </c>
      <c r="D1828" s="1236" t="str">
        <f>VLOOKUP($B1828,DG!A:D,DG!$B$2,)</f>
        <v>03.4006</v>
      </c>
      <c r="E1828" s="1248" t="str">
        <f>VLOOKUP($B1828,DG!A:D,DG!$C$2,)</f>
        <v>Đầu cosse ép Cu 150mm2</v>
      </c>
      <c r="F1828" s="1236" t="str">
        <f>VLOOKUP($B1828,DG!A:D,DG!$D$2,)</f>
        <v>cái</v>
      </c>
      <c r="G1828" s="1928"/>
      <c r="H1828" s="1245">
        <f t="shared" si="337"/>
        <v>0</v>
      </c>
      <c r="I1828" s="1245"/>
      <c r="J1828" s="1245"/>
      <c r="K1828" s="1245">
        <f t="shared" si="347"/>
        <v>0</v>
      </c>
      <c r="L1828" s="1245"/>
      <c r="M1828" s="1245"/>
      <c r="N1828" s="1245"/>
      <c r="O1828" s="1245"/>
      <c r="P1828" s="1257">
        <f t="shared" si="345"/>
        <v>0</v>
      </c>
      <c r="Q1828" s="1245"/>
      <c r="R1828" s="1245"/>
      <c r="S1828" s="1245"/>
      <c r="T1828" s="1671"/>
      <c r="U1828" s="1664" t="str">
        <f>IFERROR(VLOOKUP(B1828,ChiTietDuToan!C:H,5,0),"")</f>
        <v>cái</v>
      </c>
      <c r="V1828" s="2309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66" t="s">
        <v>1050</v>
      </c>
      <c r="C1829" s="1189" t="str">
        <f t="shared" si="348"/>
        <v xml:space="preserve"> </v>
      </c>
      <c r="D1829" s="1236" t="str">
        <f>VLOOKUP($B1829,DG!A:D,DG!$B$2,)</f>
        <v>03.4007</v>
      </c>
      <c r="E1829" s="1248" t="str">
        <f>VLOOKUP($B1829,DG!A:D,DG!$C$2,)</f>
        <v>Đầu cosse ép Cu-Al 185mm2</v>
      </c>
      <c r="F1829" s="1236" t="str">
        <f>VLOOKUP($B1829,DG!A:D,DG!$D$2,)</f>
        <v>cái</v>
      </c>
      <c r="G1829" s="1928"/>
      <c r="H1829" s="1245">
        <f t="shared" si="337"/>
        <v>0</v>
      </c>
      <c r="I1829" s="1245"/>
      <c r="J1829" s="1245"/>
      <c r="K1829" s="1245">
        <f t="shared" si="347"/>
        <v>0</v>
      </c>
      <c r="L1829" s="1245"/>
      <c r="M1829" s="1245"/>
      <c r="N1829" s="1245"/>
      <c r="O1829" s="1245"/>
      <c r="P1829" s="1257">
        <f t="shared" si="345"/>
        <v>0</v>
      </c>
      <c r="Q1829" s="1245"/>
      <c r="R1829" s="1245"/>
      <c r="S1829" s="1245"/>
      <c r="T1829" s="1671"/>
      <c r="U1829" s="1664" t="str">
        <f>IFERROR(VLOOKUP(B1829,ChiTietDuToan!C:H,5,0),"")</f>
        <v/>
      </c>
      <c r="V1829" s="2309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66" t="s">
        <v>1884</v>
      </c>
      <c r="C1830" s="1189" t="str">
        <f t="shared" si="348"/>
        <v xml:space="preserve"> </v>
      </c>
      <c r="D1830" s="1236" t="str">
        <f>VLOOKUP($B1830,DG!A:D,DG!$B$2,)</f>
        <v>03.4008</v>
      </c>
      <c r="E1830" s="1248" t="str">
        <f>VLOOKUP($B1830,DG!A:D,DG!$C$2,)</f>
        <v>Đầu cosse ép Cu-Al 240mm2</v>
      </c>
      <c r="F1830" s="1236" t="str">
        <f>VLOOKUP($B1830,DG!A:D,DG!$D$2,)</f>
        <v>cái</v>
      </c>
      <c r="G1830" s="1928"/>
      <c r="H1830" s="1245">
        <f t="shared" si="337"/>
        <v>0</v>
      </c>
      <c r="I1830" s="1245"/>
      <c r="J1830" s="1245"/>
      <c r="K1830" s="1245">
        <f t="shared" si="347"/>
        <v>0</v>
      </c>
      <c r="L1830" s="1245"/>
      <c r="M1830" s="1245"/>
      <c r="N1830" s="1245"/>
      <c r="O1830" s="1245"/>
      <c r="P1830" s="1257">
        <f t="shared" si="345"/>
        <v>0</v>
      </c>
      <c r="Q1830" s="1245"/>
      <c r="R1830" s="1245"/>
      <c r="S1830" s="1245"/>
      <c r="T1830" s="1671"/>
      <c r="U1830" s="1664" t="str">
        <f>IFERROR(VLOOKUP(B1830,ChiTietDuToan!C:H,5,0),"")</f>
        <v/>
      </c>
      <c r="V1830" s="2309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66" t="s">
        <v>440</v>
      </c>
      <c r="C1831" s="1189" t="str">
        <f t="shared" si="348"/>
        <v xml:space="preserve"> </v>
      </c>
      <c r="D1831" s="1236">
        <f>VLOOKUP($B1831,DG!A:D,DG!$B$2,)</f>
        <v>0</v>
      </c>
      <c r="E1831" s="1248" t="str">
        <f>VLOOKUP($B1831,DG!A:D,DG!$C$2,)</f>
        <v>Boulon 12x30+ 2 long đền vuông D14-50x50x3/Zn</v>
      </c>
      <c r="F1831" s="1236" t="str">
        <f>VLOOKUP($B1831,DG!A:D,DG!$D$2,)</f>
        <v>bộ</v>
      </c>
      <c r="G1831" s="1928"/>
      <c r="H1831" s="1245">
        <f t="shared" si="337"/>
        <v>0</v>
      </c>
      <c r="I1831" s="1245"/>
      <c r="J1831" s="1245"/>
      <c r="K1831" s="1245">
        <f t="shared" si="347"/>
        <v>0</v>
      </c>
      <c r="L1831" s="1245"/>
      <c r="M1831" s="1245"/>
      <c r="N1831" s="1245"/>
      <c r="O1831" s="1245"/>
      <c r="P1831" s="1257">
        <f t="shared" si="345"/>
        <v>0</v>
      </c>
      <c r="Q1831" s="1245"/>
      <c r="R1831" s="1245"/>
      <c r="S1831" s="1245"/>
      <c r="T1831" s="1671"/>
      <c r="U1831" s="1664" t="str">
        <f>IFERROR(VLOOKUP(B1831,ChiTietDuToan!C:H,5,0),"")</f>
        <v/>
      </c>
      <c r="V1831" s="2309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59" t="s">
        <v>4726</v>
      </c>
      <c r="C1832" s="1189" t="str">
        <f t="shared" si="348"/>
        <v xml:space="preserve"> </v>
      </c>
      <c r="D1832" s="1236" t="str">
        <f>VLOOKUP($B1832,DG!A:D,DG!$B$2,)</f>
        <v>04.3007</v>
      </c>
      <c r="E1832" s="1248" t="str">
        <f>VLOOKUP($B1832,DG!A:D,DG!$C$2,)</f>
        <v>Kẹp quai 2/0 + chụp cách điện</v>
      </c>
      <c r="F1832" s="1236" t="str">
        <f>VLOOKUP($B1832,DG!A:D,DG!$D$2,)</f>
        <v>bộ</v>
      </c>
      <c r="G1832" s="1928">
        <f>pp3p1m!EY111</f>
        <v>0</v>
      </c>
      <c r="H1832" s="1245">
        <f t="shared" si="337"/>
        <v>0</v>
      </c>
      <c r="I1832" s="1245"/>
      <c r="J1832" s="1245"/>
      <c r="K1832" s="1245">
        <f t="shared" si="347"/>
        <v>0</v>
      </c>
      <c r="L1832" s="1245"/>
      <c r="M1832" s="1245"/>
      <c r="N1832" s="1245"/>
      <c r="O1832" s="1683"/>
      <c r="P1832" s="1257">
        <f t="shared" si="345"/>
        <v>0</v>
      </c>
      <c r="Q1832" s="1245"/>
      <c r="R1832" s="1245"/>
      <c r="S1832" s="1245"/>
      <c r="T1832" s="1664"/>
      <c r="U1832" s="1664" t="str">
        <f>IFERROR(VLOOKUP(B1832,ChiTietDuToan!C:H,5,0),"")</f>
        <v/>
      </c>
      <c r="V1832" s="2309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59" t="s">
        <v>237</v>
      </c>
      <c r="C1833" s="1189" t="str">
        <f t="shared" si="348"/>
        <v xml:space="preserve"> </v>
      </c>
      <c r="D1833" s="1236" t="str">
        <f>VLOOKUP($B1833,DG!A:D,DG!$B$2,)</f>
        <v>04.3007</v>
      </c>
      <c r="E1833" s="1248" t="str">
        <f>VLOOKUP($B1833,DG!A:D,DG!$C$2,)</f>
        <v>Kẹp quai 4/0</v>
      </c>
      <c r="F1833" s="1236" t="str">
        <f>VLOOKUP($B1833,DG!A:D,DG!$D$2,)</f>
        <v>cái</v>
      </c>
      <c r="G1833" s="1928"/>
      <c r="H1833" s="1245">
        <f t="shared" si="337"/>
        <v>0</v>
      </c>
      <c r="I1833" s="1245"/>
      <c r="J1833" s="1245"/>
      <c r="K1833" s="1245">
        <f>G1833</f>
        <v>0</v>
      </c>
      <c r="L1833" s="1245"/>
      <c r="M1833" s="1245"/>
      <c r="N1833" s="1245"/>
      <c r="O1833" s="1245"/>
      <c r="P1833" s="1257">
        <f t="shared" si="345"/>
        <v>0</v>
      </c>
      <c r="Q1833" s="1245"/>
      <c r="R1833" s="1245"/>
      <c r="S1833" s="1245"/>
      <c r="T1833" s="1671"/>
      <c r="U1833" s="1664" t="str">
        <f>IFERROR(VLOOKUP(B1833,ChiTietDuToan!C:H,5,0),"")</f>
        <v>cái</v>
      </c>
      <c r="V1833" s="2309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59" t="s">
        <v>1529</v>
      </c>
      <c r="C1834" s="1189" t="str">
        <f t="shared" si="348"/>
        <v xml:space="preserve"> </v>
      </c>
      <c r="D1834" s="1236" t="str">
        <f>VLOOKUP($B1834,DG!A:D,DG!$B$2,)</f>
        <v>04.3007</v>
      </c>
      <c r="E1834" s="1248" t="str">
        <f>VLOOKUP($B1834,DG!A:D,DG!$C$2,)</f>
        <v>Kẹp hotline 2/0</v>
      </c>
      <c r="F1834" s="1236" t="str">
        <f>VLOOKUP($B1834,DG!A:D,DG!$D$2,)</f>
        <v>cái</v>
      </c>
      <c r="G1834" s="1915">
        <f>pp3p1m!EZ111</f>
        <v>0</v>
      </c>
      <c r="H1834" s="1245">
        <f t="shared" si="337"/>
        <v>0</v>
      </c>
      <c r="I1834" s="1245"/>
      <c r="J1834" s="1245"/>
      <c r="K1834" s="1245">
        <f t="shared" si="347"/>
        <v>0</v>
      </c>
      <c r="L1834" s="1245"/>
      <c r="M1834" s="1245"/>
      <c r="N1834" s="1245"/>
      <c r="O1834" s="1683"/>
      <c r="P1834" s="1257">
        <f t="shared" si="345"/>
        <v>0</v>
      </c>
      <c r="Q1834" s="1245"/>
      <c r="R1834" s="1245"/>
      <c r="S1834" s="1245"/>
      <c r="T1834" s="1664"/>
      <c r="U1834" s="1664" t="str">
        <f>IFERROR(VLOOKUP(B1834,ChiTietDuToan!C:H,5,0),"")</f>
        <v/>
      </c>
      <c r="V1834" s="2309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59" t="s">
        <v>1079</v>
      </c>
      <c r="C1835" s="1189" t="str">
        <f t="shared" si="348"/>
        <v xml:space="preserve"> </v>
      </c>
      <c r="D1835" s="1236" t="str">
        <f>VLOOKUP($B1835,DG!A:D,DG!$B$2,)</f>
        <v>04.3007</v>
      </c>
      <c r="E1835" s="1248" t="str">
        <f>VLOOKUP($B1835,DG!A:D,DG!$C$2,)</f>
        <v>Kẹp hotline 4/0</v>
      </c>
      <c r="F1835" s="1236" t="str">
        <f>VLOOKUP($B1835,DG!A:D,DG!$D$2,)</f>
        <v>cái</v>
      </c>
      <c r="G1835" s="1915"/>
      <c r="H1835" s="1245">
        <f t="shared" si="337"/>
        <v>0</v>
      </c>
      <c r="I1835" s="1245"/>
      <c r="J1835" s="1245"/>
      <c r="K1835" s="1245">
        <f>G1835</f>
        <v>0</v>
      </c>
      <c r="L1835" s="1245"/>
      <c r="M1835" s="1245"/>
      <c r="N1835" s="1245"/>
      <c r="O1835" s="1245"/>
      <c r="P1835" s="1257">
        <f t="shared" si="345"/>
        <v>0</v>
      </c>
      <c r="Q1835" s="1245"/>
      <c r="R1835" s="1245"/>
      <c r="S1835" s="1245"/>
      <c r="T1835" s="1671"/>
      <c r="U1835" s="1664" t="str">
        <f>IFERROR(VLOOKUP(B1835,ChiTietDuToan!C:H,5,0),"")</f>
        <v>cái</v>
      </c>
      <c r="V1835" s="2309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59" t="s">
        <v>786</v>
      </c>
      <c r="C1836" s="1189" t="str">
        <f t="shared" si="348"/>
        <v xml:space="preserve"> </v>
      </c>
      <c r="D1836" s="1236"/>
      <c r="E1836" s="1248" t="str">
        <f>VLOOKUP($B1836,DG!A:D,DG!$C$2,)</f>
        <v>Kẹp 2 rãnh (APC) cỡ dây 185mm2</v>
      </c>
      <c r="F1836" s="1236" t="str">
        <f>VLOOKUP($B1836,DG!A:D,DG!$D$2,)</f>
        <v>cái</v>
      </c>
      <c r="G1836" s="1915"/>
      <c r="H1836" s="1245">
        <f t="shared" si="337"/>
        <v>0</v>
      </c>
      <c r="I1836" s="1245"/>
      <c r="J1836" s="1245"/>
      <c r="K1836" s="1245">
        <f>G1836</f>
        <v>0</v>
      </c>
      <c r="L1836" s="1245"/>
      <c r="M1836" s="1245"/>
      <c r="N1836" s="1245"/>
      <c r="O1836" s="1245"/>
      <c r="P1836" s="1257">
        <f t="shared" si="345"/>
        <v>0</v>
      </c>
      <c r="Q1836" s="1245"/>
      <c r="R1836" s="1245"/>
      <c r="S1836" s="1245"/>
      <c r="T1836" s="1671"/>
      <c r="U1836" s="1664" t="str">
        <f>IFERROR(VLOOKUP(B1836,ChiTietDuToan!C:H,5,0),"")</f>
        <v/>
      </c>
      <c r="V1836" s="2309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59" t="s">
        <v>704</v>
      </c>
      <c r="C1837" s="1189"/>
      <c r="D1837" s="1687"/>
      <c r="E1837" s="1668" t="str">
        <f>VLOOKUP($B1837,DG!A:D,DG!$C$2,)&amp;" : đấu nối đầu nhánh"</f>
        <v>Cáp 24KV C/XLPE/PVC 25mm2 : đấu nối đầu nhánh</v>
      </c>
      <c r="F1837" s="1236" t="str">
        <f>VLOOKUP($B1837,DG!A:D,DG!$D$2,)</f>
        <v>mét</v>
      </c>
      <c r="G1837" s="1921"/>
      <c r="H1837" s="1245">
        <f t="shared" si="337"/>
        <v>0</v>
      </c>
      <c r="I1837" s="1245"/>
      <c r="J1837" s="1245"/>
      <c r="K1837" s="1245">
        <f t="shared" si="347"/>
        <v>0</v>
      </c>
      <c r="L1837" s="1245"/>
      <c r="M1837" s="1245"/>
      <c r="N1837" s="1245"/>
      <c r="O1837" s="1683"/>
      <c r="P1837" s="1257">
        <f t="shared" si="345"/>
        <v>0</v>
      </c>
      <c r="Q1837" s="1245"/>
      <c r="R1837" s="1245"/>
      <c r="S1837" s="1245"/>
      <c r="T1837" s="1671"/>
      <c r="U1837" s="1664" t="str">
        <f>IFERROR(VLOOKUP(B1837,ChiTietDuToan!C:H,5,0),"")</f>
        <v>mét</v>
      </c>
      <c r="V1837" s="2309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59" t="s">
        <v>704</v>
      </c>
      <c r="C1838" s="1189" t="str">
        <f t="shared" si="348"/>
        <v xml:space="preserve"> </v>
      </c>
      <c r="D1838" s="1687"/>
      <c r="E1838" s="1248" t="str">
        <f>VLOOKUP($B1838,DG!A:D,DG!$C$2,)&amp;" : đấu nối FCO"</f>
        <v>Cáp 24KV C/XLPE/PVC 25mm2 : đấu nối FCO</v>
      </c>
      <c r="F1838" s="1236" t="str">
        <f>VLOOKUP($B1838,DG!A:D,DG!$D$2,)</f>
        <v>mét</v>
      </c>
      <c r="G1838" s="1915">
        <f>K1838*3</f>
        <v>0</v>
      </c>
      <c r="H1838" s="1245">
        <f>$G1838</f>
        <v>0</v>
      </c>
      <c r="I1838" s="1245"/>
      <c r="J1838" s="1245"/>
      <c r="K1838" s="1245">
        <f>pp3p1m!FU111</f>
        <v>0</v>
      </c>
      <c r="L1838" s="1245"/>
      <c r="M1838" s="1245"/>
      <c r="N1838" s="1245"/>
      <c r="O1838" s="1683"/>
      <c r="P1838" s="1257">
        <f t="shared" si="345"/>
        <v>0</v>
      </c>
      <c r="Q1838" s="1245"/>
      <c r="R1838" s="1245"/>
      <c r="S1838" s="1245"/>
      <c r="T1838" s="1664"/>
      <c r="U1838" s="1664" t="str">
        <f>IFERROR(VLOOKUP(B1838,ChiTietDuToan!C:H,5,0),"")</f>
        <v>mét</v>
      </c>
      <c r="V1838" s="2309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59" t="s">
        <v>4727</v>
      </c>
      <c r="C1839" s="1189" t="str">
        <f t="shared" si="348"/>
        <v xml:space="preserve"> </v>
      </c>
      <c r="D1839" s="1687"/>
      <c r="E1839" s="1248" t="str">
        <f>VLOOKUP($B1839,DG!A:D,DG!$C$2,)</f>
        <v>Nắp chụp kẹp quai + hotline</v>
      </c>
      <c r="F1839" s="1236" t="str">
        <f>VLOOKUP($B1839,DG!A:D,DG!$D$2,)</f>
        <v>bộ</v>
      </c>
      <c r="G1839" s="1915"/>
      <c r="H1839" s="1245">
        <f>$G1839</f>
        <v>0</v>
      </c>
      <c r="I1839" s="1245"/>
      <c r="J1839" s="1245"/>
      <c r="K1839" s="1245"/>
      <c r="L1839" s="1245"/>
      <c r="M1839" s="1245"/>
      <c r="N1839" s="1245"/>
      <c r="O1839" s="1683"/>
      <c r="P1839" s="1257">
        <f t="shared" si="345"/>
        <v>0</v>
      </c>
      <c r="Q1839" s="1245"/>
      <c r="R1839" s="1245"/>
      <c r="S1839" s="1245"/>
      <c r="T1839" s="1664"/>
      <c r="U1839" s="1664" t="str">
        <f>IFERROR(VLOOKUP(B1839,ChiTietDuToan!C:H,5,0),"")</f>
        <v/>
      </c>
      <c r="V1839" s="2309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59" t="s">
        <v>1539</v>
      </c>
      <c r="C1840" s="1189" t="str">
        <f t="shared" si="348"/>
        <v xml:space="preserve"> </v>
      </c>
      <c r="D1840" s="1236"/>
      <c r="E1840" s="1248" t="str">
        <f>VLOOKUP($B1840,DG!A:D,DG!$C$2,)</f>
        <v>Ống nối dây cỡ 50mm2</v>
      </c>
      <c r="F1840" s="1236" t="str">
        <f>VLOOKUP($B1840,DG!A:D,DG!$D$2,)</f>
        <v>cái</v>
      </c>
      <c r="G1840" s="1915">
        <f>ROUND((D1720)*1.03/1500,0)*10</f>
        <v>0</v>
      </c>
      <c r="H1840" s="1245">
        <f t="shared" ref="H1840:H1861" si="352">$G1840</f>
        <v>0</v>
      </c>
      <c r="I1840" s="1245"/>
      <c r="J1840" s="1245"/>
      <c r="K1840" s="1245">
        <f t="shared" si="347"/>
        <v>0</v>
      </c>
      <c r="L1840" s="1245"/>
      <c r="M1840" s="1245"/>
      <c r="N1840" s="1245"/>
      <c r="O1840" s="1245"/>
      <c r="P1840" s="1257">
        <f t="shared" si="345"/>
        <v>0</v>
      </c>
      <c r="Q1840" s="1245"/>
      <c r="R1840" s="1245"/>
      <c r="S1840" s="1245"/>
      <c r="T1840" s="1671"/>
      <c r="U1840" s="1664" t="str">
        <f>IFERROR(VLOOKUP(B1840,ChiTietDuToan!C:H,5,0),"")</f>
        <v>cái</v>
      </c>
      <c r="V1840" s="2309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59" t="s">
        <v>1540</v>
      </c>
      <c r="C1841" s="1189" t="str">
        <f t="shared" si="348"/>
        <v xml:space="preserve"> </v>
      </c>
      <c r="D1841" s="1236"/>
      <c r="E1841" s="1248" t="str">
        <f>VLOOKUP($B1841,DG!A:D,DG!$C$2,)</f>
        <v>Ống nối dây cỡ 70mm2</v>
      </c>
      <c r="F1841" s="1236" t="str">
        <f>VLOOKUP($B1841,DG!A:D,DG!$D$2,)</f>
        <v>cái</v>
      </c>
      <c r="G1841" s="1915">
        <f>ROUND((D1719+D1731)*1.03/1400,0)</f>
        <v>0</v>
      </c>
      <c r="H1841" s="1245">
        <f t="shared" si="352"/>
        <v>0</v>
      </c>
      <c r="I1841" s="1245"/>
      <c r="J1841" s="1245"/>
      <c r="K1841" s="1245">
        <f t="shared" si="347"/>
        <v>0</v>
      </c>
      <c r="L1841" s="1245"/>
      <c r="M1841" s="1245"/>
      <c r="N1841" s="1245"/>
      <c r="O1841" s="1245"/>
      <c r="P1841" s="1257">
        <f t="shared" si="345"/>
        <v>0</v>
      </c>
      <c r="Q1841" s="1245"/>
      <c r="R1841" s="1245"/>
      <c r="S1841" s="1245"/>
      <c r="T1841" s="1671"/>
      <c r="U1841" s="1664" t="str">
        <f>IFERROR(VLOOKUP(B1841,ChiTietDuToan!C:H,5,0),"")</f>
        <v/>
      </c>
      <c r="V1841" s="2309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59" t="s">
        <v>435</v>
      </c>
      <c r="C1842" s="1189" t="str">
        <f t="shared" si="348"/>
        <v xml:space="preserve"> </v>
      </c>
      <c r="D1842" s="1236"/>
      <c r="E1842" s="1248" t="str">
        <f>VLOOKUP($B1842,DG!A:D,DG!$C$2,)</f>
        <v>Ống nối dây cỡ 95mm2</v>
      </c>
      <c r="F1842" s="1236" t="str">
        <f>VLOOKUP($B1842,DG!A:D,DG!$D$2,)</f>
        <v>cái</v>
      </c>
      <c r="G1842" s="1915">
        <f>ROUND((D1718+D1726)*1.03/1200,0)</f>
        <v>0</v>
      </c>
      <c r="H1842" s="1245">
        <f t="shared" si="352"/>
        <v>0</v>
      </c>
      <c r="I1842" s="1245"/>
      <c r="J1842" s="1245"/>
      <c r="K1842" s="1245">
        <f t="shared" si="347"/>
        <v>0</v>
      </c>
      <c r="L1842" s="1245"/>
      <c r="M1842" s="1245"/>
      <c r="N1842" s="1245"/>
      <c r="O1842" s="1245"/>
      <c r="P1842" s="1257">
        <f t="shared" si="345"/>
        <v>0</v>
      </c>
      <c r="Q1842" s="1245"/>
      <c r="R1842" s="1245"/>
      <c r="S1842" s="1245"/>
      <c r="T1842" s="1671"/>
      <c r="U1842" s="1664" t="str">
        <f>IFERROR(VLOOKUP(B1842,ChiTietDuToan!C:H,5,0),"")</f>
        <v/>
      </c>
      <c r="V1842" s="2309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59" t="s">
        <v>577</v>
      </c>
      <c r="C1843" s="1189" t="str">
        <f t="shared" si="348"/>
        <v xml:space="preserve"> </v>
      </c>
      <c r="D1843" s="1236"/>
      <c r="E1843" s="1248" t="str">
        <f>VLOOKUP($B1843,DG!A:D,DG!$C$2,)</f>
        <v>Ống nối dây cỡ 120mm2</v>
      </c>
      <c r="F1843" s="1236" t="str">
        <f>VLOOKUP($B1843,DG!A:D,DG!$D$2,)</f>
        <v>cái</v>
      </c>
      <c r="G1843" s="1915">
        <f>ROUND((D1717+D1725)*1.03/1200,0)</f>
        <v>0</v>
      </c>
      <c r="H1843" s="1245">
        <f t="shared" si="352"/>
        <v>0</v>
      </c>
      <c r="I1843" s="1245"/>
      <c r="J1843" s="1245"/>
      <c r="K1843" s="1245">
        <f t="shared" si="347"/>
        <v>0</v>
      </c>
      <c r="L1843" s="1245"/>
      <c r="M1843" s="1245"/>
      <c r="N1843" s="1245"/>
      <c r="O1843" s="1245"/>
      <c r="P1843" s="1257">
        <f t="shared" si="345"/>
        <v>0</v>
      </c>
      <c r="Q1843" s="1245"/>
      <c r="R1843" s="1245"/>
      <c r="S1843" s="1245"/>
      <c r="T1843" s="1671"/>
      <c r="U1843" s="1664" t="str">
        <f>IFERROR(VLOOKUP(B1843,ChiTietDuToan!C:H,5,0),"")</f>
        <v>cái</v>
      </c>
      <c r="V1843" s="2309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59" t="s">
        <v>954</v>
      </c>
      <c r="C1844" s="1189" t="str">
        <f t="shared" si="348"/>
        <v xml:space="preserve"> </v>
      </c>
      <c r="D1844" s="1236"/>
      <c r="E1844" s="1248" t="str">
        <f>VLOOKUP($B1844,DG!A:D,DG!$C$2,)</f>
        <v>Ống nối dây cỡ 150mm2</v>
      </c>
      <c r="F1844" s="1236" t="str">
        <f>VLOOKUP($B1844,DG!A:D,DG!$D$2,)</f>
        <v>cái</v>
      </c>
      <c r="G1844" s="1915">
        <f>ROUND((D1716+D1724)*1.03/1200,0)</f>
        <v>0</v>
      </c>
      <c r="H1844" s="1245">
        <f t="shared" si="352"/>
        <v>0</v>
      </c>
      <c r="I1844" s="1245"/>
      <c r="J1844" s="1245"/>
      <c r="K1844" s="1245">
        <f t="shared" si="347"/>
        <v>0</v>
      </c>
      <c r="L1844" s="1245"/>
      <c r="M1844" s="1245"/>
      <c r="N1844" s="1245"/>
      <c r="O1844" s="1245"/>
      <c r="P1844" s="1257">
        <f t="shared" ref="P1844:P1907" si="353">H1844+Q1844-R1844</f>
        <v>0</v>
      </c>
      <c r="Q1844" s="1245"/>
      <c r="R1844" s="1245"/>
      <c r="S1844" s="1245"/>
      <c r="T1844" s="1671"/>
      <c r="U1844" s="1664" t="str">
        <f>IFERROR(VLOOKUP(B1844,ChiTietDuToan!C:H,5,0),"")</f>
        <v/>
      </c>
      <c r="V1844" s="2309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59" t="s">
        <v>576</v>
      </c>
      <c r="C1845" s="1189" t="str">
        <f t="shared" si="348"/>
        <v xml:space="preserve"> </v>
      </c>
      <c r="D1845" s="1236"/>
      <c r="E1845" s="1248" t="str">
        <f>VLOOKUP($B1845,DG!A:D,DG!$C$2,)</f>
        <v>Ống nối dây cỡ 185mm2</v>
      </c>
      <c r="F1845" s="1236" t="str">
        <f>VLOOKUP($B1845,DG!A:D,DG!$D$2,)</f>
        <v>cái</v>
      </c>
      <c r="G1845" s="1915">
        <f>ROUND((D1715+D1723)*1.03/1200,0)</f>
        <v>0</v>
      </c>
      <c r="H1845" s="1245">
        <f t="shared" si="352"/>
        <v>0</v>
      </c>
      <c r="I1845" s="1245"/>
      <c r="J1845" s="1245"/>
      <c r="K1845" s="1245">
        <f t="shared" si="347"/>
        <v>0</v>
      </c>
      <c r="L1845" s="1245"/>
      <c r="M1845" s="1245"/>
      <c r="N1845" s="1245"/>
      <c r="O1845" s="1245"/>
      <c r="P1845" s="1257">
        <f t="shared" si="353"/>
        <v>0</v>
      </c>
      <c r="Q1845" s="1245"/>
      <c r="R1845" s="1245"/>
      <c r="S1845" s="1245"/>
      <c r="T1845" s="1671"/>
      <c r="U1845" s="1664" t="str">
        <f>IFERROR(VLOOKUP(B1845,ChiTietDuToan!C:H,5,0),"")</f>
        <v>cái</v>
      </c>
      <c r="V1845" s="2309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59" t="s">
        <v>575</v>
      </c>
      <c r="C1846" s="1189" t="str">
        <f t="shared" si="348"/>
        <v xml:space="preserve"> </v>
      </c>
      <c r="D1846" s="1236"/>
      <c r="E1846" s="1248" t="str">
        <f>VLOOKUP($B1846,DG!A:D,DG!$C$2,)</f>
        <v>Ống nối dây cỡ 240mm2</v>
      </c>
      <c r="F1846" s="1236" t="str">
        <f>VLOOKUP($B1846,DG!A:D,DG!$D$2,)</f>
        <v>cái</v>
      </c>
      <c r="G1846" s="1915">
        <f>ROUND((D1714+D1722)*1.03/1200,0)</f>
        <v>0</v>
      </c>
      <c r="H1846" s="1245">
        <f t="shared" si="352"/>
        <v>0</v>
      </c>
      <c r="I1846" s="1245"/>
      <c r="J1846" s="1245"/>
      <c r="K1846" s="1245">
        <f t="shared" si="347"/>
        <v>0</v>
      </c>
      <c r="L1846" s="1245"/>
      <c r="M1846" s="1245"/>
      <c r="N1846" s="1245"/>
      <c r="O1846" s="1245"/>
      <c r="P1846" s="1257">
        <f t="shared" si="353"/>
        <v>0</v>
      </c>
      <c r="Q1846" s="1245"/>
      <c r="R1846" s="1245"/>
      <c r="S1846" s="1245"/>
      <c r="T1846" s="1671"/>
      <c r="U1846" s="1664" t="str">
        <f>IFERROR(VLOOKUP(B1846,ChiTietDuToan!C:H,5,0),"")</f>
        <v/>
      </c>
      <c r="V1846" s="2309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59" t="s">
        <v>1929</v>
      </c>
      <c r="C1847" s="1189" t="str">
        <f t="shared" si="348"/>
        <v xml:space="preserve"> </v>
      </c>
      <c r="D1847" s="1236"/>
      <c r="E1847" s="1248" t="str">
        <f>VLOOKUP($B1847,DG!A:D,DG!$C$2,)</f>
        <v>Cổ dê trụ đôi bắt sứ treo</v>
      </c>
      <c r="F1847" s="1236" t="str">
        <f>VLOOKUP($B1847,DG!A:D,DG!$D$2,)</f>
        <v>bộ</v>
      </c>
      <c r="G1847" s="1932"/>
      <c r="H1847" s="1245">
        <f t="shared" si="352"/>
        <v>0</v>
      </c>
      <c r="I1847" s="1245"/>
      <c r="J1847" s="1245"/>
      <c r="K1847" s="1245">
        <f>G1847</f>
        <v>0</v>
      </c>
      <c r="L1847" s="1245"/>
      <c r="M1847" s="1245"/>
      <c r="N1847" s="1245"/>
      <c r="O1847" s="1245"/>
      <c r="P1847" s="1257">
        <f t="shared" si="353"/>
        <v>0</v>
      </c>
      <c r="Q1847" s="1245"/>
      <c r="R1847" s="1245"/>
      <c r="S1847" s="1245"/>
      <c r="T1847" s="1671"/>
      <c r="U1847" s="1664" t="str">
        <f>IFERROR(VLOOKUP(B1847,ChiTietDuToan!C:H,5,0),"")</f>
        <v/>
      </c>
      <c r="V1847" s="2309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59" t="s">
        <v>1415</v>
      </c>
      <c r="C1848" s="1189" t="str">
        <f t="shared" si="348"/>
        <v xml:space="preserve"> </v>
      </c>
      <c r="D1848" s="1236"/>
      <c r="E1848" s="1248" t="str">
        <f>VLOOKUP($B1848,DG!A:D,DG!$C$2,)&amp;": bắt xà trụ ghép"</f>
        <v>Boulon 16x600VRS+ 4 long đền vuông D18-50x50x3/Zn: bắt xà trụ ghép</v>
      </c>
      <c r="F1848" s="1236" t="str">
        <f>VLOOKUP($B1848,DG!A:D,DG!$D$2,)</f>
        <v>bộ</v>
      </c>
      <c r="G1848" s="1932"/>
      <c r="H1848" s="1245">
        <f t="shared" si="352"/>
        <v>0</v>
      </c>
      <c r="I1848" s="1245"/>
      <c r="J1848" s="1245"/>
      <c r="K1848" s="1245">
        <f>G1848</f>
        <v>0</v>
      </c>
      <c r="L1848" s="1245"/>
      <c r="M1848" s="1245"/>
      <c r="N1848" s="1245"/>
      <c r="O1848" s="1245"/>
      <c r="P1848" s="1257">
        <f t="shared" si="353"/>
        <v>0</v>
      </c>
      <c r="Q1848" s="1245"/>
      <c r="R1848" s="1245"/>
      <c r="S1848" s="1245"/>
      <c r="T1848" s="1671"/>
      <c r="U1848" s="1664" t="str">
        <f>IFERROR(VLOOKUP(B1848,ChiTietDuToan!C:H,5,0),"")</f>
        <v/>
      </c>
      <c r="V1848" s="2309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59" t="s">
        <v>1198</v>
      </c>
      <c r="C1849" s="1189" t="str">
        <f t="shared" si="348"/>
        <v xml:space="preserve"> </v>
      </c>
      <c r="D1849" s="1236"/>
      <c r="E1849" s="1248" t="str">
        <f>VLOOKUP($B1849,DG!A:D,DG!$C$2,)&amp;": bắt trụ đôi"</f>
        <v>Boulon 16x500VRS+ 4 long đền vuông D18-50x50x3/Zn: bắt trụ đôi</v>
      </c>
      <c r="F1849" s="1236" t="str">
        <f>VLOOKUP($B1849,DG!A:D,DG!$D$2,)</f>
        <v>bộ</v>
      </c>
      <c r="G1849" s="1928"/>
      <c r="H1849" s="1245">
        <f t="shared" si="352"/>
        <v>0</v>
      </c>
      <c r="I1849" s="1245"/>
      <c r="J1849" s="1245"/>
      <c r="K1849" s="1245">
        <f>G1849</f>
        <v>0</v>
      </c>
      <c r="L1849" s="1245"/>
      <c r="M1849" s="1245"/>
      <c r="N1849" s="1245"/>
      <c r="O1849" s="1245"/>
      <c r="P1849" s="1257">
        <f t="shared" si="353"/>
        <v>0</v>
      </c>
      <c r="Q1849" s="1245"/>
      <c r="R1849" s="1245"/>
      <c r="S1849" s="1245"/>
      <c r="T1849" s="1671"/>
      <c r="U1849" s="1664" t="str">
        <f>IFERROR(VLOOKUP(B1849,ChiTietDuToan!C:H,5,0),"")</f>
        <v>bộ</v>
      </c>
      <c r="V1849" s="2309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59" t="s">
        <v>535</v>
      </c>
      <c r="C1850" s="1189" t="str">
        <f t="shared" si="348"/>
        <v xml:space="preserve"> </v>
      </c>
      <c r="D1850" s="1236"/>
      <c r="E1850" s="1248" t="str">
        <f>VLOOKUP($B1850,DG!A:D,DG!$C$2,)&amp;": bắt trụ đôi"</f>
        <v>Boulon 16x550VRS+ 4 long đền vuông D18-50x50x3/Zn: bắt trụ đôi</v>
      </c>
      <c r="F1850" s="1236" t="str">
        <f>VLOOKUP($B1850,DG!A:D,DG!$D$2,)</f>
        <v>bộ</v>
      </c>
      <c r="G1850" s="1928"/>
      <c r="H1850" s="1245">
        <f t="shared" si="352"/>
        <v>0</v>
      </c>
      <c r="I1850" s="1245"/>
      <c r="J1850" s="1245"/>
      <c r="K1850" s="1245">
        <f>G1850</f>
        <v>0</v>
      </c>
      <c r="L1850" s="1245"/>
      <c r="M1850" s="1245"/>
      <c r="N1850" s="1245"/>
      <c r="O1850" s="1245"/>
      <c r="P1850" s="1257">
        <f t="shared" si="353"/>
        <v>0</v>
      </c>
      <c r="Q1850" s="1245"/>
      <c r="R1850" s="1245"/>
      <c r="S1850" s="1245"/>
      <c r="T1850" s="1671"/>
      <c r="U1850" s="1664" t="str">
        <f>IFERROR(VLOOKUP(B1850,ChiTietDuToan!C:H,5,0),"")</f>
        <v>bộ</v>
      </c>
      <c r="V1850" s="2309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59" t="s">
        <v>1415</v>
      </c>
      <c r="C1851" s="1189" t="str">
        <f t="shared" si="348"/>
        <v xml:space="preserve"> </v>
      </c>
      <c r="D1851" s="1236"/>
      <c r="E1851" s="1248" t="str">
        <f>VLOOKUP($B1851,DG!A:D,DG!$C$2,)&amp;": bắt trụ đôi"</f>
        <v>Boulon 16x600VRS+ 4 long đền vuông D18-50x50x3/Zn: bắt trụ đôi</v>
      </c>
      <c r="F1851" s="1236" t="str">
        <f>VLOOKUP($B1851,DG!A:D,DG!$D$2,)</f>
        <v>bộ</v>
      </c>
      <c r="G1851" s="1928"/>
      <c r="H1851" s="1245">
        <f t="shared" si="352"/>
        <v>0</v>
      </c>
      <c r="I1851" s="1245"/>
      <c r="J1851" s="1245"/>
      <c r="K1851" s="1245">
        <f t="shared" si="347"/>
        <v>0</v>
      </c>
      <c r="L1851" s="1245"/>
      <c r="M1851" s="1245"/>
      <c r="N1851" s="1245"/>
      <c r="O1851" s="1245"/>
      <c r="P1851" s="1257">
        <f t="shared" si="353"/>
        <v>0</v>
      </c>
      <c r="Q1851" s="1245"/>
      <c r="R1851" s="1245"/>
      <c r="S1851" s="1245"/>
      <c r="T1851" s="1671"/>
      <c r="U1851" s="1664" t="str">
        <f>IFERROR(VLOOKUP(B1851,ChiTietDuToan!C:H,5,0),"")</f>
        <v/>
      </c>
      <c r="V1851" s="2309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59" t="s">
        <v>1091</v>
      </c>
      <c r="C1852" s="1189" t="str">
        <f t="shared" si="348"/>
        <v xml:space="preserve"> </v>
      </c>
      <c r="D1852" s="1236"/>
      <c r="E1852" s="1248" t="str">
        <f>VLOOKUP($B1852,DG!A:D,DG!$C$2,)&amp;": baét söù treo Polymer truï TBA 11"</f>
        <v>Boulon mắt 16x250+ 2 long đền vuông D18-50x50x3/Zn: baét söù treo Polymer truï TBA 11</v>
      </c>
      <c r="F1852" s="1236" t="str">
        <f>VLOOKUP($B1852,DG!A:D,DG!$D$2,)</f>
        <v>bộ</v>
      </c>
      <c r="G1852" s="1928"/>
      <c r="H1852" s="1245">
        <f t="shared" si="352"/>
        <v>0</v>
      </c>
      <c r="I1852" s="1245"/>
      <c r="J1852" s="1245"/>
      <c r="K1852" s="1245">
        <f t="shared" ref="K1852:K1857" si="354">G1852</f>
        <v>0</v>
      </c>
      <c r="L1852" s="1245"/>
      <c r="M1852" s="1245"/>
      <c r="N1852" s="1245"/>
      <c r="O1852" s="1245"/>
      <c r="P1852" s="1257">
        <f t="shared" si="353"/>
        <v>0</v>
      </c>
      <c r="Q1852" s="1245"/>
      <c r="R1852" s="1245"/>
      <c r="S1852" s="1245"/>
      <c r="T1852" s="1671"/>
      <c r="U1852" s="1664" t="str">
        <f>IFERROR(VLOOKUP(B1852,ChiTietDuToan!C:H,5,0),"")</f>
        <v/>
      </c>
      <c r="V1852" s="2309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59" t="s">
        <v>2321</v>
      </c>
      <c r="C1853" s="1189" t="str">
        <f t="shared" si="348"/>
        <v xml:space="preserve"> </v>
      </c>
      <c r="D1853" s="1236"/>
      <c r="E1853" s="1248" t="str">
        <f>VLOOKUP($B1853,DG!A:D,DG!$C$2,)&amp;" + bulon"</f>
        <v>Rack 2 sứ + sứ ống chỉ + bulon</v>
      </c>
      <c r="F1853" s="1236" t="str">
        <f>VLOOKUP($B1853,DG!A:D,DG!$D$2,)</f>
        <v>bộ</v>
      </c>
      <c r="G1853" s="1925"/>
      <c r="H1853" s="1251">
        <f t="shared" si="352"/>
        <v>0</v>
      </c>
      <c r="I1853" s="1245"/>
      <c r="J1853" s="1245"/>
      <c r="K1853" s="1245">
        <f t="shared" si="354"/>
        <v>0</v>
      </c>
      <c r="L1853" s="1245"/>
      <c r="M1853" s="1245"/>
      <c r="N1853" s="1245"/>
      <c r="O1853" s="1245"/>
      <c r="P1853" s="1257">
        <f t="shared" si="353"/>
        <v>0</v>
      </c>
      <c r="Q1853" s="1251"/>
      <c r="R1853" s="1251"/>
      <c r="S1853" s="1251"/>
      <c r="T1853" s="1671"/>
      <c r="U1853" s="1664" t="str">
        <f>IFERROR(VLOOKUP(B1853,ChiTietDuToan!C:H,5,0),"")</f>
        <v/>
      </c>
      <c r="V1853" s="2309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59" t="s">
        <v>672</v>
      </c>
      <c r="C1854" s="1189" t="str">
        <f t="shared" si="348"/>
        <v xml:space="preserve"> </v>
      </c>
      <c r="D1854" s="1236"/>
      <c r="E1854" s="1248" t="str">
        <f>VLOOKUP($B1854,DG!A:D,DG!$C$2,)&amp;" + bulon"</f>
        <v>Rack 3 sứ + sứ ống chỉ + bulon</v>
      </c>
      <c r="F1854" s="1236" t="str">
        <f>VLOOKUP($B1854,DG!A:D,DG!$D$2,)</f>
        <v>bộ</v>
      </c>
      <c r="G1854" s="1925"/>
      <c r="H1854" s="1251">
        <f t="shared" si="352"/>
        <v>0</v>
      </c>
      <c r="I1854" s="1245"/>
      <c r="J1854" s="1245"/>
      <c r="K1854" s="1245">
        <f t="shared" si="354"/>
        <v>0</v>
      </c>
      <c r="L1854" s="1245"/>
      <c r="M1854" s="1245"/>
      <c r="N1854" s="1245"/>
      <c r="O1854" s="1245"/>
      <c r="P1854" s="1257">
        <f t="shared" si="353"/>
        <v>0</v>
      </c>
      <c r="Q1854" s="1251"/>
      <c r="R1854" s="1251"/>
      <c r="S1854" s="1251"/>
      <c r="T1854" s="1671"/>
      <c r="U1854" s="1664" t="str">
        <f>IFERROR(VLOOKUP(B1854,ChiTietDuToan!C:H,5,0),"")</f>
        <v/>
      </c>
      <c r="V1854" s="2309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59" t="s">
        <v>51</v>
      </c>
      <c r="C1855" s="1189" t="str">
        <f t="shared" si="348"/>
        <v xml:space="preserve"> </v>
      </c>
      <c r="D1855" s="1236"/>
      <c r="E1855" s="1248" t="str">
        <f>VLOOKUP($B1855,DG!A:D,DG!$C$2,)&amp;" + bulon"</f>
        <v>Rack 4 + bulon</v>
      </c>
      <c r="F1855" s="1236" t="str">
        <f>VLOOKUP($B1855,DG!A:D,DG!$D$2,)</f>
        <v>cái</v>
      </c>
      <c r="G1855" s="1925"/>
      <c r="H1855" s="1251">
        <f t="shared" si="352"/>
        <v>0</v>
      </c>
      <c r="I1855" s="1245"/>
      <c r="J1855" s="1245"/>
      <c r="K1855" s="1245">
        <f t="shared" si="354"/>
        <v>0</v>
      </c>
      <c r="L1855" s="1245"/>
      <c r="M1855" s="1245"/>
      <c r="N1855" s="1245"/>
      <c r="O1855" s="1245"/>
      <c r="P1855" s="1257">
        <f t="shared" si="353"/>
        <v>0</v>
      </c>
      <c r="Q1855" s="1251"/>
      <c r="R1855" s="1251"/>
      <c r="S1855" s="1251"/>
      <c r="T1855" s="1671"/>
      <c r="U1855" s="1664" t="str">
        <f>IFERROR(VLOOKUP(B1855,ChiTietDuToan!C:H,5,0),"")</f>
        <v/>
      </c>
      <c r="V1855" s="2309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59" t="s">
        <v>1215</v>
      </c>
      <c r="C1856" s="1189" t="str">
        <f t="shared" si="348"/>
        <v xml:space="preserve"> </v>
      </c>
      <c r="D1856" s="1236"/>
      <c r="E1856" s="1248" t="str">
        <f>VLOOKUP($B1856,DG!A:D,DG!$C$2,)</f>
        <v>Boulon 16x350+ 2 long đền vuông D18-50x50x3/Zn</v>
      </c>
      <c r="F1856" s="1236" t="str">
        <f>VLOOKUP($B1856,DG!A:D,DG!$D$2,)</f>
        <v>bộ</v>
      </c>
      <c r="G1856" s="1925"/>
      <c r="H1856" s="1251">
        <f t="shared" si="352"/>
        <v>0</v>
      </c>
      <c r="I1856" s="1245"/>
      <c r="J1856" s="1245"/>
      <c r="K1856" s="1245">
        <f t="shared" si="354"/>
        <v>0</v>
      </c>
      <c r="L1856" s="1245"/>
      <c r="M1856" s="1245"/>
      <c r="N1856" s="1245"/>
      <c r="O1856" s="1245"/>
      <c r="P1856" s="1257">
        <f t="shared" si="353"/>
        <v>0</v>
      </c>
      <c r="Q1856" s="1251"/>
      <c r="R1856" s="1251"/>
      <c r="S1856" s="1251"/>
      <c r="T1856" s="1671"/>
      <c r="U1856" s="1664" t="str">
        <f>IFERROR(VLOOKUP(B1856,ChiTietDuToan!C:H,5,0),"")</f>
        <v/>
      </c>
      <c r="V1856" s="2309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59" t="s">
        <v>554</v>
      </c>
      <c r="C1857" s="1189" t="str">
        <f t="shared" si="348"/>
        <v xml:space="preserve"> </v>
      </c>
      <c r="D1857" s="1236"/>
      <c r="E1857" s="1248" t="str">
        <f>VLOOKUP($B1857,DG!A:D,DG!$C$2,)</f>
        <v>Bass LI bắt FCO</v>
      </c>
      <c r="F1857" s="1236" t="str">
        <f>VLOOKUP($B1857,DG!A:D,DG!$D$2,)</f>
        <v>Bộ</v>
      </c>
      <c r="G1857" s="1925"/>
      <c r="H1857" s="1245">
        <f t="shared" si="352"/>
        <v>0</v>
      </c>
      <c r="I1857" s="1245"/>
      <c r="J1857" s="1245"/>
      <c r="K1857" s="1245">
        <f t="shared" si="354"/>
        <v>0</v>
      </c>
      <c r="L1857" s="1245"/>
      <c r="M1857" s="1245"/>
      <c r="N1857" s="1245"/>
      <c r="O1857" s="1245"/>
      <c r="P1857" s="1257">
        <f t="shared" si="353"/>
        <v>0</v>
      </c>
      <c r="Q1857" s="1245"/>
      <c r="R1857" s="1245"/>
      <c r="S1857" s="1245"/>
      <c r="T1857" s="1671"/>
      <c r="U1857" s="1664" t="str">
        <f>IFERROR(VLOOKUP(B1857,ChiTietDuToan!C:H,5,0),"")</f>
        <v/>
      </c>
      <c r="V1857" s="2309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59" t="s">
        <v>693</v>
      </c>
      <c r="C1858" s="1189" t="str">
        <f t="shared" si="348"/>
        <v xml:space="preserve"> </v>
      </c>
      <c r="D1858" s="1236"/>
      <c r="E1858" s="1248" t="str">
        <f>VLOOKUP($B1858,DG!A:D,DG!$C$2,)</f>
        <v>Bass LI bắt LA</v>
      </c>
      <c r="F1858" s="1236" t="str">
        <f>VLOOKUP($B1858,DG!A:D,DG!$D$2,)</f>
        <v>Bộ</v>
      </c>
      <c r="G1858" s="1925"/>
      <c r="H1858" s="1251"/>
      <c r="I1858" s="1245"/>
      <c r="J1858" s="1245"/>
      <c r="K1858" s="1245"/>
      <c r="L1858" s="1245"/>
      <c r="M1858" s="1245"/>
      <c r="N1858" s="1245"/>
      <c r="O1858" s="1245"/>
      <c r="P1858" s="1257">
        <f t="shared" si="353"/>
        <v>0</v>
      </c>
      <c r="Q1858" s="1251"/>
      <c r="R1858" s="1251"/>
      <c r="S1858" s="1251"/>
      <c r="T1858" s="1671"/>
      <c r="U1858" s="1664" t="str">
        <f>IFERROR(VLOOKUP(B1858,ChiTietDuToan!C:H,5,0),"")</f>
        <v/>
      </c>
      <c r="V1858" s="2309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52" t="s">
        <v>4729</v>
      </c>
      <c r="C1859" s="1189" t="str">
        <f t="shared" si="348"/>
        <v xml:space="preserve"> </v>
      </c>
      <c r="D1859" s="1236"/>
      <c r="E1859" s="1248" t="str">
        <f>VLOOKUP($B1859,DG!A:D,DG!$C$2,)</f>
        <v>Cáp nhôm A-70: buộc cổ sứ</v>
      </c>
      <c r="F1859" s="1236" t="str">
        <f>VLOOKUP($B1859,DG!A:D,DG!$D$2,)</f>
        <v>kg</v>
      </c>
      <c r="G1859" s="1925"/>
      <c r="H1859" s="1249">
        <f t="shared" si="352"/>
        <v>0</v>
      </c>
      <c r="I1859" s="1245"/>
      <c r="J1859" s="1245"/>
      <c r="K1859" s="1245">
        <f>G1859</f>
        <v>0</v>
      </c>
      <c r="L1859" s="1245"/>
      <c r="M1859" s="1245"/>
      <c r="N1859" s="1245"/>
      <c r="O1859" s="1683"/>
      <c r="P1859" s="1518">
        <f t="shared" si="353"/>
        <v>0</v>
      </c>
      <c r="Q1859" s="1251"/>
      <c r="R1859" s="1251"/>
      <c r="S1859" s="1251"/>
      <c r="T1859" s="1664"/>
      <c r="U1859" s="1664" t="str">
        <f>IFERROR(VLOOKUP(B1859,ChiTietDuToan!C:H,5,0),"")</f>
        <v/>
      </c>
      <c r="V1859" s="2309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59" t="s">
        <v>4544</v>
      </c>
      <c r="C1860" s="1189" t="str">
        <f t="shared" si="348"/>
        <v xml:space="preserve"> </v>
      </c>
      <c r="D1860" s="1236"/>
      <c r="E1860" s="1248" t="str">
        <f>VLOOKUP($B1860,DG!A:D,DG!$C$2,)</f>
        <v>Chụp cách điện đầu cực FCO (trên + dưới)</v>
      </c>
      <c r="F1860" s="1236" t="str">
        <f>VLOOKUP($B1860,DG!A:D,DG!$D$2,)</f>
        <v>bộ</v>
      </c>
      <c r="G1860" s="1915">
        <f>G2233*0</f>
        <v>0</v>
      </c>
      <c r="H1860" s="1251">
        <f t="shared" si="352"/>
        <v>0</v>
      </c>
      <c r="I1860" s="1245"/>
      <c r="J1860" s="1245"/>
      <c r="K1860" s="1245">
        <f>G1860</f>
        <v>0</v>
      </c>
      <c r="L1860" s="1245"/>
      <c r="M1860" s="1245"/>
      <c r="N1860" s="1245"/>
      <c r="O1860" s="1683"/>
      <c r="P1860" s="1257">
        <f t="shared" si="353"/>
        <v>0</v>
      </c>
      <c r="Q1860" s="1245"/>
      <c r="R1860" s="1251"/>
      <c r="S1860" s="1251"/>
      <c r="T1860" s="1671"/>
      <c r="U1860" s="1664" t="str">
        <f>IFERROR(VLOOKUP(B1860,ChiTietDuToan!C:H,5,0),"")</f>
        <v/>
      </c>
      <c r="V1860" s="2309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91"/>
      <c r="B1861" s="1952" t="s">
        <v>1622</v>
      </c>
      <c r="C1861" s="1189" t="str">
        <f t="shared" si="348"/>
        <v xml:space="preserve"> </v>
      </c>
      <c r="D1861" s="1236"/>
      <c r="E1861" s="1248" t="str">
        <f>VLOOKUP($B1861,DG!A:D,DG!$C$2,)</f>
        <v>Biển số - Bảng nguy hiểm</v>
      </c>
      <c r="F1861" s="1236" t="str">
        <f>VLOOKUP($B1861,DG!A:D,DG!$D$2,)</f>
        <v>cái</v>
      </c>
      <c r="G1861" s="1915"/>
      <c r="H1861" s="1245">
        <f t="shared" si="352"/>
        <v>0</v>
      </c>
      <c r="I1861" s="1245"/>
      <c r="J1861" s="1245"/>
      <c r="K1861" s="1245">
        <f t="shared" si="347"/>
        <v>0</v>
      </c>
      <c r="L1861" s="1245"/>
      <c r="M1861" s="1245"/>
      <c r="N1861" s="1245"/>
      <c r="O1861" s="1245"/>
      <c r="P1861" s="1257">
        <f t="shared" si="353"/>
        <v>0</v>
      </c>
      <c r="Q1861" s="1245"/>
      <c r="R1861" s="1245"/>
      <c r="S1861" s="1245"/>
      <c r="T1861" s="1664"/>
      <c r="U1861" s="1664" t="str">
        <f>IFERROR(VLOOKUP(B1861,ChiTietDuToan!C:H,5,0),"")</f>
        <v>kg</v>
      </c>
      <c r="V1861" s="2309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91"/>
      <c r="B1862" s="1952" t="s">
        <v>1302</v>
      </c>
      <c r="C1862" s="1189" t="str">
        <f t="shared" si="348"/>
        <v xml:space="preserve"> </v>
      </c>
      <c r="D1862" s="1236" t="str">
        <f>VLOOKUP($B1862,DG!A:D,DG!$B$2,)</f>
        <v>06.6114</v>
      </c>
      <c r="E1862" s="1241" t="str">
        <f>VLOOKUP($B1862,DG!A:D,DG!$C$2,)</f>
        <v>Kéo dây nhôm lõi thép cỡ dây 50mm2</v>
      </c>
      <c r="F1862" s="1236" t="str">
        <f>VLOOKUP($B1862,DG!A:D,DG!$D$2,)</f>
        <v>km</v>
      </c>
      <c r="G1862" s="1913">
        <f>(D1720)/1000</f>
        <v>0</v>
      </c>
      <c r="H1862" s="1256">
        <f>$G1862</f>
        <v>0</v>
      </c>
      <c r="I1862" s="1245"/>
      <c r="J1862" s="1245"/>
      <c r="K1862" s="1245"/>
      <c r="L1862" s="1245"/>
      <c r="M1862" s="1245"/>
      <c r="N1862" s="1245"/>
      <c r="O1862" s="1245"/>
      <c r="P1862" s="2201">
        <f t="shared" si="353"/>
        <v>0</v>
      </c>
      <c r="Q1862" s="1245"/>
      <c r="R1862" s="1245"/>
      <c r="S1862" s="1245"/>
      <c r="T1862" s="1664"/>
      <c r="U1862" s="1664" t="str">
        <f>IFERROR(VLOOKUP(B1862,ChiTietDuToan!C:H,5,0),"")</f>
        <v/>
      </c>
      <c r="V1862" s="2309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59" t="s">
        <v>1447</v>
      </c>
      <c r="C1863" s="1189" t="str">
        <f t="shared" si="348"/>
        <v xml:space="preserve"> </v>
      </c>
      <c r="D1863" s="1236" t="str">
        <f>VLOOKUP($B1863,DG!A:D,DG!$B$2,)</f>
        <v>06.6105</v>
      </c>
      <c r="E1863" s="1241" t="str">
        <f>VLOOKUP($B1863,DG!A:D,DG!$C$2,)</f>
        <v>Kéo dây nhôm lõi thép cỡ dây 70mm2</v>
      </c>
      <c r="F1863" s="1236" t="str">
        <f>VLOOKUP($B1863,DG!A:D,DG!$D$2,)</f>
        <v>km</v>
      </c>
      <c r="G1863" s="1913">
        <f>(D1719)/1000</f>
        <v>0</v>
      </c>
      <c r="H1863" s="1245"/>
      <c r="I1863" s="1245"/>
      <c r="J1863" s="1245"/>
      <c r="K1863" s="1245"/>
      <c r="L1863" s="1245"/>
      <c r="M1863" s="1245"/>
      <c r="N1863" s="1245"/>
      <c r="O1863" s="1245"/>
      <c r="P1863" s="1257">
        <f t="shared" si="353"/>
        <v>0</v>
      </c>
      <c r="Q1863" s="1245"/>
      <c r="R1863" s="1245"/>
      <c r="S1863" s="1245"/>
      <c r="T1863" s="1671"/>
      <c r="U1863" s="1664" t="str">
        <f>IFERROR(VLOOKUP(B1863,ChiTietDuToan!C:H,5,0),"")</f>
        <v/>
      </c>
      <c r="V1863" s="2309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59" t="s">
        <v>1576</v>
      </c>
      <c r="C1864" s="1189" t="str">
        <f t="shared" si="348"/>
        <v xml:space="preserve"> </v>
      </c>
      <c r="D1864" s="1236" t="str">
        <f>VLOOKUP($B1864,DG!A:D,DG!$B$2,)</f>
        <v>06.6106</v>
      </c>
      <c r="E1864" s="1241" t="str">
        <f>VLOOKUP($B1864,DG!A:D,DG!$C$2,)</f>
        <v>Kéo dây nhôm lõi thép cỡ dây 95mm2</v>
      </c>
      <c r="F1864" s="1236" t="str">
        <f>VLOOKUP($B1864,DG!A:D,DG!$D$2,)</f>
        <v>km</v>
      </c>
      <c r="G1864" s="1913">
        <f>(D1718)/1000</f>
        <v>0</v>
      </c>
      <c r="H1864" s="1245"/>
      <c r="I1864" s="1245"/>
      <c r="J1864" s="1245"/>
      <c r="K1864" s="1245"/>
      <c r="L1864" s="1245"/>
      <c r="M1864" s="1245"/>
      <c r="N1864" s="1245"/>
      <c r="O1864" s="1245"/>
      <c r="P1864" s="1257">
        <f t="shared" si="353"/>
        <v>0</v>
      </c>
      <c r="Q1864" s="1245"/>
      <c r="R1864" s="1245"/>
      <c r="S1864" s="1245"/>
      <c r="T1864" s="1671"/>
      <c r="U1864" s="1664" t="str">
        <f>IFERROR(VLOOKUP(B1864,ChiTietDuToan!C:H,5,0),"")</f>
        <v/>
      </c>
      <c r="V1864" s="2309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59" t="s">
        <v>140</v>
      </c>
      <c r="C1865" s="1189" t="str">
        <f t="shared" si="348"/>
        <v xml:space="preserve"> </v>
      </c>
      <c r="D1865" s="1236" t="str">
        <f>VLOOKUP($B1865,DG!A:D,DG!$B$2,)</f>
        <v>06.6107</v>
      </c>
      <c r="E1865" s="1241" t="str">
        <f>VLOOKUP($B1865,DG!A:D,DG!$C$2,)</f>
        <v>Kéo dây nhôm lõi thép cỡ dây 120mm2</v>
      </c>
      <c r="F1865" s="1236" t="str">
        <f>VLOOKUP($B1865,DG!A:D,DG!$D$2,)</f>
        <v>km</v>
      </c>
      <c r="G1865" s="1913">
        <f>(D1717)/1000</f>
        <v>0</v>
      </c>
      <c r="H1865" s="1245"/>
      <c r="I1865" s="1245"/>
      <c r="J1865" s="1245"/>
      <c r="K1865" s="1245"/>
      <c r="L1865" s="1245"/>
      <c r="M1865" s="1245"/>
      <c r="N1865" s="1245"/>
      <c r="O1865" s="1245"/>
      <c r="P1865" s="1257">
        <f t="shared" si="353"/>
        <v>0</v>
      </c>
      <c r="Q1865" s="1245"/>
      <c r="R1865" s="1245"/>
      <c r="S1865" s="1245"/>
      <c r="T1865" s="1671"/>
      <c r="U1865" s="1664" t="str">
        <f>IFERROR(VLOOKUP(B1865,ChiTietDuToan!C:H,5,0),"")</f>
        <v>km</v>
      </c>
      <c r="V1865" s="2309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59" t="s">
        <v>799</v>
      </c>
      <c r="C1866" s="1189" t="str">
        <f t="shared" si="348"/>
        <v xml:space="preserve"> </v>
      </c>
      <c r="D1866" s="1236" t="str">
        <f>VLOOKUP($B1866,DG!A:D,DG!$B$2,)</f>
        <v>06.6108</v>
      </c>
      <c r="E1866" s="1241" t="str">
        <f>VLOOKUP($B1866,DG!A:D,DG!$C$2,)</f>
        <v>Kéo dây nhôm lõi thép cỡ dây 150mm2</v>
      </c>
      <c r="F1866" s="1236" t="str">
        <f>VLOOKUP($B1866,DG!A:D,DG!$D$2,)</f>
        <v>km</v>
      </c>
      <c r="G1866" s="1913">
        <f>(D1716)/1000</f>
        <v>0</v>
      </c>
      <c r="H1866" s="1245"/>
      <c r="I1866" s="1245"/>
      <c r="J1866" s="1245"/>
      <c r="K1866" s="1245"/>
      <c r="L1866" s="1245"/>
      <c r="M1866" s="1245"/>
      <c r="N1866" s="1245"/>
      <c r="O1866" s="1245"/>
      <c r="P1866" s="1257">
        <f t="shared" si="353"/>
        <v>0</v>
      </c>
      <c r="Q1866" s="1245"/>
      <c r="R1866" s="1245"/>
      <c r="S1866" s="1245"/>
      <c r="T1866" s="1671"/>
      <c r="U1866" s="1664" t="str">
        <f>IFERROR(VLOOKUP(B1866,ChiTietDuToan!C:H,5,0),"")</f>
        <v/>
      </c>
      <c r="V1866" s="2309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59" t="s">
        <v>141</v>
      </c>
      <c r="C1867" s="1189" t="str">
        <f t="shared" si="348"/>
        <v xml:space="preserve"> </v>
      </c>
      <c r="D1867" s="1236" t="str">
        <f>VLOOKUP($B1867,DG!A:D,DG!$B$2,)</f>
        <v>06.6109</v>
      </c>
      <c r="E1867" s="1241" t="str">
        <f>VLOOKUP($B1867,DG!A:D,DG!$C$2,)</f>
        <v>Kéo dây nhôm lõi thép cỡ dây 185mm2</v>
      </c>
      <c r="F1867" s="1236" t="str">
        <f>VLOOKUP($B1867,DG!A:D,DG!$D$2,)</f>
        <v>km</v>
      </c>
      <c r="G1867" s="1913">
        <f>(D1715)/1000</f>
        <v>0</v>
      </c>
      <c r="H1867" s="1245"/>
      <c r="I1867" s="1245"/>
      <c r="J1867" s="1245"/>
      <c r="K1867" s="1245"/>
      <c r="L1867" s="1245"/>
      <c r="M1867" s="1245"/>
      <c r="N1867" s="1245"/>
      <c r="O1867" s="1245"/>
      <c r="P1867" s="1257">
        <f t="shared" si="353"/>
        <v>0</v>
      </c>
      <c r="Q1867" s="1245"/>
      <c r="R1867" s="1245"/>
      <c r="S1867" s="1245"/>
      <c r="T1867" s="1671"/>
      <c r="U1867" s="1664" t="str">
        <f>IFERROR(VLOOKUP(B1867,ChiTietDuToan!C:H,5,0),"")</f>
        <v/>
      </c>
      <c r="V1867" s="2309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59" t="s">
        <v>719</v>
      </c>
      <c r="C1868" s="1189" t="str">
        <f t="shared" si="348"/>
        <v xml:space="preserve"> </v>
      </c>
      <c r="D1868" s="1236" t="str">
        <f>VLOOKUP($B1868,DG!A:D,DG!$B$2,)</f>
        <v>06.6110</v>
      </c>
      <c r="E1868" s="1241" t="str">
        <f>VLOOKUP($B1868,DG!A:D,DG!$C$2,)</f>
        <v>Kéo dây nhôm lõi thép cỡ dây 240mm2</v>
      </c>
      <c r="F1868" s="1236" t="str">
        <f>VLOOKUP($B1868,DG!A:D,DG!$D$2,)</f>
        <v>km</v>
      </c>
      <c r="G1868" s="1913">
        <f>(D1714)/1000</f>
        <v>0</v>
      </c>
      <c r="H1868" s="1245"/>
      <c r="I1868" s="1245"/>
      <c r="J1868" s="1245"/>
      <c r="K1868" s="1245"/>
      <c r="L1868" s="1245"/>
      <c r="M1868" s="1245"/>
      <c r="N1868" s="1245"/>
      <c r="O1868" s="1245"/>
      <c r="P1868" s="1257">
        <f t="shared" si="353"/>
        <v>0</v>
      </c>
      <c r="Q1868" s="1245"/>
      <c r="R1868" s="1245"/>
      <c r="S1868" s="1245"/>
      <c r="T1868" s="1671"/>
      <c r="U1868" s="1664" t="str">
        <f>IFERROR(VLOOKUP(B1868,ChiTietDuToan!C:H,5,0),"")</f>
        <v/>
      </c>
      <c r="V1868" s="2309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91"/>
      <c r="B1869" s="1952" t="s">
        <v>367</v>
      </c>
      <c r="C1869" s="1189" t="str">
        <f t="shared" si="348"/>
        <v xml:space="preserve"> </v>
      </c>
      <c r="D1869" s="1236" t="str">
        <f>VLOOKUP($B1869,DG!A:D,DG!$B$2,)</f>
        <v>06.6114</v>
      </c>
      <c r="E1869" s="1241" t="str">
        <f>VLOOKUP($B1869,DG!A:D,DG!$C$2,)</f>
        <v>Kéo dây nhôm bọc cỡ dây 50mm2</v>
      </c>
      <c r="F1869" s="1236" t="str">
        <f>VLOOKUP($B1869,DG!A:D,DG!$D$2,)</f>
        <v>km</v>
      </c>
      <c r="G1869" s="1913">
        <f>D1721/1000</f>
        <v>0</v>
      </c>
      <c r="H1869" s="1256">
        <f>$G1869</f>
        <v>0</v>
      </c>
      <c r="I1869" s="1245"/>
      <c r="J1869" s="1245"/>
      <c r="K1869" s="1245"/>
      <c r="L1869" s="1245"/>
      <c r="M1869" s="1245"/>
      <c r="N1869" s="1245"/>
      <c r="O1869" s="1245"/>
      <c r="P1869" s="2201">
        <f t="shared" si="353"/>
        <v>0</v>
      </c>
      <c r="Q1869" s="1245"/>
      <c r="R1869" s="1245"/>
      <c r="S1869" s="1245"/>
      <c r="T1869" s="1664"/>
      <c r="U1869" s="1664" t="str">
        <f>IFERROR(VLOOKUP(B1869,ChiTietDuToan!C:H,5,0),"")</f>
        <v/>
      </c>
      <c r="V1869" s="2309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59" t="s">
        <v>684</v>
      </c>
      <c r="C1870" s="1189" t="str">
        <f t="shared" si="348"/>
        <v xml:space="preserve"> </v>
      </c>
      <c r="D1870" s="1236" t="str">
        <f>VLOOKUP($B1870,DG!A:D,DG!$B$2,)</f>
        <v>06.6142</v>
      </c>
      <c r="E1870" s="1241" t="str">
        <f>VLOOKUP($B1870,DG!A:D,DG!$C$2,)</f>
        <v>Kéo dây đồng trần 25mm2</v>
      </c>
      <c r="F1870" s="1236" t="str">
        <f>VLOOKUP($B1870,DG!A:D,DG!$D$2,)</f>
        <v>km</v>
      </c>
      <c r="G1870" s="1913">
        <f>D1731/1000</f>
        <v>0</v>
      </c>
      <c r="H1870" s="1256">
        <f>G1870</f>
        <v>0</v>
      </c>
      <c r="I1870" s="1245"/>
      <c r="J1870" s="1245"/>
      <c r="K1870" s="1245"/>
      <c r="L1870" s="1245"/>
      <c r="M1870" s="1245"/>
      <c r="N1870" s="1245"/>
      <c r="O1870" s="1683"/>
      <c r="P1870" s="1257">
        <f t="shared" si="353"/>
        <v>0</v>
      </c>
      <c r="Q1870" s="1256"/>
      <c r="R1870" s="1256"/>
      <c r="S1870" s="1256"/>
      <c r="T1870" s="1671"/>
      <c r="U1870" s="1664" t="str">
        <f>IFERROR(VLOOKUP(B1870,ChiTietDuToan!C:H,5,0),"")</f>
        <v/>
      </c>
      <c r="V1870" s="2309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59" t="s">
        <v>97</v>
      </c>
      <c r="C1871" s="1189" t="str">
        <f t="shared" ref="C1871:C1934" si="355">IF(OR(P1871&lt;&gt;0,H1871&lt;&gt;0),"x"," ")</f>
        <v xml:space="preserve"> </v>
      </c>
      <c r="D1871" s="1236" t="str">
        <f>VLOOKUP($B1871,DG!A:D,DG!$B$2,)</f>
        <v>06.6142</v>
      </c>
      <c r="E1871" s="1241" t="str">
        <f>VLOOKUP($B1871,DG!A:D,DG!$C$2,)</f>
        <v>Kéo dây đồng bọc 25mm2</v>
      </c>
      <c r="F1871" s="1236" t="str">
        <f>VLOOKUP($B1871,DG!A:D,DG!$D$2,)</f>
        <v>km</v>
      </c>
      <c r="G1871" s="1913">
        <f>D1729/1000</f>
        <v>0</v>
      </c>
      <c r="H1871" s="1256">
        <f>G1871</f>
        <v>0</v>
      </c>
      <c r="I1871" s="1245"/>
      <c r="J1871" s="1245"/>
      <c r="K1871" s="1245"/>
      <c r="L1871" s="1245"/>
      <c r="M1871" s="1245"/>
      <c r="N1871" s="1245"/>
      <c r="O1871" s="1683"/>
      <c r="P1871" s="1257">
        <f t="shared" si="353"/>
        <v>0</v>
      </c>
      <c r="Q1871" s="1256"/>
      <c r="R1871" s="1256"/>
      <c r="S1871" s="1256"/>
      <c r="T1871" s="1671"/>
      <c r="U1871" s="1664" t="str">
        <f>IFERROR(VLOOKUP(B1871,ChiTietDuToan!C:H,5,0),"")</f>
        <v/>
      </c>
      <c r="V1871" s="2309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59" t="s">
        <v>253</v>
      </c>
      <c r="C1872" s="1189" t="str">
        <f t="shared" si="355"/>
        <v xml:space="preserve"> </v>
      </c>
      <c r="D1872" s="1236" t="str">
        <f>VLOOKUP($B1872,DG!A:D,DG!$B$2,)</f>
        <v>06.6144</v>
      </c>
      <c r="E1872" s="1241" t="str">
        <f>VLOOKUP($B1872,DG!A:D,DG!$C$2,)</f>
        <v>Kéo dây đồng bọc 50mm3</v>
      </c>
      <c r="F1872" s="1236" t="str">
        <f>VLOOKUP($B1872,DG!A:D,DG!$D$2,)</f>
        <v>km</v>
      </c>
      <c r="G1872" s="1913">
        <f>D1730/1000</f>
        <v>0</v>
      </c>
      <c r="H1872" s="1256">
        <f>G1872</f>
        <v>0</v>
      </c>
      <c r="I1872" s="1245"/>
      <c r="J1872" s="1245"/>
      <c r="K1872" s="1245"/>
      <c r="L1872" s="1245"/>
      <c r="M1872" s="1245"/>
      <c r="N1872" s="1245"/>
      <c r="O1872" s="1245"/>
      <c r="P1872" s="1257">
        <f t="shared" si="353"/>
        <v>0</v>
      </c>
      <c r="Q1872" s="1256"/>
      <c r="R1872" s="1256"/>
      <c r="S1872" s="1256"/>
      <c r="T1872" s="1671"/>
      <c r="U1872" s="1664" t="str">
        <f>IFERROR(VLOOKUP(B1872,ChiTietDuToan!C:H,5,0),"")</f>
        <v/>
      </c>
      <c r="V1872" s="2309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66" t="s">
        <v>454</v>
      </c>
      <c r="C1873" s="1189" t="str">
        <f t="shared" si="355"/>
        <v xml:space="preserve"> </v>
      </c>
      <c r="D1873" s="1236" t="str">
        <f>VLOOKUP($B1873,DG!A:D,DG!$B$2,)</f>
        <v>06.6124</v>
      </c>
      <c r="E1873" s="1241" t="str">
        <f>VLOOKUP($B1873,DG!A:D,DG!$C$2,)</f>
        <v>Kéo dây nhôm bọc 50mm2</v>
      </c>
      <c r="F1873" s="1236" t="str">
        <f>VLOOKUP($B1873,DG!A:D,DG!$D$2,)</f>
        <v>km</v>
      </c>
      <c r="G1873" s="1913">
        <f>D1728/1000</f>
        <v>0</v>
      </c>
      <c r="H1873" s="1256">
        <f>G1873</f>
        <v>0</v>
      </c>
      <c r="I1873" s="1245"/>
      <c r="J1873" s="1245"/>
      <c r="K1873" s="1245"/>
      <c r="L1873" s="1245"/>
      <c r="M1873" s="1245"/>
      <c r="N1873" s="1245"/>
      <c r="O1873" s="1245"/>
      <c r="P1873" s="1257">
        <f t="shared" si="353"/>
        <v>0</v>
      </c>
      <c r="Q1873" s="1256"/>
      <c r="R1873" s="1256"/>
      <c r="S1873" s="1256"/>
      <c r="T1873" s="1671"/>
      <c r="U1873" s="1664" t="str">
        <f>IFERROR(VLOOKUP(B1873,ChiTietDuToan!C:H,5,0),"")</f>
        <v>km</v>
      </c>
      <c r="V1873" s="2309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66" t="s">
        <v>79</v>
      </c>
      <c r="C1874" s="1189" t="str">
        <f t="shared" si="355"/>
        <v xml:space="preserve"> </v>
      </c>
      <c r="D1874" s="1236" t="str">
        <f>VLOOKUP($B1874,DG!A:D,DG!$B$2,)</f>
        <v>06.6105</v>
      </c>
      <c r="E1874" s="1241" t="str">
        <f>VLOOKUP($B1874,DG!A:D,DG!$C$2,)</f>
        <v>Kéo dây nhôm bọc 70mm2</v>
      </c>
      <c r="F1874" s="1236" t="str">
        <f>VLOOKUP($B1874,DG!A:D,DG!$D$2,)</f>
        <v>km</v>
      </c>
      <c r="G1874" s="1913">
        <f>D1727/1000</f>
        <v>0</v>
      </c>
      <c r="H1874" s="1245"/>
      <c r="I1874" s="1245"/>
      <c r="J1874" s="1245"/>
      <c r="K1874" s="1245"/>
      <c r="L1874" s="1245"/>
      <c r="M1874" s="1245"/>
      <c r="N1874" s="1245"/>
      <c r="O1874" s="1245"/>
      <c r="P1874" s="1257">
        <f t="shared" si="353"/>
        <v>0</v>
      </c>
      <c r="Q1874" s="1245"/>
      <c r="R1874" s="1245"/>
      <c r="S1874" s="1245"/>
      <c r="T1874" s="1671"/>
      <c r="U1874" s="1664" t="str">
        <f>IFERROR(VLOOKUP(B1874,ChiTietDuToan!C:H,5,0),"")</f>
        <v/>
      </c>
      <c r="V1874" s="2309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66" t="s">
        <v>1561</v>
      </c>
      <c r="C1875" s="1189" t="str">
        <f t="shared" si="355"/>
        <v xml:space="preserve"> </v>
      </c>
      <c r="D1875" s="1236" t="str">
        <f>VLOOKUP($B1875,DG!A:D,DG!$B$2,)</f>
        <v>06.6106</v>
      </c>
      <c r="E1875" s="1241" t="str">
        <f>VLOOKUP($B1875,DG!A:D,DG!$C$2,)</f>
        <v>Kéo dây nhôm bọc 95mm2</v>
      </c>
      <c r="F1875" s="1236" t="str">
        <f>VLOOKUP($B1875,DG!A:D,DG!$D$2,)</f>
        <v>km</v>
      </c>
      <c r="G1875" s="1913">
        <f>D1726/1000</f>
        <v>0</v>
      </c>
      <c r="H1875" s="1245"/>
      <c r="I1875" s="1245"/>
      <c r="J1875" s="1245"/>
      <c r="K1875" s="1245"/>
      <c r="L1875" s="1245"/>
      <c r="M1875" s="1245"/>
      <c r="N1875" s="1245"/>
      <c r="O1875" s="1245"/>
      <c r="P1875" s="1257">
        <f t="shared" si="353"/>
        <v>0</v>
      </c>
      <c r="Q1875" s="1245"/>
      <c r="R1875" s="1245"/>
      <c r="S1875" s="1245"/>
      <c r="T1875" s="1671"/>
      <c r="U1875" s="1664" t="str">
        <f>IFERROR(VLOOKUP(B1875,ChiTietDuToan!C:H,5,0),"")</f>
        <v/>
      </c>
      <c r="V1875" s="2309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66" t="s">
        <v>1204</v>
      </c>
      <c r="C1876" s="1189" t="str">
        <f t="shared" si="355"/>
        <v xml:space="preserve"> </v>
      </c>
      <c r="D1876" s="1236" t="str">
        <f>VLOOKUP($B1876,DG!A:D,DG!$B$2,)</f>
        <v>06.6107</v>
      </c>
      <c r="E1876" s="1241" t="str">
        <f>VLOOKUP($B1876,DG!A:D,DG!$C$2,)</f>
        <v>Kéo dây nhôm bọc 120mm2</v>
      </c>
      <c r="F1876" s="1236" t="str">
        <f>VLOOKUP($B1876,DG!A:D,DG!$D$2,)</f>
        <v>km</v>
      </c>
      <c r="G1876" s="1913">
        <f>D1725/1000</f>
        <v>0</v>
      </c>
      <c r="H1876" s="1245"/>
      <c r="I1876" s="1245"/>
      <c r="J1876" s="1245"/>
      <c r="K1876" s="1245"/>
      <c r="L1876" s="1245"/>
      <c r="M1876" s="1245"/>
      <c r="N1876" s="1245"/>
      <c r="O1876" s="1245"/>
      <c r="P1876" s="1257">
        <f t="shared" si="353"/>
        <v>0</v>
      </c>
      <c r="Q1876" s="1245"/>
      <c r="R1876" s="1245"/>
      <c r="S1876" s="1245"/>
      <c r="T1876" s="1671"/>
      <c r="U1876" s="1664" t="str">
        <f>IFERROR(VLOOKUP(B1876,ChiTietDuToan!C:H,5,0),"")</f>
        <v/>
      </c>
      <c r="V1876" s="2309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66" t="s">
        <v>941</v>
      </c>
      <c r="C1877" s="1189" t="str">
        <f t="shared" si="355"/>
        <v xml:space="preserve"> </v>
      </c>
      <c r="D1877" s="1236" t="str">
        <f>VLOOKUP($B1877,DG!A:D,DG!$B$2,)</f>
        <v>06.6108</v>
      </c>
      <c r="E1877" s="1241" t="str">
        <f>VLOOKUP($B1877,DG!A:D,DG!$C$2,)</f>
        <v>Kéo dây nhôm bọc 150mm2</v>
      </c>
      <c r="F1877" s="1236" t="str">
        <f>VLOOKUP($B1877,DG!A:D,DG!$D$2,)</f>
        <v>km</v>
      </c>
      <c r="G1877" s="1913">
        <f>D1724/1000</f>
        <v>0</v>
      </c>
      <c r="H1877" s="1245"/>
      <c r="I1877" s="1245"/>
      <c r="J1877" s="1245"/>
      <c r="K1877" s="1245"/>
      <c r="L1877" s="1245"/>
      <c r="M1877" s="1245"/>
      <c r="N1877" s="1245"/>
      <c r="O1877" s="1245"/>
      <c r="P1877" s="1257">
        <f t="shared" si="353"/>
        <v>0</v>
      </c>
      <c r="Q1877" s="1245"/>
      <c r="R1877" s="1245"/>
      <c r="S1877" s="1245"/>
      <c r="T1877" s="1671"/>
      <c r="U1877" s="1664" t="str">
        <f>IFERROR(VLOOKUP(B1877,ChiTietDuToan!C:H,5,0),"")</f>
        <v/>
      </c>
      <c r="V1877" s="2309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66" t="s">
        <v>942</v>
      </c>
      <c r="C1878" s="1189" t="str">
        <f t="shared" si="355"/>
        <v xml:space="preserve"> </v>
      </c>
      <c r="D1878" s="1236" t="str">
        <f>VLOOKUP($B1878,DG!A:D,DG!$B$2,)</f>
        <v>06.6109</v>
      </c>
      <c r="E1878" s="1241" t="str">
        <f>VLOOKUP($B1878,DG!A:D,DG!$C$2,)</f>
        <v>Kéo dây nhôm bọc 185mm2</v>
      </c>
      <c r="F1878" s="1236" t="str">
        <f>VLOOKUP($B1878,DG!A:D,DG!$D$2,)</f>
        <v>km</v>
      </c>
      <c r="G1878" s="1913">
        <f>D1723/1000</f>
        <v>0</v>
      </c>
      <c r="H1878" s="1245"/>
      <c r="I1878" s="1245"/>
      <c r="J1878" s="1245"/>
      <c r="K1878" s="1245"/>
      <c r="L1878" s="1245"/>
      <c r="M1878" s="1245"/>
      <c r="N1878" s="1245"/>
      <c r="O1878" s="1245"/>
      <c r="P1878" s="1257">
        <f t="shared" si="353"/>
        <v>0</v>
      </c>
      <c r="Q1878" s="1245"/>
      <c r="R1878" s="1245"/>
      <c r="S1878" s="1245"/>
      <c r="T1878" s="1671"/>
      <c r="U1878" s="1664" t="str">
        <f>IFERROR(VLOOKUP(B1878,ChiTietDuToan!C:H,5,0),"")</f>
        <v>km</v>
      </c>
      <c r="V1878" s="2309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66" t="s">
        <v>1474</v>
      </c>
      <c r="C1879" s="1189" t="str">
        <f t="shared" si="355"/>
        <v xml:space="preserve"> </v>
      </c>
      <c r="D1879" s="1236" t="str">
        <f>VLOOKUP($B1879,DG!A:D,DG!$B$2,)</f>
        <v>06.6110</v>
      </c>
      <c r="E1879" s="1241" t="str">
        <f>VLOOKUP($B1879,DG!A:D,DG!$C$2,)</f>
        <v>Kéo dây nhôm bọc 240mm2</v>
      </c>
      <c r="F1879" s="1236" t="str">
        <f>VLOOKUP($B1879,DG!A:D,DG!$D$2,)</f>
        <v>km</v>
      </c>
      <c r="G1879" s="1913">
        <f>D1722/1000</f>
        <v>0</v>
      </c>
      <c r="H1879" s="1245"/>
      <c r="I1879" s="1245"/>
      <c r="J1879" s="1245"/>
      <c r="K1879" s="1245"/>
      <c r="L1879" s="1245"/>
      <c r="M1879" s="1245"/>
      <c r="N1879" s="1245"/>
      <c r="O1879" s="1245"/>
      <c r="P1879" s="1257">
        <f t="shared" si="353"/>
        <v>0</v>
      </c>
      <c r="Q1879" s="1245"/>
      <c r="R1879" s="1245"/>
      <c r="S1879" s="1245"/>
      <c r="T1879" s="1671"/>
      <c r="U1879" s="1664" t="str">
        <f>IFERROR(VLOOKUP(B1879,ChiTietDuToan!C:H,5,0),"")</f>
        <v/>
      </c>
      <c r="V1879" s="2309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59" t="s">
        <v>1559</v>
      </c>
      <c r="C1880" s="1189" t="str">
        <f t="shared" si="355"/>
        <v xml:space="preserve"> </v>
      </c>
      <c r="D1880" s="1236" t="str">
        <f>VLOOKUP($B1880,DG!A:D,DG!$B$2,)</f>
        <v>06.2201</v>
      </c>
      <c r="E1880" s="1241" t="s">
        <v>2611</v>
      </c>
      <c r="F1880" s="1236" t="str">
        <f>VLOOKUP($B1880,DG!A:D,DG!$D$2,)</f>
        <v>chuỗi</v>
      </c>
      <c r="G1880" s="1915"/>
      <c r="H1880" s="1250"/>
      <c r="I1880" s="1250"/>
      <c r="J1880" s="1250"/>
      <c r="K1880" s="1250"/>
      <c r="L1880" s="1250"/>
      <c r="M1880" s="1250"/>
      <c r="N1880" s="1250"/>
      <c r="O1880" s="1250"/>
      <c r="P1880" s="1257">
        <f t="shared" si="353"/>
        <v>0</v>
      </c>
      <c r="Q1880" s="1250"/>
      <c r="R1880" s="1250"/>
      <c r="S1880" s="1250"/>
      <c r="T1880" s="1671"/>
      <c r="U1880" s="1664" t="str">
        <f>IFERROR(VLOOKUP(B1880,ChiTietDuToan!C:H,5,0),"")</f>
        <v>chuỗi</v>
      </c>
      <c r="V1880" s="2309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59" t="s">
        <v>348</v>
      </c>
      <c r="C1881" s="1189" t="str">
        <f t="shared" si="355"/>
        <v xml:space="preserve"> </v>
      </c>
      <c r="D1881" s="1236" t="str">
        <f>VLOOKUP($B1881,DG!A:D,DG!$B$2,)</f>
        <v>06.1115</v>
      </c>
      <c r="E1881" s="1241" t="s">
        <v>2612</v>
      </c>
      <c r="F1881" s="1236" t="str">
        <f>VLOOKUP($B1881,DG!A:D,DG!$D$2,)</f>
        <v>bộ</v>
      </c>
      <c r="G1881" s="1915"/>
      <c r="H1881" s="1245"/>
      <c r="I1881" s="1245"/>
      <c r="J1881" s="1245"/>
      <c r="K1881" s="1245"/>
      <c r="L1881" s="1245"/>
      <c r="M1881" s="1245"/>
      <c r="N1881" s="1245"/>
      <c r="O1881" s="1245"/>
      <c r="P1881" s="1257">
        <f t="shared" si="353"/>
        <v>0</v>
      </c>
      <c r="Q1881" s="1245"/>
      <c r="R1881" s="1245"/>
      <c r="S1881" s="1245"/>
      <c r="T1881" s="1671"/>
      <c r="U1881" s="1664" t="str">
        <f>IFERROR(VLOOKUP(B1881,ChiTietDuToan!C:H,5,0),"")</f>
        <v/>
      </c>
      <c r="V1881" s="2309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91"/>
      <c r="B1882" s="1952" t="s">
        <v>348</v>
      </c>
      <c r="C1882" s="1189" t="str">
        <f t="shared" si="355"/>
        <v xml:space="preserve"> </v>
      </c>
      <c r="D1882" s="1236" t="str">
        <f>VLOOKUP($B1882,DG!A:D,DG!$B$2,)</f>
        <v>06.1115</v>
      </c>
      <c r="E1882" s="1241" t="str">
        <f>VLOOKUP($B1882,DG!A:D,DG!$C$2,)</f>
        <v>Lắp sứ đứng 24KV</v>
      </c>
      <c r="F1882" s="1236" t="str">
        <f>VLOOKUP($B1882,DG!A:D,DG!$D$2,)</f>
        <v>bộ</v>
      </c>
      <c r="G1882" s="1915">
        <f>G1759+G1761</f>
        <v>0</v>
      </c>
      <c r="H1882" s="1245">
        <f>$G1882</f>
        <v>0</v>
      </c>
      <c r="I1882" s="1245"/>
      <c r="J1882" s="1245"/>
      <c r="K1882" s="1245"/>
      <c r="L1882" s="1245"/>
      <c r="M1882" s="1245"/>
      <c r="N1882" s="1245"/>
      <c r="O1882" s="1683"/>
      <c r="P1882" s="1257">
        <f t="shared" si="353"/>
        <v>0</v>
      </c>
      <c r="Q1882" s="1245"/>
      <c r="R1882" s="1245"/>
      <c r="S1882" s="1245"/>
      <c r="T1882" s="1664"/>
      <c r="U1882" s="1664" t="str">
        <f>IFERROR(VLOOKUP(B1882,ChiTietDuToan!C:H,5,0),"")</f>
        <v/>
      </c>
      <c r="V1882" s="2309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59" t="s">
        <v>1260</v>
      </c>
      <c r="C1883" s="1189" t="str">
        <f t="shared" si="355"/>
        <v xml:space="preserve"> </v>
      </c>
      <c r="D1883" s="1236" t="str">
        <f>VLOOKUP($B1883,DG!A:D,DG!$B$2,)</f>
        <v>06.1115</v>
      </c>
      <c r="E1883" s="1241" t="str">
        <f>VLOOKUP($B1883,DG!A:D,DG!$C$2,)</f>
        <v>Tháo sứ đứng 24KV</v>
      </c>
      <c r="F1883" s="1236" t="str">
        <f>VLOOKUP($B1883,DG!A:D,DG!$D$2,)</f>
        <v>bộ</v>
      </c>
      <c r="G1883" s="1915">
        <f>G1759*0</f>
        <v>0</v>
      </c>
      <c r="H1883" s="1245"/>
      <c r="I1883" s="1245"/>
      <c r="J1883" s="1245"/>
      <c r="K1883" s="1245"/>
      <c r="L1883" s="1245"/>
      <c r="M1883" s="1245"/>
      <c r="N1883" s="1245"/>
      <c r="O1883" s="1245"/>
      <c r="P1883" s="1257">
        <f t="shared" si="353"/>
        <v>0</v>
      </c>
      <c r="Q1883" s="1245"/>
      <c r="R1883" s="1245"/>
      <c r="S1883" s="1245"/>
      <c r="T1883" s="1671"/>
      <c r="U1883" s="1664" t="str">
        <f>IFERROR(VLOOKUP(B1883,ChiTietDuToan!C:H,5,0),"")</f>
        <v/>
      </c>
      <c r="V1883" s="2309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59" t="s">
        <v>349</v>
      </c>
      <c r="C1884" s="1189" t="str">
        <f t="shared" si="355"/>
        <v xml:space="preserve"> </v>
      </c>
      <c r="D1884" s="1236" t="str">
        <f>VLOOKUP($B1884,DG!A:D,DG!$B$2,)</f>
        <v>06.3231</v>
      </c>
      <c r="E1884" s="1241" t="str">
        <f>VLOOKUP($B1884,DG!A:D,DG!$C$2,)</f>
        <v>Lắp chân sứ đỉnh</v>
      </c>
      <c r="F1884" s="1236" t="str">
        <f>VLOOKUP($B1884,DG!A:D,DG!$D$2,)</f>
        <v>cái</v>
      </c>
      <c r="G1884" s="1915">
        <f>G1761+G1765*2</f>
        <v>0</v>
      </c>
      <c r="H1884" s="1245"/>
      <c r="I1884" s="1245"/>
      <c r="J1884" s="1245"/>
      <c r="K1884" s="1245"/>
      <c r="L1884" s="1245"/>
      <c r="M1884" s="1245"/>
      <c r="N1884" s="1245"/>
      <c r="O1884" s="1245"/>
      <c r="P1884" s="1257">
        <f t="shared" si="353"/>
        <v>0</v>
      </c>
      <c r="Q1884" s="1245"/>
      <c r="R1884" s="1245"/>
      <c r="S1884" s="1245"/>
      <c r="T1884" s="1671"/>
      <c r="U1884" s="1664" t="str">
        <f>IFERROR(VLOOKUP(B1884,ChiTietDuToan!C:H,5,0),"")</f>
        <v/>
      </c>
      <c r="V1884" s="2309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59" t="s">
        <v>350</v>
      </c>
      <c r="C1885" s="1189" t="str">
        <f t="shared" si="355"/>
        <v xml:space="preserve"> </v>
      </c>
      <c r="D1885" s="1236" t="str">
        <f>VLOOKUP($B1885,DG!A:D,DG!$B$2,)</f>
        <v>06.1410</v>
      </c>
      <c r="E1885" s="1241" t="str">
        <f>VLOOKUP($B1885,DG!A:D,DG!$C$2,)</f>
        <v>Lắp chuỗi sứ đỡ 2 bát/chuỗi</v>
      </c>
      <c r="F1885" s="1236" t="str">
        <f>VLOOKUP($B1885,DG!A:D,DG!$D$2,)</f>
        <v>chuỗi</v>
      </c>
      <c r="G1885" s="1915">
        <f>-SUM(G1795:G1795)</f>
        <v>0</v>
      </c>
      <c r="H1885" s="1245"/>
      <c r="I1885" s="1245"/>
      <c r="J1885" s="1245"/>
      <c r="K1885" s="1245"/>
      <c r="L1885" s="1245"/>
      <c r="M1885" s="1245"/>
      <c r="N1885" s="1245"/>
      <c r="O1885" s="1245"/>
      <c r="P1885" s="1257">
        <f t="shared" si="353"/>
        <v>0</v>
      </c>
      <c r="Q1885" s="1245"/>
      <c r="R1885" s="1245"/>
      <c r="S1885" s="1245"/>
      <c r="T1885" s="1671"/>
      <c r="U1885" s="1664" t="str">
        <f>IFERROR(VLOOKUP(B1885,ChiTietDuToan!C:H,5,0),"")</f>
        <v/>
      </c>
      <c r="V1885" s="2309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59" t="s">
        <v>351</v>
      </c>
      <c r="C1886" s="1189" t="str">
        <f t="shared" si="355"/>
        <v xml:space="preserve"> </v>
      </c>
      <c r="D1886" s="1236" t="str">
        <f>VLOOKUP($B1886,DG!A:D,DG!$B$2,)</f>
        <v>06.1511</v>
      </c>
      <c r="E1886" s="1241" t="s">
        <v>2613</v>
      </c>
      <c r="F1886" s="1236" t="str">
        <f>VLOOKUP($B1886,DG!A:D,DG!$D$2,)</f>
        <v>chuỗi</v>
      </c>
      <c r="G1886" s="1915"/>
      <c r="H1886" s="1245"/>
      <c r="I1886" s="1245"/>
      <c r="J1886" s="1245"/>
      <c r="K1886" s="1245"/>
      <c r="L1886" s="1245"/>
      <c r="M1886" s="1245"/>
      <c r="N1886" s="1245"/>
      <c r="O1886" s="1245"/>
      <c r="P1886" s="1257">
        <f t="shared" si="353"/>
        <v>0</v>
      </c>
      <c r="Q1886" s="1245"/>
      <c r="R1886" s="1245"/>
      <c r="S1886" s="1245"/>
      <c r="T1886" s="1671"/>
      <c r="U1886" s="1664" t="str">
        <f>IFERROR(VLOOKUP(B1886,ChiTietDuToan!C:H,5,0),"")</f>
        <v/>
      </c>
      <c r="V1886" s="2309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59" t="s">
        <v>351</v>
      </c>
      <c r="C1887" s="1189" t="str">
        <f t="shared" si="355"/>
        <v xml:space="preserve"> </v>
      </c>
      <c r="D1887" s="1236" t="str">
        <f>VLOOKUP($B1887,DG!A:D,DG!$B$2,)</f>
        <v>06.1511</v>
      </c>
      <c r="E1887" s="1241" t="str">
        <f>VLOOKUP($B1887,DG!A:D,DG!$C$2,)</f>
        <v>Lắp chuỗi sứ néo 2 bát/chuỗi</v>
      </c>
      <c r="F1887" s="1236" t="str">
        <f>VLOOKUP($B1887,DG!A:D,DG!$D$2,)</f>
        <v>chuỗi</v>
      </c>
      <c r="G1887" s="1915"/>
      <c r="H1887" s="1250"/>
      <c r="I1887" s="1250"/>
      <c r="J1887" s="1250"/>
      <c r="K1887" s="1250"/>
      <c r="L1887" s="1250"/>
      <c r="M1887" s="1250"/>
      <c r="N1887" s="1250"/>
      <c r="O1887" s="1250"/>
      <c r="P1887" s="1257">
        <f t="shared" si="353"/>
        <v>0</v>
      </c>
      <c r="Q1887" s="1250"/>
      <c r="R1887" s="1250"/>
      <c r="S1887" s="1250"/>
      <c r="T1887" s="1671"/>
      <c r="U1887" s="1664" t="str">
        <f>IFERROR(VLOOKUP(B1887,ChiTietDuToan!C:H,5,0),"")</f>
        <v/>
      </c>
      <c r="V1887" s="2309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91"/>
      <c r="B1888" s="1952" t="s">
        <v>1559</v>
      </c>
      <c r="C1888" s="1189" t="str">
        <f t="shared" si="355"/>
        <v xml:space="preserve"> </v>
      </c>
      <c r="D1888" s="1236" t="str">
        <f>VLOOKUP($B1888,DG!A:D,DG!$B$2,)</f>
        <v>06.2201</v>
      </c>
      <c r="E1888" s="1241" t="str">
        <f>VLOOKUP($B1888,DG!A:D,DG!$C$2,)</f>
        <v>Lắp chuỗi sứ néo Polymer</v>
      </c>
      <c r="F1888" s="1236" t="str">
        <f>VLOOKUP($B1888,DG!A:D,DG!$D$2,)</f>
        <v>chuỗi</v>
      </c>
      <c r="G1888" s="1915">
        <f>+G1778+G1880-G2197*3+G1784</f>
        <v>0</v>
      </c>
      <c r="H1888" s="1245">
        <f>$G1888</f>
        <v>0</v>
      </c>
      <c r="I1888" s="1250"/>
      <c r="J1888" s="1250"/>
      <c r="K1888" s="1250"/>
      <c r="L1888" s="1250"/>
      <c r="M1888" s="1250"/>
      <c r="N1888" s="1250"/>
      <c r="O1888" s="1688"/>
      <c r="P1888" s="1257">
        <f t="shared" si="353"/>
        <v>0</v>
      </c>
      <c r="Q1888" s="1250"/>
      <c r="R1888" s="1250"/>
      <c r="S1888" s="1250"/>
      <c r="T1888" s="1664"/>
      <c r="U1888" s="1664" t="str">
        <f>IFERROR(VLOOKUP(B1888,ChiTietDuToan!C:H,5,0),"")</f>
        <v>chuỗi</v>
      </c>
      <c r="V1888" s="2309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59" t="str">
        <f>"FCO100-"&amp;22</f>
        <v>FCO100-22</v>
      </c>
      <c r="C1889" s="1189" t="str">
        <f t="shared" si="355"/>
        <v xml:space="preserve"> </v>
      </c>
      <c r="D1889" s="1236" t="str">
        <f>VLOOKUP($B1889,DG!A:D,DG!$B$2,)</f>
        <v>02.3155</v>
      </c>
      <c r="E1889" s="1248" t="str">
        <f>"Tháo "&amp;VLOOKUP($B1889,DG!A:D,DG!$C$2,)&amp;" hiện hữu sử dụng lại"</f>
        <v>Tháo FCO 24kV - 100A hiện hữu sử dụng lại</v>
      </c>
      <c r="F1889" s="1236" t="str">
        <f>VLOOKUP($B1889,DG!A:D,DG!$D$2,)</f>
        <v>cái</v>
      </c>
      <c r="G1889" s="1915"/>
      <c r="H1889" s="1250"/>
      <c r="I1889" s="1250"/>
      <c r="J1889" s="1250"/>
      <c r="K1889" s="1250"/>
      <c r="L1889" s="1250"/>
      <c r="M1889" s="1250"/>
      <c r="N1889" s="1250"/>
      <c r="O1889" s="1250"/>
      <c r="P1889" s="1257">
        <f t="shared" si="353"/>
        <v>0</v>
      </c>
      <c r="Q1889" s="1250"/>
      <c r="R1889" s="1250"/>
      <c r="S1889" s="1250"/>
      <c r="T1889" s="1671"/>
      <c r="U1889" s="1664" t="str">
        <f>IFERROR(VLOOKUP(B1889,ChiTietDuToan!C:H,5,0),"")</f>
        <v/>
      </c>
      <c r="V1889" s="2309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59" t="s">
        <v>4754</v>
      </c>
      <c r="C1890" s="1189" t="str">
        <f t="shared" si="355"/>
        <v xml:space="preserve"> </v>
      </c>
      <c r="D1890" s="1236" t="str">
        <f>VLOOKUP($B1890,DG!A:D,DG!$B$2,)</f>
        <v>02.5114</v>
      </c>
      <c r="E1890" s="1248" t="str">
        <f>"Thaùo "&amp;VLOOKUP($B1890,DG!A:D,DG!$C$2,)</f>
        <v>Thaùo LA 18kV 10kA</v>
      </c>
      <c r="F1890" s="1236" t="str">
        <f>VLOOKUP($B1890,DG!A:D,DG!$D$2,)</f>
        <v>cái</v>
      </c>
      <c r="G1890" s="1915"/>
      <c r="H1890" s="1250"/>
      <c r="I1890" s="1250"/>
      <c r="J1890" s="1250"/>
      <c r="K1890" s="1250"/>
      <c r="L1890" s="1250"/>
      <c r="M1890" s="1250"/>
      <c r="N1890" s="1250"/>
      <c r="O1890" s="1250"/>
      <c r="P1890" s="1257">
        <f t="shared" si="353"/>
        <v>0</v>
      </c>
      <c r="Q1890" s="1250"/>
      <c r="R1890" s="1250"/>
      <c r="S1890" s="1250"/>
      <c r="T1890" s="1671"/>
      <c r="U1890" s="1664" t="str">
        <f>IFERROR(VLOOKUP(B1890,ChiTietDuToan!C:H,5,0),"")</f>
        <v/>
      </c>
      <c r="V1890" s="2309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59" t="str">
        <f>"FCO100-"&amp;22</f>
        <v>FCO100-22</v>
      </c>
      <c r="C1891" s="1189" t="str">
        <f t="shared" si="355"/>
        <v xml:space="preserve"> </v>
      </c>
      <c r="D1891" s="1236" t="str">
        <f>VLOOKUP($B1891,DG!A:D,DG!$B$2,)</f>
        <v>02.3155</v>
      </c>
      <c r="E1891" s="1248" t="str">
        <f>"Lắp "&amp;VLOOKUP($B1891,DG!A:D,DG!$C$2,)</f>
        <v>Lắp FCO 24kV - 100A</v>
      </c>
      <c r="F1891" s="1236" t="str">
        <f>VLOOKUP($B1891,DG!A:D,DG!$D$2,)</f>
        <v>cái</v>
      </c>
      <c r="G1891" s="1915"/>
      <c r="H1891" s="1250"/>
      <c r="I1891" s="1250"/>
      <c r="J1891" s="1250"/>
      <c r="K1891" s="1250"/>
      <c r="L1891" s="1250"/>
      <c r="M1891" s="1250"/>
      <c r="N1891" s="1250"/>
      <c r="O1891" s="1250"/>
      <c r="P1891" s="1257">
        <f t="shared" si="353"/>
        <v>0</v>
      </c>
      <c r="Q1891" s="1250"/>
      <c r="R1891" s="1250"/>
      <c r="S1891" s="1250"/>
      <c r="T1891" s="1671"/>
      <c r="U1891" s="1664" t="str">
        <f>IFERROR(VLOOKUP(B1891,ChiTietDuToan!C:H,5,0),"")</f>
        <v/>
      </c>
      <c r="V1891" s="2309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59" t="s">
        <v>4754</v>
      </c>
      <c r="C1892" s="1189" t="str">
        <f t="shared" si="355"/>
        <v xml:space="preserve"> </v>
      </c>
      <c r="D1892" s="1236" t="str">
        <f>VLOOKUP($B1892,DG!A:D,DG!$B$2,)</f>
        <v>02.5114</v>
      </c>
      <c r="E1892" s="1248" t="str">
        <f>"Lắp "&amp;VLOOKUP($B1892,DG!A:D,DG!$C$2,)</f>
        <v>Lắp LA 18kV 10kA</v>
      </c>
      <c r="F1892" s="1236" t="str">
        <f>VLOOKUP($B1892,DG!A:D,DG!$D$2,)</f>
        <v>cái</v>
      </c>
      <c r="G1892" s="1915"/>
      <c r="H1892" s="1250"/>
      <c r="I1892" s="1250"/>
      <c r="J1892" s="1250"/>
      <c r="K1892" s="1250"/>
      <c r="L1892" s="1250"/>
      <c r="M1892" s="1250"/>
      <c r="N1892" s="1250"/>
      <c r="O1892" s="1250"/>
      <c r="P1892" s="1257">
        <f t="shared" si="353"/>
        <v>0</v>
      </c>
      <c r="Q1892" s="1250"/>
      <c r="R1892" s="1250"/>
      <c r="S1892" s="1250"/>
      <c r="T1892" s="1671"/>
      <c r="U1892" s="1664" t="str">
        <f>IFERROR(VLOOKUP(B1892,ChiTietDuToan!C:H,5,0),"")</f>
        <v/>
      </c>
      <c r="V1892" s="2309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59" t="s">
        <v>148</v>
      </c>
      <c r="C1893" s="1189" t="str">
        <f t="shared" si="355"/>
        <v xml:space="preserve"> </v>
      </c>
      <c r="D1893" s="1236" t="str">
        <f>VLOOKUP($B1893,DG!A:D,DG!$B$2,)</f>
        <v>05.6001</v>
      </c>
      <c r="E1893" s="1241" t="s">
        <v>2614</v>
      </c>
      <c r="F1893" s="1236" t="str">
        <f>VLOOKUP($B1893,DG!A:D,DG!$D$2,)</f>
        <v>Kg</v>
      </c>
      <c r="G1893" s="1915"/>
      <c r="H1893" s="1245"/>
      <c r="I1893" s="1245"/>
      <c r="J1893" s="1245"/>
      <c r="K1893" s="1245"/>
      <c r="L1893" s="1245"/>
      <c r="M1893" s="1245"/>
      <c r="N1893" s="1245"/>
      <c r="O1893" s="1245"/>
      <c r="P1893" s="1257">
        <f t="shared" si="353"/>
        <v>0</v>
      </c>
      <c r="Q1893" s="1245"/>
      <c r="R1893" s="1245"/>
      <c r="S1893" s="1245"/>
      <c r="T1893" s="1671"/>
      <c r="U1893" s="1664" t="str">
        <f>IFERROR(VLOOKUP(B1893,ChiTietDuToan!C:H,5,0),"")</f>
        <v/>
      </c>
      <c r="V1893" s="2309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59" t="s">
        <v>1697</v>
      </c>
      <c r="C1894" s="1189" t="str">
        <f t="shared" si="355"/>
        <v xml:space="preserve"> </v>
      </c>
      <c r="D1894" s="1236" t="str">
        <f>VLOOKUP($B1894,DG!A:D,DG!$B$2,)</f>
        <v>05.6100</v>
      </c>
      <c r="E1894" s="1241" t="str">
        <f>"Lắp "&amp;VLOOKUP($B1894,DG!A:D,DG!$C$2,)</f>
        <v>Lắp Giá U 80x600 lắp FCO</v>
      </c>
      <c r="F1894" s="1236" t="str">
        <f>VLOOKUP($B1894,DG!A:D,DG!$D$2,)</f>
        <v>bộ</v>
      </c>
      <c r="G1894" s="1915"/>
      <c r="H1894" s="1245"/>
      <c r="I1894" s="1245"/>
      <c r="J1894" s="1245"/>
      <c r="K1894" s="1245"/>
      <c r="L1894" s="1245"/>
      <c r="M1894" s="1245"/>
      <c r="N1894" s="1245"/>
      <c r="O1894" s="1245"/>
      <c r="P1894" s="1257">
        <f t="shared" si="353"/>
        <v>0</v>
      </c>
      <c r="Q1894" s="1245"/>
      <c r="R1894" s="1245"/>
      <c r="S1894" s="1245"/>
      <c r="T1894" s="1671"/>
      <c r="U1894" s="1664" t="str">
        <f>IFERROR(VLOOKUP(B1894,ChiTietDuToan!C:H,5,0),"")</f>
        <v/>
      </c>
      <c r="V1894" s="2309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59" t="s">
        <v>349</v>
      </c>
      <c r="C1895" s="1189" t="str">
        <f t="shared" si="355"/>
        <v xml:space="preserve"> </v>
      </c>
      <c r="D1895" s="1236" t="str">
        <f>VLOOKUP($B1895,DG!A:D,DG!$B$2,)</f>
        <v>06.3231</v>
      </c>
      <c r="E1895" s="1241" t="s">
        <v>2615</v>
      </c>
      <c r="F1895" s="1236" t="str">
        <f>VLOOKUP($B1895,DG!A:D,DG!$D$2,)</f>
        <v>cái</v>
      </c>
      <c r="G1895" s="1915"/>
      <c r="H1895" s="1245"/>
      <c r="I1895" s="1245"/>
      <c r="J1895" s="1245"/>
      <c r="K1895" s="1245"/>
      <c r="L1895" s="1245"/>
      <c r="M1895" s="1245"/>
      <c r="N1895" s="1245"/>
      <c r="O1895" s="1245"/>
      <c r="P1895" s="1257">
        <f t="shared" si="353"/>
        <v>0</v>
      </c>
      <c r="Q1895" s="1245"/>
      <c r="R1895" s="1245"/>
      <c r="S1895" s="1245"/>
      <c r="T1895" s="1671"/>
      <c r="U1895" s="1664" t="str">
        <f>IFERROR(VLOOKUP(B1895,ChiTietDuToan!C:H,5,0),"")</f>
        <v/>
      </c>
      <c r="V1895" s="2309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59" t="s">
        <v>1959</v>
      </c>
      <c r="C1896" s="1189" t="str">
        <f t="shared" si="355"/>
        <v xml:space="preserve"> </v>
      </c>
      <c r="D1896" s="1236" t="str">
        <f>VLOOKUP($B1896,DG!A:D,DG!$B$2,)</f>
        <v>05.6011</v>
      </c>
      <c r="E1896" s="1241" t="s">
        <v>2616</v>
      </c>
      <c r="F1896" s="1236" t="str">
        <f>VLOOKUP($B1896,DG!A:D,DG!$D$2,)</f>
        <v>bộ</v>
      </c>
      <c r="G1896" s="1915"/>
      <c r="H1896" s="1245"/>
      <c r="I1896" s="1245"/>
      <c r="J1896" s="1245"/>
      <c r="K1896" s="1245"/>
      <c r="L1896" s="1245"/>
      <c r="M1896" s="1245"/>
      <c r="N1896" s="1245"/>
      <c r="O1896" s="1245"/>
      <c r="P1896" s="1257">
        <f t="shared" si="353"/>
        <v>0</v>
      </c>
      <c r="Q1896" s="1245"/>
      <c r="R1896" s="1245"/>
      <c r="S1896" s="1245"/>
      <c r="T1896" s="1671"/>
      <c r="U1896" s="1664" t="str">
        <f>IFERROR(VLOOKUP(B1896,ChiTietDuToan!C:H,5,0),"")</f>
        <v>bộ</v>
      </c>
      <c r="V1896" s="2309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59" t="s">
        <v>352</v>
      </c>
      <c r="C1897" s="1189" t="str">
        <f t="shared" si="355"/>
        <v xml:space="preserve"> </v>
      </c>
      <c r="D1897" s="1236" t="str">
        <f>VLOOKUP($B1897,DG!A:D,DG!$B$2,)</f>
        <v>06.1211</v>
      </c>
      <c r="E1897" s="1241" t="s">
        <v>2617</v>
      </c>
      <c r="F1897" s="1236" t="str">
        <f>VLOOKUP($B1897,DG!A:D,DG!$D$2,)</f>
        <v>bộ</v>
      </c>
      <c r="G1897" s="1915"/>
      <c r="H1897" s="1245"/>
      <c r="I1897" s="1245"/>
      <c r="J1897" s="1245"/>
      <c r="K1897" s="1245"/>
      <c r="L1897" s="1245"/>
      <c r="M1897" s="1245"/>
      <c r="N1897" s="1245"/>
      <c r="O1897" s="1245"/>
      <c r="P1897" s="1257">
        <f t="shared" si="353"/>
        <v>0</v>
      </c>
      <c r="Q1897" s="1245"/>
      <c r="R1897" s="1245"/>
      <c r="S1897" s="1245"/>
      <c r="T1897" s="1671"/>
      <c r="U1897" s="1664" t="str">
        <f>IFERROR(VLOOKUP(B1897,ChiTietDuToan!C:H,5,0),"")</f>
        <v>bộ</v>
      </c>
      <c r="V1897" s="2309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91"/>
      <c r="B1898" s="1952" t="s">
        <v>352</v>
      </c>
      <c r="C1898" s="1189" t="str">
        <f t="shared" si="355"/>
        <v xml:space="preserve"> </v>
      </c>
      <c r="D1898" s="1236" t="str">
        <f>VLOOKUP($B1898,DG!A:D,DG!$B$2,)</f>
        <v>06.1211</v>
      </c>
      <c r="E1898" s="1241" t="str">
        <f>VLOOKUP($B1898,DG!A:D,DG!$C$2,)</f>
        <v>Lắp rack sứ + sứ ống chỉ</v>
      </c>
      <c r="F1898" s="1236" t="str">
        <f>VLOOKUP($B1898,DG!A:D,DG!$D$2,)</f>
        <v>bộ</v>
      </c>
      <c r="G1898" s="1915"/>
      <c r="H1898" s="1245">
        <f>G1898</f>
        <v>0</v>
      </c>
      <c r="I1898" s="1245"/>
      <c r="J1898" s="1245"/>
      <c r="K1898" s="1245"/>
      <c r="L1898" s="1245"/>
      <c r="M1898" s="1245"/>
      <c r="N1898" s="1245"/>
      <c r="O1898" s="1683"/>
      <c r="P1898" s="1257">
        <f t="shared" si="353"/>
        <v>0</v>
      </c>
      <c r="Q1898" s="1245"/>
      <c r="R1898" s="1245"/>
      <c r="S1898" s="1245"/>
      <c r="T1898" s="1664"/>
      <c r="U1898" s="1664" t="str">
        <f>IFERROR(VLOOKUP(B1898,ChiTietDuToan!C:H,5,0),"")</f>
        <v>bộ</v>
      </c>
      <c r="V1898" s="2309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59" t="s">
        <v>325</v>
      </c>
      <c r="C1899" s="1189" t="str">
        <f t="shared" si="355"/>
        <v xml:space="preserve"> </v>
      </c>
      <c r="D1899" s="1236" t="str">
        <f>VLOOKUP($B1899,DG!A:D,DG!$B$2,)</f>
        <v>06.1213</v>
      </c>
      <c r="E1899" s="1241" t="str">
        <f>VLOOKUP($B1899,DG!A:D,DG!$C$2,)</f>
        <v>Lắp rack 2 sứ + sứ ống chỉ</v>
      </c>
      <c r="F1899" s="1236" t="str">
        <f>VLOOKUP($B1899,DG!A:D,DG!$D$2,)</f>
        <v>bộ</v>
      </c>
      <c r="G1899" s="1915">
        <f>G1853</f>
        <v>0</v>
      </c>
      <c r="H1899" s="1245"/>
      <c r="I1899" s="1245"/>
      <c r="J1899" s="1245"/>
      <c r="K1899" s="1245"/>
      <c r="L1899" s="1245"/>
      <c r="M1899" s="1245"/>
      <c r="N1899" s="1245"/>
      <c r="O1899" s="1245"/>
      <c r="P1899" s="1257">
        <f t="shared" si="353"/>
        <v>0</v>
      </c>
      <c r="Q1899" s="1245"/>
      <c r="R1899" s="1245"/>
      <c r="S1899" s="1245"/>
      <c r="T1899" s="1671"/>
      <c r="U1899" s="1664" t="str">
        <f>IFERROR(VLOOKUP(B1899,ChiTietDuToan!C:H,5,0),"")</f>
        <v/>
      </c>
      <c r="V1899" s="2309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59" t="s">
        <v>41</v>
      </c>
      <c r="C1900" s="1189" t="str">
        <f t="shared" si="355"/>
        <v xml:space="preserve"> </v>
      </c>
      <c r="D1900" s="1236" t="str">
        <f>VLOOKUP($B1900,DG!A:D,DG!$B$2,)</f>
        <v>06.1214</v>
      </c>
      <c r="E1900" s="1241" t="s">
        <v>2618</v>
      </c>
      <c r="F1900" s="1236" t="str">
        <f>VLOOKUP($B1900,DG!A:D,DG!$D$2,)</f>
        <v>bộ</v>
      </c>
      <c r="G1900" s="1915"/>
      <c r="H1900" s="1245"/>
      <c r="I1900" s="1245"/>
      <c r="J1900" s="1245"/>
      <c r="K1900" s="1245"/>
      <c r="L1900" s="1245"/>
      <c r="M1900" s="1245"/>
      <c r="N1900" s="1245"/>
      <c r="O1900" s="1245"/>
      <c r="P1900" s="1257">
        <f t="shared" si="353"/>
        <v>0</v>
      </c>
      <c r="Q1900" s="1245"/>
      <c r="R1900" s="1245"/>
      <c r="S1900" s="1245"/>
      <c r="T1900" s="1671"/>
      <c r="U1900" s="1664" t="str">
        <f>IFERROR(VLOOKUP(B1900,ChiTietDuToan!C:H,5,0),"")</f>
        <v/>
      </c>
      <c r="V1900" s="2309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59" t="s">
        <v>42</v>
      </c>
      <c r="C1901" s="1189" t="str">
        <f t="shared" si="355"/>
        <v xml:space="preserve"> </v>
      </c>
      <c r="D1901" s="1236" t="str">
        <f>VLOOKUP($B1901,DG!A:D,DG!$B$2,)</f>
        <v>06.1214</v>
      </c>
      <c r="E1901" s="1241" t="str">
        <f>VLOOKUP($B1901,DG!A:D,DG!$C$2,)</f>
        <v>Lắp rack 3 sứ + sứ ống chỉ</v>
      </c>
      <c r="F1901" s="1236" t="str">
        <f>VLOOKUP($B1901,DG!A:D,DG!$D$2,)</f>
        <v>bộ</v>
      </c>
      <c r="G1901" s="1915"/>
      <c r="H1901" s="1245"/>
      <c r="I1901" s="1245"/>
      <c r="J1901" s="1245"/>
      <c r="K1901" s="1245"/>
      <c r="L1901" s="1245"/>
      <c r="M1901" s="1245"/>
      <c r="N1901" s="1245"/>
      <c r="O1901" s="1245"/>
      <c r="P1901" s="1257">
        <f t="shared" si="353"/>
        <v>0</v>
      </c>
      <c r="Q1901" s="1245"/>
      <c r="R1901" s="1245"/>
      <c r="S1901" s="1245"/>
      <c r="T1901" s="1671"/>
      <c r="U1901" s="1664" t="str">
        <f>IFERROR(VLOOKUP(B1901,ChiTietDuToan!C:H,5,0),"")</f>
        <v/>
      </c>
      <c r="V1901" s="2309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59" t="s">
        <v>512</v>
      </c>
      <c r="C1902" s="1189" t="str">
        <f t="shared" si="355"/>
        <v xml:space="preserve"> </v>
      </c>
      <c r="D1902" s="1236" t="str">
        <f>VLOOKUP($B1902,DG!A:D,DG!$B$2,)</f>
        <v>06.1215</v>
      </c>
      <c r="E1902" s="1241" t="s">
        <v>2619</v>
      </c>
      <c r="F1902" s="1236" t="str">
        <f>VLOOKUP($B1902,DG!A:D,DG!$D$2,)</f>
        <v>bộ</v>
      </c>
      <c r="G1902" s="1915"/>
      <c r="H1902" s="1245"/>
      <c r="I1902" s="1245"/>
      <c r="J1902" s="1245"/>
      <c r="K1902" s="1245"/>
      <c r="L1902" s="1245"/>
      <c r="M1902" s="1245"/>
      <c r="N1902" s="1245"/>
      <c r="O1902" s="1245"/>
      <c r="P1902" s="1257">
        <f t="shared" si="353"/>
        <v>0</v>
      </c>
      <c r="Q1902" s="1245"/>
      <c r="R1902" s="1245"/>
      <c r="S1902" s="1245"/>
      <c r="T1902" s="1671"/>
      <c r="U1902" s="1664" t="str">
        <f>IFERROR(VLOOKUP(B1902,ChiTietDuToan!C:H,5,0),"")</f>
        <v/>
      </c>
      <c r="V1902" s="2309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59" t="s">
        <v>1833</v>
      </c>
      <c r="C1903" s="1189" t="str">
        <f t="shared" si="355"/>
        <v xml:space="preserve"> </v>
      </c>
      <c r="D1903" s="1236" t="str">
        <f>VLOOKUP($B1903,DG!A:D,DG!$B$2,)</f>
        <v>06.1215</v>
      </c>
      <c r="E1903" s="1241" t="str">
        <f>VLOOKUP($B1903,DG!A:D,DG!$C$2,)</f>
        <v>Lắp rack 4 sứ + sứ ống chỉ</v>
      </c>
      <c r="F1903" s="1236" t="str">
        <f>VLOOKUP($B1903,DG!A:D,DG!$D$2,)</f>
        <v>bộ</v>
      </c>
      <c r="G1903" s="1915"/>
      <c r="H1903" s="1245"/>
      <c r="I1903" s="1245"/>
      <c r="J1903" s="1245"/>
      <c r="K1903" s="1245"/>
      <c r="L1903" s="1245"/>
      <c r="M1903" s="1245"/>
      <c r="N1903" s="1245"/>
      <c r="O1903" s="1245"/>
      <c r="P1903" s="1257">
        <f t="shared" si="353"/>
        <v>0</v>
      </c>
      <c r="Q1903" s="1245"/>
      <c r="R1903" s="1245"/>
      <c r="S1903" s="1245"/>
      <c r="T1903" s="1671"/>
      <c r="U1903" s="1664" t="str">
        <f>IFERROR(VLOOKUP(B1903,ChiTietDuToan!C:H,5,0),"")</f>
        <v/>
      </c>
      <c r="V1903" s="2309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59" t="s">
        <v>354</v>
      </c>
      <c r="C1904" s="1189" t="str">
        <f t="shared" si="355"/>
        <v xml:space="preserve"> </v>
      </c>
      <c r="D1904" s="1252" t="str">
        <f>VLOOKUP($B1904,DG!A:D,DG!$B$2,)</f>
        <v>06.5072</v>
      </c>
      <c r="E1904" s="1241" t="str">
        <f>VLOOKUP($B1904,DG!A:D,DG!$C$2,)</f>
        <v xml:space="preserve">Kéo dây qua vị trí bẻ góc dây </v>
      </c>
      <c r="F1904" s="1252" t="str">
        <f>VLOOKUP($B1904,DG!A:D,DG!$D$2,)</f>
        <v>vị trí</v>
      </c>
      <c r="G1904" s="1933"/>
      <c r="H1904" s="1250"/>
      <c r="I1904" s="1250"/>
      <c r="J1904" s="1250"/>
      <c r="K1904" s="1250"/>
      <c r="L1904" s="1250"/>
      <c r="M1904" s="1250"/>
      <c r="N1904" s="1250"/>
      <c r="O1904" s="1250"/>
      <c r="P1904" s="1257">
        <f t="shared" si="353"/>
        <v>0</v>
      </c>
      <c r="Q1904" s="1250"/>
      <c r="R1904" s="1250"/>
      <c r="S1904" s="1250"/>
      <c r="T1904" s="1671"/>
      <c r="U1904" s="1664" t="str">
        <f>IFERROR(VLOOKUP(B1904,ChiTietDuToan!C:H,5,0),"")</f>
        <v/>
      </c>
      <c r="V1904" s="2309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59" t="s">
        <v>355</v>
      </c>
      <c r="C1905" s="1189" t="str">
        <f t="shared" si="355"/>
        <v xml:space="preserve"> </v>
      </c>
      <c r="D1905" s="1236" t="str">
        <f>VLOOKUP($B1905,DG!A:D,DG!$B$2,)</f>
        <v>06.5082</v>
      </c>
      <c r="E1905" s="1241" t="str">
        <f>VLOOKUP($B1905,DG!A:D,DG!$C$2,)</f>
        <v>Kéo dây qua sông ( S&lt;=300)</v>
      </c>
      <c r="F1905" s="1236" t="str">
        <f>VLOOKUP($B1905,DG!A:D,DG!$D$2,)</f>
        <v>vị trí</v>
      </c>
      <c r="G1905" s="1912"/>
      <c r="H1905" s="1250"/>
      <c r="I1905" s="1250"/>
      <c r="J1905" s="1250"/>
      <c r="K1905" s="1250"/>
      <c r="L1905" s="1250"/>
      <c r="M1905" s="1250"/>
      <c r="N1905" s="1250"/>
      <c r="O1905" s="1250"/>
      <c r="P1905" s="1257">
        <f t="shared" si="353"/>
        <v>0</v>
      </c>
      <c r="Q1905" s="1250"/>
      <c r="R1905" s="1250"/>
      <c r="S1905" s="1250"/>
      <c r="T1905" s="1671"/>
      <c r="U1905" s="1664" t="str">
        <f>IFERROR(VLOOKUP(B1905,ChiTietDuToan!C:H,5,0),"")</f>
        <v/>
      </c>
      <c r="V1905" s="2309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59" t="s">
        <v>356</v>
      </c>
      <c r="C1906" s="1189" t="str">
        <f t="shared" si="355"/>
        <v xml:space="preserve"> </v>
      </c>
      <c r="D1906" s="1236" t="str">
        <f>VLOOKUP($B1906,DG!A:D,DG!$B$2,)</f>
        <v>02.1122</v>
      </c>
      <c r="E1906" s="1241" t="str">
        <f>VLOOKUP($B1906,DG!A:D,DG!$C$2,)</f>
        <v>Bốc dỡ dây</v>
      </c>
      <c r="F1906" s="1236" t="str">
        <f>VLOOKUP($B1906,DG!A:D,DG!$D$2,)</f>
        <v>tấn</v>
      </c>
      <c r="G1906" s="1914"/>
      <c r="H1906" s="1250"/>
      <c r="I1906" s="1250"/>
      <c r="J1906" s="1250"/>
      <c r="K1906" s="1250"/>
      <c r="L1906" s="1250"/>
      <c r="M1906" s="1250"/>
      <c r="N1906" s="1250"/>
      <c r="O1906" s="1250"/>
      <c r="P1906" s="1257">
        <f t="shared" si="353"/>
        <v>0</v>
      </c>
      <c r="Q1906" s="1250"/>
      <c r="R1906" s="1250"/>
      <c r="S1906" s="1250"/>
      <c r="T1906" s="1671"/>
      <c r="U1906" s="1664" t="str">
        <f>IFERROR(VLOOKUP(B1906,ChiTietDuToan!C:H,5,0),"")</f>
        <v/>
      </c>
      <c r="V1906" s="2309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59" t="s">
        <v>1955</v>
      </c>
      <c r="C1907" s="1189" t="str">
        <f t="shared" si="355"/>
        <v xml:space="preserve"> </v>
      </c>
      <c r="D1907" s="1236" t="str">
        <f>VLOOKUP($B1907,DG!A:D,DG!$B$2,)</f>
        <v>02.1120</v>
      </c>
      <c r="E1907" s="1241" t="str">
        <f>VLOOKUP($B1907,DG!A:D,DG!$C$2,)</f>
        <v>Bốc dỡ phụ kiện</v>
      </c>
      <c r="F1907" s="1236" t="str">
        <f>VLOOKUP($B1907,DG!A:D,DG!$D$2,)</f>
        <v>tấn</v>
      </c>
      <c r="G1907" s="1914"/>
      <c r="H1907" s="1250"/>
      <c r="I1907" s="1250"/>
      <c r="J1907" s="1250"/>
      <c r="K1907" s="1250"/>
      <c r="L1907" s="1250"/>
      <c r="M1907" s="1250"/>
      <c r="N1907" s="1250"/>
      <c r="O1907" s="1250"/>
      <c r="P1907" s="1257">
        <f t="shared" si="353"/>
        <v>0</v>
      </c>
      <c r="Q1907" s="1250"/>
      <c r="R1907" s="1250"/>
      <c r="S1907" s="1250"/>
      <c r="T1907" s="1671"/>
      <c r="U1907" s="1664" t="str">
        <f>IFERROR(VLOOKUP(B1907,ChiTietDuToan!C:H,5,0),"")</f>
        <v/>
      </c>
      <c r="V1907" s="2309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76" t="s">
        <v>357</v>
      </c>
      <c r="C1908" s="1189" t="str">
        <f t="shared" si="355"/>
        <v xml:space="preserve"> </v>
      </c>
      <c r="D1908" s="1236" t="str">
        <f>VLOOKUP($B1908,DG!A:D,DG!$B$2,)</f>
        <v>02.1421</v>
      </c>
      <c r="E1908" s="1241" t="str">
        <f>VLOOKUP($B1908,DG!A:D,DG!$C$2,)</f>
        <v>V/c phụ kiện vào vị trí (cự ly &lt;=100m)</v>
      </c>
      <c r="F1908" s="1236" t="str">
        <f>VLOOKUP($B1908,DG!A:D,DG!$D$2,)</f>
        <v>tấn</v>
      </c>
      <c r="G1908" s="1930"/>
      <c r="H1908" s="1250"/>
      <c r="I1908" s="1250"/>
      <c r="J1908" s="1250"/>
      <c r="K1908" s="1250"/>
      <c r="L1908" s="1250"/>
      <c r="M1908" s="1250"/>
      <c r="N1908" s="1250"/>
      <c r="O1908" s="1250"/>
      <c r="P1908" s="1257">
        <f t="shared" ref="P1908:P1971" si="357">H1908+Q1908-R1908</f>
        <v>0</v>
      </c>
      <c r="Q1908" s="1250"/>
      <c r="R1908" s="1250"/>
      <c r="S1908" s="1250"/>
      <c r="T1908" s="1671"/>
      <c r="U1908" s="1664" t="str">
        <f>IFERROR(VLOOKUP(B1908,ChiTietDuToan!C:H,5,0),"")</f>
        <v>tấn</v>
      </c>
      <c r="V1908" s="2309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76" t="s">
        <v>358</v>
      </c>
      <c r="C1909" s="1189" t="str">
        <f t="shared" si="355"/>
        <v xml:space="preserve"> </v>
      </c>
      <c r="D1909" s="1236" t="str">
        <f>VLOOKUP($B1909,DG!A:D,DG!$B$2,)</f>
        <v>02.1441</v>
      </c>
      <c r="E1909" s="1241" t="str">
        <f>VLOOKUP($B1909,DG!A:D,DG!$C$2,)</f>
        <v>V/c dây vào vị trí (cự ly &lt;=100m)</v>
      </c>
      <c r="F1909" s="1236" t="str">
        <f>VLOOKUP($B1909,DG!A:D,DG!$D$2,)</f>
        <v>tấn</v>
      </c>
      <c r="G1909" s="1930"/>
      <c r="H1909" s="1250"/>
      <c r="I1909" s="1250"/>
      <c r="J1909" s="1250"/>
      <c r="K1909" s="1250"/>
      <c r="L1909" s="1250"/>
      <c r="M1909" s="1250"/>
      <c r="N1909" s="1250"/>
      <c r="O1909" s="1250"/>
      <c r="P1909" s="1257">
        <f t="shared" si="357"/>
        <v>0</v>
      </c>
      <c r="Q1909" s="1250"/>
      <c r="R1909" s="1250"/>
      <c r="S1909" s="1250"/>
      <c r="T1909" s="1671"/>
      <c r="U1909" s="1664" t="str">
        <f>IFERROR(VLOOKUP(B1909,ChiTietDuToan!C:H,5,0),"")</f>
        <v/>
      </c>
      <c r="V1909" s="2309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74" t="s">
        <v>611</v>
      </c>
      <c r="C1910" s="1189" t="str">
        <f t="shared" si="355"/>
        <v xml:space="preserve"> </v>
      </c>
      <c r="D1910" s="1236" t="str">
        <f>VLOOKUP($B1910,DG!A:D,DG!$B$2,)</f>
        <v>02.1482</v>
      </c>
      <c r="E1910" s="1241" t="str">
        <f>VLOOKUP($B1910,DG!A:D,DG!$C$2,)</f>
        <v>V/c dụng cụ thi công vào vị trí (cự ly &lt;=100m)</v>
      </c>
      <c r="F1910" s="1236" t="str">
        <f>VLOOKUP($B1910,DG!A:D,DG!$D$2,)</f>
        <v>tấn</v>
      </c>
      <c r="G1910" s="1930"/>
      <c r="H1910" s="1250"/>
      <c r="I1910" s="1250"/>
      <c r="J1910" s="1250"/>
      <c r="K1910" s="1250"/>
      <c r="L1910" s="1250"/>
      <c r="M1910" s="1250"/>
      <c r="N1910" s="1250"/>
      <c r="O1910" s="1250"/>
      <c r="P1910" s="1257">
        <f t="shared" si="357"/>
        <v>0</v>
      </c>
      <c r="Q1910" s="1250"/>
      <c r="R1910" s="1250"/>
      <c r="S1910" s="1250"/>
      <c r="T1910" s="1671"/>
      <c r="U1910" s="1664" t="str">
        <f>IFERROR(VLOOKUP(B1910,ChiTietDuToan!C:H,5,0),"")</f>
        <v/>
      </c>
      <c r="V1910" s="2309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56"/>
      <c r="C1911" s="1189" t="str">
        <f>IF(G1911&lt;&gt;0,"x"," ")</f>
        <v xml:space="preserve"> </v>
      </c>
      <c r="D1911" s="1238" t="s">
        <v>2232</v>
      </c>
      <c r="E1911" s="1666" t="s">
        <v>4838</v>
      </c>
      <c r="F1911" s="1238" t="s">
        <v>2364</v>
      </c>
      <c r="G1911" s="1912">
        <f>IF(SUM(G1912:G1929)=0,0,1)</f>
        <v>0</v>
      </c>
      <c r="H1911" s="1523">
        <f>SUM(I1911:O1911)+T1911</f>
        <v>0</v>
      </c>
      <c r="I1911" s="1239"/>
      <c r="J1911" s="1239"/>
      <c r="K1911" s="1239"/>
      <c r="L1911" s="1239">
        <f>IFERROR(HLOOKUP(A1911,pp1p!$6:$90,85,0),0)</f>
        <v>0</v>
      </c>
      <c r="M1911" s="1239"/>
      <c r="N1911" s="1239"/>
      <c r="O1911" s="1239"/>
      <c r="P1911" s="1239"/>
      <c r="Q1911" s="1239"/>
      <c r="R1911" s="1239"/>
      <c r="S1911" s="1239"/>
      <c r="T1911" s="1671"/>
      <c r="U1911" s="1664">
        <f>IFERROR(VLOOKUP(B1911,ChiTietDuToan!C:H,5,0),"")</f>
        <v>0</v>
      </c>
      <c r="V1911" s="2309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59" t="s">
        <v>1272</v>
      </c>
      <c r="C1912" s="1189" t="str">
        <f t="shared" si="355"/>
        <v xml:space="preserve"> </v>
      </c>
      <c r="D1912" s="1253">
        <f>pp1p!C93</f>
        <v>0</v>
      </c>
      <c r="E1912" s="1248" t="str">
        <f>VLOOKUP($B1912,DG!A:D,DG!$C$2,)</f>
        <v>Cáp nhôm lõi thép AC-70/11</v>
      </c>
      <c r="F1912" s="1236" t="str">
        <f>VLOOKUP($B1912,DG!A:D,DG!$D$2,)</f>
        <v>kg</v>
      </c>
      <c r="G1912" s="1915">
        <f>ROUND(D1912*1.03*0.276,2)</f>
        <v>0</v>
      </c>
      <c r="H1912" s="1245">
        <f t="shared" ref="H1912:H1958" si="358">G1912</f>
        <v>0</v>
      </c>
      <c r="I1912" s="1245"/>
      <c r="J1912" s="1245"/>
      <c r="K1912" s="1245">
        <f t="shared" ref="K1912:L1914" si="359">G1912</f>
        <v>0</v>
      </c>
      <c r="L1912" s="1245">
        <f t="shared" si="359"/>
        <v>0</v>
      </c>
      <c r="M1912" s="1245"/>
      <c r="N1912" s="1245"/>
      <c r="O1912" s="1245"/>
      <c r="P1912" s="1257">
        <f t="shared" si="357"/>
        <v>0</v>
      </c>
      <c r="Q1912" s="1245"/>
      <c r="R1912" s="1245"/>
      <c r="S1912" s="1245"/>
      <c r="T1912" s="1671"/>
      <c r="U1912" s="1664" t="str">
        <f>IFERROR(VLOOKUP(B1912,ChiTietDuToan!C:H,5,0),"")</f>
        <v/>
      </c>
      <c r="V1912" s="2309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59" t="s">
        <v>88</v>
      </c>
      <c r="C1913" s="1189" t="str">
        <f t="shared" si="355"/>
        <v xml:space="preserve"> </v>
      </c>
      <c r="D1913" s="1253">
        <f>pp1p!C94</f>
        <v>0</v>
      </c>
      <c r="E1913" s="1248" t="str">
        <f>VLOOKUP($B1913,DG!A:D,DG!$C$2,)</f>
        <v>Cáp nhôm lõi thép AC-50/8</v>
      </c>
      <c r="F1913" s="1236" t="str">
        <f>VLOOKUP($B1913,DG!A:D,DG!$D$2,)</f>
        <v>kg</v>
      </c>
      <c r="G1913" s="1921">
        <f>ROUND(D1913*1.02*0.195,2)</f>
        <v>0</v>
      </c>
      <c r="H1913" s="1245">
        <f>G1913</f>
        <v>0</v>
      </c>
      <c r="I1913" s="1245"/>
      <c r="J1913" s="1245"/>
      <c r="K1913" s="1245"/>
      <c r="L1913" s="1245">
        <f t="shared" si="359"/>
        <v>0</v>
      </c>
      <c r="M1913" s="1245"/>
      <c r="N1913" s="1245"/>
      <c r="O1913" s="1245"/>
      <c r="P1913" s="1257">
        <f t="shared" si="357"/>
        <v>0</v>
      </c>
      <c r="Q1913" s="1245"/>
      <c r="R1913" s="1245"/>
      <c r="S1913" s="1245"/>
      <c r="T1913" s="1671"/>
      <c r="U1913" s="1664" t="str">
        <f>IFERROR(VLOOKUP(B1913,ChiTietDuToan!C:H,5,0),"")</f>
        <v/>
      </c>
      <c r="V1913" s="2309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59" t="s">
        <v>361</v>
      </c>
      <c r="C1914" s="1189" t="str">
        <f t="shared" si="355"/>
        <v xml:space="preserve"> </v>
      </c>
      <c r="D1914" s="1253">
        <f>pp1p!C97</f>
        <v>0</v>
      </c>
      <c r="E1914" s="1248" t="str">
        <f>VLOOKUP($B1914,DG!A:D,DG!$C$2,)</f>
        <v>Cáp 24KV AS/XLPE/PVC 50 mm2</v>
      </c>
      <c r="F1914" s="1236" t="str">
        <f>VLOOKUP($B1914,DG!A:D,DG!$D$2,)</f>
        <v>mét</v>
      </c>
      <c r="G1914" s="1915">
        <f>ROUND(D1914*1.03,2)</f>
        <v>0</v>
      </c>
      <c r="H1914" s="1245">
        <f t="shared" si="358"/>
        <v>0</v>
      </c>
      <c r="I1914" s="1245"/>
      <c r="J1914" s="1245"/>
      <c r="K1914" s="1245"/>
      <c r="L1914" s="1245">
        <f t="shared" si="359"/>
        <v>0</v>
      </c>
      <c r="M1914" s="1245"/>
      <c r="N1914" s="1245"/>
      <c r="O1914" s="1245"/>
      <c r="P1914" s="1257">
        <f t="shared" si="357"/>
        <v>0</v>
      </c>
      <c r="Q1914" s="1245"/>
      <c r="R1914" s="1245"/>
      <c r="S1914" s="1245"/>
      <c r="T1914" s="1671"/>
      <c r="U1914" s="1664" t="str">
        <f>IFERROR(VLOOKUP(B1914,ChiTietDuToan!C:H,5,0),"")</f>
        <v/>
      </c>
      <c r="V1914" s="2309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82" t="s">
        <v>2563</v>
      </c>
      <c r="C1915" s="1189" t="str">
        <f t="shared" si="355"/>
        <v xml:space="preserve"> </v>
      </c>
      <c r="D1915" s="1236"/>
      <c r="E1915" s="1254" t="s">
        <v>2564</v>
      </c>
      <c r="F1915" s="1255" t="s">
        <v>2503</v>
      </c>
      <c r="G1915" s="1928">
        <f>pp1p!BW90</f>
        <v>0</v>
      </c>
      <c r="H1915" s="1245">
        <f>G1915</f>
        <v>0</v>
      </c>
      <c r="I1915" s="1245"/>
      <c r="J1915" s="1245"/>
      <c r="K1915" s="1245"/>
      <c r="L1915" s="1245">
        <f t="shared" ref="L1915:L1963" si="360">H1915</f>
        <v>0</v>
      </c>
      <c r="M1915" s="1245"/>
      <c r="N1915" s="1245"/>
      <c r="O1915" s="1245"/>
      <c r="P1915" s="1257">
        <f t="shared" si="357"/>
        <v>0</v>
      </c>
      <c r="Q1915" s="1245"/>
      <c r="R1915" s="1245"/>
      <c r="S1915" s="1245"/>
      <c r="T1915" s="1671"/>
      <c r="U1915" s="1664" t="str">
        <f>IFERROR(VLOOKUP(B1915,ChiTietDuToan!C:H,5,0),"")</f>
        <v>bộ</v>
      </c>
      <c r="V1915" s="2309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59" t="s">
        <v>1962</v>
      </c>
      <c r="C1916" s="1189" t="str">
        <f t="shared" si="355"/>
        <v xml:space="preserve"> </v>
      </c>
      <c r="D1916" s="1236"/>
      <c r="E1916" s="1248" t="str">
        <f>VLOOKUP($B1916,DG!A:D,DG!$C$2,)</f>
        <v>Uclevis</v>
      </c>
      <c r="F1916" s="1236" t="str">
        <f>VLOOKUP($B1916,DG!A:D,DG!$D$2,)</f>
        <v>bộ</v>
      </c>
      <c r="G1916" s="1915">
        <f>G1915</f>
        <v>0</v>
      </c>
      <c r="H1916" s="1245">
        <f>G1916</f>
        <v>0</v>
      </c>
      <c r="I1916" s="1245"/>
      <c r="J1916" s="1245"/>
      <c r="K1916" s="1245"/>
      <c r="L1916" s="1245">
        <f t="shared" si="360"/>
        <v>0</v>
      </c>
      <c r="M1916" s="1245"/>
      <c r="N1916" s="1245"/>
      <c r="O1916" s="1245"/>
      <c r="P1916" s="1257">
        <f t="shared" si="357"/>
        <v>0</v>
      </c>
      <c r="Q1916" s="1245"/>
      <c r="R1916" s="1245"/>
      <c r="S1916" s="1245"/>
      <c r="T1916" s="1671"/>
      <c r="U1916" s="1664" t="str">
        <f>IFERROR(VLOOKUP(B1916,ChiTietDuToan!C:H,5,0),"")</f>
        <v>bộ</v>
      </c>
      <c r="V1916" s="2309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59" t="s">
        <v>1662</v>
      </c>
      <c r="C1917" s="1189" t="str">
        <f t="shared" si="355"/>
        <v xml:space="preserve"> </v>
      </c>
      <c r="D1917" s="1236"/>
      <c r="E1917" s="1248" t="str">
        <f>VLOOKUP($B1917,DG!A:D,DG!$C$2,)</f>
        <v>Boulon 16x300+ 2 long đền vuông D18-50x50x3/Zn</v>
      </c>
      <c r="F1917" s="1236" t="str">
        <f>VLOOKUP($B1917,DG!A:D,DG!$D$2,)</f>
        <v>bộ</v>
      </c>
      <c r="G1917" s="1915">
        <f>G1915</f>
        <v>0</v>
      </c>
      <c r="H1917" s="1245">
        <f>G1917</f>
        <v>0</v>
      </c>
      <c r="I1917" s="1245"/>
      <c r="J1917" s="1245"/>
      <c r="K1917" s="1245"/>
      <c r="L1917" s="1245">
        <f t="shared" si="360"/>
        <v>0</v>
      </c>
      <c r="M1917" s="1245"/>
      <c r="N1917" s="1245"/>
      <c r="O1917" s="1245"/>
      <c r="P1917" s="1257">
        <f t="shared" si="357"/>
        <v>0</v>
      </c>
      <c r="Q1917" s="1245"/>
      <c r="R1917" s="1245"/>
      <c r="S1917" s="1245"/>
      <c r="T1917" s="1671"/>
      <c r="U1917" s="1664" t="str">
        <f>IFERROR(VLOOKUP(B1917,ChiTietDuToan!C:H,5,0),"")</f>
        <v>bộ</v>
      </c>
      <c r="V1917" s="2309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82" t="s">
        <v>1673</v>
      </c>
      <c r="C1918" s="1189" t="str">
        <f t="shared" si="355"/>
        <v xml:space="preserve"> </v>
      </c>
      <c r="D1918" s="1236"/>
      <c r="E1918" s="1254" t="s">
        <v>2565</v>
      </c>
      <c r="F1918" s="1255" t="s">
        <v>2503</v>
      </c>
      <c r="G1918" s="1928">
        <f>pp1p!BX90</f>
        <v>0</v>
      </c>
      <c r="H1918" s="1245">
        <f>G1918</f>
        <v>0</v>
      </c>
      <c r="I1918" s="1245"/>
      <c r="J1918" s="1245"/>
      <c r="K1918" s="1245"/>
      <c r="L1918" s="1245">
        <f t="shared" si="360"/>
        <v>0</v>
      </c>
      <c r="M1918" s="1245"/>
      <c r="N1918" s="1245"/>
      <c r="O1918" s="1245"/>
      <c r="P1918" s="1257">
        <f t="shared" si="357"/>
        <v>0</v>
      </c>
      <c r="Q1918" s="1245"/>
      <c r="R1918" s="1245"/>
      <c r="S1918" s="1245"/>
      <c r="T1918" s="1671"/>
      <c r="U1918" s="1664" t="str">
        <f>IFERROR(VLOOKUP(B1918,ChiTietDuToan!C:H,5,0),"")</f>
        <v/>
      </c>
      <c r="V1918" s="2309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59" t="s">
        <v>1962</v>
      </c>
      <c r="C1919" s="1189" t="str">
        <f t="shared" si="355"/>
        <v xml:space="preserve"> </v>
      </c>
      <c r="D1919" s="1236"/>
      <c r="E1919" s="1248" t="str">
        <f>VLOOKUP($B1919,DG!A:D,DG!$C$2,)</f>
        <v>Uclevis</v>
      </c>
      <c r="F1919" s="1236" t="str">
        <f>VLOOKUP($B1919,DG!A:D,DG!$D$2,)</f>
        <v>bộ</v>
      </c>
      <c r="G1919" s="1915">
        <f>G1918</f>
        <v>0</v>
      </c>
      <c r="H1919" s="1245">
        <f t="shared" si="358"/>
        <v>0</v>
      </c>
      <c r="I1919" s="1245"/>
      <c r="J1919" s="1245"/>
      <c r="K1919" s="1245"/>
      <c r="L1919" s="1245">
        <f t="shared" si="360"/>
        <v>0</v>
      </c>
      <c r="M1919" s="1245"/>
      <c r="N1919" s="1245"/>
      <c r="O1919" s="1245"/>
      <c r="P1919" s="1257">
        <f t="shared" si="357"/>
        <v>0</v>
      </c>
      <c r="Q1919" s="1245"/>
      <c r="R1919" s="1245"/>
      <c r="S1919" s="1245"/>
      <c r="T1919" s="1671"/>
      <c r="U1919" s="1664" t="str">
        <f>IFERROR(VLOOKUP(B1919,ChiTietDuToan!C:H,5,0),"")</f>
        <v>bộ</v>
      </c>
      <c r="V1919" s="2309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59" t="s">
        <v>1662</v>
      </c>
      <c r="C1920" s="1189" t="str">
        <f t="shared" si="355"/>
        <v xml:space="preserve"> </v>
      </c>
      <c r="D1920" s="1236"/>
      <c r="E1920" s="1248" t="str">
        <f>VLOOKUP($B1920,DG!A:D,DG!$C$2,)</f>
        <v>Boulon 16x300+ 2 long đền vuông D18-50x50x3/Zn</v>
      </c>
      <c r="F1920" s="1236" t="str">
        <f>VLOOKUP($B1920,DG!A:D,DG!$D$2,)</f>
        <v>bộ</v>
      </c>
      <c r="G1920" s="1915">
        <f>G1918</f>
        <v>0</v>
      </c>
      <c r="H1920" s="1245">
        <f t="shared" si="358"/>
        <v>0</v>
      </c>
      <c r="I1920" s="1245"/>
      <c r="J1920" s="1245"/>
      <c r="K1920" s="1245"/>
      <c r="L1920" s="1245">
        <f t="shared" si="360"/>
        <v>0</v>
      </c>
      <c r="M1920" s="1245"/>
      <c r="N1920" s="1245"/>
      <c r="O1920" s="1245"/>
      <c r="P1920" s="1257">
        <f t="shared" si="357"/>
        <v>0</v>
      </c>
      <c r="Q1920" s="1245"/>
      <c r="R1920" s="1245"/>
      <c r="S1920" s="1245"/>
      <c r="T1920" s="1671"/>
      <c r="U1920" s="1664" t="str">
        <f>IFERROR(VLOOKUP(B1920,ChiTietDuToan!C:H,5,0),"")</f>
        <v>bộ</v>
      </c>
      <c r="V1920" s="2309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59" t="s">
        <v>1904</v>
      </c>
      <c r="C1921" s="1189" t="str">
        <f t="shared" si="355"/>
        <v xml:space="preserve"> </v>
      </c>
      <c r="D1921" s="1236"/>
      <c r="E1921" s="1248" t="str">
        <f>VLOOKUP($B1921,DG!A:D,DG!$C$2,)</f>
        <v>Kẹp 2 rãnh (APC) cỡ dây 50mm2</v>
      </c>
      <c r="F1921" s="1236" t="str">
        <f>VLOOKUP($B1921,DG!A:D,DG!$D$2,)</f>
        <v>cái</v>
      </c>
      <c r="G1921" s="1915">
        <f>G1918*6</f>
        <v>0</v>
      </c>
      <c r="H1921" s="1245">
        <f t="shared" si="358"/>
        <v>0</v>
      </c>
      <c r="I1921" s="1245"/>
      <c r="J1921" s="1245"/>
      <c r="K1921" s="1245"/>
      <c r="L1921" s="1245">
        <f t="shared" si="360"/>
        <v>0</v>
      </c>
      <c r="M1921" s="1245"/>
      <c r="N1921" s="1245"/>
      <c r="O1921" s="1245"/>
      <c r="P1921" s="1257">
        <f t="shared" si="357"/>
        <v>0</v>
      </c>
      <c r="Q1921" s="1245"/>
      <c r="R1921" s="1245"/>
      <c r="S1921" s="1245"/>
      <c r="T1921" s="1671"/>
      <c r="U1921" s="1664" t="str">
        <f>IFERROR(VLOOKUP(B1921,ChiTietDuToan!C:H,5,0),"")</f>
        <v/>
      </c>
      <c r="V1921" s="2309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82" t="s">
        <v>1674</v>
      </c>
      <c r="C1922" s="1189" t="str">
        <f t="shared" si="355"/>
        <v xml:space="preserve"> </v>
      </c>
      <c r="D1922" s="1236"/>
      <c r="E1922" s="1254" t="s">
        <v>2566</v>
      </c>
      <c r="F1922" s="1255" t="s">
        <v>2503</v>
      </c>
      <c r="G1922" s="1928">
        <f>pp1p!BY90</f>
        <v>0</v>
      </c>
      <c r="H1922" s="1245">
        <f>$G1922</f>
        <v>0</v>
      </c>
      <c r="I1922" s="1245"/>
      <c r="J1922" s="1245"/>
      <c r="K1922" s="1245">
        <f>G1922*0</f>
        <v>0</v>
      </c>
      <c r="L1922" s="1245">
        <f t="shared" si="360"/>
        <v>0</v>
      </c>
      <c r="M1922" s="1245"/>
      <c r="N1922" s="1245"/>
      <c r="O1922" s="1245"/>
      <c r="P1922" s="1257">
        <f t="shared" si="357"/>
        <v>0</v>
      </c>
      <c r="Q1922" s="1245"/>
      <c r="R1922" s="1245"/>
      <c r="S1922" s="1245"/>
      <c r="T1922" s="1671"/>
      <c r="U1922" s="1664" t="str">
        <f>IFERROR(VLOOKUP(B1922,ChiTietDuToan!C:H,5,0),"")</f>
        <v>bộ</v>
      </c>
      <c r="V1922" s="2309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83" t="s">
        <v>921</v>
      </c>
      <c r="C1923" s="1189" t="str">
        <f t="shared" si="355"/>
        <v xml:space="preserve"> </v>
      </c>
      <c r="D1923" s="1236"/>
      <c r="E1923" s="1248" t="str">
        <f>VLOOKUP($B1923,DG!A:D,DG!$C$2,)</f>
        <v>Khóa néo dây cỡ dây 50</v>
      </c>
      <c r="F1923" s="1236" t="s">
        <v>2621</v>
      </c>
      <c r="G1923" s="1915">
        <f>G1922</f>
        <v>0</v>
      </c>
      <c r="H1923" s="1245">
        <f>$G1923</f>
        <v>0</v>
      </c>
      <c r="I1923" s="1245"/>
      <c r="J1923" s="1245"/>
      <c r="K1923" s="1245">
        <f>G1923*0</f>
        <v>0</v>
      </c>
      <c r="L1923" s="1245">
        <f t="shared" si="360"/>
        <v>0</v>
      </c>
      <c r="M1923" s="1245"/>
      <c r="N1923" s="1245"/>
      <c r="O1923" s="1245"/>
      <c r="P1923" s="1257">
        <f t="shared" si="357"/>
        <v>0</v>
      </c>
      <c r="Q1923" s="1245"/>
      <c r="R1923" s="1245"/>
      <c r="S1923" s="1245"/>
      <c r="T1923" s="1671"/>
      <c r="U1923" s="1664" t="str">
        <f>IFERROR(VLOOKUP(B1923,ChiTietDuToan!C:H,5,0),"")</f>
        <v/>
      </c>
      <c r="V1923" s="2309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59" t="s">
        <v>1538</v>
      </c>
      <c r="C1924" s="1189" t="str">
        <f t="shared" si="355"/>
        <v xml:space="preserve"> </v>
      </c>
      <c r="D1924" s="1236"/>
      <c r="E1924" s="1248" t="str">
        <f>VLOOKUP($B1924,DG!A:D,DG!$C$2,)</f>
        <v xml:space="preserve">Móc treo chữ U </v>
      </c>
      <c r="F1924" s="1236" t="s">
        <v>2621</v>
      </c>
      <c r="G1924" s="1915">
        <f>G1922*2</f>
        <v>0</v>
      </c>
      <c r="H1924" s="1245">
        <f>$G1924</f>
        <v>0</v>
      </c>
      <c r="I1924" s="1245"/>
      <c r="J1924" s="1245"/>
      <c r="K1924" s="1245">
        <f>G1924*0</f>
        <v>0</v>
      </c>
      <c r="L1924" s="1245">
        <f t="shared" si="360"/>
        <v>0</v>
      </c>
      <c r="M1924" s="1245"/>
      <c r="N1924" s="1245"/>
      <c r="O1924" s="1245"/>
      <c r="P1924" s="1257">
        <f t="shared" si="357"/>
        <v>0</v>
      </c>
      <c r="Q1924" s="1245"/>
      <c r="R1924" s="1245"/>
      <c r="S1924" s="1245"/>
      <c r="T1924" s="1671"/>
      <c r="U1924" s="1664" t="str">
        <f>IFERROR(VLOOKUP(B1924,ChiTietDuToan!C:H,5,0),"")</f>
        <v>cái</v>
      </c>
      <c r="V1924" s="2309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59" t="s">
        <v>420</v>
      </c>
      <c r="C1925" s="1189" t="str">
        <f t="shared" si="355"/>
        <v xml:space="preserve"> </v>
      </c>
      <c r="D1925" s="1236"/>
      <c r="E1925" s="1248" t="str">
        <f>VLOOKUP($B1925,DG!A:D,DG!$C$2,)</f>
        <v>Boulon mắt 16x300+ 2 long đền vuông D18-50x50x3/Zn</v>
      </c>
      <c r="F1925" s="1236" t="s">
        <v>2503</v>
      </c>
      <c r="G1925" s="1915">
        <f>G1923</f>
        <v>0</v>
      </c>
      <c r="H1925" s="1245">
        <f>$G1925</f>
        <v>0</v>
      </c>
      <c r="I1925" s="1245"/>
      <c r="J1925" s="1245"/>
      <c r="K1925" s="1245">
        <f>G1925*0</f>
        <v>0</v>
      </c>
      <c r="L1925" s="1245">
        <f t="shared" si="360"/>
        <v>0</v>
      </c>
      <c r="M1925" s="1245"/>
      <c r="N1925" s="1245"/>
      <c r="O1925" s="1245"/>
      <c r="P1925" s="1257">
        <f t="shared" si="357"/>
        <v>0</v>
      </c>
      <c r="Q1925" s="1245"/>
      <c r="R1925" s="1245"/>
      <c r="S1925" s="1245"/>
      <c r="T1925" s="1671"/>
      <c r="U1925" s="1664" t="str">
        <f>IFERROR(VLOOKUP(B1925,ChiTietDuToan!C:H,5,0),"")</f>
        <v>bộ</v>
      </c>
      <c r="V1925" s="2309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59" t="s">
        <v>1631</v>
      </c>
      <c r="C1926" s="1189" t="str">
        <f t="shared" si="355"/>
        <v xml:space="preserve"> </v>
      </c>
      <c r="D1926" s="1236"/>
      <c r="E1926" s="1248" t="str">
        <f>VLOOKUP($B1926,DG!A:D,DG!$C$2,)</f>
        <v>Kẹp ép WR cỡ dây 50mm2</v>
      </c>
      <c r="F1926" s="1236" t="s">
        <v>2621</v>
      </c>
      <c r="G1926" s="1915">
        <f>G1922</f>
        <v>0</v>
      </c>
      <c r="H1926" s="1245">
        <f>$G1926</f>
        <v>0</v>
      </c>
      <c r="I1926" s="1245"/>
      <c r="J1926" s="1245"/>
      <c r="K1926" s="1245">
        <f>G1926*0</f>
        <v>0</v>
      </c>
      <c r="L1926" s="1245">
        <f t="shared" si="360"/>
        <v>0</v>
      </c>
      <c r="M1926" s="1245"/>
      <c r="N1926" s="1245"/>
      <c r="O1926" s="1245"/>
      <c r="P1926" s="1257">
        <f t="shared" si="357"/>
        <v>0</v>
      </c>
      <c r="Q1926" s="1245"/>
      <c r="R1926" s="1245"/>
      <c r="S1926" s="1245"/>
      <c r="T1926" s="1671"/>
      <c r="U1926" s="1664" t="str">
        <f>IFERROR(VLOOKUP(B1926,ChiTietDuToan!C:H,5,0),"")</f>
        <v/>
      </c>
      <c r="V1926" s="2309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82" t="s">
        <v>2568</v>
      </c>
      <c r="C1927" s="1189" t="str">
        <f t="shared" si="355"/>
        <v xml:space="preserve"> </v>
      </c>
      <c r="D1927" s="1236"/>
      <c r="E1927" s="1254" t="s">
        <v>2569</v>
      </c>
      <c r="F1927" s="1255" t="s">
        <v>2503</v>
      </c>
      <c r="G1927" s="1928">
        <f>pp1p!BR90</f>
        <v>0</v>
      </c>
      <c r="H1927" s="1245">
        <f t="shared" si="358"/>
        <v>0</v>
      </c>
      <c r="I1927" s="1245"/>
      <c r="J1927" s="1245"/>
      <c r="K1927" s="1245"/>
      <c r="L1927" s="1245">
        <f t="shared" si="360"/>
        <v>0</v>
      </c>
      <c r="M1927" s="1245"/>
      <c r="N1927" s="1245"/>
      <c r="O1927" s="1245"/>
      <c r="P1927" s="1257">
        <f t="shared" si="357"/>
        <v>0</v>
      </c>
      <c r="Q1927" s="1245"/>
      <c r="R1927" s="1245"/>
      <c r="S1927" s="1245"/>
      <c r="T1927" s="1671"/>
      <c r="U1927" s="1664" t="str">
        <f>IFERROR(VLOOKUP(B1927,ChiTietDuToan!C:H,5,0),"")</f>
        <v>bộ</v>
      </c>
      <c r="V1927" s="2309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59" t="s">
        <v>703</v>
      </c>
      <c r="C1928" s="1189" t="str">
        <f t="shared" si="355"/>
        <v xml:space="preserve"> </v>
      </c>
      <c r="D1928" s="1236"/>
      <c r="E1928" s="1248" t="str">
        <f>VLOOKUP($B1928,DG!A:D,DG!$C$2,)</f>
        <v xml:space="preserve">Sứ đứng 24KV </v>
      </c>
      <c r="F1928" s="1236" t="str">
        <f>VLOOKUP($B1928,DG!A:D,DG!$D$2,)</f>
        <v>cái</v>
      </c>
      <c r="G1928" s="1915">
        <f>G1927</f>
        <v>0</v>
      </c>
      <c r="H1928" s="1245">
        <f t="shared" si="358"/>
        <v>0</v>
      </c>
      <c r="I1928" s="1245"/>
      <c r="J1928" s="1245"/>
      <c r="K1928" s="1245"/>
      <c r="L1928" s="1245">
        <f t="shared" si="360"/>
        <v>0</v>
      </c>
      <c r="M1928" s="1245"/>
      <c r="N1928" s="1245"/>
      <c r="O1928" s="1245"/>
      <c r="P1928" s="1257">
        <f t="shared" si="357"/>
        <v>0</v>
      </c>
      <c r="Q1928" s="1245"/>
      <c r="R1928" s="1245"/>
      <c r="S1928" s="1245"/>
      <c r="T1928" s="1671"/>
      <c r="U1928" s="1664" t="str">
        <f>IFERROR(VLOOKUP(B1928,ChiTietDuToan!C:H,5,0),"")</f>
        <v>cái</v>
      </c>
      <c r="V1928" s="2309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59" t="s">
        <v>1298</v>
      </c>
      <c r="C1929" s="1189" t="str">
        <f t="shared" si="355"/>
        <v xml:space="preserve"> </v>
      </c>
      <c r="D1929" s="1236"/>
      <c r="E1929" s="1248" t="str">
        <f>VLOOKUP($B1929,DG!A:D,DG!$C$2,)</f>
        <v>Chân sứ đứng D20</v>
      </c>
      <c r="F1929" s="1236" t="str">
        <f>VLOOKUP($B1929,DG!A:D,DG!$D$2,)</f>
        <v>cái</v>
      </c>
      <c r="G1929" s="1915">
        <f>G1927</f>
        <v>0</v>
      </c>
      <c r="H1929" s="1245">
        <f t="shared" si="358"/>
        <v>0</v>
      </c>
      <c r="I1929" s="1245"/>
      <c r="J1929" s="1245"/>
      <c r="K1929" s="1245"/>
      <c r="L1929" s="1245">
        <f t="shared" si="360"/>
        <v>0</v>
      </c>
      <c r="M1929" s="1245"/>
      <c r="N1929" s="1245"/>
      <c r="O1929" s="1245"/>
      <c r="P1929" s="1257">
        <f t="shared" si="357"/>
        <v>0</v>
      </c>
      <c r="Q1929" s="1245"/>
      <c r="R1929" s="1245"/>
      <c r="S1929" s="1245"/>
      <c r="T1929" s="1671"/>
      <c r="U1929" s="1664" t="str">
        <f>IFERROR(VLOOKUP(B1929,ChiTietDuToan!C:H,5,0),"")</f>
        <v>cái</v>
      </c>
      <c r="V1929" s="2309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82" t="s">
        <v>2570</v>
      </c>
      <c r="C1930" s="1189" t="str">
        <f t="shared" si="355"/>
        <v xml:space="preserve"> </v>
      </c>
      <c r="D1930" s="1236"/>
      <c r="E1930" s="1254" t="s">
        <v>2571</v>
      </c>
      <c r="F1930" s="1255" t="s">
        <v>2503</v>
      </c>
      <c r="G1930" s="1928">
        <f>pp1p!BN90</f>
        <v>0</v>
      </c>
      <c r="H1930" s="1245">
        <f t="shared" si="358"/>
        <v>0</v>
      </c>
      <c r="I1930" s="1245"/>
      <c r="J1930" s="1245"/>
      <c r="K1930" s="1245"/>
      <c r="L1930" s="1245">
        <f t="shared" si="360"/>
        <v>0</v>
      </c>
      <c r="M1930" s="1245"/>
      <c r="N1930" s="1245"/>
      <c r="O1930" s="1245"/>
      <c r="P1930" s="1257">
        <f t="shared" si="357"/>
        <v>0</v>
      </c>
      <c r="Q1930" s="1245"/>
      <c r="R1930" s="1245"/>
      <c r="S1930" s="1245"/>
      <c r="T1930" s="1671"/>
      <c r="U1930" s="1664" t="str">
        <f>IFERROR(VLOOKUP(B1930,ChiTietDuToan!C:H,5,0),"")</f>
        <v/>
      </c>
      <c r="V1930" s="2309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59" t="s">
        <v>703</v>
      </c>
      <c r="C1931" s="1189" t="str">
        <f t="shared" si="355"/>
        <v xml:space="preserve"> </v>
      </c>
      <c r="D1931" s="1236"/>
      <c r="E1931" s="1248" t="str">
        <f>VLOOKUP($B1931,DG!A:D,DG!$C$2,)</f>
        <v xml:space="preserve">Sứ đứng 24KV </v>
      </c>
      <c r="F1931" s="1236" t="str">
        <f>VLOOKUP($B1931,DG!A:D,DG!$D$2,)</f>
        <v>cái</v>
      </c>
      <c r="G1931" s="1915">
        <f>G1930</f>
        <v>0</v>
      </c>
      <c r="H1931" s="1245">
        <f t="shared" si="358"/>
        <v>0</v>
      </c>
      <c r="I1931" s="1245"/>
      <c r="J1931" s="1245"/>
      <c r="K1931" s="1245"/>
      <c r="L1931" s="1245">
        <f t="shared" si="360"/>
        <v>0</v>
      </c>
      <c r="M1931" s="1245"/>
      <c r="N1931" s="1245"/>
      <c r="O1931" s="1245"/>
      <c r="P1931" s="1257">
        <f t="shared" si="357"/>
        <v>0</v>
      </c>
      <c r="Q1931" s="1245"/>
      <c r="R1931" s="1245"/>
      <c r="S1931" s="1245"/>
      <c r="T1931" s="1671"/>
      <c r="U1931" s="1664" t="str">
        <f>IFERROR(VLOOKUP(B1931,ChiTietDuToan!C:H,5,0),"")</f>
        <v>cái</v>
      </c>
      <c r="V1931" s="2309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59" t="s">
        <v>1299</v>
      </c>
      <c r="C1932" s="1189" t="str">
        <f t="shared" si="355"/>
        <v xml:space="preserve"> </v>
      </c>
      <c r="D1932" s="1236"/>
      <c r="E1932" s="1248" t="str">
        <f>VLOOKUP($B1932,DG!A:D,DG!$C$2,)</f>
        <v>Chân sứ đỉnh thẳng dài 870mm</v>
      </c>
      <c r="F1932" s="1236" t="str">
        <f>VLOOKUP($B1932,DG!A:D,DG!$D$2,)</f>
        <v>cái</v>
      </c>
      <c r="G1932" s="1915">
        <f>G1930</f>
        <v>0</v>
      </c>
      <c r="H1932" s="1245">
        <f t="shared" si="358"/>
        <v>0</v>
      </c>
      <c r="I1932" s="1245"/>
      <c r="J1932" s="1245"/>
      <c r="K1932" s="1245"/>
      <c r="L1932" s="1245">
        <f t="shared" si="360"/>
        <v>0</v>
      </c>
      <c r="M1932" s="1245"/>
      <c r="N1932" s="1245"/>
      <c r="O1932" s="1245"/>
      <c r="P1932" s="1257">
        <f t="shared" si="357"/>
        <v>0</v>
      </c>
      <c r="Q1932" s="1245"/>
      <c r="R1932" s="1245"/>
      <c r="S1932" s="1245"/>
      <c r="T1932" s="1671"/>
      <c r="U1932" s="1664" t="str">
        <f>IFERROR(VLOOKUP(B1932,ChiTietDuToan!C:H,5,0),"")</f>
        <v/>
      </c>
      <c r="V1932" s="2309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59" t="s">
        <v>1662</v>
      </c>
      <c r="C1933" s="1189" t="str">
        <f t="shared" si="355"/>
        <v xml:space="preserve"> </v>
      </c>
      <c r="D1933" s="1236"/>
      <c r="E1933" s="1248" t="str">
        <f>VLOOKUP($B1933,DG!A:D,DG!$C$2,)</f>
        <v>Boulon 16x300+ 2 long đền vuông D18-50x50x3/Zn</v>
      </c>
      <c r="F1933" s="1236" t="str">
        <f>VLOOKUP($B1933,DG!A:D,DG!$D$2,)</f>
        <v>bộ</v>
      </c>
      <c r="G1933" s="1915">
        <f>G1930*2</f>
        <v>0</v>
      </c>
      <c r="H1933" s="1245">
        <f t="shared" si="358"/>
        <v>0</v>
      </c>
      <c r="I1933" s="1245"/>
      <c r="J1933" s="1245"/>
      <c r="K1933" s="1245"/>
      <c r="L1933" s="1245">
        <f t="shared" si="360"/>
        <v>0</v>
      </c>
      <c r="M1933" s="1245"/>
      <c r="N1933" s="1245"/>
      <c r="O1933" s="1245"/>
      <c r="P1933" s="1257">
        <f t="shared" si="357"/>
        <v>0</v>
      </c>
      <c r="Q1933" s="1245"/>
      <c r="R1933" s="1245"/>
      <c r="S1933" s="1245"/>
      <c r="T1933" s="1671"/>
      <c r="U1933" s="1664" t="str">
        <f>IFERROR(VLOOKUP(B1933,ChiTietDuToan!C:H,5,0),"")</f>
        <v>bộ</v>
      </c>
      <c r="V1933" s="2309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84" t="s">
        <v>2572</v>
      </c>
      <c r="C1934" s="1189" t="str">
        <f t="shared" si="355"/>
        <v xml:space="preserve"> </v>
      </c>
      <c r="D1934" s="1240"/>
      <c r="E1934" s="1254" t="s">
        <v>2573</v>
      </c>
      <c r="F1934" s="1519" t="s">
        <v>2503</v>
      </c>
      <c r="G1934" s="1929">
        <f>pp1p!BO90</f>
        <v>0</v>
      </c>
      <c r="H1934" s="1244">
        <f t="shared" si="358"/>
        <v>0</v>
      </c>
      <c r="I1934" s="1244"/>
      <c r="J1934" s="1244"/>
      <c r="K1934" s="1245"/>
      <c r="L1934" s="1245">
        <f t="shared" si="360"/>
        <v>0</v>
      </c>
      <c r="M1934" s="1244"/>
      <c r="N1934" s="1244"/>
      <c r="O1934" s="1244"/>
      <c r="P1934" s="1257">
        <f t="shared" si="357"/>
        <v>0</v>
      </c>
      <c r="Q1934" s="1244"/>
      <c r="R1934" s="1244"/>
      <c r="S1934" s="1244"/>
      <c r="T1934" s="1671"/>
      <c r="U1934" s="1664" t="str">
        <f>IFERROR(VLOOKUP(B1934,ChiTietDuToan!C:H,5,0),"")</f>
        <v/>
      </c>
      <c r="V1934" s="2309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59" t="s">
        <v>703</v>
      </c>
      <c r="C1935" s="1189" t="str">
        <f t="shared" ref="C1935:C1999" si="361">IF(OR(P1935&lt;&gt;0,H1935&lt;&gt;0),"x"," ")</f>
        <v xml:space="preserve"> </v>
      </c>
      <c r="D1935" s="1240"/>
      <c r="E1935" s="1248" t="str">
        <f>VLOOKUP($B1935,DG!A:D,DG!$C$2,)</f>
        <v xml:space="preserve">Sứ đứng 24KV </v>
      </c>
      <c r="F1935" s="1236" t="str">
        <f>VLOOKUP($B1935,DG!A:D,DG!$D$2,)</f>
        <v>cái</v>
      </c>
      <c r="G1935" s="1918">
        <f>G1934*2</f>
        <v>0</v>
      </c>
      <c r="H1935" s="1244">
        <f t="shared" si="358"/>
        <v>0</v>
      </c>
      <c r="I1935" s="1244"/>
      <c r="J1935" s="1244"/>
      <c r="K1935" s="1245"/>
      <c r="L1935" s="1245">
        <f t="shared" si="360"/>
        <v>0</v>
      </c>
      <c r="M1935" s="1244"/>
      <c r="N1935" s="1244"/>
      <c r="O1935" s="1244"/>
      <c r="P1935" s="1257">
        <f t="shared" si="357"/>
        <v>0</v>
      </c>
      <c r="Q1935" s="1244"/>
      <c r="R1935" s="1244"/>
      <c r="S1935" s="1244"/>
      <c r="T1935" s="1671"/>
      <c r="U1935" s="1664" t="str">
        <f>IFERROR(VLOOKUP(B1935,ChiTietDuToan!C:H,5,0),"")</f>
        <v>cái</v>
      </c>
      <c r="V1935" s="2309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59" t="s">
        <v>595</v>
      </c>
      <c r="C1936" s="1189" t="str">
        <f t="shared" si="361"/>
        <v xml:space="preserve"> </v>
      </c>
      <c r="D1936" s="1240"/>
      <c r="E1936" s="1248" t="str">
        <f>VLOOKUP($B1936,DG!A:D,DG!$C$2,)</f>
        <v>Chân sứ đỉnh đỡ góc dài 870mm</v>
      </c>
      <c r="F1936" s="1236" t="str">
        <f>VLOOKUP($B1936,DG!A:D,DG!$D$2,)</f>
        <v>cái</v>
      </c>
      <c r="G1936" s="1918">
        <f>G1934*2</f>
        <v>0</v>
      </c>
      <c r="H1936" s="1244">
        <f t="shared" si="358"/>
        <v>0</v>
      </c>
      <c r="I1936" s="1244"/>
      <c r="J1936" s="1244"/>
      <c r="K1936" s="1245"/>
      <c r="L1936" s="1245">
        <f t="shared" si="360"/>
        <v>0</v>
      </c>
      <c r="M1936" s="1244"/>
      <c r="N1936" s="1244"/>
      <c r="O1936" s="1244"/>
      <c r="P1936" s="1257">
        <f t="shared" si="357"/>
        <v>0</v>
      </c>
      <c r="Q1936" s="1244"/>
      <c r="R1936" s="1244"/>
      <c r="S1936" s="1244"/>
      <c r="T1936" s="1671"/>
      <c r="U1936" s="1664" t="str">
        <f>IFERROR(VLOOKUP(B1936,ChiTietDuToan!C:H,5,0),"")</f>
        <v/>
      </c>
      <c r="V1936" s="2309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59" t="s">
        <v>1662</v>
      </c>
      <c r="C1937" s="1189" t="str">
        <f t="shared" si="361"/>
        <v xml:space="preserve"> </v>
      </c>
      <c r="D1937" s="1240"/>
      <c r="E1937" s="1248" t="str">
        <f>VLOOKUP($B1937,DG!A:D,DG!$C$2,)</f>
        <v>Boulon 16x300+ 2 long đền vuông D18-50x50x3/Zn</v>
      </c>
      <c r="F1937" s="1236" t="str">
        <f>VLOOKUP($B1937,DG!A:D,DG!$D$2,)</f>
        <v>bộ</v>
      </c>
      <c r="G1937" s="1918">
        <f>G1934*2</f>
        <v>0</v>
      </c>
      <c r="H1937" s="1244">
        <f t="shared" si="358"/>
        <v>0</v>
      </c>
      <c r="I1937" s="1244"/>
      <c r="J1937" s="1244"/>
      <c r="K1937" s="1245"/>
      <c r="L1937" s="1245">
        <f t="shared" si="360"/>
        <v>0</v>
      </c>
      <c r="M1937" s="1244"/>
      <c r="N1937" s="1244"/>
      <c r="O1937" s="1244"/>
      <c r="P1937" s="1257">
        <f t="shared" si="357"/>
        <v>0</v>
      </c>
      <c r="Q1937" s="1244"/>
      <c r="R1937" s="1244"/>
      <c r="S1937" s="1244"/>
      <c r="T1937" s="1671"/>
      <c r="U1937" s="1664" t="str">
        <f>IFERROR(VLOOKUP(B1937,ChiTietDuToan!C:H,5,0),"")</f>
        <v>bộ</v>
      </c>
      <c r="V1937" s="2309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82" t="s">
        <v>2574</v>
      </c>
      <c r="C1938" s="1189" t="str">
        <f t="shared" si="361"/>
        <v xml:space="preserve"> </v>
      </c>
      <c r="D1938" s="1236"/>
      <c r="E1938" s="1254" t="s">
        <v>2575</v>
      </c>
      <c r="F1938" s="1255" t="s">
        <v>2576</v>
      </c>
      <c r="G1938" s="1928">
        <f>pp1p!BU90</f>
        <v>0</v>
      </c>
      <c r="H1938" s="1245">
        <f t="shared" si="358"/>
        <v>0</v>
      </c>
      <c r="I1938" s="1245"/>
      <c r="J1938" s="1245"/>
      <c r="K1938" s="1245"/>
      <c r="L1938" s="1245">
        <f t="shared" si="360"/>
        <v>0</v>
      </c>
      <c r="M1938" s="1245"/>
      <c r="N1938" s="1245"/>
      <c r="O1938" s="1245"/>
      <c r="P1938" s="1257">
        <f t="shared" si="357"/>
        <v>0</v>
      </c>
      <c r="Q1938" s="1245"/>
      <c r="R1938" s="1245"/>
      <c r="S1938" s="1245"/>
      <c r="T1938" s="1671"/>
      <c r="U1938" s="1664" t="str">
        <f>IFERROR(VLOOKUP(B1938,ChiTietDuToan!C:H,5,0),"")</f>
        <v/>
      </c>
      <c r="V1938" s="2309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59" t="s">
        <v>1300</v>
      </c>
      <c r="C1939" s="1189" t="str">
        <f t="shared" si="361"/>
        <v xml:space="preserve"> </v>
      </c>
      <c r="D1939" s="1236"/>
      <c r="E1939" s="1248" t="str">
        <f>VLOOKUP($B1939,DG!A:D,DG!$C$2,)</f>
        <v>Sứ treo loại 70kN</v>
      </c>
      <c r="F1939" s="1236" t="str">
        <f>VLOOKUP($B1939,DG!A:D,DG!$D$2,)</f>
        <v>bát</v>
      </c>
      <c r="G1939" s="1915">
        <f>G1938*2</f>
        <v>0</v>
      </c>
      <c r="H1939" s="1245">
        <f t="shared" si="358"/>
        <v>0</v>
      </c>
      <c r="I1939" s="1245"/>
      <c r="J1939" s="1245"/>
      <c r="K1939" s="1245"/>
      <c r="L1939" s="1245">
        <f t="shared" si="360"/>
        <v>0</v>
      </c>
      <c r="M1939" s="1245"/>
      <c r="N1939" s="1245"/>
      <c r="O1939" s="1245"/>
      <c r="P1939" s="1257">
        <f t="shared" si="357"/>
        <v>0</v>
      </c>
      <c r="Q1939" s="1245"/>
      <c r="R1939" s="1245"/>
      <c r="S1939" s="1245"/>
      <c r="T1939" s="1671"/>
      <c r="U1939" s="1664" t="str">
        <f>IFERROR(VLOOKUP(B1939,ChiTietDuToan!C:H,5,0),"")</f>
        <v/>
      </c>
      <c r="V1939" s="2309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59" t="s">
        <v>1538</v>
      </c>
      <c r="C1940" s="1189" t="str">
        <f t="shared" si="361"/>
        <v xml:space="preserve"> </v>
      </c>
      <c r="D1940" s="1236"/>
      <c r="E1940" s="1248" t="str">
        <f>VLOOKUP($B1940,DG!A:D,DG!$C$2,)</f>
        <v xml:space="preserve">Móc treo chữ U </v>
      </c>
      <c r="F1940" s="1236" t="str">
        <f>VLOOKUP($B1940,DG!A:D,DG!$D$2,)</f>
        <v>cái</v>
      </c>
      <c r="G1940" s="1915">
        <f>G1938*2</f>
        <v>0</v>
      </c>
      <c r="H1940" s="1245">
        <f t="shared" si="358"/>
        <v>0</v>
      </c>
      <c r="I1940" s="1245"/>
      <c r="J1940" s="1245"/>
      <c r="K1940" s="1245"/>
      <c r="L1940" s="1245">
        <f t="shared" si="360"/>
        <v>0</v>
      </c>
      <c r="M1940" s="1245"/>
      <c r="N1940" s="1245"/>
      <c r="O1940" s="1245"/>
      <c r="P1940" s="1257">
        <f t="shared" si="357"/>
        <v>0</v>
      </c>
      <c r="Q1940" s="1245"/>
      <c r="R1940" s="1245"/>
      <c r="S1940" s="1245"/>
      <c r="T1940" s="1671"/>
      <c r="U1940" s="1664" t="str">
        <f>IFERROR(VLOOKUP(B1940,ChiTietDuToan!C:H,5,0),"")</f>
        <v>cái</v>
      </c>
      <c r="V1940" s="2309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59" t="s">
        <v>1621</v>
      </c>
      <c r="C1941" s="1189" t="str">
        <f t="shared" si="361"/>
        <v xml:space="preserve"> </v>
      </c>
      <c r="D1941" s="1236"/>
      <c r="E1941" s="1248" t="str">
        <f>VLOOKUP($B1941,DG!A:D,DG!$C$2,)</f>
        <v>Vòng treo đầu tròn</v>
      </c>
      <c r="F1941" s="1236" t="str">
        <f>VLOOKUP($B1941,DG!A:D,DG!$D$2,)</f>
        <v>cái</v>
      </c>
      <c r="G1941" s="1915">
        <f>G1938</f>
        <v>0</v>
      </c>
      <c r="H1941" s="1245">
        <f t="shared" si="358"/>
        <v>0</v>
      </c>
      <c r="I1941" s="1245"/>
      <c r="J1941" s="1245"/>
      <c r="K1941" s="1245"/>
      <c r="L1941" s="1245">
        <f t="shared" si="360"/>
        <v>0</v>
      </c>
      <c r="M1941" s="1245"/>
      <c r="N1941" s="1245"/>
      <c r="O1941" s="1245"/>
      <c r="P1941" s="1257">
        <f t="shared" si="357"/>
        <v>0</v>
      </c>
      <c r="Q1941" s="1245"/>
      <c r="R1941" s="1245"/>
      <c r="S1941" s="1245"/>
      <c r="T1941" s="1671"/>
      <c r="U1941" s="1664" t="str">
        <f>IFERROR(VLOOKUP(B1941,ChiTietDuToan!C:H,5,0),"")</f>
        <v/>
      </c>
      <c r="V1941" s="2309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59" t="s">
        <v>1536</v>
      </c>
      <c r="C1942" s="1189" t="str">
        <f t="shared" si="361"/>
        <v xml:space="preserve"> </v>
      </c>
      <c r="D1942" s="1236"/>
      <c r="E1942" s="1248" t="str">
        <f>VLOOKUP($B1942,DG!A:D,DG!$C$2,)</f>
        <v>Mắt nối đơn</v>
      </c>
      <c r="F1942" s="1236" t="str">
        <f>VLOOKUP($B1942,DG!A:D,DG!$D$2,)</f>
        <v>cái</v>
      </c>
      <c r="G1942" s="1915">
        <f>G1938</f>
        <v>0</v>
      </c>
      <c r="H1942" s="1245">
        <f t="shared" si="358"/>
        <v>0</v>
      </c>
      <c r="I1942" s="1245"/>
      <c r="J1942" s="1245"/>
      <c r="K1942" s="1245"/>
      <c r="L1942" s="1245">
        <f t="shared" si="360"/>
        <v>0</v>
      </c>
      <c r="M1942" s="1245"/>
      <c r="N1942" s="1245"/>
      <c r="O1942" s="1245"/>
      <c r="P1942" s="1257">
        <f t="shared" si="357"/>
        <v>0</v>
      </c>
      <c r="Q1942" s="1245"/>
      <c r="R1942" s="1245"/>
      <c r="S1942" s="1245"/>
      <c r="T1942" s="1671"/>
      <c r="U1942" s="1664" t="str">
        <f>IFERROR(VLOOKUP(B1942,ChiTietDuToan!C:H,5,0),"")</f>
        <v/>
      </c>
      <c r="V1942" s="2309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59" t="s">
        <v>1301</v>
      </c>
      <c r="C1943" s="1189" t="str">
        <f t="shared" si="361"/>
        <v xml:space="preserve"> </v>
      </c>
      <c r="D1943" s="1236"/>
      <c r="E1943" s="1248" t="str">
        <f>VLOOKUP($B1943,DG!A:D,DG!$C$2,)</f>
        <v>Boulon mắt 16x300+ 2 long đền vuông D18-50x50x3/Zn</v>
      </c>
      <c r="F1943" s="1236" t="str">
        <f>VLOOKUP($B1943,DG!A:D,DG!$D$2,)</f>
        <v>bộ</v>
      </c>
      <c r="G1943" s="1915">
        <f>G1938</f>
        <v>0</v>
      </c>
      <c r="H1943" s="1245">
        <f t="shared" si="358"/>
        <v>0</v>
      </c>
      <c r="I1943" s="1245"/>
      <c r="J1943" s="1245"/>
      <c r="K1943" s="1245"/>
      <c r="L1943" s="1245">
        <f t="shared" si="360"/>
        <v>0</v>
      </c>
      <c r="M1943" s="1245"/>
      <c r="N1943" s="1245"/>
      <c r="O1943" s="1245"/>
      <c r="P1943" s="1257">
        <f t="shared" si="357"/>
        <v>0</v>
      </c>
      <c r="Q1943" s="1245"/>
      <c r="R1943" s="1245"/>
      <c r="S1943" s="1245"/>
      <c r="T1943" s="1671"/>
      <c r="U1943" s="1664" t="str">
        <f>IFERROR(VLOOKUP(B1943,ChiTietDuToan!C:H,5,0),"")</f>
        <v>bộ</v>
      </c>
      <c r="V1943" s="2309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82" t="s">
        <v>2606</v>
      </c>
      <c r="C1944" s="1189" t="str">
        <f t="shared" si="361"/>
        <v xml:space="preserve"> </v>
      </c>
      <c r="D1944" s="1236"/>
      <c r="E1944" s="1254" t="s">
        <v>2580</v>
      </c>
      <c r="F1944" s="1236" t="s">
        <v>2576</v>
      </c>
      <c r="G1944" s="1928">
        <f>pp1p!BS90</f>
        <v>0</v>
      </c>
      <c r="H1944" s="1245">
        <f>$G1944</f>
        <v>0</v>
      </c>
      <c r="I1944" s="1245"/>
      <c r="J1944" s="1245"/>
      <c r="K1944" s="1245">
        <f>G1944*0</f>
        <v>0</v>
      </c>
      <c r="L1944" s="1245">
        <f t="shared" si="360"/>
        <v>0</v>
      </c>
      <c r="M1944" s="1245"/>
      <c r="N1944" s="1245"/>
      <c r="O1944" s="1245"/>
      <c r="P1944" s="1257">
        <f t="shared" si="357"/>
        <v>0</v>
      </c>
      <c r="Q1944" s="1245"/>
      <c r="R1944" s="1245"/>
      <c r="S1944" s="1245"/>
      <c r="T1944" s="1671"/>
      <c r="U1944" s="1664" t="str">
        <f>IFERROR(VLOOKUP(B1944,ChiTietDuToan!C:H,5,0),"")</f>
        <v>chuỗi</v>
      </c>
      <c r="V1944" s="2309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59" t="s">
        <v>1558</v>
      </c>
      <c r="C1945" s="1189" t="str">
        <f t="shared" si="361"/>
        <v xml:space="preserve"> </v>
      </c>
      <c r="D1945" s="1236"/>
      <c r="E1945" s="1248" t="str">
        <f>VLOOKUP($B1945,DG!A:D,DG!$C$2,)</f>
        <v>Sứ treo polymer</v>
      </c>
      <c r="F1945" s="1236" t="s">
        <v>2576</v>
      </c>
      <c r="G1945" s="1915">
        <f>G1944</f>
        <v>0</v>
      </c>
      <c r="H1945" s="1245">
        <f>$G1945</f>
        <v>0</v>
      </c>
      <c r="I1945" s="1245"/>
      <c r="J1945" s="1245"/>
      <c r="K1945" s="1245">
        <f>G1945*0</f>
        <v>0</v>
      </c>
      <c r="L1945" s="1245">
        <f t="shared" si="360"/>
        <v>0</v>
      </c>
      <c r="M1945" s="1245"/>
      <c r="N1945" s="1245"/>
      <c r="O1945" s="1245"/>
      <c r="P1945" s="1257">
        <f t="shared" si="357"/>
        <v>0</v>
      </c>
      <c r="Q1945" s="1245"/>
      <c r="R1945" s="1245"/>
      <c r="S1945" s="1245"/>
      <c r="T1945" s="1671"/>
      <c r="U1945" s="1664" t="str">
        <f>IFERROR(VLOOKUP(B1945,ChiTietDuToan!C:H,5,0),"")</f>
        <v>cái</v>
      </c>
      <c r="V1945" s="2309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59" t="s">
        <v>1538</v>
      </c>
      <c r="C1946" s="1189" t="str">
        <f t="shared" si="361"/>
        <v xml:space="preserve"> </v>
      </c>
      <c r="D1946" s="1236"/>
      <c r="E1946" s="1248" t="str">
        <f>VLOOKUP($B1946,DG!A:D,DG!$C$2,)</f>
        <v xml:space="preserve">Móc treo chữ U </v>
      </c>
      <c r="F1946" s="1236" t="s">
        <v>2621</v>
      </c>
      <c r="G1946" s="1915">
        <f>G1944*2</f>
        <v>0</v>
      </c>
      <c r="H1946" s="1245">
        <f>$G1946</f>
        <v>0</v>
      </c>
      <c r="I1946" s="1245"/>
      <c r="J1946" s="1245"/>
      <c r="K1946" s="1245">
        <f>G1946*0</f>
        <v>0</v>
      </c>
      <c r="L1946" s="1245">
        <f t="shared" si="360"/>
        <v>0</v>
      </c>
      <c r="M1946" s="1245"/>
      <c r="N1946" s="1245"/>
      <c r="O1946" s="1245"/>
      <c r="P1946" s="1257">
        <f t="shared" si="357"/>
        <v>0</v>
      </c>
      <c r="Q1946" s="1245"/>
      <c r="R1946" s="1245"/>
      <c r="S1946" s="1245"/>
      <c r="T1946" s="1671"/>
      <c r="U1946" s="1664" t="str">
        <f>IFERROR(VLOOKUP(B1946,ChiTietDuToan!C:H,5,0),"")</f>
        <v>cái</v>
      </c>
      <c r="V1946" s="2309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59" t="s">
        <v>386</v>
      </c>
      <c r="C1947" s="1189" t="str">
        <f t="shared" si="361"/>
        <v xml:space="preserve"> </v>
      </c>
      <c r="D1947" s="1236"/>
      <c r="E1947" s="1248" t="str">
        <f>VLOOKUP($B1947,DG!A:D,DG!$C$2,)</f>
        <v>Khóa néo dây cỡ dây 185</v>
      </c>
      <c r="F1947" s="1236" t="str">
        <f>VLOOKUP($B1947,DG!A:D,DG!$D$2,)</f>
        <v>cái</v>
      </c>
      <c r="G1947" s="1915">
        <f>G1944</f>
        <v>0</v>
      </c>
      <c r="H1947" s="1245">
        <f t="shared" si="358"/>
        <v>0</v>
      </c>
      <c r="I1947" s="1245"/>
      <c r="J1947" s="1245"/>
      <c r="K1947" s="1245"/>
      <c r="L1947" s="1245">
        <f t="shared" si="360"/>
        <v>0</v>
      </c>
      <c r="M1947" s="1245"/>
      <c r="N1947" s="1245"/>
      <c r="O1947" s="1245"/>
      <c r="P1947" s="1257">
        <f t="shared" si="357"/>
        <v>0</v>
      </c>
      <c r="Q1947" s="1245"/>
      <c r="R1947" s="1245"/>
      <c r="S1947" s="1245"/>
      <c r="T1947" s="1671"/>
      <c r="U1947" s="1664" t="str">
        <f>IFERROR(VLOOKUP(B1947,ChiTietDuToan!C:H,5,0),"")</f>
        <v/>
      </c>
      <c r="V1947" s="2309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82" t="s">
        <v>2607</v>
      </c>
      <c r="C1948" s="1189" t="str">
        <f t="shared" si="361"/>
        <v xml:space="preserve"> </v>
      </c>
      <c r="D1948" s="1236"/>
      <c r="E1948" s="1254" t="s">
        <v>2622</v>
      </c>
      <c r="F1948" s="1236" t="s">
        <v>2576</v>
      </c>
      <c r="G1948" s="1928">
        <f>pp1p!BT90</f>
        <v>0</v>
      </c>
      <c r="H1948" s="1245">
        <f>$G1948</f>
        <v>0</v>
      </c>
      <c r="I1948" s="1245"/>
      <c r="J1948" s="1245"/>
      <c r="K1948" s="1245"/>
      <c r="L1948" s="1245">
        <f t="shared" si="360"/>
        <v>0</v>
      </c>
      <c r="M1948" s="1245"/>
      <c r="N1948" s="1245"/>
      <c r="O1948" s="1245"/>
      <c r="P1948" s="1257">
        <f t="shared" si="357"/>
        <v>0</v>
      </c>
      <c r="Q1948" s="1245"/>
      <c r="R1948" s="1245"/>
      <c r="S1948" s="1245"/>
      <c r="T1948" s="1671"/>
      <c r="U1948" s="1664" t="str">
        <f>IFERROR(VLOOKUP(B1948,ChiTietDuToan!C:H,5,0),"")</f>
        <v/>
      </c>
      <c r="V1948" s="2309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59" t="s">
        <v>1558</v>
      </c>
      <c r="C1949" s="1189" t="str">
        <f t="shared" si="361"/>
        <v xml:space="preserve"> </v>
      </c>
      <c r="D1949" s="1236"/>
      <c r="E1949" s="1248" t="str">
        <f>VLOOKUP($B1949,DG!A:D,DG!$C$2,)</f>
        <v>Sứ treo polymer</v>
      </c>
      <c r="F1949" s="1236" t="s">
        <v>2576</v>
      </c>
      <c r="G1949" s="1915">
        <f>G1948</f>
        <v>0</v>
      </c>
      <c r="H1949" s="1245">
        <f>$G1949</f>
        <v>0</v>
      </c>
      <c r="I1949" s="1245"/>
      <c r="J1949" s="1245"/>
      <c r="K1949" s="1245"/>
      <c r="L1949" s="1245">
        <f t="shared" si="360"/>
        <v>0</v>
      </c>
      <c r="M1949" s="1245"/>
      <c r="N1949" s="1245"/>
      <c r="O1949" s="1245"/>
      <c r="P1949" s="1257">
        <f t="shared" si="357"/>
        <v>0</v>
      </c>
      <c r="Q1949" s="1245"/>
      <c r="R1949" s="1245"/>
      <c r="S1949" s="1245"/>
      <c r="T1949" s="1671"/>
      <c r="U1949" s="1664" t="str">
        <f>IFERROR(VLOOKUP(B1949,ChiTietDuToan!C:H,5,0),"")</f>
        <v>cái</v>
      </c>
      <c r="V1949" s="2309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59" t="s">
        <v>1795</v>
      </c>
      <c r="C1950" s="1189" t="str">
        <f t="shared" si="361"/>
        <v xml:space="preserve"> </v>
      </c>
      <c r="D1950" s="1236"/>
      <c r="E1950" s="1248" t="str">
        <f>VLOOKUP($B1950,DG!A:D,DG!$C$2,)</f>
        <v>Khóa néo dây cỡ dây 185</v>
      </c>
      <c r="F1950" s="1236" t="s">
        <v>2576</v>
      </c>
      <c r="G1950" s="1915">
        <f>G1949</f>
        <v>0</v>
      </c>
      <c r="H1950" s="1245">
        <f>$G1950</f>
        <v>0</v>
      </c>
      <c r="I1950" s="1245"/>
      <c r="J1950" s="1245"/>
      <c r="K1950" s="1245"/>
      <c r="L1950" s="1245">
        <f t="shared" si="360"/>
        <v>0</v>
      </c>
      <c r="M1950" s="1245"/>
      <c r="N1950" s="1245"/>
      <c r="O1950" s="1245"/>
      <c r="P1950" s="1257">
        <f t="shared" si="357"/>
        <v>0</v>
      </c>
      <c r="Q1950" s="1245"/>
      <c r="R1950" s="1245"/>
      <c r="S1950" s="1245"/>
      <c r="T1950" s="1671"/>
      <c r="U1950" s="1664" t="str">
        <f>IFERROR(VLOOKUP(B1950,ChiTietDuToan!C:H,5,0),"")</f>
        <v/>
      </c>
      <c r="V1950" s="2309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59" t="s">
        <v>1538</v>
      </c>
      <c r="C1951" s="1189" t="str">
        <f t="shared" si="361"/>
        <v xml:space="preserve"> </v>
      </c>
      <c r="D1951" s="1236"/>
      <c r="E1951" s="1248" t="str">
        <f>VLOOKUP($B1951,DG!A:D,DG!$C$2,)</f>
        <v xml:space="preserve">Móc treo chữ U </v>
      </c>
      <c r="F1951" s="1236" t="s">
        <v>2621</v>
      </c>
      <c r="G1951" s="1915">
        <f>G1950*2</f>
        <v>0</v>
      </c>
      <c r="H1951" s="1245">
        <f>$G1951</f>
        <v>0</v>
      </c>
      <c r="I1951" s="1245"/>
      <c r="J1951" s="1245"/>
      <c r="K1951" s="1245"/>
      <c r="L1951" s="1245">
        <f t="shared" si="360"/>
        <v>0</v>
      </c>
      <c r="M1951" s="1245"/>
      <c r="N1951" s="1245"/>
      <c r="O1951" s="1245"/>
      <c r="P1951" s="1257">
        <f t="shared" si="357"/>
        <v>0</v>
      </c>
      <c r="Q1951" s="1245"/>
      <c r="R1951" s="1245"/>
      <c r="S1951" s="1245"/>
      <c r="T1951" s="1671"/>
      <c r="U1951" s="1664" t="str">
        <f>IFERROR(VLOOKUP(B1951,ChiTietDuToan!C:H,5,0),"")</f>
        <v>cái</v>
      </c>
      <c r="V1951" s="2309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59" t="s">
        <v>4771</v>
      </c>
      <c r="C1952" s="1189" t="str">
        <f t="shared" si="361"/>
        <v xml:space="preserve"> </v>
      </c>
      <c r="D1952" s="1236"/>
      <c r="E1952" s="1248" t="str">
        <f>VLOOKUP($B1952,DG!A:D,DG!$C$2,)</f>
        <v>Kháng bắt sứ kép polymer</v>
      </c>
      <c r="F1952" s="1236" t="s">
        <v>2621</v>
      </c>
      <c r="G1952" s="1915">
        <f>G1949*0</f>
        <v>0</v>
      </c>
      <c r="H1952" s="1245">
        <f>$G1952</f>
        <v>0</v>
      </c>
      <c r="I1952" s="1245"/>
      <c r="J1952" s="1245"/>
      <c r="K1952" s="1245"/>
      <c r="L1952" s="1245">
        <f>H1952</f>
        <v>0</v>
      </c>
      <c r="M1952" s="1245"/>
      <c r="N1952" s="1245"/>
      <c r="O1952" s="1245"/>
      <c r="P1952" s="1257">
        <f t="shared" si="357"/>
        <v>0</v>
      </c>
      <c r="Q1952" s="1245"/>
      <c r="R1952" s="1245"/>
      <c r="S1952" s="1245"/>
      <c r="T1952" s="1671"/>
      <c r="U1952" s="1664" t="str">
        <f>IFERROR(VLOOKUP(B1952,ChiTietDuToan!C:H,5,0),"")</f>
        <v/>
      </c>
      <c r="V1952" s="2309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59" t="s">
        <v>1301</v>
      </c>
      <c r="C1953" s="1189" t="str">
        <f t="shared" si="361"/>
        <v xml:space="preserve"> </v>
      </c>
      <c r="D1953" s="1236"/>
      <c r="E1953" s="1248" t="str">
        <f>VLOOKUP($B1953,DG!A:D,DG!$C$2,)</f>
        <v>Boulon mắt 16x300+ 2 long đền vuông D18-50x50x3/Zn</v>
      </c>
      <c r="F1953" s="1236" t="str">
        <f>VLOOKUP($B1953,DG!A:D,DG!$D$2,)</f>
        <v>bộ</v>
      </c>
      <c r="G1953" s="1915">
        <f>G1950</f>
        <v>0</v>
      </c>
      <c r="H1953" s="1245">
        <f t="shared" si="358"/>
        <v>0</v>
      </c>
      <c r="I1953" s="1245"/>
      <c r="J1953" s="1245"/>
      <c r="K1953" s="1245"/>
      <c r="L1953" s="1245">
        <f t="shared" si="360"/>
        <v>0</v>
      </c>
      <c r="M1953" s="1245"/>
      <c r="N1953" s="1245"/>
      <c r="O1953" s="1245"/>
      <c r="P1953" s="1257">
        <f t="shared" si="357"/>
        <v>0</v>
      </c>
      <c r="Q1953" s="1245"/>
      <c r="R1953" s="1245"/>
      <c r="S1953" s="1245"/>
      <c r="T1953" s="1671"/>
      <c r="U1953" s="1664" t="str">
        <f>IFERROR(VLOOKUP(B1953,ChiTietDuToan!C:H,5,0),"")</f>
        <v>bộ</v>
      </c>
      <c r="V1953" s="2309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82" t="s">
        <v>2577</v>
      </c>
      <c r="C1954" s="1189" t="str">
        <f t="shared" si="361"/>
        <v xml:space="preserve"> </v>
      </c>
      <c r="D1954" s="1236"/>
      <c r="E1954" s="1254" t="s">
        <v>2623</v>
      </c>
      <c r="F1954" s="1255" t="s">
        <v>2576</v>
      </c>
      <c r="G1954" s="1928">
        <f>pp1p!BV90</f>
        <v>0</v>
      </c>
      <c r="H1954" s="1245">
        <f t="shared" si="358"/>
        <v>0</v>
      </c>
      <c r="I1954" s="1245"/>
      <c r="J1954" s="1245"/>
      <c r="K1954" s="1245"/>
      <c r="L1954" s="1245">
        <f t="shared" si="360"/>
        <v>0</v>
      </c>
      <c r="M1954" s="1245"/>
      <c r="N1954" s="1245"/>
      <c r="O1954" s="1245"/>
      <c r="P1954" s="1257">
        <f t="shared" si="357"/>
        <v>0</v>
      </c>
      <c r="Q1954" s="1245"/>
      <c r="R1954" s="1245"/>
      <c r="S1954" s="1245"/>
      <c r="T1954" s="1671"/>
      <c r="U1954" s="1664" t="str">
        <f>IFERROR(VLOOKUP(B1954,ChiTietDuToan!C:H,5,0),"")</f>
        <v/>
      </c>
      <c r="V1954" s="2309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59" t="s">
        <v>113</v>
      </c>
      <c r="C1955" s="1189" t="str">
        <f t="shared" si="361"/>
        <v xml:space="preserve"> </v>
      </c>
      <c r="D1955" s="1236"/>
      <c r="E1955" s="1248" t="str">
        <f>VLOOKUP($B1955,DG!A:D,DG!$C$2,)</f>
        <v>Sứ treo loại 70kN</v>
      </c>
      <c r="F1955" s="1236" t="str">
        <f>VLOOKUP($B1955,DG!A:D,DG!$D$2,)</f>
        <v>bát</v>
      </c>
      <c r="G1955" s="1915">
        <f>G1954*2</f>
        <v>0</v>
      </c>
      <c r="H1955" s="1245">
        <f t="shared" si="358"/>
        <v>0</v>
      </c>
      <c r="I1955" s="1245"/>
      <c r="J1955" s="1245"/>
      <c r="K1955" s="1245"/>
      <c r="L1955" s="1245">
        <f t="shared" si="360"/>
        <v>0</v>
      </c>
      <c r="M1955" s="1245"/>
      <c r="N1955" s="1245"/>
      <c r="O1955" s="1245"/>
      <c r="P1955" s="1257">
        <f t="shared" si="357"/>
        <v>0</v>
      </c>
      <c r="Q1955" s="1245"/>
      <c r="R1955" s="1245"/>
      <c r="S1955" s="1245"/>
      <c r="T1955" s="1671"/>
      <c r="U1955" s="1664" t="str">
        <f>IFERROR(VLOOKUP(B1955,ChiTietDuToan!C:H,5,0),"")</f>
        <v/>
      </c>
      <c r="V1955" s="2309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59" t="s">
        <v>1538</v>
      </c>
      <c r="C1956" s="1189" t="str">
        <f t="shared" si="361"/>
        <v xml:space="preserve"> </v>
      </c>
      <c r="D1956" s="1236"/>
      <c r="E1956" s="1248" t="str">
        <f>VLOOKUP($B1956,DG!A:D,DG!$C$2,)</f>
        <v xml:space="preserve">Móc treo chữ U </v>
      </c>
      <c r="F1956" s="1236" t="str">
        <f>VLOOKUP($B1956,DG!A:D,DG!$D$2,)</f>
        <v>cái</v>
      </c>
      <c r="G1956" s="1915">
        <f>G1954*2</f>
        <v>0</v>
      </c>
      <c r="H1956" s="1245">
        <f t="shared" si="358"/>
        <v>0</v>
      </c>
      <c r="I1956" s="1245"/>
      <c r="J1956" s="1245"/>
      <c r="K1956" s="1245"/>
      <c r="L1956" s="1245">
        <f t="shared" si="360"/>
        <v>0</v>
      </c>
      <c r="M1956" s="1245"/>
      <c r="N1956" s="1245"/>
      <c r="O1956" s="1245"/>
      <c r="P1956" s="1257">
        <f t="shared" si="357"/>
        <v>0</v>
      </c>
      <c r="Q1956" s="1245"/>
      <c r="R1956" s="1245"/>
      <c r="S1956" s="1245"/>
      <c r="T1956" s="1671"/>
      <c r="U1956" s="1664" t="str">
        <f>IFERROR(VLOOKUP(B1956,ChiTietDuToan!C:H,5,0),"")</f>
        <v>cái</v>
      </c>
      <c r="V1956" s="2309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59" t="s">
        <v>1621</v>
      </c>
      <c r="C1957" s="1189" t="str">
        <f t="shared" si="361"/>
        <v xml:space="preserve"> </v>
      </c>
      <c r="D1957" s="1236"/>
      <c r="E1957" s="1248" t="str">
        <f>VLOOKUP($B1957,DG!A:D,DG!$C$2,)</f>
        <v>Vòng treo đầu tròn</v>
      </c>
      <c r="F1957" s="1236" t="str">
        <f>VLOOKUP($B1957,DG!A:D,DG!$D$2,)</f>
        <v>cái</v>
      </c>
      <c r="G1957" s="1915">
        <f>G1954</f>
        <v>0</v>
      </c>
      <c r="H1957" s="1245">
        <f t="shared" si="358"/>
        <v>0</v>
      </c>
      <c r="I1957" s="1245"/>
      <c r="J1957" s="1245"/>
      <c r="K1957" s="1245"/>
      <c r="L1957" s="1245">
        <f t="shared" si="360"/>
        <v>0</v>
      </c>
      <c r="M1957" s="1245"/>
      <c r="N1957" s="1245"/>
      <c r="O1957" s="1245"/>
      <c r="P1957" s="1257">
        <f t="shared" si="357"/>
        <v>0</v>
      </c>
      <c r="Q1957" s="1245"/>
      <c r="R1957" s="1245"/>
      <c r="S1957" s="1245"/>
      <c r="T1957" s="1671"/>
      <c r="U1957" s="1664" t="str">
        <f>IFERROR(VLOOKUP(B1957,ChiTietDuToan!C:H,5,0),"")</f>
        <v/>
      </c>
      <c r="V1957" s="2309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59" t="s">
        <v>1536</v>
      </c>
      <c r="C1958" s="1189" t="str">
        <f t="shared" si="361"/>
        <v xml:space="preserve"> </v>
      </c>
      <c r="D1958" s="1236"/>
      <c r="E1958" s="1248" t="str">
        <f>VLOOKUP($B1958,DG!A:D,DG!$C$2,)</f>
        <v>Mắt nối đơn</v>
      </c>
      <c r="F1958" s="1236" t="str">
        <f>VLOOKUP($B1958,DG!A:D,DG!$D$2,)</f>
        <v>cái</v>
      </c>
      <c r="G1958" s="1915">
        <f>G1954</f>
        <v>0</v>
      </c>
      <c r="H1958" s="1245">
        <f t="shared" si="358"/>
        <v>0</v>
      </c>
      <c r="I1958" s="1245"/>
      <c r="J1958" s="1245"/>
      <c r="K1958" s="1245"/>
      <c r="L1958" s="1245">
        <f t="shared" si="360"/>
        <v>0</v>
      </c>
      <c r="M1958" s="1245"/>
      <c r="N1958" s="1245"/>
      <c r="O1958" s="1245"/>
      <c r="P1958" s="1257">
        <f t="shared" si="357"/>
        <v>0</v>
      </c>
      <c r="Q1958" s="1245"/>
      <c r="R1958" s="1245"/>
      <c r="S1958" s="1245"/>
      <c r="T1958" s="1671"/>
      <c r="U1958" s="1664" t="str">
        <f>IFERROR(VLOOKUP(B1958,ChiTietDuToan!C:H,5,0),"")</f>
        <v/>
      </c>
      <c r="V1958" s="2309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66"/>
      <c r="C1959" s="1189" t="str">
        <f>IF(OR(G1959&gt;0),"x","")</f>
        <v/>
      </c>
      <c r="D1959" s="1236"/>
      <c r="E1959" s="1856" t="s">
        <v>2610</v>
      </c>
      <c r="F1959" s="1236"/>
      <c r="G1959" s="2053">
        <f>IF(SUM(G1960:G2004)&gt;0,1,0)</f>
        <v>0</v>
      </c>
      <c r="H1959" s="1245"/>
      <c r="I1959" s="1245"/>
      <c r="J1959" s="1245"/>
      <c r="K1959" s="1245"/>
      <c r="L1959" s="1245">
        <f t="shared" si="360"/>
        <v>0</v>
      </c>
      <c r="M1959" s="1245"/>
      <c r="N1959" s="1245"/>
      <c r="O1959" s="1245"/>
      <c r="P1959" s="1257">
        <f t="shared" si="357"/>
        <v>0</v>
      </c>
      <c r="Q1959" s="1245"/>
      <c r="R1959" s="1245"/>
      <c r="S1959" s="1245"/>
      <c r="T1959" s="1664"/>
      <c r="U1959" s="1664">
        <f>IFERROR(VLOOKUP(B1959,ChiTietDuToan!C:H,5,0),"")</f>
        <v>0</v>
      </c>
      <c r="V1959" s="2309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66" t="s">
        <v>1205</v>
      </c>
      <c r="C1960" s="1189" t="str">
        <f t="shared" si="361"/>
        <v xml:space="preserve"> </v>
      </c>
      <c r="D1960" s="1236"/>
      <c r="E1960" s="1248" t="str">
        <f>VLOOKUP($B1960,DG!A:D,DG!$C$2,)</f>
        <v>Khóa đỡ dây cỡ dây 50</v>
      </c>
      <c r="F1960" s="1236" t="str">
        <f>VLOOKUP($B1960,DG!A:D,DG!$D$2,)</f>
        <v>cái</v>
      </c>
      <c r="G1960" s="1928">
        <f>pp1p!CT90</f>
        <v>0</v>
      </c>
      <c r="H1960" s="1245">
        <f>G1960</f>
        <v>0</v>
      </c>
      <c r="I1960" s="1245"/>
      <c r="J1960" s="1245"/>
      <c r="K1960" s="1245">
        <f>G1960</f>
        <v>0</v>
      </c>
      <c r="L1960" s="1245">
        <f t="shared" si="360"/>
        <v>0</v>
      </c>
      <c r="M1960" s="1245"/>
      <c r="N1960" s="1245"/>
      <c r="O1960" s="1245"/>
      <c r="P1960" s="1257">
        <f t="shared" si="357"/>
        <v>0</v>
      </c>
      <c r="Q1960" s="1245"/>
      <c r="R1960" s="1245"/>
      <c r="S1960" s="1245"/>
      <c r="T1960" s="1671"/>
      <c r="U1960" s="1664" t="str">
        <f>IFERROR(VLOOKUP(B1960,ChiTietDuToan!C:H,5,0),"")</f>
        <v/>
      </c>
      <c r="V1960" s="2309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66" t="s">
        <v>1534</v>
      </c>
      <c r="C1961" s="1189" t="str">
        <f t="shared" si="361"/>
        <v xml:space="preserve"> </v>
      </c>
      <c r="D1961" s="1236"/>
      <c r="E1961" s="1248" t="str">
        <f>VLOOKUP($B1961,DG!A:D,DG!$C$2,)</f>
        <v>Khóa néo dây cỡ dây 50</v>
      </c>
      <c r="F1961" s="1236" t="str">
        <f>VLOOKUP($B1961,DG!A:D,DG!$D$2,)</f>
        <v>cái</v>
      </c>
      <c r="G1961" s="1915">
        <f>(G1938+G1954)-G1960-G1962</f>
        <v>0</v>
      </c>
      <c r="H1961" s="1245">
        <f>G1961</f>
        <v>0</v>
      </c>
      <c r="I1961" s="1245"/>
      <c r="J1961" s="1245"/>
      <c r="K1961" s="1245"/>
      <c r="L1961" s="1245">
        <f t="shared" si="360"/>
        <v>0</v>
      </c>
      <c r="M1961" s="1245"/>
      <c r="N1961" s="1245"/>
      <c r="O1961" s="1245"/>
      <c r="P1961" s="1257">
        <f t="shared" si="357"/>
        <v>0</v>
      </c>
      <c r="Q1961" s="1245"/>
      <c r="R1961" s="1245"/>
      <c r="S1961" s="1245"/>
      <c r="T1961" s="1671"/>
      <c r="U1961" s="1664" t="str">
        <f>IFERROR(VLOOKUP(B1961,ChiTietDuToan!C:H,5,0),"")</f>
        <v/>
      </c>
      <c r="V1961" s="2309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85" t="s">
        <v>1175</v>
      </c>
      <c r="C1962" s="1189" t="str">
        <f t="shared" si="361"/>
        <v xml:space="preserve"> </v>
      </c>
      <c r="D1962" s="1236"/>
      <c r="E1962" s="1248" t="str">
        <f>VLOOKUP($B1962,DG!A:D,DG!$C$2,)</f>
        <v>Khóa néo dây cỡ dây 70</v>
      </c>
      <c r="F1962" s="1236" t="str">
        <f>VLOOKUP($B1962,DG!A:D,DG!$D$2,)</f>
        <v>cái</v>
      </c>
      <c r="G1962" s="1912"/>
      <c r="H1962" s="1245">
        <f>G1962</f>
        <v>0</v>
      </c>
      <c r="I1962" s="1245"/>
      <c r="J1962" s="1245"/>
      <c r="K1962" s="1245">
        <f>G1962</f>
        <v>0</v>
      </c>
      <c r="L1962" s="1245">
        <f t="shared" si="360"/>
        <v>0</v>
      </c>
      <c r="M1962" s="1245"/>
      <c r="N1962" s="1245"/>
      <c r="O1962" s="1245"/>
      <c r="P1962" s="1257">
        <f t="shared" si="357"/>
        <v>0</v>
      </c>
      <c r="Q1962" s="1245"/>
      <c r="R1962" s="1245"/>
      <c r="S1962" s="1245"/>
      <c r="T1962" s="1671"/>
      <c r="U1962" s="1664" t="str">
        <f>IFERROR(VLOOKUP(B1962,ChiTietDuToan!C:H,5,0),"")</f>
        <v/>
      </c>
      <c r="V1962" s="2309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66" t="s">
        <v>1022</v>
      </c>
      <c r="C1963" s="1189" t="str">
        <f t="shared" si="361"/>
        <v xml:space="preserve"> </v>
      </c>
      <c r="D1963" s="1236"/>
      <c r="E1963" s="1248" t="str">
        <f>VLOOKUP($B1963,DG!A:D,DG!$C$2,)</f>
        <v>Kẹp ép WR cỡ dây 50mm2</v>
      </c>
      <c r="F1963" s="1236" t="str">
        <f>VLOOKUP($B1963,DG!A:D,DG!$D$2,)</f>
        <v>cái</v>
      </c>
      <c r="G1963" s="1928">
        <f>pp1p!CA90</f>
        <v>0</v>
      </c>
      <c r="H1963" s="1245">
        <f t="shared" ref="H1963:H1987" si="363">G1963</f>
        <v>0</v>
      </c>
      <c r="I1963" s="1245"/>
      <c r="J1963" s="1245"/>
      <c r="K1963" s="1245"/>
      <c r="L1963" s="1245">
        <f t="shared" si="360"/>
        <v>0</v>
      </c>
      <c r="M1963" s="1245"/>
      <c r="N1963" s="1245"/>
      <c r="O1963" s="1245"/>
      <c r="P1963" s="1257">
        <f t="shared" si="357"/>
        <v>0</v>
      </c>
      <c r="Q1963" s="1245"/>
      <c r="R1963" s="1245"/>
      <c r="S1963" s="1245"/>
      <c r="T1963" s="1671"/>
      <c r="U1963" s="1664" t="str">
        <f>IFERROR(VLOOKUP(B1963,ChiTietDuToan!C:H,5,0),"")</f>
        <v/>
      </c>
      <c r="V1963" s="2309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66" t="s">
        <v>35</v>
      </c>
      <c r="C1964" s="1189" t="str">
        <f t="shared" si="361"/>
        <v xml:space="preserve"> </v>
      </c>
      <c r="D1964" s="1236"/>
      <c r="E1964" s="1248" t="str">
        <f>VLOOKUP($B1964,DG!A:D,DG!$C$2,)</f>
        <v>Kẹp ép WR cỡ dây 70mm2</v>
      </c>
      <c r="F1964" s="1236" t="str">
        <f>VLOOKUP($B1964,DG!A:D,DG!$D$2,)</f>
        <v>cái</v>
      </c>
      <c r="G1964" s="1928">
        <f>pp1p!CB90</f>
        <v>0</v>
      </c>
      <c r="H1964" s="1245">
        <f t="shared" si="363"/>
        <v>0</v>
      </c>
      <c r="I1964" s="1245"/>
      <c r="J1964" s="1245"/>
      <c r="K1964" s="1245"/>
      <c r="L1964" s="1245">
        <f t="shared" ref="L1964:L1969" si="364">H1964</f>
        <v>0</v>
      </c>
      <c r="M1964" s="1245"/>
      <c r="N1964" s="1245"/>
      <c r="O1964" s="1245"/>
      <c r="P1964" s="1257">
        <f t="shared" si="357"/>
        <v>0</v>
      </c>
      <c r="Q1964" s="1245"/>
      <c r="R1964" s="1245"/>
      <c r="S1964" s="1245"/>
      <c r="T1964" s="1671"/>
      <c r="U1964" s="1664" t="str">
        <f>IFERROR(VLOOKUP(B1964,ChiTietDuToan!C:H,5,0),"")</f>
        <v/>
      </c>
      <c r="V1964" s="2309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66" t="s">
        <v>36</v>
      </c>
      <c r="C1965" s="1189" t="str">
        <f t="shared" si="361"/>
        <v xml:space="preserve"> </v>
      </c>
      <c r="D1965" s="1236"/>
      <c r="E1965" s="1248" t="str">
        <f>VLOOKUP($B1965,DG!A:D,DG!$C$2,)</f>
        <v>Kẹp ép WR cỡ dây 95mm2</v>
      </c>
      <c r="F1965" s="1236" t="str">
        <f>VLOOKUP($B1965,DG!A:D,DG!$D$2,)</f>
        <v>cái</v>
      </c>
      <c r="G1965" s="1928">
        <f>pp1p!CC90</f>
        <v>0</v>
      </c>
      <c r="H1965" s="1245">
        <f t="shared" si="363"/>
        <v>0</v>
      </c>
      <c r="I1965" s="1245"/>
      <c r="J1965" s="1245"/>
      <c r="K1965" s="1245"/>
      <c r="L1965" s="1245">
        <f t="shared" si="364"/>
        <v>0</v>
      </c>
      <c r="M1965" s="1245"/>
      <c r="N1965" s="1245"/>
      <c r="O1965" s="1245"/>
      <c r="P1965" s="1257">
        <f t="shared" si="357"/>
        <v>0</v>
      </c>
      <c r="Q1965" s="1245"/>
      <c r="R1965" s="1245"/>
      <c r="S1965" s="1245"/>
      <c r="T1965" s="1671"/>
      <c r="U1965" s="1664" t="str">
        <f>IFERROR(VLOOKUP(B1965,ChiTietDuToan!C:H,5,0),"")</f>
        <v/>
      </c>
      <c r="V1965" s="2309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66" t="s">
        <v>13</v>
      </c>
      <c r="C1966" s="1189" t="str">
        <f t="shared" si="361"/>
        <v xml:space="preserve"> </v>
      </c>
      <c r="D1966" s="1236"/>
      <c r="E1966" s="1248" t="str">
        <f>VLOOKUP($B1966,DG!A:D,DG!$C$2,)</f>
        <v>Kẹp ép WR cỡ dây 120mm2</v>
      </c>
      <c r="F1966" s="1236" t="str">
        <f>VLOOKUP($B1966,DG!A:D,DG!$D$2,)</f>
        <v>cái</v>
      </c>
      <c r="G1966" s="1928">
        <f>pp1p!CD90</f>
        <v>0</v>
      </c>
      <c r="H1966" s="1245">
        <f t="shared" si="363"/>
        <v>0</v>
      </c>
      <c r="I1966" s="1245"/>
      <c r="J1966" s="1245"/>
      <c r="K1966" s="1245"/>
      <c r="L1966" s="1245">
        <f t="shared" si="364"/>
        <v>0</v>
      </c>
      <c r="M1966" s="1245"/>
      <c r="N1966" s="1245"/>
      <c r="O1966" s="1245"/>
      <c r="P1966" s="1257">
        <f t="shared" si="357"/>
        <v>0</v>
      </c>
      <c r="Q1966" s="1245"/>
      <c r="R1966" s="1245"/>
      <c r="S1966" s="1245"/>
      <c r="T1966" s="1671"/>
      <c r="U1966" s="1664" t="str">
        <f>IFERROR(VLOOKUP(B1966,ChiTietDuToan!C:H,5,0),"")</f>
        <v/>
      </c>
      <c r="V1966" s="2309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66" t="s">
        <v>143</v>
      </c>
      <c r="C1967" s="1189" t="str">
        <f t="shared" si="361"/>
        <v xml:space="preserve"> </v>
      </c>
      <c r="D1967" s="1236"/>
      <c r="E1967" s="1248" t="str">
        <f>VLOOKUP($B1967,DG!A:D,DG!$C$2,)</f>
        <v>Kẹp ép WR cỡ dây 150mm2</v>
      </c>
      <c r="F1967" s="1236" t="str">
        <f>VLOOKUP($B1967,DG!A:D,DG!$D$2,)</f>
        <v>cái</v>
      </c>
      <c r="G1967" s="1928">
        <f>pp1p!CE90</f>
        <v>0</v>
      </c>
      <c r="H1967" s="1245">
        <f t="shared" si="363"/>
        <v>0</v>
      </c>
      <c r="I1967" s="1245"/>
      <c r="J1967" s="1245"/>
      <c r="K1967" s="1245"/>
      <c r="L1967" s="1245">
        <f t="shared" si="364"/>
        <v>0</v>
      </c>
      <c r="M1967" s="1245"/>
      <c r="N1967" s="1245"/>
      <c r="O1967" s="1245"/>
      <c r="P1967" s="1257">
        <f t="shared" si="357"/>
        <v>0</v>
      </c>
      <c r="Q1967" s="1245"/>
      <c r="R1967" s="1245"/>
      <c r="S1967" s="1245"/>
      <c r="T1967" s="1671"/>
      <c r="U1967" s="1664" t="str">
        <f>IFERROR(VLOOKUP(B1967,ChiTietDuToan!C:H,5,0),"")</f>
        <v/>
      </c>
      <c r="V1967" s="2309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66" t="s">
        <v>14</v>
      </c>
      <c r="C1968" s="1189" t="str">
        <f t="shared" si="361"/>
        <v xml:space="preserve"> </v>
      </c>
      <c r="D1968" s="1236"/>
      <c r="E1968" s="1248" t="str">
        <f>VLOOKUP($B1968,DG!A:D,DG!$C$2,)</f>
        <v>Kẹp ép WR cỡ dây 185mm2</v>
      </c>
      <c r="F1968" s="1236" t="str">
        <f>VLOOKUP($B1968,DG!A:D,DG!$D$2,)</f>
        <v>cái</v>
      </c>
      <c r="G1968" s="1928">
        <f>pp1p!CF90</f>
        <v>0</v>
      </c>
      <c r="H1968" s="1245">
        <f t="shared" si="363"/>
        <v>0</v>
      </c>
      <c r="I1968" s="1245"/>
      <c r="J1968" s="1245"/>
      <c r="K1968" s="1245"/>
      <c r="L1968" s="1245">
        <f t="shared" si="364"/>
        <v>0</v>
      </c>
      <c r="M1968" s="1245"/>
      <c r="N1968" s="1245"/>
      <c r="O1968" s="1245"/>
      <c r="P1968" s="1257">
        <f t="shared" si="357"/>
        <v>0</v>
      </c>
      <c r="Q1968" s="1245"/>
      <c r="R1968" s="1245"/>
      <c r="S1968" s="1245"/>
      <c r="T1968" s="1671"/>
      <c r="U1968" s="1664" t="str">
        <f>IFERROR(VLOOKUP(B1968,ChiTietDuToan!C:H,5,0),"")</f>
        <v/>
      </c>
      <c r="V1968" s="2309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66" t="s">
        <v>15</v>
      </c>
      <c r="C1969" s="1189" t="str">
        <f t="shared" si="361"/>
        <v xml:space="preserve"> </v>
      </c>
      <c r="D1969" s="1236"/>
      <c r="E1969" s="1248" t="str">
        <f>VLOOKUP($B1969,DG!A:D,DG!$C$2,)</f>
        <v>Kẹp ép WR cỡ dây 240mm2</v>
      </c>
      <c r="F1969" s="1236" t="str">
        <f>VLOOKUP($B1969,DG!A:D,DG!$D$2,)</f>
        <v>cái</v>
      </c>
      <c r="G1969" s="1928">
        <f>pp1p!CG90</f>
        <v>0</v>
      </c>
      <c r="H1969" s="1245">
        <f t="shared" si="363"/>
        <v>0</v>
      </c>
      <c r="I1969" s="1245"/>
      <c r="J1969" s="1245"/>
      <c r="K1969" s="1245"/>
      <c r="L1969" s="1245">
        <f t="shared" si="364"/>
        <v>0</v>
      </c>
      <c r="M1969" s="1245"/>
      <c r="N1969" s="1245"/>
      <c r="O1969" s="1245"/>
      <c r="P1969" s="1257">
        <f t="shared" si="357"/>
        <v>0</v>
      </c>
      <c r="Q1969" s="1245"/>
      <c r="R1969" s="1245"/>
      <c r="S1969" s="1245"/>
      <c r="T1969" s="1671"/>
      <c r="U1969" s="1664" t="str">
        <f>IFERROR(VLOOKUP(B1969,ChiTietDuToan!C:H,5,0),"")</f>
        <v/>
      </c>
      <c r="V1969" s="2309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66" t="s">
        <v>1940</v>
      </c>
      <c r="C1970" s="1189" t="str">
        <f t="shared" si="361"/>
        <v xml:space="preserve"> </v>
      </c>
      <c r="D1970" s="1236" t="str">
        <f>VLOOKUP($B1970,DG!A:D,DG!$B$2,)</f>
        <v>03.4003</v>
      </c>
      <c r="E1970" s="1248" t="str">
        <f>VLOOKUP($B1970,DG!A:D,DG!$C$2,)</f>
        <v>Đầu cosse ép Cu-Al 70mm2</v>
      </c>
      <c r="F1970" s="1236" t="str">
        <f>VLOOKUP($B1970,DG!A:D,DG!$D$2,)</f>
        <v>cái</v>
      </c>
      <c r="G1970" s="1928">
        <f>pp1p!CH90</f>
        <v>0</v>
      </c>
      <c r="H1970" s="1245">
        <f t="shared" si="363"/>
        <v>0</v>
      </c>
      <c r="I1970" s="1245"/>
      <c r="J1970" s="1245"/>
      <c r="K1970" s="1245"/>
      <c r="L1970" s="1245">
        <f t="shared" ref="L1970:L1975" si="365">H1970</f>
        <v>0</v>
      </c>
      <c r="M1970" s="1245"/>
      <c r="N1970" s="1245"/>
      <c r="O1970" s="1245"/>
      <c r="P1970" s="1257">
        <f t="shared" si="357"/>
        <v>0</v>
      </c>
      <c r="Q1970" s="1245"/>
      <c r="R1970" s="1245"/>
      <c r="S1970" s="1245"/>
      <c r="T1970" s="1671"/>
      <c r="U1970" s="1664" t="str">
        <f>IFERROR(VLOOKUP(B1970,ChiTietDuToan!C:H,5,0),"")</f>
        <v/>
      </c>
      <c r="V1970" s="2309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66" t="s">
        <v>1941</v>
      </c>
      <c r="C1971" s="1189" t="str">
        <f t="shared" si="361"/>
        <v xml:space="preserve"> </v>
      </c>
      <c r="D1971" s="1236" t="str">
        <f>VLOOKUP($B1971,DG!A:D,DG!$B$2,)</f>
        <v>03.4004</v>
      </c>
      <c r="E1971" s="1248" t="str">
        <f>VLOOKUP($B1971,DG!A:D,DG!$C$2,)</f>
        <v>Đầu cosse ép Cu-Al 95mm2</v>
      </c>
      <c r="F1971" s="1236" t="str">
        <f>VLOOKUP($B1971,DG!A:D,DG!$D$2,)</f>
        <v>cái</v>
      </c>
      <c r="G1971" s="1928">
        <f>pp1p!CI90</f>
        <v>0</v>
      </c>
      <c r="H1971" s="1245">
        <f t="shared" si="363"/>
        <v>0</v>
      </c>
      <c r="I1971" s="1245"/>
      <c r="J1971" s="1245"/>
      <c r="K1971" s="1245"/>
      <c r="L1971" s="1245">
        <f t="shared" si="365"/>
        <v>0</v>
      </c>
      <c r="M1971" s="1245"/>
      <c r="N1971" s="1245"/>
      <c r="O1971" s="1245"/>
      <c r="P1971" s="1257">
        <f t="shared" si="357"/>
        <v>0</v>
      </c>
      <c r="Q1971" s="1245"/>
      <c r="R1971" s="1245"/>
      <c r="S1971" s="1245"/>
      <c r="T1971" s="1671"/>
      <c r="U1971" s="1664" t="str">
        <f>IFERROR(VLOOKUP(B1971,ChiTietDuToan!C:H,5,0),"")</f>
        <v/>
      </c>
      <c r="V1971" s="2309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66" t="s">
        <v>1942</v>
      </c>
      <c r="C1972" s="1189" t="str">
        <f t="shared" si="361"/>
        <v xml:space="preserve"> </v>
      </c>
      <c r="D1972" s="1236" t="str">
        <f>VLOOKUP($B1972,DG!A:D,DG!$B$2,)</f>
        <v>03.4005</v>
      </c>
      <c r="E1972" s="1248" t="str">
        <f>VLOOKUP($B1972,DG!A:D,DG!$C$2,)</f>
        <v>Đầu cosse ép Cu-Al 120mm2</v>
      </c>
      <c r="F1972" s="1236" t="str">
        <f>VLOOKUP($B1972,DG!A:D,DG!$D$2,)</f>
        <v>cái</v>
      </c>
      <c r="G1972" s="1928">
        <f>pp1p!CJ90</f>
        <v>0</v>
      </c>
      <c r="H1972" s="1245">
        <f t="shared" si="363"/>
        <v>0</v>
      </c>
      <c r="I1972" s="1245"/>
      <c r="J1972" s="1245"/>
      <c r="K1972" s="1245"/>
      <c r="L1972" s="1245">
        <f t="shared" si="365"/>
        <v>0</v>
      </c>
      <c r="M1972" s="1245"/>
      <c r="N1972" s="1245"/>
      <c r="O1972" s="1245"/>
      <c r="P1972" s="1257">
        <f t="shared" ref="P1972:P2034" si="366">H1972+Q1972-R1972</f>
        <v>0</v>
      </c>
      <c r="Q1972" s="1245"/>
      <c r="R1972" s="1245"/>
      <c r="S1972" s="1245"/>
      <c r="T1972" s="1671"/>
      <c r="U1972" s="1664" t="str">
        <f>IFERROR(VLOOKUP(B1972,ChiTietDuToan!C:H,5,0),"")</f>
        <v/>
      </c>
      <c r="V1972" s="2309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66" t="s">
        <v>1049</v>
      </c>
      <c r="C1973" s="1189" t="str">
        <f t="shared" si="361"/>
        <v xml:space="preserve"> </v>
      </c>
      <c r="D1973" s="1236" t="str">
        <f>VLOOKUP($B1973,DG!A:D,DG!$B$2,)</f>
        <v>03.4006</v>
      </c>
      <c r="E1973" s="1248" t="str">
        <f>VLOOKUP($B1973,DG!A:D,DG!$C$2,)</f>
        <v>Đầu cosse ép Cu-Al 150mm2</v>
      </c>
      <c r="F1973" s="1236" t="str">
        <f>VLOOKUP($B1973,DG!A:D,DG!$D$2,)</f>
        <v>cái</v>
      </c>
      <c r="G1973" s="1928">
        <f>pp1p!CK90</f>
        <v>0</v>
      </c>
      <c r="H1973" s="1245">
        <f t="shared" si="363"/>
        <v>0</v>
      </c>
      <c r="I1973" s="1245"/>
      <c r="J1973" s="1245"/>
      <c r="K1973" s="1245"/>
      <c r="L1973" s="1245">
        <f t="shared" si="365"/>
        <v>0</v>
      </c>
      <c r="M1973" s="1245"/>
      <c r="N1973" s="1245"/>
      <c r="O1973" s="1245"/>
      <c r="P1973" s="1257">
        <f t="shared" si="366"/>
        <v>0</v>
      </c>
      <c r="Q1973" s="1245"/>
      <c r="R1973" s="1245"/>
      <c r="S1973" s="1245"/>
      <c r="T1973" s="1671"/>
      <c r="U1973" s="1664" t="str">
        <f>IFERROR(VLOOKUP(B1973,ChiTietDuToan!C:H,5,0),"")</f>
        <v/>
      </c>
      <c r="V1973" s="2309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66" t="s">
        <v>1050</v>
      </c>
      <c r="C1974" s="1189" t="str">
        <f t="shared" si="361"/>
        <v xml:space="preserve"> </v>
      </c>
      <c r="D1974" s="1236" t="str">
        <f>VLOOKUP($B1974,DG!A:D,DG!$B$2,)</f>
        <v>03.4007</v>
      </c>
      <c r="E1974" s="1248" t="str">
        <f>VLOOKUP($B1974,DG!A:D,DG!$C$2,)</f>
        <v>Đầu cosse ép Cu-Al 185mm2</v>
      </c>
      <c r="F1974" s="1236" t="str">
        <f>VLOOKUP($B1974,DG!A:D,DG!$D$2,)</f>
        <v>cái</v>
      </c>
      <c r="G1974" s="1928">
        <f>pp1p!CL90</f>
        <v>0</v>
      </c>
      <c r="H1974" s="1245">
        <f t="shared" si="363"/>
        <v>0</v>
      </c>
      <c r="I1974" s="1245"/>
      <c r="J1974" s="1245"/>
      <c r="K1974" s="1245"/>
      <c r="L1974" s="1245">
        <f t="shared" si="365"/>
        <v>0</v>
      </c>
      <c r="M1974" s="1245"/>
      <c r="N1974" s="1245"/>
      <c r="O1974" s="1245"/>
      <c r="P1974" s="1257">
        <f t="shared" si="366"/>
        <v>0</v>
      </c>
      <c r="Q1974" s="1245"/>
      <c r="R1974" s="1245"/>
      <c r="S1974" s="1245"/>
      <c r="T1974" s="1671"/>
      <c r="U1974" s="1664" t="str">
        <f>IFERROR(VLOOKUP(B1974,ChiTietDuToan!C:H,5,0),"")</f>
        <v/>
      </c>
      <c r="V1974" s="2309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66" t="s">
        <v>1884</v>
      </c>
      <c r="C1975" s="1189" t="str">
        <f t="shared" si="361"/>
        <v xml:space="preserve"> </v>
      </c>
      <c r="D1975" s="1236" t="str">
        <f>VLOOKUP($B1975,DG!A:D,DG!$B$2,)</f>
        <v>03.4008</v>
      </c>
      <c r="E1975" s="1248" t="str">
        <f>VLOOKUP($B1975,DG!A:D,DG!$C$2,)</f>
        <v>Đầu cosse ép Cu-Al 240mm2</v>
      </c>
      <c r="F1975" s="1236" t="str">
        <f>VLOOKUP($B1975,DG!A:D,DG!$D$2,)</f>
        <v>cái</v>
      </c>
      <c r="G1975" s="1928">
        <f>pp1p!CM90</f>
        <v>0</v>
      </c>
      <c r="H1975" s="1245">
        <f t="shared" si="363"/>
        <v>0</v>
      </c>
      <c r="I1975" s="1245"/>
      <c r="J1975" s="1245"/>
      <c r="K1975" s="1245"/>
      <c r="L1975" s="1245">
        <f t="shared" si="365"/>
        <v>0</v>
      </c>
      <c r="M1975" s="1245"/>
      <c r="N1975" s="1245"/>
      <c r="O1975" s="1245"/>
      <c r="P1975" s="1257">
        <f t="shared" si="366"/>
        <v>0</v>
      </c>
      <c r="Q1975" s="1245"/>
      <c r="R1975" s="1245"/>
      <c r="S1975" s="1245"/>
      <c r="T1975" s="1671"/>
      <c r="U1975" s="1664" t="str">
        <f>IFERROR(VLOOKUP(B1975,ChiTietDuToan!C:H,5,0),"")</f>
        <v/>
      </c>
      <c r="V1975" s="2309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66" t="s">
        <v>440</v>
      </c>
      <c r="C1976" s="1189" t="str">
        <f t="shared" si="361"/>
        <v xml:space="preserve"> </v>
      </c>
      <c r="D1976" s="1236">
        <f>VLOOKUP($B1976,DG!A:D,DG!$B$2,)</f>
        <v>0</v>
      </c>
      <c r="E1976" s="1248" t="str">
        <f>VLOOKUP($B1976,DG!A:D,DG!$C$2,)</f>
        <v>Boulon 12x30+ 2 long đền vuông D14-50x50x3/Zn</v>
      </c>
      <c r="F1976" s="1236" t="str">
        <f>VLOOKUP($B1976,DG!A:D,DG!$D$2,)</f>
        <v>bộ</v>
      </c>
      <c r="G1976" s="1928">
        <f>SUM(G1970:G1975)/2</f>
        <v>0</v>
      </c>
      <c r="H1976" s="1245">
        <f t="shared" si="363"/>
        <v>0</v>
      </c>
      <c r="I1976" s="1245"/>
      <c r="J1976" s="1245"/>
      <c r="K1976" s="1245"/>
      <c r="L1976" s="1245">
        <f>H1976</f>
        <v>0</v>
      </c>
      <c r="M1976" s="1245"/>
      <c r="N1976" s="1245"/>
      <c r="O1976" s="1245"/>
      <c r="P1976" s="1257">
        <f t="shared" si="366"/>
        <v>0</v>
      </c>
      <c r="Q1976" s="1245"/>
      <c r="R1976" s="1245"/>
      <c r="S1976" s="1245"/>
      <c r="T1976" s="1671"/>
      <c r="U1976" s="1664" t="str">
        <f>IFERROR(VLOOKUP(B1976,ChiTietDuToan!C:H,5,0),"")</f>
        <v/>
      </c>
      <c r="V1976" s="2309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66" t="s">
        <v>1531</v>
      </c>
      <c r="C1977" s="1189" t="str">
        <f t="shared" si="361"/>
        <v xml:space="preserve"> </v>
      </c>
      <c r="D1977" s="1236" t="str">
        <f>VLOOKUP($B1977,DG!A:D,DG!$B$2,)</f>
        <v>04.3007</v>
      </c>
      <c r="E1977" s="1248" t="str">
        <f>VLOOKUP($B1977,DG!A:D,DG!$C$2,)</f>
        <v>Kẹp quai 2/0</v>
      </c>
      <c r="F1977" s="1236" t="str">
        <f>VLOOKUP($B1977,DG!A:D,DG!$D$2,)</f>
        <v>cái</v>
      </c>
      <c r="G1977" s="1928">
        <f>pp1p!BZ90</f>
        <v>0</v>
      </c>
      <c r="H1977" s="1245">
        <f t="shared" si="363"/>
        <v>0</v>
      </c>
      <c r="I1977" s="1245"/>
      <c r="J1977" s="1245"/>
      <c r="K1977" s="1245"/>
      <c r="L1977" s="1245">
        <f t="shared" ref="L1977:L1987" si="367">H1977</f>
        <v>0</v>
      </c>
      <c r="M1977" s="1245"/>
      <c r="N1977" s="1245"/>
      <c r="O1977" s="1245"/>
      <c r="P1977" s="1257">
        <f t="shared" si="366"/>
        <v>0</v>
      </c>
      <c r="Q1977" s="1245"/>
      <c r="R1977" s="1245"/>
      <c r="S1977" s="1245"/>
      <c r="T1977" s="1671"/>
      <c r="U1977" s="1664" t="str">
        <f>IFERROR(VLOOKUP(B1977,ChiTietDuToan!C:H,5,0),"")</f>
        <v/>
      </c>
      <c r="V1977" s="2309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66" t="s">
        <v>1529</v>
      </c>
      <c r="C1978" s="1189" t="str">
        <f>IF(OR(P1978&lt;&gt;0,H1978&lt;&gt;0),"x"," ")</f>
        <v xml:space="preserve"> </v>
      </c>
      <c r="D1978" s="1236" t="str">
        <f>VLOOKUP($B1978,DG!A:D,DG!$B$2,)</f>
        <v>04.3007</v>
      </c>
      <c r="E1978" s="1248" t="str">
        <f>VLOOKUP($B1978,DG!A:D,DG!$C$2,)</f>
        <v>Kẹp hotline 2/0</v>
      </c>
      <c r="F1978" s="1236" t="str">
        <f>VLOOKUP($B1978,DG!A:D,DG!$D$2,)</f>
        <v>cái</v>
      </c>
      <c r="G1978" s="1928">
        <f>pp1p!BZ91</f>
        <v>0</v>
      </c>
      <c r="H1978" s="1245">
        <f>G1978</f>
        <v>0</v>
      </c>
      <c r="I1978" s="1245"/>
      <c r="J1978" s="1245"/>
      <c r="K1978" s="1245"/>
      <c r="L1978" s="1245">
        <f>H1978</f>
        <v>0</v>
      </c>
      <c r="M1978" s="1245"/>
      <c r="N1978" s="1245"/>
      <c r="O1978" s="1245"/>
      <c r="P1978" s="1257">
        <f>H1978+Q1978-R1978</f>
        <v>0</v>
      </c>
      <c r="Q1978" s="1245"/>
      <c r="R1978" s="1245"/>
      <c r="S1978" s="1245"/>
      <c r="T1978" s="1671"/>
      <c r="U1978" s="1664" t="str">
        <f>IFERROR(VLOOKUP(B1978,ChiTietDuToan!C:H,5,0),"")</f>
        <v/>
      </c>
      <c r="V1978" s="2309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66" t="s">
        <v>4836</v>
      </c>
      <c r="C1979" s="1189" t="str">
        <f t="shared" si="361"/>
        <v xml:space="preserve"> </v>
      </c>
      <c r="D1979" s="1236">
        <f>VLOOKUP($B1979,DG!A:D,DG!$B$2,)</f>
        <v>0</v>
      </c>
      <c r="E1979" s="1248" t="str">
        <f>VLOOKUP($B1979,DG!A:D,DG!$C$2,)</f>
        <v>Chụp cách điện kẹp quai</v>
      </c>
      <c r="F1979" s="1236" t="str">
        <f>VLOOKUP($B1979,DG!A:D,DG!$D$2,)</f>
        <v>cái</v>
      </c>
      <c r="G1979" s="1915">
        <f>G1977</f>
        <v>0</v>
      </c>
      <c r="H1979" s="1245">
        <f t="shared" si="363"/>
        <v>0</v>
      </c>
      <c r="I1979" s="1245"/>
      <c r="J1979" s="1245"/>
      <c r="K1979" s="1245"/>
      <c r="L1979" s="1245">
        <f t="shared" si="367"/>
        <v>0</v>
      </c>
      <c r="M1979" s="1245"/>
      <c r="N1979" s="1245"/>
      <c r="O1979" s="1245"/>
      <c r="P1979" s="1257">
        <f t="shared" si="366"/>
        <v>0</v>
      </c>
      <c r="Q1979" s="1245"/>
      <c r="R1979" s="1245"/>
      <c r="S1979" s="1245"/>
      <c r="T1979" s="1671"/>
      <c r="U1979" s="1664" t="str">
        <f>IFERROR(VLOOKUP(B1979,ChiTietDuToan!C:H,5,0),"")</f>
        <v/>
      </c>
      <c r="V1979" s="2309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67" t="s">
        <v>704</v>
      </c>
      <c r="C1980" s="1189" t="str">
        <f t="shared" si="361"/>
        <v xml:space="preserve"> </v>
      </c>
      <c r="D1980" s="1236"/>
      <c r="E1980" s="1248" t="str">
        <f>VLOOKUP($B1980,DG!A:D,DG!$C$2,)</f>
        <v>Cáp 24KV C/XLPE/PVC 25mm2</v>
      </c>
      <c r="F1980" s="1236" t="str">
        <f>VLOOKUP($B1980,DG!A:D,DG!$D$2,)</f>
        <v>mét</v>
      </c>
      <c r="G1980" s="1915">
        <f>pp1p!CP90*3</f>
        <v>0</v>
      </c>
      <c r="H1980" s="1245">
        <f t="shared" si="363"/>
        <v>0</v>
      </c>
      <c r="I1980" s="1245"/>
      <c r="J1980" s="1245"/>
      <c r="K1980" s="1245"/>
      <c r="L1980" s="1245">
        <f t="shared" si="367"/>
        <v>0</v>
      </c>
      <c r="M1980" s="1245"/>
      <c r="N1980" s="1245"/>
      <c r="O1980" s="1245"/>
      <c r="P1980" s="1257">
        <f t="shared" si="366"/>
        <v>0</v>
      </c>
      <c r="Q1980" s="1251"/>
      <c r="R1980" s="1251"/>
      <c r="S1980" s="1251"/>
      <c r="T1980" s="1664"/>
      <c r="U1980" s="1664" t="str">
        <f>IFERROR(VLOOKUP(B1980,ChiTietDuToan!C:H,5,0),"")</f>
        <v>mét</v>
      </c>
      <c r="V1980" s="2309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66" t="s">
        <v>1053</v>
      </c>
      <c r="C1981" s="1189" t="str">
        <f t="shared" si="361"/>
        <v xml:space="preserve"> </v>
      </c>
      <c r="D1981" s="1236"/>
      <c r="E1981" s="1248" t="str">
        <f>VLOOKUP($B1981,DG!A:D,DG!$C$2,)</f>
        <v>Cáp thép 3/8"</v>
      </c>
      <c r="F1981" s="1236" t="str">
        <f>VLOOKUP($B1981,DG!A:D,DG!$D$2,)</f>
        <v>kg</v>
      </c>
      <c r="G1981" s="1928">
        <f>pp1p!AV90</f>
        <v>0</v>
      </c>
      <c r="H1981" s="1245">
        <f t="shared" si="363"/>
        <v>0</v>
      </c>
      <c r="I1981" s="1245"/>
      <c r="J1981" s="1245"/>
      <c r="K1981" s="1245"/>
      <c r="L1981" s="1245">
        <f t="shared" si="367"/>
        <v>0</v>
      </c>
      <c r="M1981" s="1245"/>
      <c r="N1981" s="1245"/>
      <c r="O1981" s="1245"/>
      <c r="P1981" s="1257">
        <f t="shared" si="366"/>
        <v>0</v>
      </c>
      <c r="Q1981" s="1245"/>
      <c r="R1981" s="1245"/>
      <c r="S1981" s="1245"/>
      <c r="T1981" s="1671"/>
      <c r="U1981" s="1664" t="str">
        <f>IFERROR(VLOOKUP(B1981,ChiTietDuToan!C:H,5,0),"")</f>
        <v>mét</v>
      </c>
      <c r="V1981" s="2309">
        <f>IFERROR(VLOOKUP(B1981,ChiTietDuToan!C:H,6,0),"")</f>
        <v>30</v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66" t="s">
        <v>379</v>
      </c>
      <c r="C1982" s="1189" t="str">
        <f t="shared" si="361"/>
        <v xml:space="preserve"> </v>
      </c>
      <c r="D1982" s="1236"/>
      <c r="E1982" s="1248" t="str">
        <f>VLOOKUP($B1982,DG!A:D,DG!$C$2,)</f>
        <v>Biển báo độ cao</v>
      </c>
      <c r="F1982" s="1236" t="str">
        <f>VLOOKUP($B1982,DG!A:D,DG!$D$2,)</f>
        <v>cái</v>
      </c>
      <c r="G1982" s="1928">
        <f>pp1p!CQ90</f>
        <v>0</v>
      </c>
      <c r="H1982" s="1245">
        <f>G1982</f>
        <v>0</v>
      </c>
      <c r="I1982" s="1245"/>
      <c r="J1982" s="1245"/>
      <c r="K1982" s="1245"/>
      <c r="L1982" s="1245">
        <f>H1982</f>
        <v>0</v>
      </c>
      <c r="M1982" s="1245"/>
      <c r="N1982" s="1245"/>
      <c r="O1982" s="1245"/>
      <c r="P1982" s="1257">
        <f t="shared" si="366"/>
        <v>0</v>
      </c>
      <c r="Q1982" s="1245"/>
      <c r="R1982" s="1245"/>
      <c r="S1982" s="1245"/>
      <c r="T1982" s="1671"/>
      <c r="U1982" s="1664" t="str">
        <f>IFERROR(VLOOKUP(B1982,ChiTietDuToan!C:H,5,0),"")</f>
        <v/>
      </c>
      <c r="V1982" s="2309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66" t="s">
        <v>1539</v>
      </c>
      <c r="C1983" s="1189" t="str">
        <f t="shared" si="361"/>
        <v xml:space="preserve"> </v>
      </c>
      <c r="D1983" s="1236"/>
      <c r="E1983" s="1248" t="str">
        <f>VLOOKUP($B1983,DG!A:D,DG!$C$2,)</f>
        <v>Ống nối dây cỡ 50mm2</v>
      </c>
      <c r="F1983" s="1236" t="str">
        <f>VLOOKUP($B1983,DG!A:D,DG!$D$2,)</f>
        <v>cái</v>
      </c>
      <c r="G1983" s="1915">
        <f>ROUND((G1913/0.195/0.198)/1500,0)</f>
        <v>0</v>
      </c>
      <c r="H1983" s="1245">
        <f t="shared" si="363"/>
        <v>0</v>
      </c>
      <c r="I1983" s="1245"/>
      <c r="J1983" s="1245"/>
      <c r="K1983" s="1245"/>
      <c r="L1983" s="1245">
        <f t="shared" si="367"/>
        <v>0</v>
      </c>
      <c r="M1983" s="1245"/>
      <c r="N1983" s="1245"/>
      <c r="O1983" s="1245"/>
      <c r="P1983" s="1257">
        <f t="shared" si="366"/>
        <v>0</v>
      </c>
      <c r="Q1983" s="1245"/>
      <c r="R1983" s="1245"/>
      <c r="S1983" s="1245"/>
      <c r="T1983" s="1671"/>
      <c r="U1983" s="1664" t="str">
        <f>IFERROR(VLOOKUP(B1983,ChiTietDuToan!C:H,5,0),"")</f>
        <v>cái</v>
      </c>
      <c r="V1983" s="2309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66" t="s">
        <v>1540</v>
      </c>
      <c r="C1984" s="1189" t="str">
        <f t="shared" si="361"/>
        <v xml:space="preserve"> </v>
      </c>
      <c r="D1984" s="1236"/>
      <c r="E1984" s="1248" t="str">
        <f>VLOOKUP($B1984,DG!A:D,DG!$C$2,)</f>
        <v>Ống nối dây cỡ 70mm2</v>
      </c>
      <c r="F1984" s="1236" t="str">
        <f>VLOOKUP($B1984,DG!A:D,DG!$D$2,)</f>
        <v>cái</v>
      </c>
      <c r="G1984" s="1915">
        <f>ROUND((G1912/0.276/(0.276+0.0045)+G1914)/1400,0)</f>
        <v>0</v>
      </c>
      <c r="H1984" s="1245">
        <f t="shared" si="363"/>
        <v>0</v>
      </c>
      <c r="I1984" s="1245"/>
      <c r="J1984" s="1245"/>
      <c r="K1984" s="1245"/>
      <c r="L1984" s="1245">
        <f t="shared" si="367"/>
        <v>0</v>
      </c>
      <c r="M1984" s="1245"/>
      <c r="N1984" s="1245"/>
      <c r="O1984" s="1245"/>
      <c r="P1984" s="1257">
        <f t="shared" si="366"/>
        <v>0</v>
      </c>
      <c r="Q1984" s="1245"/>
      <c r="R1984" s="1245"/>
      <c r="S1984" s="1245"/>
      <c r="T1984" s="1671"/>
      <c r="U1984" s="1664" t="str">
        <f>IFERROR(VLOOKUP(B1984,ChiTietDuToan!C:H,5,0),"")</f>
        <v/>
      </c>
      <c r="V1984" s="2309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66" t="s">
        <v>230</v>
      </c>
      <c r="C1985" s="1189" t="str">
        <f t="shared" si="361"/>
        <v xml:space="preserve"> </v>
      </c>
      <c r="D1985" s="1236"/>
      <c r="E1985" s="1248" t="str">
        <f>VLOOKUP($B1985,DG!A:D,DG!$C$2,)</f>
        <v xml:space="preserve">Dây nhôm buộc </v>
      </c>
      <c r="F1985" s="1236" t="str">
        <f>VLOOKUP($B1985,DG!A:D,DG!$D$2,)</f>
        <v>kg</v>
      </c>
      <c r="G1985" s="1925">
        <f>SUM(G1989:G1990)*5/1.4</f>
        <v>0</v>
      </c>
      <c r="H1985" s="1249">
        <f t="shared" si="363"/>
        <v>0</v>
      </c>
      <c r="I1985" s="1245"/>
      <c r="J1985" s="1245"/>
      <c r="K1985" s="1245"/>
      <c r="L1985" s="1245">
        <f t="shared" si="367"/>
        <v>0</v>
      </c>
      <c r="M1985" s="1245"/>
      <c r="N1985" s="1245"/>
      <c r="O1985" s="1245"/>
      <c r="P1985" s="1249">
        <f t="shared" si="366"/>
        <v>0</v>
      </c>
      <c r="Q1985" s="1245"/>
      <c r="R1985" s="1245"/>
      <c r="S1985" s="1245"/>
      <c r="T1985" s="1671"/>
      <c r="U1985" s="1664" t="str">
        <f>IFERROR(VLOOKUP(B1985,ChiTietDuToan!C:H,5,0),"")</f>
        <v>kg</v>
      </c>
      <c r="V1985" s="2309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66" t="s">
        <v>1508</v>
      </c>
      <c r="C1986" s="1189" t="str">
        <f t="shared" si="361"/>
        <v xml:space="preserve"> </v>
      </c>
      <c r="D1986" s="1236"/>
      <c r="E1986" s="1248" t="str">
        <f>VLOOKUP($B1986,DG!A:D,DG!$C$2,)</f>
        <v>Giá chữ "T" lắp FCO, LA (V63x63x6)</v>
      </c>
      <c r="F1986" s="1236" t="str">
        <f>VLOOKUP($B1986,DG!A:D,DG!$D$2,)</f>
        <v>bộ</v>
      </c>
      <c r="G1986" s="1915">
        <f>pp1p!CN90*0</f>
        <v>0</v>
      </c>
      <c r="H1986" s="1245">
        <f>G1986</f>
        <v>0</v>
      </c>
      <c r="I1986" s="1245"/>
      <c r="J1986" s="1245"/>
      <c r="K1986" s="1245"/>
      <c r="L1986" s="1245">
        <f>H1986</f>
        <v>0</v>
      </c>
      <c r="M1986" s="1245"/>
      <c r="N1986" s="1245"/>
      <c r="O1986" s="1245"/>
      <c r="P1986" s="1257">
        <f t="shared" si="366"/>
        <v>0</v>
      </c>
      <c r="Q1986" s="1245"/>
      <c r="R1986" s="1245"/>
      <c r="S1986" s="1245"/>
      <c r="T1986" s="1671"/>
      <c r="U1986" s="1664" t="str">
        <f>IFERROR(VLOOKUP(B1986,ChiTietDuToan!C:H,5,0),"")</f>
        <v/>
      </c>
      <c r="V1986" s="2309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66" t="s">
        <v>1622</v>
      </c>
      <c r="C1987" s="1189" t="str">
        <f t="shared" si="361"/>
        <v xml:space="preserve"> </v>
      </c>
      <c r="D1987" s="1236"/>
      <c r="E1987" s="1248" t="str">
        <f>VLOOKUP($B1987,DG!A:D,DG!$C$2,)</f>
        <v>Biển số - Bảng nguy hiểm</v>
      </c>
      <c r="F1987" s="1236" t="str">
        <f>VLOOKUP($B1987,DG!A:D,DG!$D$2,)</f>
        <v>cái</v>
      </c>
      <c r="G1987" s="1915"/>
      <c r="H1987" s="1245">
        <f t="shared" si="363"/>
        <v>0</v>
      </c>
      <c r="I1987" s="1245"/>
      <c r="J1987" s="1245"/>
      <c r="K1987" s="1245"/>
      <c r="L1987" s="1245">
        <f t="shared" si="367"/>
        <v>0</v>
      </c>
      <c r="M1987" s="1245"/>
      <c r="N1987" s="1245"/>
      <c r="O1987" s="1245"/>
      <c r="P1987" s="1257">
        <f t="shared" si="366"/>
        <v>0</v>
      </c>
      <c r="Q1987" s="1245"/>
      <c r="R1987" s="1245"/>
      <c r="S1987" s="1245"/>
      <c r="T1987" s="1671"/>
      <c r="U1987" s="1664" t="str">
        <f>IFERROR(VLOOKUP(B1987,ChiTietDuToan!C:H,5,0),"")</f>
        <v>kg</v>
      </c>
      <c r="V1987" s="2309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66" t="s">
        <v>383</v>
      </c>
      <c r="C1988" s="1189" t="str">
        <f t="shared" si="361"/>
        <v xml:space="preserve"> </v>
      </c>
      <c r="D1988" s="1236"/>
      <c r="E1988" s="1248" t="str">
        <f>VLOOKUP($B1988,DG!A:D,DG!$C$2,)</f>
        <v>Chụp đầu cực FCO (bộ 2 cái)</v>
      </c>
      <c r="F1988" s="1236" t="str">
        <f>VLOOKUP($B1988,DG!A:D,DG!$D$2,)</f>
        <v>bộ</v>
      </c>
      <c r="G1988" s="1915">
        <f>G2273</f>
        <v>0</v>
      </c>
      <c r="H1988" s="1245">
        <f>G1988</f>
        <v>0</v>
      </c>
      <c r="I1988" s="1245"/>
      <c r="J1988" s="1245"/>
      <c r="K1988" s="1245"/>
      <c r="L1988" s="1245">
        <f>H1988</f>
        <v>0</v>
      </c>
      <c r="M1988" s="1245"/>
      <c r="N1988" s="1245"/>
      <c r="O1988" s="1245"/>
      <c r="P1988" s="1257">
        <f t="shared" si="366"/>
        <v>0</v>
      </c>
      <c r="Q1988" s="1245"/>
      <c r="R1988" s="1245"/>
      <c r="S1988" s="1245"/>
      <c r="T1988" s="1671"/>
      <c r="U1988" s="1664" t="str">
        <f>IFERROR(VLOOKUP(B1988,ChiTietDuToan!C:H,5,0),"")</f>
        <v/>
      </c>
      <c r="V1988" s="2309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66" t="s">
        <v>1302</v>
      </c>
      <c r="C1989" s="1189" t="str">
        <f t="shared" si="361"/>
        <v xml:space="preserve"> </v>
      </c>
      <c r="D1989" s="1236" t="str">
        <f>VLOOKUP($B1989,DG!A:D,DG!$B$2,)</f>
        <v>06.6114</v>
      </c>
      <c r="E1989" s="1241" t="str">
        <f>VLOOKUP($B1989,DG!A:D,DG!$C$2,)</f>
        <v>Kéo dây nhôm lõi thép cỡ dây 50mm2</v>
      </c>
      <c r="F1989" s="1236" t="str">
        <f>VLOOKUP($B1989,DG!A:D,DG!$D$2,)</f>
        <v>km</v>
      </c>
      <c r="G1989" s="1914">
        <f>(D1913)/1000</f>
        <v>0</v>
      </c>
      <c r="H1989" s="1249">
        <f t="shared" ref="H1989:H2004" si="368">G1989</f>
        <v>0</v>
      </c>
      <c r="I1989" s="1245"/>
      <c r="J1989" s="1245"/>
      <c r="K1989" s="1245"/>
      <c r="L1989" s="1245"/>
      <c r="M1989" s="1245"/>
      <c r="N1989" s="1245"/>
      <c r="O1989" s="1245"/>
      <c r="P1989" s="1249">
        <f t="shared" si="366"/>
        <v>0</v>
      </c>
      <c r="Q1989" s="1245"/>
      <c r="R1989" s="1245"/>
      <c r="S1989" s="1245"/>
      <c r="T1989" s="1671"/>
      <c r="U1989" s="1664" t="str">
        <f>IFERROR(VLOOKUP(B1989,ChiTietDuToan!C:H,5,0),"")</f>
        <v/>
      </c>
      <c r="V1989" s="2309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66" t="s">
        <v>1447</v>
      </c>
      <c r="C1990" s="1189" t="str">
        <f t="shared" si="361"/>
        <v xml:space="preserve"> </v>
      </c>
      <c r="D1990" s="1236" t="str">
        <f>VLOOKUP($B1990,DG!A:D,DG!$B$2,)</f>
        <v>06.6105</v>
      </c>
      <c r="E1990" s="1241" t="str">
        <f>VLOOKUP($B1990,DG!A:D,DG!$C$2,)</f>
        <v>Kéo dây nhôm lõi thép cỡ dây 70mm2</v>
      </c>
      <c r="F1990" s="1236" t="str">
        <f>VLOOKUP($B1990,DG!A:D,DG!$D$2,)</f>
        <v>km</v>
      </c>
      <c r="G1990" s="1914">
        <f>(D1912)/1000</f>
        <v>0</v>
      </c>
      <c r="H1990" s="1245">
        <f t="shared" si="368"/>
        <v>0</v>
      </c>
      <c r="I1990" s="1245"/>
      <c r="J1990" s="1245"/>
      <c r="K1990" s="1245"/>
      <c r="L1990" s="1245"/>
      <c r="M1990" s="1245"/>
      <c r="N1990" s="1245"/>
      <c r="O1990" s="1245"/>
      <c r="P1990" s="1257">
        <f t="shared" si="366"/>
        <v>0</v>
      </c>
      <c r="Q1990" s="1245"/>
      <c r="R1990" s="1245"/>
      <c r="S1990" s="1245"/>
      <c r="T1990" s="1671"/>
      <c r="U1990" s="1664" t="str">
        <f>IFERROR(VLOOKUP(B1990,ChiTietDuToan!C:H,5,0),"")</f>
        <v/>
      </c>
      <c r="V1990" s="2309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66" t="s">
        <v>367</v>
      </c>
      <c r="C1991" s="1189" t="str">
        <f t="shared" si="361"/>
        <v xml:space="preserve"> </v>
      </c>
      <c r="D1991" s="1236" t="str">
        <f>VLOOKUP($B1991,DG!A:D,DG!$B$2,)</f>
        <v>06.6114</v>
      </c>
      <c r="E1991" s="1241" t="str">
        <f>VLOOKUP($B1991,DG!A:D,DG!$C$2,)</f>
        <v>Kéo dây nhôm bọc cỡ dây 50mm2</v>
      </c>
      <c r="F1991" s="1236" t="str">
        <f>VLOOKUP($B1991,DG!A:D,DG!$D$2,)</f>
        <v>km</v>
      </c>
      <c r="G1991" s="1914">
        <f>D1914/1000</f>
        <v>0</v>
      </c>
      <c r="H1991" s="1249">
        <f t="shared" si="368"/>
        <v>0</v>
      </c>
      <c r="I1991" s="1245"/>
      <c r="J1991" s="1245"/>
      <c r="K1991" s="1245"/>
      <c r="L1991" s="1245"/>
      <c r="M1991" s="1245"/>
      <c r="N1991" s="1245"/>
      <c r="O1991" s="1245"/>
      <c r="P1991" s="1249">
        <f t="shared" si="366"/>
        <v>0</v>
      </c>
      <c r="Q1991" s="1245"/>
      <c r="R1991" s="1245"/>
      <c r="S1991" s="1245"/>
      <c r="T1991" s="1671"/>
      <c r="U1991" s="1664" t="str">
        <f>IFERROR(VLOOKUP(B1991,ChiTietDuToan!C:H,5,0),"")</f>
        <v/>
      </c>
      <c r="V1991" s="2309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59" t="s">
        <v>348</v>
      </c>
      <c r="C1992" s="1189" t="str">
        <f t="shared" si="361"/>
        <v xml:space="preserve"> </v>
      </c>
      <c r="D1992" s="1236" t="str">
        <f>VLOOKUP($B1992,DG!A:D,DG!$B$2,)</f>
        <v>06.1115</v>
      </c>
      <c r="E1992" s="1241" t="str">
        <f>VLOOKUP($B1992,DG!A:D,DG!$C$2,)</f>
        <v>Lắp sứ đứng 24KV</v>
      </c>
      <c r="F1992" s="1236" t="str">
        <f>VLOOKUP($B1992,DG!A:D,DG!$D$2,)</f>
        <v>bộ</v>
      </c>
      <c r="G1992" s="1915">
        <f>G1928+G1931+G1935</f>
        <v>0</v>
      </c>
      <c r="H1992" s="1249">
        <f t="shared" si="368"/>
        <v>0</v>
      </c>
      <c r="I1992" s="1245"/>
      <c r="J1992" s="1245"/>
      <c r="K1992" s="1245"/>
      <c r="L1992" s="1245"/>
      <c r="M1992" s="1245"/>
      <c r="N1992" s="1245"/>
      <c r="O1992" s="1245"/>
      <c r="P1992" s="1257">
        <f t="shared" si="366"/>
        <v>0</v>
      </c>
      <c r="Q1992" s="1245"/>
      <c r="R1992" s="1245"/>
      <c r="S1992" s="1245"/>
      <c r="T1992" s="1671"/>
      <c r="U1992" s="1664" t="str">
        <f>IFERROR(VLOOKUP(B1992,ChiTietDuToan!C:H,5,0),"")</f>
        <v/>
      </c>
      <c r="V1992" s="2309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59" t="s">
        <v>349</v>
      </c>
      <c r="C1993" s="1189" t="str">
        <f t="shared" si="361"/>
        <v xml:space="preserve"> </v>
      </c>
      <c r="D1993" s="1236" t="str">
        <f>VLOOKUP($B1993,DG!A:D,DG!$B$2,)</f>
        <v>06.3231</v>
      </c>
      <c r="E1993" s="1241" t="str">
        <f>VLOOKUP($B1993,DG!A:D,DG!$C$2,)</f>
        <v>Lắp chân sứ đỉnh</v>
      </c>
      <c r="F1993" s="1236" t="str">
        <f>VLOOKUP($B1993,DG!A:D,DG!$D$2,)</f>
        <v>cái</v>
      </c>
      <c r="G1993" s="1915">
        <f>G1932+G1936</f>
        <v>0</v>
      </c>
      <c r="H1993" s="1249">
        <f t="shared" si="368"/>
        <v>0</v>
      </c>
      <c r="I1993" s="1245"/>
      <c r="J1993" s="1245"/>
      <c r="K1993" s="1245"/>
      <c r="L1993" s="1245"/>
      <c r="M1993" s="1245"/>
      <c r="N1993" s="1245"/>
      <c r="O1993" s="1245"/>
      <c r="P1993" s="1257">
        <f t="shared" si="366"/>
        <v>0</v>
      </c>
      <c r="Q1993" s="1245"/>
      <c r="R1993" s="1245"/>
      <c r="S1993" s="1245"/>
      <c r="T1993" s="1671"/>
      <c r="U1993" s="1664" t="str">
        <f>IFERROR(VLOOKUP(B1993,ChiTietDuToan!C:H,5,0),"")</f>
        <v/>
      </c>
      <c r="V1993" s="2309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59" t="s">
        <v>350</v>
      </c>
      <c r="C1994" s="1189" t="str">
        <f t="shared" si="361"/>
        <v xml:space="preserve"> </v>
      </c>
      <c r="D1994" s="1236" t="str">
        <f>VLOOKUP($B1994,DG!A:D,DG!$B$2,)</f>
        <v>06.1410</v>
      </c>
      <c r="E1994" s="1241" t="str">
        <f>VLOOKUP($B1994,DG!A:D,DG!$C$2,)</f>
        <v>Lắp chuỗi sứ đỡ 2 bát/chuỗi</v>
      </c>
      <c r="F1994" s="1236" t="str">
        <f>VLOOKUP($B1994,DG!A:D,DG!$D$2,)</f>
        <v>chuỗi</v>
      </c>
      <c r="G1994" s="1915">
        <f>G1960</f>
        <v>0</v>
      </c>
      <c r="H1994" s="1249">
        <f t="shared" si="368"/>
        <v>0</v>
      </c>
      <c r="I1994" s="1245"/>
      <c r="J1994" s="1245"/>
      <c r="K1994" s="1245"/>
      <c r="L1994" s="1245"/>
      <c r="M1994" s="1245"/>
      <c r="N1994" s="1245"/>
      <c r="O1994" s="1245"/>
      <c r="P1994" s="1257">
        <f t="shared" si="366"/>
        <v>0</v>
      </c>
      <c r="Q1994" s="1245"/>
      <c r="R1994" s="1245"/>
      <c r="S1994" s="1245"/>
      <c r="T1994" s="1671"/>
      <c r="U1994" s="1664" t="str">
        <f>IFERROR(VLOOKUP(B1994,ChiTietDuToan!C:H,5,0),"")</f>
        <v/>
      </c>
      <c r="V1994" s="2309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59" t="s">
        <v>351</v>
      </c>
      <c r="C1995" s="1189" t="str">
        <f t="shared" si="361"/>
        <v xml:space="preserve"> </v>
      </c>
      <c r="D1995" s="1236" t="str">
        <f>VLOOKUP($B1995,DG!A:D,DG!$B$2,)</f>
        <v>06.1511</v>
      </c>
      <c r="E1995" s="1241" t="str">
        <f>VLOOKUP($B1995,DG!A:D,DG!$C$2,)</f>
        <v>Lắp chuỗi sứ néo 2 bát/chuỗi</v>
      </c>
      <c r="F1995" s="1236" t="str">
        <f>VLOOKUP($B1995,DG!A:D,DG!$D$2,)</f>
        <v>chuỗi</v>
      </c>
      <c r="G1995" s="1915">
        <f>SUM(G1961:G1962)</f>
        <v>0</v>
      </c>
      <c r="H1995" s="1249">
        <f t="shared" si="368"/>
        <v>0</v>
      </c>
      <c r="I1995" s="1250"/>
      <c r="J1995" s="1250"/>
      <c r="K1995" s="1250"/>
      <c r="L1995" s="1250"/>
      <c r="M1995" s="1250"/>
      <c r="N1995" s="1250"/>
      <c r="O1995" s="1250"/>
      <c r="P1995" s="1257">
        <f t="shared" si="366"/>
        <v>0</v>
      </c>
      <c r="Q1995" s="1250"/>
      <c r="R1995" s="1250"/>
      <c r="S1995" s="1250"/>
      <c r="T1995" s="1671"/>
      <c r="U1995" s="1664" t="str">
        <f>IFERROR(VLOOKUP(B1995,ChiTietDuToan!C:H,5,0),"")</f>
        <v/>
      </c>
      <c r="V1995" s="2309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59" t="s">
        <v>1559</v>
      </c>
      <c r="C1996" s="1189" t="str">
        <f t="shared" si="361"/>
        <v xml:space="preserve"> </v>
      </c>
      <c r="D1996" s="1236" t="str">
        <f>VLOOKUP($B1996,DG!A:D,DG!$B$2,)</f>
        <v>06.2201</v>
      </c>
      <c r="E1996" s="1241" t="str">
        <f>VLOOKUP($B1996,DG!A:D,DG!$C$2,)</f>
        <v>Lắp chuỗi sứ néo Polymer</v>
      </c>
      <c r="F1996" s="1236" t="str">
        <f>VLOOKUP($B1996,DG!A:D,DG!$D$2,)</f>
        <v>chuỗi</v>
      </c>
      <c r="G1996" s="1915">
        <f>G1948+G1944</f>
        <v>0</v>
      </c>
      <c r="H1996" s="1245">
        <f t="shared" si="368"/>
        <v>0</v>
      </c>
      <c r="I1996" s="1250"/>
      <c r="J1996" s="1250"/>
      <c r="K1996" s="1250"/>
      <c r="L1996" s="1250"/>
      <c r="M1996" s="1250"/>
      <c r="N1996" s="1250"/>
      <c r="O1996" s="1250"/>
      <c r="P1996" s="1257">
        <f t="shared" si="366"/>
        <v>0</v>
      </c>
      <c r="Q1996" s="1250"/>
      <c r="R1996" s="1250"/>
      <c r="S1996" s="1250"/>
      <c r="T1996" s="1671"/>
      <c r="U1996" s="1664" t="str">
        <f>IFERROR(VLOOKUP(B1996,ChiTietDuToan!C:H,5,0),"")</f>
        <v>chuỗi</v>
      </c>
      <c r="V1996" s="2309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59" t="s">
        <v>352</v>
      </c>
      <c r="C1997" s="1189" t="str">
        <f t="shared" si="361"/>
        <v xml:space="preserve"> </v>
      </c>
      <c r="D1997" s="1236" t="str">
        <f>VLOOKUP($B1997,DG!A:D,DG!$B$2,)</f>
        <v>06.1211</v>
      </c>
      <c r="E1997" s="1241" t="str">
        <f>VLOOKUP($B1997,DG!A:D,DG!$C$2,)</f>
        <v>Lắp rack sứ + sứ ống chỉ</v>
      </c>
      <c r="F1997" s="1236" t="str">
        <f>VLOOKUP($B1997,DG!A:D,DG!$D$2,)</f>
        <v>bộ</v>
      </c>
      <c r="G1997" s="1915">
        <f>G1916+G1919</f>
        <v>0</v>
      </c>
      <c r="H1997" s="1249">
        <f t="shared" si="368"/>
        <v>0</v>
      </c>
      <c r="I1997" s="1245"/>
      <c r="J1997" s="1245"/>
      <c r="K1997" s="1245"/>
      <c r="L1997" s="1245"/>
      <c r="M1997" s="1245"/>
      <c r="N1997" s="1245"/>
      <c r="O1997" s="1245"/>
      <c r="P1997" s="1257">
        <f t="shared" si="366"/>
        <v>0</v>
      </c>
      <c r="Q1997" s="1245"/>
      <c r="R1997" s="1245"/>
      <c r="S1997" s="1245"/>
      <c r="T1997" s="1671"/>
      <c r="U1997" s="1664" t="str">
        <f>IFERROR(VLOOKUP(B1997,ChiTietDuToan!C:H,5,0),"")</f>
        <v>bộ</v>
      </c>
      <c r="V1997" s="2309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59" t="s">
        <v>354</v>
      </c>
      <c r="C1998" s="1189" t="str">
        <f t="shared" si="361"/>
        <v xml:space="preserve"> </v>
      </c>
      <c r="D1998" s="1236" t="str">
        <f>VLOOKUP($B1998,DG!A:D,DG!$B$2,)</f>
        <v>06.5072</v>
      </c>
      <c r="E1998" s="1241" t="str">
        <f>VLOOKUP($B1998,DG!A:D,DG!$C$2,)</f>
        <v xml:space="preserve">Kéo dây qua vị trí bẻ góc dây </v>
      </c>
      <c r="F1998" s="1236" t="str">
        <f>VLOOKUP($B1998,DG!A:D,DG!$D$2,)</f>
        <v>vị trí</v>
      </c>
      <c r="G1998" s="1915">
        <f>P1998</f>
        <v>0</v>
      </c>
      <c r="H1998" s="1249"/>
      <c r="I1998" s="1250"/>
      <c r="J1998" s="1250"/>
      <c r="K1998" s="1250"/>
      <c r="L1998" s="1250"/>
      <c r="M1998" s="1250"/>
      <c r="N1998" s="1250"/>
      <c r="O1998" s="1250"/>
      <c r="P1998" s="1257">
        <f t="shared" si="366"/>
        <v>0</v>
      </c>
      <c r="Q1998" s="1250"/>
      <c r="R1998" s="1250"/>
      <c r="S1998" s="1250"/>
      <c r="T1998" s="1671"/>
      <c r="U1998" s="1664" t="str">
        <f>IFERROR(VLOOKUP(B1998,ChiTietDuToan!C:H,5,0),"")</f>
        <v/>
      </c>
      <c r="V1998" s="2309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59" t="s">
        <v>355</v>
      </c>
      <c r="C1999" s="1189" t="str">
        <f t="shared" si="361"/>
        <v xml:space="preserve"> </v>
      </c>
      <c r="D1999" s="1236" t="str">
        <f>VLOOKUP($B1999,DG!A:D,DG!$B$2,)</f>
        <v>06.5082</v>
      </c>
      <c r="E1999" s="1241" t="s">
        <v>2624</v>
      </c>
      <c r="F1999" s="1236" t="str">
        <f>VLOOKUP($B1999,DG!A:D,DG!$D$2,)</f>
        <v>vị trí</v>
      </c>
      <c r="G1999" s="1912">
        <f>pp1p!CQ90*0</f>
        <v>0</v>
      </c>
      <c r="H1999" s="1249">
        <f t="shared" si="368"/>
        <v>0</v>
      </c>
      <c r="I1999" s="1250"/>
      <c r="J1999" s="1250"/>
      <c r="K1999" s="1250"/>
      <c r="L1999" s="1250"/>
      <c r="M1999" s="1250"/>
      <c r="N1999" s="1250"/>
      <c r="O1999" s="1250"/>
      <c r="P1999" s="1257">
        <f t="shared" si="366"/>
        <v>0</v>
      </c>
      <c r="Q1999" s="1250"/>
      <c r="R1999" s="1250"/>
      <c r="S1999" s="1250"/>
      <c r="T1999" s="1671"/>
      <c r="U1999" s="1664" t="str">
        <f>IFERROR(VLOOKUP(B1999,ChiTietDuToan!C:H,5,0),"")</f>
        <v/>
      </c>
      <c r="V1999" s="2309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59" t="s">
        <v>356</v>
      </c>
      <c r="C2000" s="1189" t="str">
        <f t="shared" ref="C2000:C2072" si="369">IF(OR(P2000&lt;&gt;0,H2000&lt;&gt;0),"x"," ")</f>
        <v xml:space="preserve"> </v>
      </c>
      <c r="D2000" s="1236" t="str">
        <f>VLOOKUP($B2000,DG!A:D,DG!$B$2,)</f>
        <v>02.1122</v>
      </c>
      <c r="E2000" s="1241" t="str">
        <f>VLOOKUP($B2000,DG!A:D,DG!$C$2,)</f>
        <v>Bốc dỡ dây</v>
      </c>
      <c r="F2000" s="1236" t="str">
        <f>VLOOKUP($B2000,DG!A:D,DG!$D$2,)</f>
        <v>tấn</v>
      </c>
      <c r="G2000" s="1914">
        <f>G2003</f>
        <v>0</v>
      </c>
      <c r="H2000" s="1249">
        <f t="shared" si="368"/>
        <v>0</v>
      </c>
      <c r="I2000" s="1250"/>
      <c r="J2000" s="1250"/>
      <c r="K2000" s="1250"/>
      <c r="L2000" s="1250"/>
      <c r="M2000" s="1250"/>
      <c r="N2000" s="1250"/>
      <c r="O2000" s="1250"/>
      <c r="P2000" s="1257">
        <f t="shared" si="366"/>
        <v>0</v>
      </c>
      <c r="Q2000" s="1250"/>
      <c r="R2000" s="1250"/>
      <c r="S2000" s="1250"/>
      <c r="T2000" s="1671"/>
      <c r="U2000" s="1664" t="str">
        <f>IFERROR(VLOOKUP(B2000,ChiTietDuToan!C:H,5,0),"")</f>
        <v/>
      </c>
      <c r="V2000" s="2309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59" t="s">
        <v>1955</v>
      </c>
      <c r="C2001" s="1189" t="str">
        <f t="shared" si="369"/>
        <v xml:space="preserve"> </v>
      </c>
      <c r="D2001" s="1236" t="str">
        <f>VLOOKUP($B2001,DG!A:D,DG!$B$2,)</f>
        <v>02.1120</v>
      </c>
      <c r="E2001" s="1241" t="str">
        <f>VLOOKUP($B2001,DG!A:D,DG!$C$2,)</f>
        <v>Bốc dỡ phụ kiện</v>
      </c>
      <c r="F2001" s="1236" t="str">
        <f>VLOOKUP($B2001,DG!A:D,DG!$D$2,)</f>
        <v>tấn</v>
      </c>
      <c r="G2001" s="1914">
        <f>G2002</f>
        <v>0</v>
      </c>
      <c r="H2001" s="1249">
        <f t="shared" si="368"/>
        <v>0</v>
      </c>
      <c r="I2001" s="1250"/>
      <c r="J2001" s="1250"/>
      <c r="K2001" s="1250"/>
      <c r="L2001" s="1250"/>
      <c r="M2001" s="1250"/>
      <c r="N2001" s="1250"/>
      <c r="O2001" s="1250"/>
      <c r="P2001" s="1257">
        <f t="shared" si="366"/>
        <v>0</v>
      </c>
      <c r="Q2001" s="1250"/>
      <c r="R2001" s="1250"/>
      <c r="S2001" s="1250"/>
      <c r="T2001" s="1671"/>
      <c r="U2001" s="1664" t="str">
        <f>IFERROR(VLOOKUP(B2001,ChiTietDuToan!C:H,5,0),"")</f>
        <v/>
      </c>
      <c r="V2001" s="2309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76" t="s">
        <v>357</v>
      </c>
      <c r="C2002" s="1189" t="str">
        <f t="shared" si="369"/>
        <v xml:space="preserve"> </v>
      </c>
      <c r="D2002" s="1236" t="str">
        <f>VLOOKUP($B2002,DG!A:C,2,)</f>
        <v>02.1421</v>
      </c>
      <c r="E2002" s="1241" t="str">
        <f>VLOOKUP($B2002,DG!A:C,3,)</f>
        <v>V/c phụ kiện vào vị trí (cự ly &lt;=100m)</v>
      </c>
      <c r="F2002" s="1236" t="str">
        <f>VLOOKUP($B2002,DG!A:D,4,0)</f>
        <v>tấn</v>
      </c>
      <c r="G2002" s="1914">
        <f>ROUND((G1915*2++G1918*5+G1927*7+G1930*15+G1934*25+G1938*15+G1948*15+G1954*15)/1000,2)*0</f>
        <v>0</v>
      </c>
      <c r="H2002" s="1249">
        <f t="shared" si="368"/>
        <v>0</v>
      </c>
      <c r="I2002" s="1250"/>
      <c r="J2002" s="1250"/>
      <c r="K2002" s="1250"/>
      <c r="L2002" s="1250"/>
      <c r="M2002" s="1250"/>
      <c r="N2002" s="1250"/>
      <c r="O2002" s="1250"/>
      <c r="P2002" s="1257">
        <f t="shared" si="366"/>
        <v>0</v>
      </c>
      <c r="Q2002" s="1250"/>
      <c r="R2002" s="1250"/>
      <c r="S2002" s="1250"/>
      <c r="T2002" s="1671"/>
      <c r="U2002" s="1664" t="str">
        <f>IFERROR(VLOOKUP(B2002,ChiTietDuToan!C:H,5,0),"")</f>
        <v>tấn</v>
      </c>
      <c r="V2002" s="2309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76" t="s">
        <v>358</v>
      </c>
      <c r="C2003" s="1189" t="str">
        <f t="shared" si="369"/>
        <v xml:space="preserve"> </v>
      </c>
      <c r="D2003" s="1236" t="str">
        <f>VLOOKUP($B2003,DG!A:C,2,)</f>
        <v>02.1441</v>
      </c>
      <c r="E2003" s="1241" t="str">
        <f>VLOOKUP($B2003,DG!A:C,3,)</f>
        <v>V/c dây vào vị trí (cự ly &lt;=100m)</v>
      </c>
      <c r="F2003" s="1236" t="str">
        <f>VLOOKUP($B2003,DG!A:D,4,0)</f>
        <v>tấn</v>
      </c>
      <c r="G2003" s="1914">
        <f>ROUND(SUM(G1912:G1913)*1.05/1000+G1914*0.189*1.1/1000+G1980*0.35/1000,2)*0</f>
        <v>0</v>
      </c>
      <c r="H2003" s="1249">
        <f t="shared" si="368"/>
        <v>0</v>
      </c>
      <c r="I2003" s="1250"/>
      <c r="J2003" s="1250"/>
      <c r="K2003" s="1250"/>
      <c r="L2003" s="1250"/>
      <c r="M2003" s="1250"/>
      <c r="N2003" s="1250"/>
      <c r="O2003" s="1250"/>
      <c r="P2003" s="1257">
        <f t="shared" si="366"/>
        <v>0</v>
      </c>
      <c r="Q2003" s="1250"/>
      <c r="R2003" s="1250"/>
      <c r="S2003" s="1250"/>
      <c r="T2003" s="1671"/>
      <c r="U2003" s="1664" t="str">
        <f>IFERROR(VLOOKUP(B2003,ChiTietDuToan!C:H,5,0),"")</f>
        <v/>
      </c>
      <c r="V2003" s="2309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74" t="s">
        <v>611</v>
      </c>
      <c r="C2004" s="1189" t="str">
        <f t="shared" si="369"/>
        <v xml:space="preserve"> </v>
      </c>
      <c r="D2004" s="1236" t="str">
        <f>VLOOKUP($B2004,DG!A:C,2,)</f>
        <v>02.1482</v>
      </c>
      <c r="E2004" s="1241" t="str">
        <f>VLOOKUP($B2004,DG!A:C,3,)</f>
        <v>V/c dụng cụ thi công vào vị trí (cự ly &lt;=100m)</v>
      </c>
      <c r="F2004" s="1236" t="str">
        <f>VLOOKUP($B2004,DG!A:D,4,0)</f>
        <v>tấn</v>
      </c>
      <c r="G2004" s="1914">
        <f>IF(G2003&lt;&gt;0,5,0)</f>
        <v>0</v>
      </c>
      <c r="H2004" s="1249">
        <f t="shared" si="368"/>
        <v>0</v>
      </c>
      <c r="I2004" s="1250"/>
      <c r="J2004" s="1250"/>
      <c r="K2004" s="1250"/>
      <c r="L2004" s="1250"/>
      <c r="M2004" s="1250"/>
      <c r="N2004" s="1250"/>
      <c r="O2004" s="1250"/>
      <c r="P2004" s="1257">
        <f t="shared" si="366"/>
        <v>0</v>
      </c>
      <c r="Q2004" s="1250"/>
      <c r="R2004" s="1250"/>
      <c r="S2004" s="1250"/>
      <c r="T2004" s="1671"/>
      <c r="U2004" s="1664" t="str">
        <f>IFERROR(VLOOKUP(B2004,ChiTietDuToan!C:H,5,0),"")</f>
        <v/>
      </c>
      <c r="V2004" s="2309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56"/>
      <c r="C2005" s="1189" t="str">
        <f>IF(G2005&lt;&gt;0,"x"," ")</f>
        <v xml:space="preserve"> </v>
      </c>
      <c r="D2005" s="1238" t="s">
        <v>2232</v>
      </c>
      <c r="E2005" s="1666" t="s">
        <v>2625</v>
      </c>
      <c r="F2005" s="1238" t="s">
        <v>2364</v>
      </c>
      <c r="G2005" s="1912">
        <f>IF(SUM(G2006:G2028)=0,0,1)</f>
        <v>0</v>
      </c>
      <c r="H2005" s="1523">
        <f>SUM(I2005:O2005)+T2005</f>
        <v>0</v>
      </c>
      <c r="I2005" s="1239"/>
      <c r="J2005" s="1239"/>
      <c r="K2005" s="1239"/>
      <c r="L2005" s="1239">
        <f>IFERROR(HLOOKUP(A2005,pp1p!$6:$90,85,0),0)</f>
        <v>0</v>
      </c>
      <c r="M2005" s="1239"/>
      <c r="N2005" s="1239"/>
      <c r="O2005" s="1239"/>
      <c r="P2005" s="1257">
        <f t="shared" si="366"/>
        <v>0</v>
      </c>
      <c r="Q2005" s="1239"/>
      <c r="R2005" s="1239"/>
      <c r="S2005" s="1239"/>
      <c r="T2005" s="1671"/>
      <c r="U2005" s="1664">
        <f>IFERROR(VLOOKUP(B2005,ChiTietDuToan!C:H,5,0),"")</f>
        <v>0</v>
      </c>
      <c r="V2005" s="2309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59" t="s">
        <v>1376</v>
      </c>
      <c r="C2006" s="1189" t="str">
        <f t="shared" si="369"/>
        <v xml:space="preserve"> </v>
      </c>
      <c r="D2006" s="1253">
        <f>ppht!C345</f>
        <v>0</v>
      </c>
      <c r="E2006" s="1248" t="str">
        <f>VLOOKUP($B2006,DG!A:D,DG!$C$2,)</f>
        <v>Cáp nhôm bọc AV95</v>
      </c>
      <c r="F2006" s="1236" t="str">
        <f>VLOOKUP($B2006,DG!A:D,DG!$D$2,)</f>
        <v>mét</v>
      </c>
      <c r="G2006" s="1915">
        <f>ROUND(D2006*1.02,0)</f>
        <v>0</v>
      </c>
      <c r="H2006" s="1245">
        <f>$G2006</f>
        <v>0</v>
      </c>
      <c r="I2006" s="1245"/>
      <c r="J2006" s="1245"/>
      <c r="K2006" s="1245"/>
      <c r="L2006" s="1245"/>
      <c r="M2006" s="1245"/>
      <c r="N2006" s="1245">
        <f t="shared" ref="N2006:N2017" si="371">G2006</f>
        <v>0</v>
      </c>
      <c r="O2006" s="1245"/>
      <c r="P2006" s="1257">
        <f t="shared" si="366"/>
        <v>0</v>
      </c>
      <c r="Q2006" s="1245"/>
      <c r="R2006" s="1245"/>
      <c r="S2006" s="1245"/>
      <c r="T2006" s="1671"/>
      <c r="U2006" s="1664" t="str">
        <f>IFERROR(VLOOKUP(B2006,ChiTietDuToan!C:H,5,0),"")</f>
        <v/>
      </c>
      <c r="V2006" s="2309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59" t="s">
        <v>1064</v>
      </c>
      <c r="C2007" s="1189" t="str">
        <f t="shared" si="369"/>
        <v xml:space="preserve"> </v>
      </c>
      <c r="D2007" s="1689">
        <f>ppht!C344</f>
        <v>0</v>
      </c>
      <c r="E2007" s="1668" t="str">
        <f>VLOOKUP($B2007,DG!A:D,DG!$C$2,)</f>
        <v>Cáp nhôm bọc AV50</v>
      </c>
      <c r="F2007" s="1690" t="str">
        <f>VLOOKUP($B2007,DG!A:D,DG!$D$2,)</f>
        <v>mét</v>
      </c>
      <c r="G2007" s="1915">
        <f>ROUND(D2007*1.02,0)</f>
        <v>0</v>
      </c>
      <c r="H2007" s="1691">
        <f>$G2007</f>
        <v>0</v>
      </c>
      <c r="I2007" s="1691"/>
      <c r="J2007" s="1691"/>
      <c r="K2007" s="1691"/>
      <c r="L2007" s="1691"/>
      <c r="M2007" s="1691"/>
      <c r="N2007" s="1691">
        <f t="shared" si="371"/>
        <v>0</v>
      </c>
      <c r="O2007" s="1691"/>
      <c r="P2007" s="1257">
        <f t="shared" si="366"/>
        <v>0</v>
      </c>
      <c r="Q2007" s="1691"/>
      <c r="R2007" s="1691"/>
      <c r="S2007" s="1691"/>
      <c r="T2007" s="1671"/>
      <c r="U2007" s="1664" t="str">
        <f>IFERROR(VLOOKUP(B2007,ChiTietDuToan!C:H,5,0),"")</f>
        <v/>
      </c>
      <c r="V2007" s="2309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59" t="s">
        <v>88</v>
      </c>
      <c r="C2008" s="1189" t="str">
        <f t="shared" si="369"/>
        <v xml:space="preserve"> </v>
      </c>
      <c r="D2008" s="1689"/>
      <c r="E2008" s="1668" t="str">
        <f>VLOOKUP($B2008,DG!A:D,DG!$C$2,)</f>
        <v>Cáp nhôm lõi thép AC-50/8</v>
      </c>
      <c r="F2008" s="1690" t="str">
        <f>VLOOKUP($B2008,DG!A:D,DG!$D$2,)</f>
        <v>kg</v>
      </c>
      <c r="G2008" s="1915">
        <f>ROUND(D2008*1.02*0.195,0)</f>
        <v>0</v>
      </c>
      <c r="H2008" s="1691">
        <f t="shared" ref="H2008:H2093" si="372">G2008</f>
        <v>0</v>
      </c>
      <c r="I2008" s="1691"/>
      <c r="J2008" s="1691"/>
      <c r="K2008" s="1691"/>
      <c r="L2008" s="1691"/>
      <c r="M2008" s="1691"/>
      <c r="N2008" s="1691">
        <f t="shared" si="371"/>
        <v>0</v>
      </c>
      <c r="O2008" s="1691"/>
      <c r="P2008" s="1257">
        <f t="shared" si="366"/>
        <v>0</v>
      </c>
      <c r="Q2008" s="1691"/>
      <c r="R2008" s="1691"/>
      <c r="S2008" s="1691"/>
      <c r="T2008" s="1671"/>
      <c r="U2008" s="1664" t="str">
        <f>IFERROR(VLOOKUP(B2008,ChiTietDuToan!C:H,5,0),"")</f>
        <v/>
      </c>
      <c r="V2008" s="2309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59" t="s">
        <v>2322</v>
      </c>
      <c r="C2009" s="1189" t="str">
        <f t="shared" si="369"/>
        <v xml:space="preserve"> </v>
      </c>
      <c r="D2009" s="1253">
        <f>ppht!C351</f>
        <v>0</v>
      </c>
      <c r="E2009" s="1248" t="str">
        <f>VLOOKUP($B2009,DG!A:D,DG!$C$2,)</f>
        <v>Cáp nhôm ABC 3x50mm2</v>
      </c>
      <c r="F2009" s="1236" t="str">
        <f>VLOOKUP($B2009,DG!A:D,DG!$D$2,)</f>
        <v>mét</v>
      </c>
      <c r="G2009" s="1915">
        <f t="shared" ref="G2009:G2015" si="373">ROUND(D2009*1.02,0)</f>
        <v>0</v>
      </c>
      <c r="H2009" s="1245">
        <f t="shared" ref="H2009:H2015" si="374">G2009</f>
        <v>0</v>
      </c>
      <c r="I2009" s="1245"/>
      <c r="J2009" s="1245"/>
      <c r="K2009" s="1245"/>
      <c r="L2009" s="1245"/>
      <c r="M2009" s="1245"/>
      <c r="N2009" s="1245">
        <f>G2009</f>
        <v>0</v>
      </c>
      <c r="O2009" s="1245"/>
      <c r="P2009" s="1257">
        <f t="shared" si="366"/>
        <v>0</v>
      </c>
      <c r="Q2009" s="1245"/>
      <c r="R2009" s="1245"/>
      <c r="S2009" s="1245"/>
      <c r="T2009" s="1671"/>
      <c r="U2009" s="1664" t="str">
        <f>IFERROR(VLOOKUP(B2009,ChiTietDuToan!C:H,5,0),"")</f>
        <v/>
      </c>
      <c r="V2009" s="2309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59" t="s">
        <v>2323</v>
      </c>
      <c r="C2010" s="1189" t="str">
        <f t="shared" si="369"/>
        <v xml:space="preserve"> </v>
      </c>
      <c r="D2010" s="1253">
        <f>ppht!C348</f>
        <v>0</v>
      </c>
      <c r="E2010" s="1248" t="str">
        <f>VLOOKUP($B2010,DG!A:D,DG!$C$2,)</f>
        <v>Cáp nhôm ABC 3x70mm2</v>
      </c>
      <c r="F2010" s="1236" t="str">
        <f>VLOOKUP($B2010,DG!A:D,DG!$D$2,)</f>
        <v>mét</v>
      </c>
      <c r="G2010" s="1915">
        <f t="shared" si="373"/>
        <v>0</v>
      </c>
      <c r="H2010" s="1245">
        <f t="shared" si="374"/>
        <v>0</v>
      </c>
      <c r="I2010" s="1245"/>
      <c r="J2010" s="1245"/>
      <c r="K2010" s="1245"/>
      <c r="L2010" s="1245"/>
      <c r="M2010" s="1245"/>
      <c r="N2010" s="1245">
        <f>G2010</f>
        <v>0</v>
      </c>
      <c r="O2010" s="1245"/>
      <c r="P2010" s="1257">
        <f t="shared" si="366"/>
        <v>0</v>
      </c>
      <c r="Q2010" s="1245"/>
      <c r="R2010" s="1245"/>
      <c r="S2010" s="1245"/>
      <c r="T2010" s="1671"/>
      <c r="U2010" s="1664" t="str">
        <f>IFERROR(VLOOKUP(B2010,ChiTietDuToan!C:H,5,0),"")</f>
        <v/>
      </c>
      <c r="V2010" s="2309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59" t="s">
        <v>1179</v>
      </c>
      <c r="C2011" s="1189" t="str">
        <f t="shared" si="369"/>
        <v xml:space="preserve"> </v>
      </c>
      <c r="D2011" s="1253">
        <f>ppht!C349</f>
        <v>0</v>
      </c>
      <c r="E2011" s="1248" t="str">
        <f>VLOOKUP($B2011,DG!A:D,DG!$C$2,)</f>
        <v>Cáp nhôm ABC 4x50mm2</v>
      </c>
      <c r="F2011" s="1236" t="str">
        <f>VLOOKUP($B2011,DG!A:D,DG!$D$2,)</f>
        <v>mét</v>
      </c>
      <c r="G2011" s="1915">
        <f t="shared" si="373"/>
        <v>0</v>
      </c>
      <c r="H2011" s="1245">
        <f t="shared" si="374"/>
        <v>0</v>
      </c>
      <c r="I2011" s="1245"/>
      <c r="J2011" s="1245"/>
      <c r="K2011" s="1245"/>
      <c r="L2011" s="1245"/>
      <c r="M2011" s="1245"/>
      <c r="N2011" s="1245">
        <f t="shared" si="371"/>
        <v>0</v>
      </c>
      <c r="O2011" s="1245"/>
      <c r="P2011" s="1257">
        <f t="shared" si="366"/>
        <v>0</v>
      </c>
      <c r="Q2011" s="1245"/>
      <c r="R2011" s="1245"/>
      <c r="S2011" s="1245"/>
      <c r="T2011" s="1671"/>
      <c r="U2011" s="1664" t="str">
        <f>IFERROR(VLOOKUP(B2011,ChiTietDuToan!C:H,5,0),"")</f>
        <v/>
      </c>
      <c r="V2011" s="2309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59" t="s">
        <v>2324</v>
      </c>
      <c r="C2012" s="1189" t="str">
        <f t="shared" si="369"/>
        <v xml:space="preserve"> </v>
      </c>
      <c r="D2012" s="1692"/>
      <c r="E2012" s="1693" t="str">
        <f>VLOOKUP($B2012,DG!A:D,DG!$C$2,)</f>
        <v>Cáp nhôm ABC 3x95mm2</v>
      </c>
      <c r="F2012" s="1236" t="str">
        <f>VLOOKUP($B2012,DG!A:D,DG!$D$2,)</f>
        <v>mét</v>
      </c>
      <c r="G2012" s="1915">
        <f t="shared" si="373"/>
        <v>0</v>
      </c>
      <c r="H2012" s="1245">
        <f t="shared" si="374"/>
        <v>0</v>
      </c>
      <c r="I2012" s="1245"/>
      <c r="J2012" s="1245"/>
      <c r="K2012" s="1245"/>
      <c r="L2012" s="1245"/>
      <c r="M2012" s="1245"/>
      <c r="N2012" s="1245">
        <f t="shared" si="371"/>
        <v>0</v>
      </c>
      <c r="O2012" s="1245"/>
      <c r="P2012" s="1257">
        <f t="shared" si="366"/>
        <v>0</v>
      </c>
      <c r="Q2012" s="1245"/>
      <c r="R2012" s="1245"/>
      <c r="S2012" s="1245"/>
      <c r="T2012" s="1671"/>
      <c r="U2012" s="1664" t="str">
        <f>IFERROR(VLOOKUP(B2012,ChiTietDuToan!C:H,5,0),"")</f>
        <v/>
      </c>
      <c r="V2012" s="2309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59" t="s">
        <v>1181</v>
      </c>
      <c r="C2013" s="1189" t="str">
        <f t="shared" si="369"/>
        <v xml:space="preserve"> </v>
      </c>
      <c r="D2013" s="1253">
        <f>ppht!C347</f>
        <v>0</v>
      </c>
      <c r="E2013" s="1248" t="str">
        <f>VLOOKUP($B2013,DG!A:D,DG!$C$2,)</f>
        <v>Cáp nhôm ABC 4x95mm2</v>
      </c>
      <c r="F2013" s="1236" t="str">
        <f>VLOOKUP($B2013,DG!A:D,DG!$D$2,)</f>
        <v>mét</v>
      </c>
      <c r="G2013" s="1915">
        <f t="shared" si="373"/>
        <v>0</v>
      </c>
      <c r="H2013" s="1245">
        <f t="shared" si="374"/>
        <v>0</v>
      </c>
      <c r="I2013" s="1245"/>
      <c r="J2013" s="1245"/>
      <c r="K2013" s="1245"/>
      <c r="L2013" s="1245"/>
      <c r="M2013" s="1245"/>
      <c r="N2013" s="1245">
        <f t="shared" si="371"/>
        <v>0</v>
      </c>
      <c r="O2013" s="1245"/>
      <c r="P2013" s="1257">
        <f t="shared" si="366"/>
        <v>0</v>
      </c>
      <c r="Q2013" s="1245"/>
      <c r="R2013" s="1245"/>
      <c r="S2013" s="1245"/>
      <c r="T2013" s="1671"/>
      <c r="U2013" s="1664" t="str">
        <f>IFERROR(VLOOKUP(B2013,ChiTietDuToan!C:H,5,0),"")</f>
        <v/>
      </c>
      <c r="V2013" s="2309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59" t="s">
        <v>117</v>
      </c>
      <c r="C2014" s="1189" t="str">
        <f t="shared" si="369"/>
        <v xml:space="preserve"> </v>
      </c>
      <c r="D2014" s="1253">
        <f>ppht!C346</f>
        <v>0</v>
      </c>
      <c r="E2014" s="1248" t="str">
        <f>VLOOKUP($B2014,DG!A:D,DG!$C$2,)</f>
        <v>Cáp nhôm ABC 4x150mm2</v>
      </c>
      <c r="F2014" s="1236" t="str">
        <f>VLOOKUP($B2014,DG!A:D,DG!$D$2,)</f>
        <v>mét</v>
      </c>
      <c r="G2014" s="1915">
        <f t="shared" si="373"/>
        <v>0</v>
      </c>
      <c r="H2014" s="1245">
        <f t="shared" si="374"/>
        <v>0</v>
      </c>
      <c r="I2014" s="1245"/>
      <c r="J2014" s="1245"/>
      <c r="K2014" s="1245"/>
      <c r="L2014" s="1245"/>
      <c r="M2014" s="1245"/>
      <c r="N2014" s="1245">
        <f t="shared" si="371"/>
        <v>0</v>
      </c>
      <c r="O2014" s="1245"/>
      <c r="P2014" s="1257">
        <f t="shared" si="366"/>
        <v>0</v>
      </c>
      <c r="Q2014" s="1245"/>
      <c r="R2014" s="1245"/>
      <c r="S2014" s="1245"/>
      <c r="T2014" s="1671"/>
      <c r="U2014" s="1664" t="str">
        <f>IFERROR(VLOOKUP(B2014,ChiTietDuToan!C:H,5,0),"")</f>
        <v/>
      </c>
      <c r="V2014" s="2309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59" t="s">
        <v>1398</v>
      </c>
      <c r="C2015" s="1189" t="str">
        <f t="shared" si="369"/>
        <v xml:space="preserve"> </v>
      </c>
      <c r="D2015" s="1253"/>
      <c r="E2015" s="1248" t="str">
        <f>VLOOKUP($B2015,DG!A:D,DG!$C$2,)&amp;": 9m/tủ phân phối"</f>
        <v>Cáp C/XLPE/DSTA/PVC -0.6/1kV-3x50+35mm2: 9m/tủ phân phối</v>
      </c>
      <c r="F2015" s="1236" t="str">
        <f>VLOOKUP($B2015,DG!A:D,DG!$D$2,)</f>
        <v>mét</v>
      </c>
      <c r="G2015" s="1915">
        <f t="shared" si="373"/>
        <v>0</v>
      </c>
      <c r="H2015" s="1245">
        <f t="shared" si="374"/>
        <v>0</v>
      </c>
      <c r="I2015" s="1245"/>
      <c r="J2015" s="1245"/>
      <c r="K2015" s="1245"/>
      <c r="L2015" s="1245"/>
      <c r="M2015" s="1245"/>
      <c r="N2015" s="1245">
        <f>G2015</f>
        <v>0</v>
      </c>
      <c r="O2015" s="1245"/>
      <c r="P2015" s="1257">
        <f t="shared" si="366"/>
        <v>0</v>
      </c>
      <c r="Q2015" s="1245"/>
      <c r="R2015" s="1245"/>
      <c r="S2015" s="1245"/>
      <c r="T2015" s="1671"/>
      <c r="U2015" s="1664" t="str">
        <f>IFERROR(VLOOKUP(B2015,ChiTietDuToan!C:H,5,0),"")</f>
        <v/>
      </c>
      <c r="V2015" s="2309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59" t="s">
        <v>1578</v>
      </c>
      <c r="C2016" s="1189" t="str">
        <f>IF(OR(P2016&lt;&gt;0,H2016&lt;&gt;0),"x"," ")</f>
        <v xml:space="preserve"> </v>
      </c>
      <c r="D2016" s="1253"/>
      <c r="E2016" s="1248" t="str">
        <f>VLOOKUP($B2016,DG!A:D,DG!$C$2,)</f>
        <v>Cáp đồng bọc CV25</v>
      </c>
      <c r="F2016" s="1236" t="str">
        <f>VLOOKUP($B2016,DG!A:D,DG!$D$2,)</f>
        <v>mét</v>
      </c>
      <c r="G2016" s="1915">
        <f>ppht!DK342</f>
        <v>0</v>
      </c>
      <c r="H2016" s="1245">
        <f>ppht!DK342</f>
        <v>0</v>
      </c>
      <c r="I2016" s="1245"/>
      <c r="J2016" s="1245"/>
      <c r="K2016" s="1245"/>
      <c r="L2016" s="1245"/>
      <c r="M2016" s="1245"/>
      <c r="N2016" s="1245">
        <f>G2016</f>
        <v>0</v>
      </c>
      <c r="O2016" s="1245"/>
      <c r="P2016" s="1257">
        <f>H2016+Q2016-R2016</f>
        <v>0</v>
      </c>
      <c r="Q2016" s="1245"/>
      <c r="R2016" s="1245"/>
      <c r="S2016" s="1245"/>
      <c r="T2016" s="1671"/>
      <c r="U2016" s="1664" t="str">
        <f>IFERROR(VLOOKUP(B2016,ChiTietDuToan!C:H,5,0),"")</f>
        <v/>
      </c>
      <c r="V2016" s="2309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92" t="s">
        <v>435</v>
      </c>
      <c r="C2017" s="1189" t="str">
        <f t="shared" si="369"/>
        <v xml:space="preserve"> </v>
      </c>
      <c r="D2017" s="1236"/>
      <c r="E2017" s="1248" t="str">
        <f>VLOOKUP($B2017,DG!A:D,DG!$C$2,)</f>
        <v>Ống nối dây cỡ 95mm2</v>
      </c>
      <c r="F2017" s="1236" t="str">
        <f>VLOOKUP($B2017,DG!A:D,DG!$D$2,)</f>
        <v>cái</v>
      </c>
      <c r="G2017" s="1915"/>
      <c r="H2017" s="1245">
        <f t="shared" ref="H2017:H2024" si="375">G2017</f>
        <v>0</v>
      </c>
      <c r="I2017" s="1245"/>
      <c r="J2017" s="1245"/>
      <c r="K2017" s="1245"/>
      <c r="L2017" s="1245"/>
      <c r="M2017" s="1245"/>
      <c r="N2017" s="1245">
        <f t="shared" si="371"/>
        <v>0</v>
      </c>
      <c r="O2017" s="1245"/>
      <c r="P2017" s="1257">
        <f t="shared" si="366"/>
        <v>0</v>
      </c>
      <c r="Q2017" s="1245"/>
      <c r="R2017" s="1245"/>
      <c r="S2017" s="1245"/>
      <c r="T2017" s="1671"/>
      <c r="U2017" s="1664" t="str">
        <f>IFERROR(VLOOKUP(B2017,ChiTietDuToan!C:H,5,0),"")</f>
        <v/>
      </c>
      <c r="V2017" s="2309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59" t="s">
        <v>1479</v>
      </c>
      <c r="C2018" s="1189" t="str">
        <f t="shared" si="369"/>
        <v xml:space="preserve"> </v>
      </c>
      <c r="D2018" s="1236"/>
      <c r="E2018" s="1248" t="str">
        <f>VLOOKUP($B2018,DG!A:D,DG!$C$2,)</f>
        <v>Đầu cosse ép Cu-Al 50mm2</v>
      </c>
      <c r="F2018" s="1236" t="str">
        <f>VLOOKUP($B2018,DG!A:D,DG!$D$2,)</f>
        <v>cái</v>
      </c>
      <c r="G2018" s="1915"/>
      <c r="H2018" s="1245">
        <f t="shared" si="375"/>
        <v>0</v>
      </c>
      <c r="I2018" s="1245"/>
      <c r="J2018" s="1245"/>
      <c r="K2018" s="1245"/>
      <c r="L2018" s="1245"/>
      <c r="M2018" s="1245"/>
      <c r="N2018" s="1245">
        <f>G2018</f>
        <v>0</v>
      </c>
      <c r="O2018" s="1245"/>
      <c r="P2018" s="1257">
        <f t="shared" si="366"/>
        <v>0</v>
      </c>
      <c r="Q2018" s="1245"/>
      <c r="R2018" s="1245"/>
      <c r="S2018" s="1245"/>
      <c r="T2018" s="1671"/>
      <c r="U2018" s="1664" t="str">
        <f>IFERROR(VLOOKUP(B2018,ChiTietDuToan!C:H,5,0),"")</f>
        <v/>
      </c>
      <c r="V2018" s="2309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59" t="s">
        <v>932</v>
      </c>
      <c r="C2019" s="1189" t="str">
        <f t="shared" si="369"/>
        <v xml:space="preserve"> </v>
      </c>
      <c r="D2019" s="1236"/>
      <c r="E2019" s="1248" t="str">
        <f>VLOOKUP($B2019,DG!A:D,DG!$C$2,)</f>
        <v>Đầu cosse ép Cu-Al 70mm2</v>
      </c>
      <c r="F2019" s="1236" t="str">
        <f>VLOOKUP($B2019,DG!A:D,DG!$D$2,)</f>
        <v>cái</v>
      </c>
      <c r="G2019" s="1915"/>
      <c r="H2019" s="1245">
        <f t="shared" si="375"/>
        <v>0</v>
      </c>
      <c r="I2019" s="1245"/>
      <c r="J2019" s="1245"/>
      <c r="K2019" s="1245"/>
      <c r="L2019" s="1245"/>
      <c r="M2019" s="1245"/>
      <c r="N2019" s="1245">
        <f>G2019</f>
        <v>0</v>
      </c>
      <c r="O2019" s="1245"/>
      <c r="P2019" s="1257">
        <f t="shared" si="366"/>
        <v>0</v>
      </c>
      <c r="Q2019" s="1245"/>
      <c r="R2019" s="1245"/>
      <c r="S2019" s="1245"/>
      <c r="T2019" s="1671"/>
      <c r="U2019" s="1664" t="str">
        <f>IFERROR(VLOOKUP(B2019,ChiTietDuToan!C:H,5,0),"")</f>
        <v/>
      </c>
      <c r="V2019" s="2309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59" t="s">
        <v>933</v>
      </c>
      <c r="C2020" s="1189" t="str">
        <f t="shared" si="369"/>
        <v xml:space="preserve"> </v>
      </c>
      <c r="D2020" s="1236"/>
      <c r="E2020" s="1248" t="str">
        <f>VLOOKUP($B2020,DG!A:D,DG!$C$2,)</f>
        <v>Boulon thau 12x50 + 2 long đền vuông D14-50x50x3/Zn</v>
      </c>
      <c r="F2020" s="1236" t="str">
        <f>VLOOKUP($B2020,DG!A:D,DG!$D$2,)</f>
        <v>bộ</v>
      </c>
      <c r="G2020" s="1915"/>
      <c r="H2020" s="1245">
        <f t="shared" si="375"/>
        <v>0</v>
      </c>
      <c r="I2020" s="1245"/>
      <c r="J2020" s="1245"/>
      <c r="K2020" s="1245"/>
      <c r="L2020" s="1245"/>
      <c r="M2020" s="1245"/>
      <c r="N2020" s="1245">
        <f>G2020</f>
        <v>0</v>
      </c>
      <c r="O2020" s="1245"/>
      <c r="P2020" s="1257">
        <f t="shared" si="366"/>
        <v>0</v>
      </c>
      <c r="Q2020" s="1245"/>
      <c r="R2020" s="1245"/>
      <c r="S2020" s="1245"/>
      <c r="T2020" s="1671"/>
      <c r="U2020" s="1664" t="str">
        <f>IFERROR(VLOOKUP(B2020,ChiTietDuToan!C:H,5,0),"")</f>
        <v/>
      </c>
      <c r="V2020" s="2309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59" t="s">
        <v>1560</v>
      </c>
      <c r="C2021" s="1189" t="str">
        <f t="shared" si="369"/>
        <v xml:space="preserve"> </v>
      </c>
      <c r="D2021" s="1236"/>
      <c r="E2021" s="1248" t="str">
        <f>VLOOKUP($B2021,DG!A:D,DG!$C$2,)</f>
        <v>Cọc tiếp đất Ø 16- 2,4m + kẹp cọc</v>
      </c>
      <c r="F2021" s="1236" t="str">
        <f>VLOOKUP($B2021,DG!A:D,DG!$D$2,)</f>
        <v>bộ</v>
      </c>
      <c r="G2021" s="1915"/>
      <c r="H2021" s="1245">
        <f t="shared" si="375"/>
        <v>0</v>
      </c>
      <c r="I2021" s="1245"/>
      <c r="J2021" s="1245"/>
      <c r="K2021" s="1245"/>
      <c r="L2021" s="1245"/>
      <c r="M2021" s="1245"/>
      <c r="N2021" s="1245">
        <f t="shared" ref="N2021:N2039" si="376">G2021</f>
        <v>0</v>
      </c>
      <c r="O2021" s="1245"/>
      <c r="P2021" s="1257">
        <f t="shared" si="366"/>
        <v>0</v>
      </c>
      <c r="Q2021" s="1245"/>
      <c r="R2021" s="1245"/>
      <c r="S2021" s="1245"/>
      <c r="T2021" s="1671"/>
      <c r="U2021" s="1664" t="str">
        <f>IFERROR(VLOOKUP(B2021,ChiTietDuToan!C:H,5,0),"")</f>
        <v>bộ</v>
      </c>
      <c r="V2021" s="2309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59" t="s">
        <v>1063</v>
      </c>
      <c r="C2022" s="1189" t="str">
        <f t="shared" si="369"/>
        <v xml:space="preserve"> </v>
      </c>
      <c r="D2022" s="1236"/>
      <c r="E2022" s="1248" t="str">
        <f>VLOOKUP($B2022,DG!A:D,DG!$C$2,)</f>
        <v>Cáp đồng trần M25mm2</v>
      </c>
      <c r="F2022" s="1236" t="str">
        <f>VLOOKUP($B2022,DG!A:D,DG!$D$2,)</f>
        <v>kg</v>
      </c>
      <c r="G2022" s="1915"/>
      <c r="H2022" s="1245">
        <f t="shared" si="375"/>
        <v>0</v>
      </c>
      <c r="I2022" s="1245"/>
      <c r="J2022" s="1245"/>
      <c r="K2022" s="1245"/>
      <c r="L2022" s="1245"/>
      <c r="M2022" s="1245"/>
      <c r="N2022" s="1245">
        <f t="shared" si="376"/>
        <v>0</v>
      </c>
      <c r="O2022" s="1245"/>
      <c r="P2022" s="1257">
        <f t="shared" si="366"/>
        <v>0</v>
      </c>
      <c r="Q2022" s="1245"/>
      <c r="R2022" s="1245"/>
      <c r="S2022" s="1245"/>
      <c r="T2022" s="1671"/>
      <c r="U2022" s="1664" t="str">
        <f>IFERROR(VLOOKUP(B2022,ChiTietDuToan!C:H,5,0),"")</f>
        <v>kg</v>
      </c>
      <c r="V2022" s="2309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59" t="s">
        <v>1472</v>
      </c>
      <c r="C2023" s="1189" t="str">
        <f t="shared" si="369"/>
        <v xml:space="preserve"> </v>
      </c>
      <c r="D2023" s="1236"/>
      <c r="E2023" s="1248" t="str">
        <f>VLOOKUP($B2023,DG!A:D,DG!$C$2,)</f>
        <v>Ghíp nối IPC 50-25 1 bulong</v>
      </c>
      <c r="F2023" s="1236" t="str">
        <f>VLOOKUP($B2023,DG!A:D,DG!$D$2,)</f>
        <v>cái</v>
      </c>
      <c r="G2023" s="1915">
        <f>ppht!CS342</f>
        <v>0</v>
      </c>
      <c r="H2023" s="1245">
        <f t="shared" si="375"/>
        <v>0</v>
      </c>
      <c r="I2023" s="1245"/>
      <c r="J2023" s="1245"/>
      <c r="K2023" s="1245"/>
      <c r="L2023" s="1245"/>
      <c r="M2023" s="1245"/>
      <c r="N2023" s="1245">
        <f>G2023</f>
        <v>0</v>
      </c>
      <c r="O2023" s="1245"/>
      <c r="P2023" s="1257">
        <f t="shared" si="366"/>
        <v>0</v>
      </c>
      <c r="Q2023" s="1245"/>
      <c r="R2023" s="1245"/>
      <c r="S2023" s="1245"/>
      <c r="T2023" s="1671"/>
      <c r="U2023" s="1664" t="str">
        <f>IFERROR(VLOOKUP(B2023,ChiTietDuToan!C:H,5,0),"")</f>
        <v/>
      </c>
      <c r="V2023" s="2309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59" t="s">
        <v>2076</v>
      </c>
      <c r="C2024" s="1189" t="str">
        <f t="shared" si="369"/>
        <v xml:space="preserve"> </v>
      </c>
      <c r="D2024" s="1236"/>
      <c r="E2024" s="1248" t="str">
        <f>VLOOKUP($B2024,DG!A:D,DG!$C$2,)</f>
        <v>Ghíp nối IPC 50-50 1 bulong</v>
      </c>
      <c r="F2024" s="1236" t="str">
        <f>VLOOKUP($B2024,DG!A:D,DG!$D$2,)</f>
        <v>cái</v>
      </c>
      <c r="G2024" s="1915">
        <f>ppht!CR342</f>
        <v>0</v>
      </c>
      <c r="H2024" s="1245">
        <f t="shared" si="375"/>
        <v>0</v>
      </c>
      <c r="I2024" s="1245"/>
      <c r="J2024" s="1245"/>
      <c r="K2024" s="1245"/>
      <c r="L2024" s="1245"/>
      <c r="M2024" s="1245"/>
      <c r="N2024" s="1245">
        <f>G2024</f>
        <v>0</v>
      </c>
      <c r="O2024" s="1245"/>
      <c r="P2024" s="1257">
        <f t="shared" si="366"/>
        <v>0</v>
      </c>
      <c r="Q2024" s="1245"/>
      <c r="R2024" s="1245"/>
      <c r="S2024" s="1245"/>
      <c r="T2024" s="1671"/>
      <c r="U2024" s="1664" t="str">
        <f>IFERROR(VLOOKUP(B2024,ChiTietDuToan!C:H,5,0),"")</f>
        <v/>
      </c>
      <c r="V2024" s="2309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59" t="s">
        <v>2263</v>
      </c>
      <c r="C2025" s="1189" t="str">
        <f t="shared" si="369"/>
        <v xml:space="preserve"> </v>
      </c>
      <c r="D2025" s="1236"/>
      <c r="E2025" s="1248" t="s">
        <v>2626</v>
      </c>
      <c r="F2025" s="1236" t="str">
        <f>VLOOKUP($B2025,DG!A:D,DG!$D$2,)</f>
        <v>cái</v>
      </c>
      <c r="G2025" s="1928">
        <f>+ppht!CU342</f>
        <v>0</v>
      </c>
      <c r="H2025" s="1245">
        <f t="shared" si="372"/>
        <v>0</v>
      </c>
      <c r="I2025" s="1245"/>
      <c r="J2025" s="1245"/>
      <c r="K2025" s="1245"/>
      <c r="L2025" s="1245"/>
      <c r="M2025" s="1245"/>
      <c r="N2025" s="1245">
        <f t="shared" si="376"/>
        <v>0</v>
      </c>
      <c r="O2025" s="1245"/>
      <c r="P2025" s="1257">
        <f t="shared" si="366"/>
        <v>0</v>
      </c>
      <c r="Q2025" s="1245"/>
      <c r="R2025" s="1245"/>
      <c r="S2025" s="1245"/>
      <c r="T2025" s="1671"/>
      <c r="U2025" s="1664" t="str">
        <f>IFERROR(VLOOKUP(B2025,ChiTietDuToan!C:H,5,0),"")</f>
        <v/>
      </c>
      <c r="V2025" s="2309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59" t="s">
        <v>1139</v>
      </c>
      <c r="C2026" s="1189" t="str">
        <f t="shared" si="369"/>
        <v xml:space="preserve"> </v>
      </c>
      <c r="D2026" s="1236"/>
      <c r="E2026" s="1248" t="str">
        <f>VLOOKUP($B2026,DG!A:D,DG!$C$2,)&amp;" 2 bulong"</f>
        <v>Ghíp nối IPC 70-70 2 bulong</v>
      </c>
      <c r="F2026" s="1236" t="str">
        <f>VLOOKUP($B2026,DG!A:D,DG!$D$2,)</f>
        <v>cái</v>
      </c>
      <c r="G2026" s="1928">
        <f>ppht!CQ338</f>
        <v>0</v>
      </c>
      <c r="H2026" s="1245">
        <f t="shared" si="372"/>
        <v>0</v>
      </c>
      <c r="I2026" s="1245"/>
      <c r="J2026" s="1245"/>
      <c r="K2026" s="1245"/>
      <c r="L2026" s="1245"/>
      <c r="M2026" s="1245"/>
      <c r="N2026" s="1245">
        <f t="shared" si="376"/>
        <v>0</v>
      </c>
      <c r="O2026" s="1245"/>
      <c r="P2026" s="1257">
        <f t="shared" si="366"/>
        <v>0</v>
      </c>
      <c r="Q2026" s="1245"/>
      <c r="R2026" s="1245"/>
      <c r="S2026" s="1245"/>
      <c r="T2026" s="1671"/>
      <c r="U2026" s="1664" t="str">
        <f>IFERROR(VLOOKUP(B2026,ChiTietDuToan!C:H,5,0),"")</f>
        <v/>
      </c>
      <c r="V2026" s="2309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59" t="s">
        <v>2085</v>
      </c>
      <c r="C2027" s="1189" t="str">
        <f t="shared" si="369"/>
        <v xml:space="preserve"> </v>
      </c>
      <c r="D2027" s="1236"/>
      <c r="E2027" s="1248" t="str">
        <f>VLOOKUP($B2027,DG!A:D,DG!$C$2,)</f>
        <v>Ghíp nối IPC 95-70</v>
      </c>
      <c r="F2027" s="1236" t="str">
        <f>VLOOKUP($B2027,DG!A:D,DG!$D$2,)</f>
        <v>cái</v>
      </c>
      <c r="G2027" s="1928">
        <f>ppht!CO338</f>
        <v>0</v>
      </c>
      <c r="H2027" s="1245">
        <f t="shared" si="372"/>
        <v>0</v>
      </c>
      <c r="I2027" s="1245"/>
      <c r="J2027" s="1245"/>
      <c r="K2027" s="1245"/>
      <c r="L2027" s="1245"/>
      <c r="M2027" s="1245"/>
      <c r="N2027" s="1245">
        <f t="shared" si="376"/>
        <v>0</v>
      </c>
      <c r="O2027" s="1245"/>
      <c r="P2027" s="1257">
        <f t="shared" si="366"/>
        <v>0</v>
      </c>
      <c r="Q2027" s="1245"/>
      <c r="R2027" s="1245"/>
      <c r="S2027" s="1245"/>
      <c r="T2027" s="1671"/>
      <c r="U2027" s="1664" t="str">
        <f>IFERROR(VLOOKUP(B2027,ChiTietDuToan!C:H,5,0),"")</f>
        <v/>
      </c>
      <c r="V2027" s="2309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59" t="s">
        <v>1378</v>
      </c>
      <c r="C2028" s="1189" t="str">
        <f t="shared" si="369"/>
        <v xml:space="preserve"> </v>
      </c>
      <c r="D2028" s="1236"/>
      <c r="E2028" s="1248" t="str">
        <f>VLOOKUP($B2028,DG!A:D,DG!$C$2,)</f>
        <v>Ghíp nối IPC 150-70</v>
      </c>
      <c r="F2028" s="1236" t="str">
        <f>VLOOKUP($B2028,DG!A:D,DG!$D$2,)</f>
        <v>cái</v>
      </c>
      <c r="G2028" s="1928">
        <f>ppht!CK338*0</f>
        <v>0</v>
      </c>
      <c r="H2028" s="1245">
        <f>G2028+T2028</f>
        <v>0</v>
      </c>
      <c r="I2028" s="1245"/>
      <c r="J2028" s="1245"/>
      <c r="K2028" s="1245"/>
      <c r="L2028" s="1245"/>
      <c r="M2028" s="1245"/>
      <c r="N2028" s="1245">
        <f>G2028</f>
        <v>0</v>
      </c>
      <c r="O2028" s="1245"/>
      <c r="P2028" s="1257">
        <f>H2028+Q2028-R2028</f>
        <v>0</v>
      </c>
      <c r="Q2028" s="1245"/>
      <c r="R2028" s="1245"/>
      <c r="S2028" s="1245"/>
      <c r="T2028" s="1671"/>
      <c r="U2028" s="1664" t="str">
        <f>IFERROR(VLOOKUP(B2028,ChiTietDuToan!C:H,5,0),"")</f>
        <v/>
      </c>
      <c r="V2028" s="2309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59" t="s">
        <v>1377</v>
      </c>
      <c r="C2029" s="1189" t="str">
        <f t="shared" si="369"/>
        <v xml:space="preserve"> </v>
      </c>
      <c r="D2029" s="1236"/>
      <c r="E2029" s="1248" t="str">
        <f>VLOOKUP($B2029,DG!A:D,DG!$C$2,)</f>
        <v>Ghíp nối IPC 95-150</v>
      </c>
      <c r="F2029" s="1236" t="str">
        <f>VLOOKUP($B2029,DG!A:D,DG!$D$2,)</f>
        <v>cái</v>
      </c>
      <c r="G2029" s="1928">
        <f>ppht!CL338</f>
        <v>0</v>
      </c>
      <c r="H2029" s="1245">
        <f t="shared" si="372"/>
        <v>0</v>
      </c>
      <c r="I2029" s="1245"/>
      <c r="J2029" s="1245"/>
      <c r="K2029" s="1245"/>
      <c r="L2029" s="1245"/>
      <c r="M2029" s="1245"/>
      <c r="N2029" s="1245">
        <f t="shared" si="376"/>
        <v>0</v>
      </c>
      <c r="O2029" s="1245"/>
      <c r="P2029" s="1257">
        <f>H2029+Q2029-R2029</f>
        <v>0</v>
      </c>
      <c r="Q2029" s="1245"/>
      <c r="R2029" s="1245"/>
      <c r="S2029" s="1245"/>
      <c r="T2029" s="1671"/>
      <c r="U2029" s="1664" t="str">
        <f>IFERROR(VLOOKUP(B2029,ChiTietDuToan!C:H,5,0),"")</f>
        <v/>
      </c>
      <c r="V2029" s="2309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59" t="s">
        <v>878</v>
      </c>
      <c r="C2030" s="1189" t="str">
        <f t="shared" si="369"/>
        <v xml:space="preserve"> </v>
      </c>
      <c r="D2030" s="1236"/>
      <c r="E2030" s="1248" t="str">
        <f>VLOOKUP($B2030,DG!A:D,DG!$C$2,)&amp;" (2 boulon)"</f>
        <v>Ghíp nối IPC 95-35 (2 boulon)</v>
      </c>
      <c r="F2030" s="1236" t="str">
        <f>VLOOKUP($B2030,DG!A:D,DG!$D$2,)</f>
        <v>cái</v>
      </c>
      <c r="G2030" s="1928">
        <f>ppht!CM338</f>
        <v>0</v>
      </c>
      <c r="H2030" s="1245">
        <f>G2030</f>
        <v>0</v>
      </c>
      <c r="I2030" s="1245"/>
      <c r="J2030" s="1245"/>
      <c r="K2030" s="1245"/>
      <c r="L2030" s="1245"/>
      <c r="M2030" s="1245"/>
      <c r="N2030" s="1245">
        <f>G2030</f>
        <v>0</v>
      </c>
      <c r="O2030" s="1245"/>
      <c r="P2030" s="1257">
        <f t="shared" si="366"/>
        <v>0</v>
      </c>
      <c r="Q2030" s="1245"/>
      <c r="R2030" s="1245"/>
      <c r="S2030" s="1245"/>
      <c r="T2030" s="1671"/>
      <c r="U2030" s="1664" t="str">
        <f>IFERROR(VLOOKUP(B2030,ChiTietDuToan!C:H,5,0),"")</f>
        <v>cái</v>
      </c>
      <c r="V2030" s="2309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59" t="s">
        <v>1138</v>
      </c>
      <c r="C2031" s="1189" t="str">
        <f t="shared" si="369"/>
        <v xml:space="preserve"> </v>
      </c>
      <c r="D2031" s="1236"/>
      <c r="E2031" s="1248" t="str">
        <f>VLOOKUP($B2031,DG!A:D,DG!$C$2,)&amp;" (2 boulon)"</f>
        <v>Ghíp nối IPC 95-95 (2 boulon)</v>
      </c>
      <c r="F2031" s="1236" t="str">
        <f>VLOOKUP($B2031,DG!A:D,DG!$D$2,)</f>
        <v>cái</v>
      </c>
      <c r="G2031" s="1928">
        <f>ppht!CP338</f>
        <v>0</v>
      </c>
      <c r="H2031" s="1245">
        <f t="shared" si="372"/>
        <v>0</v>
      </c>
      <c r="I2031" s="1245"/>
      <c r="J2031" s="1245"/>
      <c r="K2031" s="1245"/>
      <c r="L2031" s="1245"/>
      <c r="M2031" s="1245"/>
      <c r="N2031" s="1245">
        <f t="shared" si="376"/>
        <v>0</v>
      </c>
      <c r="O2031" s="1245"/>
      <c r="P2031" s="1257">
        <f t="shared" si="366"/>
        <v>0</v>
      </c>
      <c r="Q2031" s="1245"/>
      <c r="R2031" s="1245"/>
      <c r="S2031" s="1245"/>
      <c r="T2031" s="1671"/>
      <c r="U2031" s="1664" t="str">
        <f>IFERROR(VLOOKUP(B2031,ChiTietDuToan!C:H,5,0),"")</f>
        <v/>
      </c>
      <c r="V2031" s="2309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59" t="s">
        <v>1184</v>
      </c>
      <c r="C2032" s="1189" t="str">
        <f t="shared" si="369"/>
        <v xml:space="preserve"> </v>
      </c>
      <c r="D2032" s="1236"/>
      <c r="E2032" s="1248" t="str">
        <f>VLOOKUP($B2032,DG!A:D,DG!$C$2,)</f>
        <v>Ghíp nối IPC 95-50 1 bulong</v>
      </c>
      <c r="F2032" s="1236" t="str">
        <f>VLOOKUP($B2032,DG!A:D,DG!$D$2,)</f>
        <v>cái</v>
      </c>
      <c r="G2032" s="1928">
        <f>ppht!CN338</f>
        <v>0</v>
      </c>
      <c r="H2032" s="1245">
        <f t="shared" si="372"/>
        <v>0</v>
      </c>
      <c r="I2032" s="1245"/>
      <c r="J2032" s="1245"/>
      <c r="K2032" s="1245"/>
      <c r="L2032" s="1245"/>
      <c r="M2032" s="1245"/>
      <c r="N2032" s="1245">
        <f t="shared" si="376"/>
        <v>0</v>
      </c>
      <c r="O2032" s="1245"/>
      <c r="P2032" s="1257">
        <f t="shared" si="366"/>
        <v>0</v>
      </c>
      <c r="Q2032" s="1245"/>
      <c r="R2032" s="1245"/>
      <c r="S2032" s="1245"/>
      <c r="T2032" s="1671"/>
      <c r="U2032" s="1664" t="str">
        <f>IFERROR(VLOOKUP(B2032,ChiTietDuToan!C:H,5,0),"")</f>
        <v/>
      </c>
      <c r="V2032" s="2309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59" t="s">
        <v>36</v>
      </c>
      <c r="C2033" s="1189" t="str">
        <f t="shared" si="369"/>
        <v xml:space="preserve"> </v>
      </c>
      <c r="D2033" s="1236"/>
      <c r="E2033" s="1248" t="str">
        <f>VLOOKUP($B2033,DG!A:D,DG!$C$2,)</f>
        <v>Kẹp ép WR cỡ dây 95mm2</v>
      </c>
      <c r="F2033" s="1236" t="str">
        <f>VLOOKUP($B2033,DG!A:D,DG!$D$2,)</f>
        <v>cái</v>
      </c>
      <c r="G2033" s="1928">
        <f>+ppht!DQ342</f>
        <v>0</v>
      </c>
      <c r="H2033" s="1245">
        <f>G2033+T2033</f>
        <v>0</v>
      </c>
      <c r="I2033" s="1245"/>
      <c r="J2033" s="1245"/>
      <c r="K2033" s="1245"/>
      <c r="L2033" s="1245"/>
      <c r="M2033" s="1245"/>
      <c r="N2033" s="1245">
        <f t="shared" si="376"/>
        <v>0</v>
      </c>
      <c r="O2033" s="1245"/>
      <c r="P2033" s="1257">
        <f t="shared" si="366"/>
        <v>0</v>
      </c>
      <c r="Q2033" s="1245"/>
      <c r="R2033" s="1245"/>
      <c r="S2033" s="1245"/>
      <c r="T2033" s="1671"/>
      <c r="U2033" s="1664" t="str">
        <f>IFERROR(VLOOKUP(B2033,ChiTietDuToan!C:H,5,0),"")</f>
        <v/>
      </c>
      <c r="V2033" s="2309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59" t="s">
        <v>2274</v>
      </c>
      <c r="C2034" s="1189" t="str">
        <f t="shared" si="369"/>
        <v xml:space="preserve"> </v>
      </c>
      <c r="D2034" s="1236"/>
      <c r="E2034" s="1248" t="str">
        <f>VLOOKUP($B2034,DG!A:D,DG!$C$2,)</f>
        <v>Ghíp nối IPC 50-35</v>
      </c>
      <c r="F2034" s="1236" t="str">
        <f>VLOOKUP($B2034,DG!A:D,DG!$D$2,)</f>
        <v>cái</v>
      </c>
      <c r="G2034" s="1928">
        <f>ppht!CH338</f>
        <v>0</v>
      </c>
      <c r="H2034" s="1245">
        <f t="shared" si="372"/>
        <v>0</v>
      </c>
      <c r="I2034" s="1245"/>
      <c r="J2034" s="1245"/>
      <c r="K2034" s="1245"/>
      <c r="L2034" s="1245"/>
      <c r="M2034" s="1245"/>
      <c r="N2034" s="1245">
        <f t="shared" si="376"/>
        <v>0</v>
      </c>
      <c r="O2034" s="1245"/>
      <c r="P2034" s="1257">
        <f t="shared" si="366"/>
        <v>0</v>
      </c>
      <c r="Q2034" s="1245"/>
      <c r="R2034" s="1245"/>
      <c r="S2034" s="1245"/>
      <c r="T2034" s="1671"/>
      <c r="U2034" s="1664" t="str">
        <f>IFERROR(VLOOKUP(B2034,ChiTietDuToan!C:H,5,0),"")</f>
        <v/>
      </c>
      <c r="V2034" s="2309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59" t="s">
        <v>1336</v>
      </c>
      <c r="C2035" s="1189" t="str">
        <f t="shared" si="369"/>
        <v xml:space="preserve"> </v>
      </c>
      <c r="D2035" s="1236"/>
      <c r="E2035" s="1248" t="str">
        <f>VLOOKUP($B2035,DG!A:D,DG!$C$2,)</f>
        <v>Đầu cosse ép Cu 70mm2</v>
      </c>
      <c r="F2035" s="1236" t="str">
        <f>VLOOKUP($B2035,DG!A:D,DG!$D$2,)</f>
        <v>cái</v>
      </c>
      <c r="G2035" s="1915"/>
      <c r="H2035" s="1245">
        <f>G2035</f>
        <v>0</v>
      </c>
      <c r="I2035" s="1250"/>
      <c r="J2035" s="1250"/>
      <c r="K2035" s="1250"/>
      <c r="L2035" s="1250"/>
      <c r="M2035" s="1250"/>
      <c r="N2035" s="1250"/>
      <c r="O2035" s="1250"/>
      <c r="P2035" s="1257">
        <f t="shared" ref="P2035:P2107" si="377">H2035+Q2035-R2035</f>
        <v>0</v>
      </c>
      <c r="Q2035" s="1250"/>
      <c r="R2035" s="1250"/>
      <c r="S2035" s="1250"/>
      <c r="T2035" s="1671"/>
      <c r="U2035" s="1664" t="str">
        <f>IFERROR(VLOOKUP(B2035,ChiTietDuToan!C:H,5,0),"")</f>
        <v/>
      </c>
      <c r="V2035" s="2309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59" t="s">
        <v>4517</v>
      </c>
      <c r="C2036" s="1189" t="str">
        <f t="shared" si="369"/>
        <v xml:space="preserve"> </v>
      </c>
      <c r="D2036" s="1236"/>
      <c r="E2036" s="1248" t="str">
        <f>VLOOKUP($B2036,DG!A:D,DG!$C$2,)</f>
        <v>Kẹp ép WR 399</v>
      </c>
      <c r="F2036" s="1236" t="str">
        <f>VLOOKUP($B2036,DG!A:D,DG!$D$2,)</f>
        <v>cái</v>
      </c>
      <c r="G2036" s="1915"/>
      <c r="H2036" s="1245">
        <f>G2036</f>
        <v>0</v>
      </c>
      <c r="I2036" s="1245"/>
      <c r="J2036" s="1245"/>
      <c r="K2036" s="1245"/>
      <c r="L2036" s="1245"/>
      <c r="M2036" s="1245"/>
      <c r="N2036" s="1245"/>
      <c r="O2036" s="1245"/>
      <c r="P2036" s="1257">
        <f t="shared" si="377"/>
        <v>0</v>
      </c>
      <c r="Q2036" s="1250"/>
      <c r="R2036" s="1250"/>
      <c r="S2036" s="1250"/>
      <c r="T2036" s="1671"/>
      <c r="U2036" s="1664" t="str">
        <f>IFERROR(VLOOKUP(B2036,ChiTietDuToan!C:H,5,0),"")</f>
        <v>cái</v>
      </c>
      <c r="V2036" s="2309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93" t="s">
        <v>1187</v>
      </c>
      <c r="C2037" s="1189" t="str">
        <f t="shared" si="369"/>
        <v xml:space="preserve"> </v>
      </c>
      <c r="D2037" s="1236"/>
      <c r="E2037" s="1693" t="str">
        <f>VLOOKUP($B2037,DG!A:D,DG!$C$2,)</f>
        <v>Hộp phân phối (hộp rỗng)</v>
      </c>
      <c r="F2037" s="1236" t="str">
        <f>VLOOKUP($B2037,DG!A:D,DG!$D$2,)</f>
        <v>cái</v>
      </c>
      <c r="G2037" s="1928">
        <f>ppht!DJ338+T2037</f>
        <v>0</v>
      </c>
      <c r="H2037" s="1245">
        <f>G2037</f>
        <v>0</v>
      </c>
      <c r="I2037" s="1245"/>
      <c r="J2037" s="1245"/>
      <c r="K2037" s="1245"/>
      <c r="L2037" s="1245"/>
      <c r="M2037" s="1245"/>
      <c r="N2037" s="1245">
        <f>G2037</f>
        <v>0</v>
      </c>
      <c r="O2037" s="1245"/>
      <c r="P2037" s="1257">
        <f t="shared" si="377"/>
        <v>0</v>
      </c>
      <c r="Q2037" s="1245"/>
      <c r="R2037" s="1245"/>
      <c r="S2037" s="1245"/>
      <c r="T2037" s="1671"/>
      <c r="U2037" s="1664" t="str">
        <f>IFERROR(VLOOKUP(B2037,ChiTietDuToan!C:H,5,0),"")</f>
        <v/>
      </c>
      <c r="V2037" s="2309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59" t="s">
        <v>1439</v>
      </c>
      <c r="C2038" s="1189" t="str">
        <f t="shared" si="369"/>
        <v xml:space="preserve"> </v>
      </c>
      <c r="D2038" s="1236"/>
      <c r="E2038" s="1248" t="str">
        <f>VLOOKUP($B2038,DG!A:D,DG!$C$2,)</f>
        <v>Cáp đồng bọc CV25</v>
      </c>
      <c r="F2038" s="1236" t="str">
        <f>VLOOKUP($B2038,DG!A:D,DG!$D$2,)</f>
        <v>mét</v>
      </c>
      <c r="G2038" s="1915">
        <f>ppht!DK342</f>
        <v>0</v>
      </c>
      <c r="H2038" s="1245"/>
      <c r="I2038" s="1245"/>
      <c r="J2038" s="1245"/>
      <c r="K2038" s="1245"/>
      <c r="L2038" s="1245"/>
      <c r="M2038" s="1245"/>
      <c r="N2038" s="1245">
        <f>G2038</f>
        <v>0</v>
      </c>
      <c r="O2038" s="1245"/>
      <c r="P2038" s="1257">
        <f t="shared" si="377"/>
        <v>0</v>
      </c>
      <c r="Q2038" s="1245"/>
      <c r="R2038" s="1245"/>
      <c r="S2038" s="1245"/>
      <c r="T2038" s="1671"/>
      <c r="U2038" s="1664" t="str">
        <f>IFERROR(VLOOKUP(B2038,ChiTietDuToan!C:H,5,0),"")</f>
        <v/>
      </c>
      <c r="V2038" s="2309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59" t="s">
        <v>1187</v>
      </c>
      <c r="C2039" s="1189" t="str">
        <f t="shared" si="369"/>
        <v xml:space="preserve"> </v>
      </c>
      <c r="D2039" s="1236">
        <f>VLOOKUP($B2039,DG!A:D,DG!$B$2,)</f>
        <v>0</v>
      </c>
      <c r="E2039" s="1248" t="str">
        <f>VLOOKUP($B2039,DG!A:D,DG!$C$2,)</f>
        <v>Hộp phân phối (hộp rỗng)</v>
      </c>
      <c r="F2039" s="1236" t="str">
        <f>VLOOKUP($B2039,DG!A:D,DG!$D$2,)</f>
        <v>cái</v>
      </c>
      <c r="G2039" s="1928">
        <f>ppht!DJ342</f>
        <v>0</v>
      </c>
      <c r="H2039" s="1245"/>
      <c r="I2039" s="1245"/>
      <c r="J2039" s="1245"/>
      <c r="K2039" s="1245"/>
      <c r="L2039" s="1245"/>
      <c r="M2039" s="1245"/>
      <c r="N2039" s="1245">
        <f t="shared" si="376"/>
        <v>0</v>
      </c>
      <c r="O2039" s="1245"/>
      <c r="P2039" s="1257">
        <f t="shared" si="377"/>
        <v>0</v>
      </c>
      <c r="Q2039" s="1245"/>
      <c r="R2039" s="1245"/>
      <c r="S2039" s="1245"/>
      <c r="T2039" s="1671"/>
      <c r="U2039" s="1664" t="str">
        <f>IFERROR(VLOOKUP(B2039,ChiTietDuToan!C:H,5,0),"")</f>
        <v/>
      </c>
      <c r="V2039" s="2309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59" t="s">
        <v>1188</v>
      </c>
      <c r="C2040" s="1189" t="str">
        <f t="shared" si="369"/>
        <v xml:space="preserve"> </v>
      </c>
      <c r="D2040" s="1236"/>
      <c r="E2040" s="1248" t="str">
        <f>VLOOKUP($B2040,DG!A:D,DG!$C$2,)</f>
        <v>Kẹp treo cáp ABC4x120mm2</v>
      </c>
      <c r="F2040" s="1236" t="str">
        <f>VLOOKUP($B2040,DG!A:D,DG!$D$2,)</f>
        <v>cái</v>
      </c>
      <c r="G2040" s="1928">
        <f>ppht!DA338</f>
        <v>0</v>
      </c>
      <c r="H2040" s="1245">
        <f t="shared" si="372"/>
        <v>0</v>
      </c>
      <c r="I2040" s="1245"/>
      <c r="J2040" s="1245"/>
      <c r="K2040" s="1245"/>
      <c r="L2040" s="1245"/>
      <c r="M2040" s="1245"/>
      <c r="N2040" s="1245">
        <f t="shared" ref="N2040:N2053" si="378">G2040</f>
        <v>0</v>
      </c>
      <c r="O2040" s="1245"/>
      <c r="P2040" s="1257">
        <f t="shared" si="377"/>
        <v>0</v>
      </c>
      <c r="Q2040" s="1245"/>
      <c r="R2040" s="1245"/>
      <c r="S2040" s="1245"/>
      <c r="T2040" s="1671"/>
      <c r="U2040" s="1664" t="str">
        <f>IFERROR(VLOOKUP(B2040,ChiTietDuToan!C:H,5,0),"")</f>
        <v/>
      </c>
      <c r="V2040" s="2309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93" t="s">
        <v>1189</v>
      </c>
      <c r="C2041" s="1189" t="str">
        <f t="shared" si="369"/>
        <v>x</v>
      </c>
      <c r="D2041" s="1236"/>
      <c r="E2041" s="2203" t="s">
        <v>4914</v>
      </c>
      <c r="F2041" s="1236" t="str">
        <f>VLOOKUP($B2041,DG!A:D,DG!$D$2,)</f>
        <v>cái</v>
      </c>
      <c r="G2041" s="1928">
        <f>ppht!DB338</f>
        <v>0</v>
      </c>
      <c r="H2041" s="1245">
        <v>17</v>
      </c>
      <c r="I2041" s="1245"/>
      <c r="J2041" s="1245"/>
      <c r="K2041" s="1245"/>
      <c r="L2041" s="1245"/>
      <c r="M2041" s="1245"/>
      <c r="N2041" s="1245">
        <f>G2041</f>
        <v>0</v>
      </c>
      <c r="O2041" s="1245"/>
      <c r="P2041" s="1257">
        <f t="shared" si="377"/>
        <v>17</v>
      </c>
      <c r="Q2041" s="1245"/>
      <c r="R2041" s="1245"/>
      <c r="S2041" s="1245"/>
      <c r="T2041" s="1671"/>
      <c r="U2041" s="1664" t="str">
        <f>IFERROR(VLOOKUP(B2041,ChiTietDuToan!C:H,5,0),"")</f>
        <v/>
      </c>
      <c r="V2041" s="2309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59" t="s">
        <v>1745</v>
      </c>
      <c r="C2042" s="1189" t="str">
        <f t="shared" si="369"/>
        <v xml:space="preserve"> </v>
      </c>
      <c r="D2042" s="1236" t="str">
        <f>VLOOKUP($B2042,DG!A:D,DG!$B$2,)</f>
        <v>06.1201</v>
      </c>
      <c r="E2042" s="1248" t="str">
        <f>VLOOKUP($B2042,DG!A:D,DG!$C$2,)</f>
        <v>Kẹp treo cáp ABC4x70mm2</v>
      </c>
      <c r="F2042" s="1236" t="str">
        <f>VLOOKUP($B2042,DG!A:D,DG!$D$2,)</f>
        <v>cái</v>
      </c>
      <c r="G2042" s="1928">
        <f>ppht!DC338</f>
        <v>0</v>
      </c>
      <c r="H2042" s="1245">
        <f t="shared" si="372"/>
        <v>0</v>
      </c>
      <c r="I2042" s="1245"/>
      <c r="J2042" s="1245"/>
      <c r="K2042" s="1245"/>
      <c r="L2042" s="1245"/>
      <c r="M2042" s="1245"/>
      <c r="N2042" s="1245">
        <f t="shared" si="378"/>
        <v>0</v>
      </c>
      <c r="O2042" s="1245"/>
      <c r="P2042" s="1257">
        <f t="shared" si="377"/>
        <v>0</v>
      </c>
      <c r="Q2042" s="1245"/>
      <c r="R2042" s="1245"/>
      <c r="S2042" s="1245"/>
      <c r="T2042" s="1671"/>
      <c r="U2042" s="1664" t="str">
        <f>IFERROR(VLOOKUP(B2042,ChiTietDuToan!C:H,5,0),"")</f>
        <v/>
      </c>
      <c r="V2042" s="2309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59" t="s">
        <v>1746</v>
      </c>
      <c r="C2043" s="1189" t="str">
        <f t="shared" si="369"/>
        <v xml:space="preserve"> </v>
      </c>
      <c r="D2043" s="1236"/>
      <c r="E2043" s="1248" t="str">
        <f>VLOOKUP($B2043,DG!A:D,DG!$C$2,)</f>
        <v>Kẹp treo cáp ABC4x50mm2</v>
      </c>
      <c r="F2043" s="1236" t="str">
        <f>VLOOKUP($B2043,DG!A:D,DG!$D$2,)</f>
        <v>cái</v>
      </c>
      <c r="G2043" s="1928">
        <f>ppht!DD338</f>
        <v>0</v>
      </c>
      <c r="H2043" s="1245">
        <f t="shared" si="372"/>
        <v>0</v>
      </c>
      <c r="I2043" s="1245"/>
      <c r="J2043" s="1245"/>
      <c r="K2043" s="1245"/>
      <c r="L2043" s="1245"/>
      <c r="M2043" s="1245"/>
      <c r="N2043" s="1245">
        <f t="shared" si="378"/>
        <v>0</v>
      </c>
      <c r="O2043" s="1245"/>
      <c r="P2043" s="1257">
        <f t="shared" si="377"/>
        <v>0</v>
      </c>
      <c r="Q2043" s="1245"/>
      <c r="R2043" s="1245"/>
      <c r="S2043" s="1245"/>
      <c r="T2043" s="1671"/>
      <c r="U2043" s="1664" t="str">
        <f>IFERROR(VLOOKUP(B2043,ChiTietDuToan!C:H,5,0),"")</f>
        <v/>
      </c>
      <c r="V2043" s="2309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93" t="s">
        <v>1787</v>
      </c>
      <c r="C2044" s="1189" t="str">
        <f t="shared" si="369"/>
        <v xml:space="preserve"> </v>
      </c>
      <c r="D2044" s="1236"/>
      <c r="E2044" s="1248" t="str">
        <f>VLOOKUP($B2044,DG!A:D,DG!$C$2,)</f>
        <v>Móc treo chữ A</v>
      </c>
      <c r="F2044" s="1236" t="str">
        <f>VLOOKUP($B2044,DG!A:D,DG!$D$2,)</f>
        <v>cái</v>
      </c>
      <c r="G2044" s="1915">
        <f>ppht!DO338</f>
        <v>0</v>
      </c>
      <c r="H2044" s="1245">
        <f>G2044</f>
        <v>0</v>
      </c>
      <c r="I2044" s="1245"/>
      <c r="J2044" s="1245"/>
      <c r="K2044" s="1245"/>
      <c r="L2044" s="1245"/>
      <c r="M2044" s="1245"/>
      <c r="N2044" s="1245">
        <f>G2044</f>
        <v>0</v>
      </c>
      <c r="O2044" s="1245"/>
      <c r="P2044" s="1257">
        <f t="shared" si="377"/>
        <v>0</v>
      </c>
      <c r="Q2044" s="1245"/>
      <c r="R2044" s="1245"/>
      <c r="S2044" s="1245"/>
      <c r="T2044" s="1671"/>
      <c r="U2044" s="1664" t="str">
        <f>IFERROR(VLOOKUP(B2044,ChiTietDuToan!C:H,5,0),"")</f>
        <v/>
      </c>
      <c r="V2044" s="2309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59" t="s">
        <v>2281</v>
      </c>
      <c r="C2045" s="1189" t="str">
        <f t="shared" si="369"/>
        <v xml:space="preserve"> </v>
      </c>
      <c r="D2045" s="1236"/>
      <c r="E2045" s="1248" t="str">
        <f>VLOOKUP($B2045,DG!A:D,DG!$C$2,)</f>
        <v>Kẹp ngừng cáp ABC4x150mm2</v>
      </c>
      <c r="F2045" s="1236" t="str">
        <f>VLOOKUP($B2045,DG!A:D,DG!$D$2,)</f>
        <v>cái</v>
      </c>
      <c r="G2045" s="1915">
        <f>ppht!DE338</f>
        <v>0</v>
      </c>
      <c r="H2045" s="1245">
        <f t="shared" si="372"/>
        <v>0</v>
      </c>
      <c r="I2045" s="1245"/>
      <c r="J2045" s="1245"/>
      <c r="K2045" s="1245"/>
      <c r="L2045" s="1245"/>
      <c r="M2045" s="1245"/>
      <c r="N2045" s="1245">
        <f t="shared" si="378"/>
        <v>0</v>
      </c>
      <c r="O2045" s="1245"/>
      <c r="P2045" s="1257">
        <f t="shared" si="377"/>
        <v>0</v>
      </c>
      <c r="Q2045" s="1245"/>
      <c r="R2045" s="1245"/>
      <c r="S2045" s="1245"/>
      <c r="T2045" s="1671"/>
      <c r="U2045" s="1664" t="str">
        <f>IFERROR(VLOOKUP(B2045,ChiTietDuToan!C:H,5,0),"")</f>
        <v/>
      </c>
      <c r="V2045" s="2309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93" t="s">
        <v>1462</v>
      </c>
      <c r="C2046" s="1189" t="str">
        <f t="shared" si="369"/>
        <v xml:space="preserve"> </v>
      </c>
      <c r="D2046" s="1236"/>
      <c r="E2046" s="1248" t="str">
        <f>VLOOKUP($B2046,DG!A:D,DG!$C$2,)</f>
        <v>Kẹp ngừng cáp ABC3x95mm2</v>
      </c>
      <c r="F2046" s="1236" t="str">
        <f>VLOOKUP($B2046,DG!A:D,DG!$D$2,)</f>
        <v>cái</v>
      </c>
      <c r="G2046" s="1915">
        <f>ppht!DF338</f>
        <v>0</v>
      </c>
      <c r="H2046" s="1245">
        <f t="shared" si="372"/>
        <v>0</v>
      </c>
      <c r="I2046" s="1245"/>
      <c r="J2046" s="1245"/>
      <c r="K2046" s="1245"/>
      <c r="L2046" s="1245"/>
      <c r="M2046" s="1245"/>
      <c r="N2046" s="1245">
        <f t="shared" si="378"/>
        <v>0</v>
      </c>
      <c r="O2046" s="1245"/>
      <c r="P2046" s="1257">
        <f t="shared" si="377"/>
        <v>0</v>
      </c>
      <c r="Q2046" s="1245"/>
      <c r="R2046" s="1245"/>
      <c r="S2046" s="1245"/>
      <c r="T2046" s="1671"/>
      <c r="U2046" s="1664" t="str">
        <f>IFERROR(VLOOKUP(B2046,ChiTietDuToan!C:H,5,0),"")</f>
        <v/>
      </c>
      <c r="V2046" s="2309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59" t="s">
        <v>2320</v>
      </c>
      <c r="C2047" s="1189" t="str">
        <f t="shared" si="369"/>
        <v xml:space="preserve"> </v>
      </c>
      <c r="D2047" s="1236" t="str">
        <f>VLOOKUP($B2047,DG!A:D,DG!$B$2,)</f>
        <v>06.1201</v>
      </c>
      <c r="E2047" s="1248" t="str">
        <f>VLOOKUP($B2047,DG!A:D,DG!$C$2,)</f>
        <v>Kẹp ngừng cáp ABC4x70mm2</v>
      </c>
      <c r="F2047" s="1236" t="str">
        <f>VLOOKUP($B2047,DG!A:D,DG!$D$2,)</f>
        <v>cái</v>
      </c>
      <c r="G2047" s="1915">
        <f>ppht!DG338</f>
        <v>0</v>
      </c>
      <c r="H2047" s="1245">
        <f t="shared" si="372"/>
        <v>0</v>
      </c>
      <c r="I2047" s="1245"/>
      <c r="J2047" s="1245"/>
      <c r="K2047" s="1245"/>
      <c r="L2047" s="1245"/>
      <c r="M2047" s="1245"/>
      <c r="N2047" s="1245">
        <f t="shared" si="378"/>
        <v>0</v>
      </c>
      <c r="O2047" s="1245"/>
      <c r="P2047" s="1257">
        <f t="shared" si="377"/>
        <v>0</v>
      </c>
      <c r="Q2047" s="1245"/>
      <c r="R2047" s="1245"/>
      <c r="S2047" s="1245"/>
      <c r="T2047" s="1671"/>
      <c r="U2047" s="1664" t="str">
        <f>IFERROR(VLOOKUP(B2047,ChiTietDuToan!C:H,5,0),"")</f>
        <v/>
      </c>
      <c r="V2047" s="2309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59" t="s">
        <v>314</v>
      </c>
      <c r="C2048" s="1189" t="str">
        <f t="shared" si="369"/>
        <v xml:space="preserve"> </v>
      </c>
      <c r="D2048" s="1236"/>
      <c r="E2048" s="1248" t="str">
        <f>VLOOKUP($B2048,DG!A:D,DG!$C$2,)</f>
        <v>Kẹp ngừng cáp ABC4x50mm2</v>
      </c>
      <c r="F2048" s="1236" t="str">
        <f>VLOOKUP($B2048,DG!A:D,DG!$D$2,)</f>
        <v>cái</v>
      </c>
      <c r="G2048" s="1915">
        <f>ppht!DH338</f>
        <v>0</v>
      </c>
      <c r="H2048" s="1245">
        <f t="shared" si="372"/>
        <v>0</v>
      </c>
      <c r="I2048" s="1245"/>
      <c r="J2048" s="1245"/>
      <c r="K2048" s="1245"/>
      <c r="L2048" s="1245"/>
      <c r="M2048" s="1245"/>
      <c r="N2048" s="1245">
        <f t="shared" si="378"/>
        <v>0</v>
      </c>
      <c r="O2048" s="1245"/>
      <c r="P2048" s="1257">
        <f t="shared" si="377"/>
        <v>0</v>
      </c>
      <c r="Q2048" s="1245"/>
      <c r="R2048" s="1245"/>
      <c r="S2048" s="1245"/>
      <c r="T2048" s="1671"/>
      <c r="U2048" s="1664" t="str">
        <f>IFERROR(VLOOKUP(B2048,ChiTietDuToan!C:H,5,0),"")</f>
        <v/>
      </c>
      <c r="V2048" s="2309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59" t="s">
        <v>2282</v>
      </c>
      <c r="C2049" s="1189" t="str">
        <f t="shared" si="369"/>
        <v xml:space="preserve"> </v>
      </c>
      <c r="D2049" s="1236"/>
      <c r="E2049" s="1248" t="str">
        <f>VLOOKUP($B2049,DG!A:D,DG!$C$2,)</f>
        <v>Nắp bịt đầu cáp ABC150mm2</v>
      </c>
      <c r="F2049" s="1236" t="str">
        <f>VLOOKUP($B2049,DG!A:D,DG!$D$2,)</f>
        <v>cái</v>
      </c>
      <c r="G2049" s="1915">
        <f>ppht!CV338</f>
        <v>0</v>
      </c>
      <c r="H2049" s="1245">
        <f t="shared" si="372"/>
        <v>0</v>
      </c>
      <c r="I2049" s="1245"/>
      <c r="J2049" s="1245"/>
      <c r="K2049" s="1245"/>
      <c r="L2049" s="1245"/>
      <c r="M2049" s="1245"/>
      <c r="N2049" s="1245">
        <f t="shared" si="378"/>
        <v>0</v>
      </c>
      <c r="O2049" s="1245"/>
      <c r="P2049" s="1257">
        <f t="shared" si="377"/>
        <v>0</v>
      </c>
      <c r="Q2049" s="1245"/>
      <c r="R2049" s="1245"/>
      <c r="S2049" s="1245"/>
      <c r="T2049" s="1671"/>
      <c r="U2049" s="1664" t="str">
        <f>IFERROR(VLOOKUP(B2049,ChiTietDuToan!C:H,5,0),"")</f>
        <v/>
      </c>
      <c r="V2049" s="2309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59" t="s">
        <v>875</v>
      </c>
      <c r="C2050" s="1189" t="str">
        <f t="shared" si="369"/>
        <v xml:space="preserve"> </v>
      </c>
      <c r="D2050" s="1236"/>
      <c r="E2050" s="1248" t="str">
        <f>VLOOKUP($B2050,DG!A:D,DG!$C$2,)</f>
        <v>Nắp bịt đầu cáp ABC95mm2</v>
      </c>
      <c r="F2050" s="1236" t="str">
        <f>VLOOKUP($B2050,DG!A:D,DG!$D$2,)</f>
        <v>cái</v>
      </c>
      <c r="G2050" s="1915">
        <f>ppht!CW338</f>
        <v>0</v>
      </c>
      <c r="H2050" s="1245">
        <f t="shared" si="372"/>
        <v>0</v>
      </c>
      <c r="I2050" s="1245"/>
      <c r="J2050" s="1245"/>
      <c r="K2050" s="1245"/>
      <c r="L2050" s="1245"/>
      <c r="M2050" s="1245"/>
      <c r="N2050" s="1245">
        <f t="shared" si="378"/>
        <v>0</v>
      </c>
      <c r="O2050" s="1245"/>
      <c r="P2050" s="1257">
        <f t="shared" si="377"/>
        <v>0</v>
      </c>
      <c r="Q2050" s="1245"/>
      <c r="R2050" s="1245"/>
      <c r="S2050" s="1245"/>
      <c r="T2050" s="1671"/>
      <c r="U2050" s="1664" t="str">
        <f>IFERROR(VLOOKUP(B2050,ChiTietDuToan!C:H,5,0),"")</f>
        <v/>
      </c>
      <c r="V2050" s="2309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59" t="s">
        <v>876</v>
      </c>
      <c r="C2051" s="1189" t="str">
        <f t="shared" si="369"/>
        <v xml:space="preserve"> </v>
      </c>
      <c r="D2051" s="1236"/>
      <c r="E2051" s="1248" t="str">
        <f>VLOOKUP($B2051,DG!A:D,DG!$C$2,)</f>
        <v>Nắp bịt đầu cáp ABC70mm2</v>
      </c>
      <c r="F2051" s="1236" t="str">
        <f>VLOOKUP($B2051,DG!A:D,DG!$D$2,)</f>
        <v>cái</v>
      </c>
      <c r="G2051" s="1915">
        <f>ppht!CX338</f>
        <v>0</v>
      </c>
      <c r="H2051" s="1245">
        <f t="shared" si="372"/>
        <v>0</v>
      </c>
      <c r="I2051" s="1245"/>
      <c r="J2051" s="1245"/>
      <c r="K2051" s="1245"/>
      <c r="L2051" s="1245"/>
      <c r="M2051" s="1245"/>
      <c r="N2051" s="1245">
        <f t="shared" si="378"/>
        <v>0</v>
      </c>
      <c r="O2051" s="1245"/>
      <c r="P2051" s="1257">
        <f t="shared" si="377"/>
        <v>0</v>
      </c>
      <c r="Q2051" s="1245"/>
      <c r="R2051" s="1245"/>
      <c r="S2051" s="1245"/>
      <c r="T2051" s="1671"/>
      <c r="U2051" s="1664" t="str">
        <f>IFERROR(VLOOKUP(B2051,ChiTietDuToan!C:H,5,0),"")</f>
        <v/>
      </c>
      <c r="V2051" s="2309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59" t="s">
        <v>877</v>
      </c>
      <c r="C2052" s="1189" t="str">
        <f t="shared" si="369"/>
        <v xml:space="preserve"> </v>
      </c>
      <c r="D2052" s="1236"/>
      <c r="E2052" s="1248" t="str">
        <f>VLOOKUP($B2052,DG!A:D,DG!$C$2,)</f>
        <v>Nắp bịt đầu cáp ABC50mm2</v>
      </c>
      <c r="F2052" s="1236" t="str">
        <f>VLOOKUP($B2052,DG!A:D,DG!$D$2,)</f>
        <v>cái</v>
      </c>
      <c r="G2052" s="1915">
        <f>ppht!CZ342</f>
        <v>0</v>
      </c>
      <c r="H2052" s="1245">
        <f>G2052</f>
        <v>0</v>
      </c>
      <c r="I2052" s="1245"/>
      <c r="J2052" s="1245"/>
      <c r="K2052" s="1245"/>
      <c r="L2052" s="1245"/>
      <c r="M2052" s="1245"/>
      <c r="N2052" s="1245">
        <f>G2052</f>
        <v>0</v>
      </c>
      <c r="O2052" s="1245"/>
      <c r="P2052" s="1257">
        <f t="shared" si="377"/>
        <v>0</v>
      </c>
      <c r="Q2052" s="1245"/>
      <c r="R2052" s="1245"/>
      <c r="S2052" s="1245"/>
      <c r="T2052" s="1671"/>
      <c r="U2052" s="1664" t="str">
        <f>IFERROR(VLOOKUP(B2052,ChiTietDuToan!C:H,5,0),"")</f>
        <v/>
      </c>
      <c r="V2052" s="2309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59" t="s">
        <v>4483</v>
      </c>
      <c r="C2053" s="1189" t="str">
        <f t="shared" si="369"/>
        <v xml:space="preserve"> </v>
      </c>
      <c r="D2053" s="1236"/>
      <c r="E2053" s="1248" t="str">
        <f>VLOOKUP($B2053,DG!A:D,DG!$C$2,)</f>
        <v>Nắp bịt đầu cáp 35mm2</v>
      </c>
      <c r="F2053" s="1236" t="str">
        <f>VLOOKUP($B2053,DG!A:D,DG!$D$2,)</f>
        <v>cái</v>
      </c>
      <c r="G2053" s="1915">
        <f>+ppht!CY342</f>
        <v>0</v>
      </c>
      <c r="H2053" s="1245">
        <f t="shared" si="372"/>
        <v>0</v>
      </c>
      <c r="I2053" s="1245"/>
      <c r="J2053" s="1245"/>
      <c r="K2053" s="1245"/>
      <c r="L2053" s="1245"/>
      <c r="M2053" s="1245"/>
      <c r="N2053" s="1245">
        <f t="shared" si="378"/>
        <v>0</v>
      </c>
      <c r="O2053" s="1245"/>
      <c r="P2053" s="1257">
        <f t="shared" si="377"/>
        <v>0</v>
      </c>
      <c r="Q2053" s="1245"/>
      <c r="R2053" s="1245"/>
      <c r="S2053" s="1245"/>
      <c r="T2053" s="1671"/>
      <c r="U2053" s="1664" t="str">
        <f>IFERROR(VLOOKUP(B2053,ChiTietDuToan!C:H,5,0),"")</f>
        <v/>
      </c>
      <c r="V2053" s="2309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76" t="s">
        <v>922</v>
      </c>
      <c r="C2054" s="1189" t="str">
        <f t="shared" si="369"/>
        <v xml:space="preserve"> </v>
      </c>
      <c r="D2054" s="1236"/>
      <c r="E2054" s="1248" t="str">
        <f>VLOOKUP($B2054,DG!A:D,DG!$C$2,)</f>
        <v>Kẹp ép WR cỡ dây 50mm2</v>
      </c>
      <c r="F2054" s="1236" t="str">
        <f>VLOOKUP($B2054,DG!A:D,DG!$D$2,)</f>
        <v>cái</v>
      </c>
      <c r="G2054" s="1915"/>
      <c r="H2054" s="1245">
        <f t="shared" si="372"/>
        <v>0</v>
      </c>
      <c r="I2054" s="1245"/>
      <c r="J2054" s="1245"/>
      <c r="K2054" s="1245"/>
      <c r="L2054" s="1245"/>
      <c r="M2054" s="1245"/>
      <c r="N2054" s="1245"/>
      <c r="O2054" s="1245"/>
      <c r="P2054" s="1257">
        <f t="shared" si="377"/>
        <v>0</v>
      </c>
      <c r="Q2054" s="1250"/>
      <c r="R2054" s="1250"/>
      <c r="S2054" s="1250"/>
      <c r="T2054" s="1671"/>
      <c r="U2054" s="1664" t="str">
        <f>IFERROR(VLOOKUP(B2054,ChiTietDuToan!C:H,5,0),"")</f>
        <v/>
      </c>
      <c r="V2054" s="2309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94" t="s">
        <v>4482</v>
      </c>
      <c r="C2055" s="1189" t="str">
        <f t="shared" si="369"/>
        <v xml:space="preserve"> </v>
      </c>
      <c r="D2055" s="1236"/>
      <c r="E2055" s="1693" t="str">
        <f>VLOOKUP($B2055,DG!A:D,DG!$C$2,)</f>
        <v>Bộ tiếp địa cố định</v>
      </c>
      <c r="F2055" s="1236" t="str">
        <f>VLOOKUP($B2055,DG!A:D,DG!$D$2,)</f>
        <v>bộ</v>
      </c>
      <c r="G2055" s="1915">
        <f>ppht!DU342</f>
        <v>0</v>
      </c>
      <c r="H2055" s="1245">
        <f t="shared" si="372"/>
        <v>0</v>
      </c>
      <c r="I2055" s="1250"/>
      <c r="J2055" s="1250"/>
      <c r="K2055" s="1250"/>
      <c r="L2055" s="1250"/>
      <c r="M2055" s="1250"/>
      <c r="N2055" s="1250"/>
      <c r="O2055" s="1250"/>
      <c r="P2055" s="1257">
        <f t="shared" si="377"/>
        <v>0</v>
      </c>
      <c r="Q2055" s="1245"/>
      <c r="R2055" s="1245"/>
      <c r="S2055" s="1245"/>
      <c r="T2055" s="1671"/>
      <c r="U2055" s="1664" t="str">
        <f>IFERROR(VLOOKUP(B2055,ChiTietDuToan!C:H,5,0),"")</f>
        <v/>
      </c>
      <c r="V2055" s="2309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59" t="s">
        <v>4928</v>
      </c>
      <c r="C2056" s="1189" t="str">
        <f t="shared" ref="C2056:C2066" si="379">IF(OR(P2056&lt;&gt;0,H2056&lt;&gt;0),"x"," ")</f>
        <v xml:space="preserve"> </v>
      </c>
      <c r="D2056" s="1236"/>
      <c r="E2056" s="1693" t="str">
        <f>VLOOKUP($B2056,DG!A:D,DG!$C$2,)</f>
        <v>MCCB 3 cực 125A</v>
      </c>
      <c r="F2056" s="1236" t="str">
        <f>VLOOKUP($B2056,DG!A:D,DG!$D$2,)</f>
        <v>cái</v>
      </c>
      <c r="G2056" s="1915"/>
      <c r="H2056" s="1245">
        <f>G2056</f>
        <v>0</v>
      </c>
      <c r="I2056" s="1250"/>
      <c r="J2056" s="1250"/>
      <c r="K2056" s="1250"/>
      <c r="L2056" s="1250"/>
      <c r="M2056" s="1250"/>
      <c r="N2056" s="1250"/>
      <c r="O2056" s="1250"/>
      <c r="P2056" s="1257">
        <f t="shared" ref="P2056:P2066" si="380">H2056+Q2056-R2056</f>
        <v>0</v>
      </c>
      <c r="Q2056" s="1245"/>
      <c r="R2056" s="1245"/>
      <c r="S2056" s="1245"/>
      <c r="T2056" s="1671"/>
      <c r="U2056" s="1664" t="str">
        <f>IFERROR(VLOOKUP(B2056,ChiTietDuToan!C:H,5,0),"")</f>
        <v/>
      </c>
      <c r="V2056" s="2309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59" t="s">
        <v>275</v>
      </c>
      <c r="C2057" s="1189" t="str">
        <f t="shared" si="379"/>
        <v xml:space="preserve"> </v>
      </c>
      <c r="D2057" s="1236"/>
      <c r="E2057" s="1693" t="str">
        <f>VLOOKUP($B2057,DG!A:D,DG!$C$2,)</f>
        <v>Cáp đồng bọc CV95</v>
      </c>
      <c r="F2057" s="1236" t="str">
        <f>VLOOKUP($B2057,DG!A:D,DG!$D$2,)</f>
        <v>mét</v>
      </c>
      <c r="G2057" s="1915"/>
      <c r="H2057" s="1245">
        <f t="shared" si="372"/>
        <v>0</v>
      </c>
      <c r="I2057" s="1250"/>
      <c r="J2057" s="1250"/>
      <c r="K2057" s="1250"/>
      <c r="L2057" s="1250"/>
      <c r="M2057" s="1250"/>
      <c r="N2057" s="1250"/>
      <c r="O2057" s="1250"/>
      <c r="P2057" s="1257">
        <f t="shared" si="380"/>
        <v>0</v>
      </c>
      <c r="Q2057" s="1245"/>
      <c r="R2057" s="1245"/>
      <c r="S2057" s="1245"/>
      <c r="T2057" s="1671"/>
      <c r="U2057" s="1664" t="str">
        <f>IFERROR(VLOOKUP(B2057,ChiTietDuToan!C:H,5,0),"")</f>
        <v/>
      </c>
      <c r="V2057" s="2309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59" t="s">
        <v>4927</v>
      </c>
      <c r="C2058" s="1189" t="str">
        <f t="shared" si="379"/>
        <v xml:space="preserve"> </v>
      </c>
      <c r="D2058" s="1236"/>
      <c r="E2058" s="1693" t="str">
        <f>VLOOKUP($B2058,DG!A:D,DG!$C$2,)</f>
        <v>Đầu cosse ép Cu-Al 95mm2</v>
      </c>
      <c r="F2058" s="1236" t="str">
        <f>VLOOKUP($B2058,DG!A:D,DG!$D$2,)</f>
        <v>cái</v>
      </c>
      <c r="G2058" s="1915"/>
      <c r="H2058" s="1245">
        <f t="shared" si="372"/>
        <v>0</v>
      </c>
      <c r="I2058" s="1250"/>
      <c r="J2058" s="1250"/>
      <c r="K2058" s="1250"/>
      <c r="L2058" s="1250"/>
      <c r="M2058" s="1250"/>
      <c r="N2058" s="1250"/>
      <c r="O2058" s="1250"/>
      <c r="P2058" s="1257">
        <f t="shared" si="380"/>
        <v>0</v>
      </c>
      <c r="Q2058" s="1245"/>
      <c r="R2058" s="1245"/>
      <c r="S2058" s="1245"/>
      <c r="T2058" s="1671"/>
      <c r="U2058" s="1664" t="str">
        <f>IFERROR(VLOOKUP(B2058,ChiTietDuToan!C:H,5,0),"")</f>
        <v/>
      </c>
      <c r="V2058" s="2309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59" t="s">
        <v>4252</v>
      </c>
      <c r="C2059" s="1189" t="str">
        <f t="shared" si="379"/>
        <v xml:space="preserve"> </v>
      </c>
      <c r="D2059" s="1236"/>
      <c r="E2059" s="1693" t="str">
        <f>VLOOKUP($B2059,DG!A:D,DG!$C$2,)</f>
        <v>Hộp CB phân đoạn</v>
      </c>
      <c r="F2059" s="1236" t="str">
        <f>VLOOKUP($B2059,DG!A:D,DG!$D$2,)</f>
        <v>hộp</v>
      </c>
      <c r="G2059" s="1915">
        <f>ppht!DR342</f>
        <v>0</v>
      </c>
      <c r="H2059" s="1245">
        <f t="shared" si="372"/>
        <v>0</v>
      </c>
      <c r="I2059" s="1250"/>
      <c r="J2059" s="1250"/>
      <c r="K2059" s="1250"/>
      <c r="L2059" s="1250"/>
      <c r="M2059" s="1250"/>
      <c r="N2059" s="1250"/>
      <c r="O2059" s="1250"/>
      <c r="P2059" s="1257">
        <f t="shared" si="380"/>
        <v>0</v>
      </c>
      <c r="Q2059" s="1245"/>
      <c r="R2059" s="1245"/>
      <c r="S2059" s="1245"/>
      <c r="T2059" s="1671"/>
      <c r="U2059" s="1664" t="str">
        <f>IFERROR(VLOOKUP(B2059,ChiTietDuToan!C:H,5,0),"")</f>
        <v/>
      </c>
      <c r="V2059" s="2309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59" t="s">
        <v>1541</v>
      </c>
      <c r="C2060" s="1189" t="str">
        <f t="shared" si="379"/>
        <v xml:space="preserve"> </v>
      </c>
      <c r="D2060" s="1236"/>
      <c r="E2060" s="1693" t="str">
        <f>VLOOKUP($B2060,DG!A:D,DG!$C$2,)</f>
        <v xml:space="preserve">Ống PVC D90x3,8mm </v>
      </c>
      <c r="F2060" s="1236" t="str">
        <f>VLOOKUP($B2060,DG!A:D,DG!$D$2,)</f>
        <v>m</v>
      </c>
      <c r="G2060" s="1915"/>
      <c r="H2060" s="1245">
        <f t="shared" si="372"/>
        <v>0</v>
      </c>
      <c r="I2060" s="1250"/>
      <c r="J2060" s="1250"/>
      <c r="K2060" s="1250"/>
      <c r="L2060" s="1250"/>
      <c r="M2060" s="1250"/>
      <c r="N2060" s="1250"/>
      <c r="O2060" s="1250"/>
      <c r="P2060" s="1257">
        <f t="shared" si="380"/>
        <v>0</v>
      </c>
      <c r="Q2060" s="1245"/>
      <c r="R2060" s="1245"/>
      <c r="S2060" s="1245"/>
      <c r="T2060" s="1671"/>
      <c r="U2060" s="1664" t="str">
        <f>IFERROR(VLOOKUP(B2060,ChiTietDuToan!C:H,5,0),"")</f>
        <v/>
      </c>
      <c r="V2060" s="2309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59" t="s">
        <v>86</v>
      </c>
      <c r="C2061" s="1189" t="str">
        <f t="shared" si="379"/>
        <v xml:space="preserve"> </v>
      </c>
      <c r="D2061" s="1236"/>
      <c r="E2061" s="1693" t="str">
        <f>VLOOKUP($B2061,DG!A:D,DG!$C$2,)</f>
        <v>Co  90 độ PVC 90</v>
      </c>
      <c r="F2061" s="1236" t="str">
        <f>VLOOKUP($B2061,DG!A:D,DG!$D$2,)</f>
        <v>cái</v>
      </c>
      <c r="G2061" s="1915"/>
      <c r="H2061" s="1245">
        <f t="shared" ref="H2061:H2066" si="381">G2061</f>
        <v>0</v>
      </c>
      <c r="I2061" s="1250"/>
      <c r="J2061" s="1250"/>
      <c r="K2061" s="1250"/>
      <c r="L2061" s="1250"/>
      <c r="M2061" s="1250"/>
      <c r="N2061" s="1250"/>
      <c r="O2061" s="1250"/>
      <c r="P2061" s="1257">
        <f t="shared" si="380"/>
        <v>0</v>
      </c>
      <c r="Q2061" s="1245"/>
      <c r="R2061" s="1245"/>
      <c r="S2061" s="1245"/>
      <c r="T2061" s="1671"/>
      <c r="U2061" s="1664" t="str">
        <f>IFERROR(VLOOKUP(B2061,ChiTietDuToan!C:H,5,0),"")</f>
        <v/>
      </c>
      <c r="V2061" s="2309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59" t="s">
        <v>277</v>
      </c>
      <c r="C2062" s="1189" t="str">
        <f t="shared" si="379"/>
        <v xml:space="preserve"> </v>
      </c>
      <c r="D2062" s="1236"/>
      <c r="E2062" s="1693" t="str">
        <f>VLOOKUP($B2062,DG!A:D,DG!$C$2,)</f>
        <v>Cổ dê kẹp ống PVC Ø 90</v>
      </c>
      <c r="F2062" s="1236" t="str">
        <f>VLOOKUP($B2062,DG!A:D,DG!$D$2,)</f>
        <v>bộ</v>
      </c>
      <c r="G2062" s="1915"/>
      <c r="H2062" s="1245">
        <f t="shared" si="381"/>
        <v>0</v>
      </c>
      <c r="I2062" s="1250"/>
      <c r="J2062" s="1250"/>
      <c r="K2062" s="1250"/>
      <c r="L2062" s="1250"/>
      <c r="M2062" s="1250"/>
      <c r="N2062" s="1250"/>
      <c r="O2062" s="1250"/>
      <c r="P2062" s="1257">
        <f t="shared" si="380"/>
        <v>0</v>
      </c>
      <c r="Q2062" s="1245"/>
      <c r="R2062" s="1245"/>
      <c r="S2062" s="1245"/>
      <c r="T2062" s="1671"/>
      <c r="U2062" s="1664" t="str">
        <f>IFERROR(VLOOKUP(B2062,ChiTietDuToan!C:H,5,0),"")</f>
        <v/>
      </c>
      <c r="V2062" s="2309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89" t="str">
        <f t="shared" si="379"/>
        <v xml:space="preserve"> </v>
      </c>
      <c r="D2063" s="1236"/>
      <c r="E2063" s="1693" t="str">
        <f>VLOOKUP($B2063,DG!A:D,DG!$C$2,)</f>
        <v>Keo silicon bít miệng ống</v>
      </c>
      <c r="F2063" s="1236" t="str">
        <f>VLOOKUP($B2063,DG!A:D,DG!$D$2,)</f>
        <v>ống</v>
      </c>
      <c r="G2063" s="1915"/>
      <c r="H2063" s="1245">
        <f t="shared" si="381"/>
        <v>0</v>
      </c>
      <c r="I2063" s="1250"/>
      <c r="J2063" s="1250"/>
      <c r="K2063" s="1250"/>
      <c r="L2063" s="1250"/>
      <c r="M2063" s="1250"/>
      <c r="N2063" s="1250"/>
      <c r="O2063" s="1250"/>
      <c r="P2063" s="1257">
        <f t="shared" si="380"/>
        <v>0</v>
      </c>
      <c r="Q2063" s="1245"/>
      <c r="R2063" s="1245"/>
      <c r="S2063" s="1245"/>
      <c r="T2063" s="1671"/>
      <c r="U2063" s="1664" t="str">
        <f>IFERROR(VLOOKUP(B2063,ChiTietDuToan!C:H,5,0),"")</f>
        <v/>
      </c>
      <c r="V2063" s="2309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89" t="str">
        <f t="shared" si="379"/>
        <v xml:space="preserve"> </v>
      </c>
      <c r="D2064" s="1236"/>
      <c r="E2064" s="1693" t="str">
        <f>VLOOKUP($B2064,DG!A:D,DG!$C$2,)</f>
        <v>Keo dán ống PVC (100gr)</v>
      </c>
      <c r="F2064" s="1236" t="str">
        <f>VLOOKUP($B2064,DG!A:D,DG!$D$2,)</f>
        <v>tuýp</v>
      </c>
      <c r="G2064" s="1915"/>
      <c r="H2064" s="1245">
        <f t="shared" si="381"/>
        <v>0</v>
      </c>
      <c r="I2064" s="1250"/>
      <c r="J2064" s="1250"/>
      <c r="K2064" s="1250"/>
      <c r="L2064" s="1250"/>
      <c r="M2064" s="1250"/>
      <c r="N2064" s="1250"/>
      <c r="O2064" s="1250"/>
      <c r="P2064" s="1257">
        <f t="shared" si="380"/>
        <v>0</v>
      </c>
      <c r="Q2064" s="1245"/>
      <c r="R2064" s="1245"/>
      <c r="S2064" s="1245"/>
      <c r="T2064" s="1671"/>
      <c r="U2064" s="1664" t="str">
        <f>IFERROR(VLOOKUP(B2064,ChiTietDuToan!C:H,5,0),"")</f>
        <v/>
      </c>
      <c r="V2064" s="2309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59" t="s">
        <v>1519</v>
      </c>
      <c r="C2065" s="1189" t="str">
        <f t="shared" si="379"/>
        <v xml:space="preserve"> </v>
      </c>
      <c r="D2065" s="1236"/>
      <c r="E2065" s="1248" t="str">
        <f>VLOOKUP($B2065,DG!A:D,DG!$C$2,)</f>
        <v xml:space="preserve">Móc dừng </v>
      </c>
      <c r="F2065" s="1236" t="str">
        <f>VLOOKUP($B2065,DG!A:D,DG!$D$2,)</f>
        <v>cái</v>
      </c>
      <c r="G2065" s="1928">
        <f>ppht!DM338</f>
        <v>0</v>
      </c>
      <c r="H2065" s="1245">
        <f t="shared" si="381"/>
        <v>0</v>
      </c>
      <c r="I2065" s="1245"/>
      <c r="J2065" s="1245"/>
      <c r="K2065" s="1245"/>
      <c r="L2065" s="1245"/>
      <c r="M2065" s="1245"/>
      <c r="N2065" s="1245">
        <f>G2065</f>
        <v>0</v>
      </c>
      <c r="O2065" s="1245"/>
      <c r="P2065" s="1257">
        <f t="shared" si="380"/>
        <v>0</v>
      </c>
      <c r="Q2065" s="1245"/>
      <c r="R2065" s="1245"/>
      <c r="S2065" s="1245"/>
      <c r="T2065" s="1671"/>
      <c r="U2065" s="1664" t="str">
        <f>IFERROR(VLOOKUP(B2065,ChiTietDuToan!C:H,5,0),"")</f>
        <v/>
      </c>
      <c r="V2065" s="2309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59" t="s">
        <v>2077</v>
      </c>
      <c r="C2066" s="1189" t="str">
        <f t="shared" si="379"/>
        <v xml:space="preserve"> </v>
      </c>
      <c r="D2066" s="1236"/>
      <c r="E2066" s="1248" t="str">
        <f>VLOOKUP($B2066,DG!A:D,DG!$C$2,)</f>
        <v xml:space="preserve">Móc đơn treo cáp </v>
      </c>
      <c r="F2066" s="1236" t="str">
        <f>VLOOKUP($B2066,DG!A:D,DG!$D$2,)</f>
        <v>cái</v>
      </c>
      <c r="G2066" s="1928"/>
      <c r="H2066" s="1245">
        <f t="shared" si="381"/>
        <v>0</v>
      </c>
      <c r="I2066" s="1245"/>
      <c r="J2066" s="1245"/>
      <c r="K2066" s="1245"/>
      <c r="L2066" s="1245"/>
      <c r="M2066" s="1245"/>
      <c r="N2066" s="1245">
        <f>G2066</f>
        <v>0</v>
      </c>
      <c r="O2066" s="1245"/>
      <c r="P2066" s="1257">
        <f t="shared" si="380"/>
        <v>0</v>
      </c>
      <c r="Q2066" s="1245"/>
      <c r="R2066" s="1245"/>
      <c r="S2066" s="1245"/>
      <c r="T2066" s="1671"/>
      <c r="U2066" s="1664" t="str">
        <f>IFERROR(VLOOKUP(B2066,ChiTietDuToan!C:H,5,0),"")</f>
        <v/>
      </c>
      <c r="V2066" s="2309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59" t="s">
        <v>1543</v>
      </c>
      <c r="C2067" s="1189" t="str">
        <f t="shared" si="369"/>
        <v xml:space="preserve"> </v>
      </c>
      <c r="D2067" s="1236"/>
      <c r="E2067" s="1248" t="str">
        <f>VLOOKUP($B2067,DG!A:D,DG!$C$2,)</f>
        <v>Rack 2 sứ + sứ ống chỉ</v>
      </c>
      <c r="F2067" s="1236" t="str">
        <f>VLOOKUP($B2067,DG!A:D,DG!$D$2,)</f>
        <v>bộ</v>
      </c>
      <c r="G2067" s="1928">
        <f>ppht!BY338</f>
        <v>0</v>
      </c>
      <c r="H2067" s="1245">
        <f t="shared" si="372"/>
        <v>0</v>
      </c>
      <c r="I2067" s="1245"/>
      <c r="J2067" s="1245"/>
      <c r="K2067" s="1245"/>
      <c r="L2067" s="1245"/>
      <c r="M2067" s="1245"/>
      <c r="N2067" s="1245">
        <f>G2067</f>
        <v>0</v>
      </c>
      <c r="O2067" s="1245"/>
      <c r="P2067" s="1257">
        <f t="shared" si="377"/>
        <v>0</v>
      </c>
      <c r="Q2067" s="1245"/>
      <c r="R2067" s="1245"/>
      <c r="S2067" s="1245"/>
      <c r="T2067" s="1671"/>
      <c r="U2067" s="1664" t="str">
        <f>IFERROR(VLOOKUP(B2067,ChiTietDuToan!C:H,5,0),"")</f>
        <v/>
      </c>
      <c r="V2067" s="2309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59" t="s">
        <v>279</v>
      </c>
      <c r="C2068" s="1189" t="str">
        <f t="shared" si="369"/>
        <v xml:space="preserve"> </v>
      </c>
      <c r="D2068" s="1236"/>
      <c r="E2068" s="1248" t="str">
        <f>VLOOKUP($B2068,DG!A:D,DG!$C$2,)</f>
        <v>Rack 3 sứ + sứ ống chỉ</v>
      </c>
      <c r="F2068" s="1236" t="str">
        <f>VLOOKUP($B2068,DG!A:D,DG!$D$2,)</f>
        <v>bộ</v>
      </c>
      <c r="G2068" s="1928">
        <f>ppht!BZ338</f>
        <v>0</v>
      </c>
      <c r="H2068" s="1245">
        <f t="shared" si="372"/>
        <v>0</v>
      </c>
      <c r="I2068" s="1245"/>
      <c r="J2068" s="1245"/>
      <c r="K2068" s="1245"/>
      <c r="L2068" s="1245"/>
      <c r="M2068" s="1245"/>
      <c r="N2068" s="1245">
        <f>G2068</f>
        <v>0</v>
      </c>
      <c r="O2068" s="1245"/>
      <c r="P2068" s="1257">
        <f t="shared" si="377"/>
        <v>0</v>
      </c>
      <c r="Q2068" s="1245"/>
      <c r="R2068" s="1245"/>
      <c r="S2068" s="1245"/>
      <c r="T2068" s="1671"/>
      <c r="U2068" s="1664" t="str">
        <f>IFERROR(VLOOKUP(B2068,ChiTietDuToan!C:H,5,0),"")</f>
        <v/>
      </c>
      <c r="V2068" s="2309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59" t="s">
        <v>1483</v>
      </c>
      <c r="C2069" s="1189" t="str">
        <f t="shared" si="369"/>
        <v xml:space="preserve"> </v>
      </c>
      <c r="D2069" s="1236"/>
      <c r="E2069" s="1248" t="str">
        <f>VLOOKUP($B2069,DG!A:D,DG!$C$2,)</f>
        <v>Rack 4 sứ + sứ ống chỉ</v>
      </c>
      <c r="F2069" s="1236" t="str">
        <f>VLOOKUP($B2069,DG!A:D,DG!$D$2,)</f>
        <v>bộ</v>
      </c>
      <c r="G2069" s="1928">
        <f>ppht!CA338</f>
        <v>0</v>
      </c>
      <c r="H2069" s="1245">
        <f t="shared" si="372"/>
        <v>0</v>
      </c>
      <c r="I2069" s="1245"/>
      <c r="J2069" s="1245"/>
      <c r="K2069" s="1245"/>
      <c r="L2069" s="1245"/>
      <c r="M2069" s="1245"/>
      <c r="N2069" s="1245">
        <f>G2069</f>
        <v>0</v>
      </c>
      <c r="O2069" s="1245"/>
      <c r="P2069" s="1257">
        <f t="shared" si="377"/>
        <v>0</v>
      </c>
      <c r="Q2069" s="1245"/>
      <c r="R2069" s="1245"/>
      <c r="S2069" s="1245"/>
      <c r="T2069" s="1671"/>
      <c r="U2069" s="1664" t="str">
        <f>IFERROR(VLOOKUP(B2069,ChiTietDuToan!C:H,5,0),"")</f>
        <v/>
      </c>
      <c r="V2069" s="2309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59" t="s">
        <v>934</v>
      </c>
      <c r="C2070" s="1189" t="str">
        <f t="shared" si="369"/>
        <v xml:space="preserve"> </v>
      </c>
      <c r="D2070" s="1236" t="str">
        <f>VLOOKUP($B2070,DG!A:D,DG!$B$2,)</f>
        <v>05.1101</v>
      </c>
      <c r="E2070" s="1669" t="str">
        <f>VLOOKUP($B2070,DG!A:D,DG!$C$2,)</f>
        <v>Tủ phân phối hạ thế</v>
      </c>
      <c r="F2070" s="1236" t="str">
        <f>VLOOKUP($B2070,DG!A:D,DG!$D$2,)</f>
        <v>cái</v>
      </c>
      <c r="G2070" s="1931"/>
      <c r="H2070" s="1245">
        <f t="shared" si="372"/>
        <v>0</v>
      </c>
      <c r="I2070" s="1245"/>
      <c r="J2070" s="1245"/>
      <c r="K2070" s="1245"/>
      <c r="L2070" s="1245"/>
      <c r="M2070" s="1245"/>
      <c r="N2070" s="1245">
        <f t="shared" ref="N2070:N2078" si="383">G2070</f>
        <v>0</v>
      </c>
      <c r="O2070" s="1245"/>
      <c r="P2070" s="1257">
        <f t="shared" si="377"/>
        <v>0</v>
      </c>
      <c r="Q2070" s="1245"/>
      <c r="R2070" s="1245"/>
      <c r="S2070" s="1245"/>
      <c r="T2070" s="1671"/>
      <c r="U2070" s="1664" t="str">
        <f>IFERROR(VLOOKUP(B2070,ChiTietDuToan!C:H,5,0),"")</f>
        <v/>
      </c>
      <c r="V2070" s="2309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59" t="s">
        <v>2062</v>
      </c>
      <c r="C2071" s="1189" t="str">
        <f t="shared" si="369"/>
        <v xml:space="preserve"> </v>
      </c>
      <c r="D2071" s="1236" t="str">
        <f>VLOOKUP($B2071,DG!A:D,DG!$B$2,)</f>
        <v>07.2404</v>
      </c>
      <c r="E2071" s="1669" t="str">
        <f>VLOOKUP($B2071,DG!A:D,DG!$C$2,)&amp;": 6m/tuû"</f>
        <v>Ống PVC D60x2,8mm: 6m/tuû</v>
      </c>
      <c r="F2071" s="1236" t="str">
        <f>VLOOKUP($B2071,DG!A:D,DG!$D$2,)</f>
        <v>m</v>
      </c>
      <c r="G2071" s="1931"/>
      <c r="H2071" s="1245">
        <f t="shared" si="372"/>
        <v>0</v>
      </c>
      <c r="I2071" s="1245"/>
      <c r="J2071" s="1245"/>
      <c r="K2071" s="1245"/>
      <c r="L2071" s="1245"/>
      <c r="M2071" s="1245"/>
      <c r="N2071" s="1245">
        <f t="shared" si="383"/>
        <v>0</v>
      </c>
      <c r="O2071" s="1245"/>
      <c r="P2071" s="1257">
        <f t="shared" si="377"/>
        <v>0</v>
      </c>
      <c r="Q2071" s="1245"/>
      <c r="R2071" s="1245"/>
      <c r="S2071" s="1245"/>
      <c r="T2071" s="1671"/>
      <c r="U2071" s="1664" t="str">
        <f>IFERROR(VLOOKUP(B2071,ChiTietDuToan!C:H,5,0),"")</f>
        <v/>
      </c>
      <c r="V2071" s="2309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59" t="s">
        <v>2044</v>
      </c>
      <c r="C2072" s="1189" t="str">
        <f t="shared" si="369"/>
        <v xml:space="preserve"> </v>
      </c>
      <c r="D2072" s="1236" t="str">
        <f>VLOOKUP($B2072,DG!A:D,DG!$B$2,)</f>
        <v>06.3231</v>
      </c>
      <c r="E2072" s="1669" t="str">
        <f>VLOOKUP($B2072,DG!A:D,DG!$C$2,)</f>
        <v>Cổ dê kẹp ống PVC Ø 60</v>
      </c>
      <c r="F2072" s="1236" t="str">
        <f>VLOOKUP($B2072,DG!A:D,DG!$D$2,)</f>
        <v>bộ</v>
      </c>
      <c r="G2072" s="1931"/>
      <c r="H2072" s="1245">
        <f t="shared" si="372"/>
        <v>0</v>
      </c>
      <c r="I2072" s="1245"/>
      <c r="J2072" s="1245"/>
      <c r="K2072" s="1245"/>
      <c r="L2072" s="1245"/>
      <c r="M2072" s="1245"/>
      <c r="N2072" s="1245">
        <f t="shared" si="383"/>
        <v>0</v>
      </c>
      <c r="O2072" s="1245"/>
      <c r="P2072" s="1257">
        <f t="shared" si="377"/>
        <v>0</v>
      </c>
      <c r="Q2072" s="1245"/>
      <c r="R2072" s="1245"/>
      <c r="S2072" s="1245"/>
      <c r="T2072" s="1671"/>
      <c r="U2072" s="1664" t="str">
        <f>IFERROR(VLOOKUP(B2072,ChiTietDuToan!C:H,5,0),"")</f>
        <v/>
      </c>
      <c r="V2072" s="2309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59" t="s">
        <v>1135</v>
      </c>
      <c r="C2073" s="1189" t="str">
        <f t="shared" ref="C2073:C2134" si="384">IF(OR(P2073&lt;&gt;0,H2073&lt;&gt;0),"x"," ")</f>
        <v xml:space="preserve"> </v>
      </c>
      <c r="D2073" s="1236"/>
      <c r="E2073" s="1669" t="str">
        <f>VLOOKUP($B2073,DG!A:D,DG!$C$2,)&amp;": 3 caùi / tuû"</f>
        <v>Co 90 độ PVC 60: 3 caùi / tuû</v>
      </c>
      <c r="F2073" s="1236" t="str">
        <f>VLOOKUP($B2073,DG!A:D,DG!$D$2,)</f>
        <v>cái</v>
      </c>
      <c r="G2073" s="1931"/>
      <c r="H2073" s="1245">
        <f t="shared" si="372"/>
        <v>0</v>
      </c>
      <c r="I2073" s="1245"/>
      <c r="J2073" s="1245"/>
      <c r="K2073" s="1245"/>
      <c r="L2073" s="1245"/>
      <c r="M2073" s="1245"/>
      <c r="N2073" s="1245">
        <f t="shared" si="383"/>
        <v>0</v>
      </c>
      <c r="O2073" s="1245"/>
      <c r="P2073" s="1257">
        <f t="shared" si="377"/>
        <v>0</v>
      </c>
      <c r="Q2073" s="1245"/>
      <c r="R2073" s="1245"/>
      <c r="S2073" s="1245"/>
      <c r="T2073" s="1671"/>
      <c r="U2073" s="1664" t="str">
        <f>IFERROR(VLOOKUP(B2073,ChiTietDuToan!C:H,5,0),"")</f>
        <v/>
      </c>
      <c r="V2073" s="2309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59" t="s">
        <v>1668</v>
      </c>
      <c r="C2074" s="1189" t="str">
        <f t="shared" si="384"/>
        <v xml:space="preserve"> </v>
      </c>
      <c r="D2074" s="1236"/>
      <c r="E2074" s="1669" t="str">
        <f>VLOOKUP($B2074,DG!A:D,DG!$C$2,)&amp;": 6 caùi / tuû"</f>
        <v>Co 90 độ PVC 42: 6 caùi / tuû</v>
      </c>
      <c r="F2074" s="1236" t="str">
        <f>VLOOKUP($B2074,DG!A:D,DG!$D$2,)</f>
        <v>cái</v>
      </c>
      <c r="G2074" s="1931"/>
      <c r="H2074" s="1245">
        <f t="shared" si="372"/>
        <v>0</v>
      </c>
      <c r="I2074" s="1245"/>
      <c r="J2074" s="1245"/>
      <c r="K2074" s="1245"/>
      <c r="L2074" s="1245"/>
      <c r="M2074" s="1245"/>
      <c r="N2074" s="1245">
        <f>G2074</f>
        <v>0</v>
      </c>
      <c r="O2074" s="1245"/>
      <c r="P2074" s="1257">
        <f t="shared" si="377"/>
        <v>0</v>
      </c>
      <c r="Q2074" s="1245"/>
      <c r="R2074" s="1245"/>
      <c r="S2074" s="1245"/>
      <c r="T2074" s="1671"/>
      <c r="U2074" s="1664" t="str">
        <f>IFERROR(VLOOKUP(B2074,ChiTietDuToan!C:H,5,0),"")</f>
        <v/>
      </c>
      <c r="V2074" s="2309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59" t="s">
        <v>2283</v>
      </c>
      <c r="C2075" s="1189" t="str">
        <f t="shared" si="384"/>
        <v xml:space="preserve"> </v>
      </c>
      <c r="D2075" s="1236">
        <f>VLOOKUP($B2075,DG!A:D,DG!$B$2,)</f>
        <v>0</v>
      </c>
      <c r="E2075" s="1670" t="str">
        <f>VLOOKUP($B2075,DG!A:D,DG!$C$2,)&amp;": 8m töø CB ñaáu noái leân löôùi"</f>
        <v>Cáp nhôm ABC 4x150mm2: 8m töø CB ñaáu noái leân löôùi</v>
      </c>
      <c r="F2075" s="1236" t="str">
        <f>VLOOKUP($B2075,DG!A:D,DG!$D$2,)</f>
        <v>mét</v>
      </c>
      <c r="G2075" s="1934"/>
      <c r="H2075" s="1245">
        <f t="shared" si="372"/>
        <v>0</v>
      </c>
      <c r="I2075" s="1245"/>
      <c r="J2075" s="1245"/>
      <c r="K2075" s="1245"/>
      <c r="L2075" s="1245"/>
      <c r="M2075" s="1245"/>
      <c r="N2075" s="1245">
        <f t="shared" si="383"/>
        <v>0</v>
      </c>
      <c r="O2075" s="1245"/>
      <c r="P2075" s="1257">
        <f t="shared" si="377"/>
        <v>0</v>
      </c>
      <c r="Q2075" s="1245"/>
      <c r="R2075" s="1245"/>
      <c r="S2075" s="1245"/>
      <c r="T2075" s="1671"/>
      <c r="U2075" s="1664" t="str">
        <f>IFERROR(VLOOKUP(B2075,ChiTietDuToan!C:H,5,0),"")</f>
        <v/>
      </c>
      <c r="V2075" s="2309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59" t="s">
        <v>588</v>
      </c>
      <c r="C2076" s="1189" t="str">
        <f t="shared" si="384"/>
        <v xml:space="preserve"> </v>
      </c>
      <c r="D2076" s="1236">
        <f>VLOOKUP($B2076,DG!A:D,DG!$B$2,)</f>
        <v>0</v>
      </c>
      <c r="E2076" s="1670" t="str">
        <f>VLOOKUP($B2076,DG!A:D,DG!$C$2,)</f>
        <v xml:space="preserve">Ống PVC D114x4,9mm </v>
      </c>
      <c r="F2076" s="1236" t="str">
        <f>VLOOKUP($B2076,DG!A:D,DG!$D$2,)</f>
        <v>m</v>
      </c>
      <c r="G2076" s="1934"/>
      <c r="H2076" s="1245">
        <f t="shared" si="372"/>
        <v>0</v>
      </c>
      <c r="I2076" s="1245"/>
      <c r="J2076" s="1245"/>
      <c r="K2076" s="1245"/>
      <c r="L2076" s="1245"/>
      <c r="M2076" s="1245"/>
      <c r="N2076" s="1245">
        <f t="shared" si="383"/>
        <v>0</v>
      </c>
      <c r="O2076" s="1245"/>
      <c r="P2076" s="1257">
        <f t="shared" si="377"/>
        <v>0</v>
      </c>
      <c r="Q2076" s="1245"/>
      <c r="R2076" s="1245"/>
      <c r="S2076" s="1245"/>
      <c r="T2076" s="1671"/>
      <c r="U2076" s="1664" t="str">
        <f>IFERROR(VLOOKUP(B2076,ChiTietDuToan!C:H,5,0),"")</f>
        <v/>
      </c>
      <c r="V2076" s="2309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59" t="s">
        <v>1379</v>
      </c>
      <c r="C2077" s="1189" t="str">
        <f t="shared" si="384"/>
        <v xml:space="preserve"> </v>
      </c>
      <c r="D2077" s="1236">
        <f>VLOOKUP($B2077,DG!A:D,DG!$B$2,)</f>
        <v>0</v>
      </c>
      <c r="E2077" s="1670" t="str">
        <f>VLOOKUP($B2077,DG!A:D,DG!$C$2,)</f>
        <v>Co  90 độ PVC 114</v>
      </c>
      <c r="F2077" s="1236" t="str">
        <f>VLOOKUP($B2077,DG!A:D,DG!$D$2,)</f>
        <v>cái</v>
      </c>
      <c r="G2077" s="1934"/>
      <c r="H2077" s="1245">
        <f t="shared" si="372"/>
        <v>0</v>
      </c>
      <c r="I2077" s="1245"/>
      <c r="J2077" s="1245"/>
      <c r="K2077" s="1245"/>
      <c r="L2077" s="1245"/>
      <c r="M2077" s="1245"/>
      <c r="N2077" s="1245">
        <f t="shared" si="383"/>
        <v>0</v>
      </c>
      <c r="O2077" s="1245"/>
      <c r="P2077" s="1257">
        <f t="shared" si="377"/>
        <v>0</v>
      </c>
      <c r="Q2077" s="1245"/>
      <c r="R2077" s="1245"/>
      <c r="S2077" s="1245"/>
      <c r="T2077" s="1671"/>
      <c r="U2077" s="1664" t="str">
        <f>IFERROR(VLOOKUP(B2077,ChiTietDuToan!C:H,5,0),"")</f>
        <v/>
      </c>
      <c r="V2077" s="2309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59" t="s">
        <v>739</v>
      </c>
      <c r="C2078" s="1189" t="str">
        <f t="shared" si="384"/>
        <v xml:space="preserve"> </v>
      </c>
      <c r="D2078" s="1236" t="str">
        <f>VLOOKUP($B2078,DG!A:D,DG!$B$2,)</f>
        <v>06.3231</v>
      </c>
      <c r="E2078" s="1670" t="str">
        <f>VLOOKUP($B2078,DG!A:D,DG!$C$2,)</f>
        <v>Cổ dê kẹp ống PVC Ø 114</v>
      </c>
      <c r="F2078" s="1236" t="str">
        <f>VLOOKUP($B2078,DG!A:D,DG!$D$2,)</f>
        <v>bộ</v>
      </c>
      <c r="G2078" s="1934"/>
      <c r="H2078" s="1245">
        <f t="shared" si="372"/>
        <v>0</v>
      </c>
      <c r="I2078" s="1245"/>
      <c r="J2078" s="1245"/>
      <c r="K2078" s="1245"/>
      <c r="L2078" s="1245"/>
      <c r="M2078" s="1245"/>
      <c r="N2078" s="1245">
        <f t="shared" si="383"/>
        <v>0</v>
      </c>
      <c r="O2078" s="1245"/>
      <c r="P2078" s="1257">
        <f t="shared" si="377"/>
        <v>0</v>
      </c>
      <c r="Q2078" s="1245"/>
      <c r="R2078" s="1245"/>
      <c r="S2078" s="1245"/>
      <c r="T2078" s="1671"/>
      <c r="U2078" s="1664" t="str">
        <f>IFERROR(VLOOKUP(B2078,ChiTietDuToan!C:H,5,0),"")</f>
        <v/>
      </c>
      <c r="V2078" s="2309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59" t="s">
        <v>1839</v>
      </c>
      <c r="C2079" s="1189" t="str">
        <f t="shared" si="384"/>
        <v xml:space="preserve"> </v>
      </c>
      <c r="D2079" s="1236"/>
      <c r="E2079" s="1248" t="str">
        <f>VLOOKUP($B2079,DG!A:D,DG!$C$2,)</f>
        <v>Boulon 16x50+ 2 long đền vuông D18-50x50x3/Zn</v>
      </c>
      <c r="F2079" s="1236" t="str">
        <f>VLOOKUP($B2079,DG!A:D,DG!$D$2,)</f>
        <v>bộ</v>
      </c>
      <c r="G2079" s="1928"/>
      <c r="H2079" s="1245">
        <f t="shared" si="372"/>
        <v>0</v>
      </c>
      <c r="I2079" s="1245"/>
      <c r="J2079" s="1245"/>
      <c r="K2079" s="1245"/>
      <c r="L2079" s="1245"/>
      <c r="M2079" s="1245"/>
      <c r="N2079" s="1245">
        <f t="shared" ref="N2079:N2093" si="385">G2079</f>
        <v>0</v>
      </c>
      <c r="O2079" s="1245"/>
      <c r="P2079" s="1257">
        <f t="shared" si="377"/>
        <v>0</v>
      </c>
      <c r="Q2079" s="1245"/>
      <c r="R2079" s="1245"/>
      <c r="S2079" s="1245"/>
      <c r="T2079" s="1671"/>
      <c r="U2079" s="1664" t="str">
        <f>IFERROR(VLOOKUP(B2079,ChiTietDuToan!C:H,5,0),"")</f>
        <v>bộ</v>
      </c>
      <c r="V2079" s="2309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59" t="s">
        <v>1113</v>
      </c>
      <c r="C2080" s="1189" t="str">
        <f t="shared" si="384"/>
        <v xml:space="preserve"> </v>
      </c>
      <c r="D2080" s="1236"/>
      <c r="E2080" s="1248" t="str">
        <f>VLOOKUP($B2080,DG!A:D,DG!$C$2,)</f>
        <v>Boulon 16x400+ 2 long đền vuông D18-50x50x3/Zn</v>
      </c>
      <c r="F2080" s="1236" t="str">
        <f>VLOOKUP($B2080,DG!A:D,DG!$D$2,)</f>
        <v>bộ</v>
      </c>
      <c r="G2080" s="1928">
        <f>ppht!CB338</f>
        <v>0</v>
      </c>
      <c r="H2080" s="1245">
        <f t="shared" si="372"/>
        <v>0</v>
      </c>
      <c r="I2080" s="1245"/>
      <c r="J2080" s="1245"/>
      <c r="K2080" s="1245"/>
      <c r="L2080" s="1245"/>
      <c r="M2080" s="1245"/>
      <c r="N2080" s="1245">
        <f t="shared" si="385"/>
        <v>0</v>
      </c>
      <c r="O2080" s="1245"/>
      <c r="P2080" s="1257">
        <f t="shared" si="377"/>
        <v>0</v>
      </c>
      <c r="Q2080" s="1245"/>
      <c r="R2080" s="1245"/>
      <c r="S2080" s="1245"/>
      <c r="T2080" s="1671"/>
      <c r="U2080" s="1664" t="str">
        <f>IFERROR(VLOOKUP(B2080,ChiTietDuToan!C:H,5,0),"")</f>
        <v/>
      </c>
      <c r="V2080" s="2309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59" t="s">
        <v>1835</v>
      </c>
      <c r="C2081" s="1189" t="str">
        <f t="shared" si="384"/>
        <v xml:space="preserve"> </v>
      </c>
      <c r="D2081" s="1236"/>
      <c r="E2081" s="1248" t="str">
        <f>VLOOKUP($B2081,DG!A:D,DG!$C$2,)</f>
        <v>Boulon 16x600+ 2 long đền vuông D18-50x50x3/Zn</v>
      </c>
      <c r="F2081" s="1236" t="str">
        <f>VLOOKUP($B2081,DG!A:D,DG!$D$2,)</f>
        <v>bộ</v>
      </c>
      <c r="G2081" s="1928">
        <f>ppht!CC338</f>
        <v>0</v>
      </c>
      <c r="H2081" s="1245">
        <f t="shared" si="372"/>
        <v>0</v>
      </c>
      <c r="I2081" s="1245"/>
      <c r="J2081" s="1245"/>
      <c r="K2081" s="1245"/>
      <c r="L2081" s="1245"/>
      <c r="M2081" s="1245"/>
      <c r="N2081" s="1245">
        <f t="shared" si="385"/>
        <v>0</v>
      </c>
      <c r="O2081" s="1245"/>
      <c r="P2081" s="1257">
        <f t="shared" si="377"/>
        <v>0</v>
      </c>
      <c r="Q2081" s="1245"/>
      <c r="R2081" s="1245"/>
      <c r="S2081" s="1245"/>
      <c r="T2081" s="1671"/>
      <c r="U2081" s="1664" t="str">
        <f>IFERROR(VLOOKUP(B2081,ChiTietDuToan!C:H,5,0),"")</f>
        <v/>
      </c>
      <c r="V2081" s="2309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59" t="s">
        <v>1109</v>
      </c>
      <c r="C2082" s="1189" t="str">
        <f t="shared" si="384"/>
        <v xml:space="preserve"> </v>
      </c>
      <c r="D2082" s="1236"/>
      <c r="E2082" s="1248" t="str">
        <f>VLOOKUP($B2082,DG!A:D,DG!$C$2,)</f>
        <v>Boulon 16x350+ 2 long đền vuông D18-50x50x3/Zn</v>
      </c>
      <c r="F2082" s="1236" t="str">
        <f>VLOOKUP($B2082,DG!A:D,DG!$D$2,)</f>
        <v>bộ</v>
      </c>
      <c r="G2082" s="1928">
        <f>ppht!CD338</f>
        <v>0</v>
      </c>
      <c r="H2082" s="1245">
        <f t="shared" ref="H2082:H2087" si="386">G2082</f>
        <v>0</v>
      </c>
      <c r="I2082" s="1245"/>
      <c r="J2082" s="1245"/>
      <c r="K2082" s="1245"/>
      <c r="L2082" s="1245"/>
      <c r="M2082" s="1245"/>
      <c r="N2082" s="1245">
        <f t="shared" si="385"/>
        <v>0</v>
      </c>
      <c r="O2082" s="1245"/>
      <c r="P2082" s="1257">
        <f t="shared" si="377"/>
        <v>0</v>
      </c>
      <c r="Q2082" s="1245"/>
      <c r="R2082" s="1245"/>
      <c r="S2082" s="1245"/>
      <c r="T2082" s="1671"/>
      <c r="U2082" s="1664" t="str">
        <f>IFERROR(VLOOKUP(B2082,ChiTietDuToan!C:H,5,0),"")</f>
        <v/>
      </c>
      <c r="V2082" s="2309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59" t="s">
        <v>836</v>
      </c>
      <c r="C2083" s="1189" t="str">
        <f t="shared" si="384"/>
        <v xml:space="preserve"> </v>
      </c>
      <c r="D2083" s="1236"/>
      <c r="E2083" s="1248" t="str">
        <f>VLOOKUP($B2083,DG!A:D,DG!$C$2,)</f>
        <v>Boulon móc 16x250+ long đền vuông D18-50x50x3/Zn</v>
      </c>
      <c r="F2083" s="1236" t="str">
        <f>VLOOKUP($B2083,DG!A:D,DG!$D$2,)</f>
        <v>bộ</v>
      </c>
      <c r="G2083" s="1928">
        <f>ppht!CE338</f>
        <v>0</v>
      </c>
      <c r="H2083" s="1245">
        <f>G2083</f>
        <v>0</v>
      </c>
      <c r="I2083" s="1245"/>
      <c r="J2083" s="1245"/>
      <c r="K2083" s="1245"/>
      <c r="L2083" s="1245"/>
      <c r="M2083" s="1245"/>
      <c r="N2083" s="1245">
        <f t="shared" si="385"/>
        <v>0</v>
      </c>
      <c r="O2083" s="1245"/>
      <c r="P2083" s="1257">
        <f t="shared" si="377"/>
        <v>0</v>
      </c>
      <c r="Q2083" s="1245"/>
      <c r="R2083" s="1245"/>
      <c r="S2083" s="1245"/>
      <c r="T2083" s="1671"/>
      <c r="U2083" s="1664" t="str">
        <f>IFERROR(VLOOKUP(B2083,ChiTietDuToan!C:H,5,0),"")</f>
        <v/>
      </c>
      <c r="V2083" s="2309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59" t="s">
        <v>837</v>
      </c>
      <c r="C2084" s="1189" t="str">
        <f t="shared" si="384"/>
        <v xml:space="preserve"> </v>
      </c>
      <c r="D2084" s="1236"/>
      <c r="E2084" s="1248" t="str">
        <f>VLOOKUP($B2084,DG!A:D,DG!$C$2,)</f>
        <v>Boulon móc 16x300+ long đền vuông D18-50x50x3/Zn</v>
      </c>
      <c r="F2084" s="1236" t="str">
        <f>VLOOKUP($B2084,DG!A:D,DG!$D$2,)</f>
        <v>bộ</v>
      </c>
      <c r="G2084" s="1928">
        <f>ppht!CF338</f>
        <v>0</v>
      </c>
      <c r="H2084" s="1245">
        <f t="shared" si="386"/>
        <v>0</v>
      </c>
      <c r="I2084" s="1245"/>
      <c r="J2084" s="1245"/>
      <c r="K2084" s="1245"/>
      <c r="L2084" s="1245"/>
      <c r="M2084" s="1245"/>
      <c r="N2084" s="1245">
        <f t="shared" si="385"/>
        <v>0</v>
      </c>
      <c r="O2084" s="1245"/>
      <c r="P2084" s="1257">
        <f t="shared" si="377"/>
        <v>0</v>
      </c>
      <c r="Q2084" s="1245"/>
      <c r="R2084" s="1245"/>
      <c r="S2084" s="1245"/>
      <c r="T2084" s="1671"/>
      <c r="U2084" s="1664" t="str">
        <f>IFERROR(VLOOKUP(B2084,ChiTietDuToan!C:H,5,0),"")</f>
        <v>bộ</v>
      </c>
      <c r="V2084" s="2309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59" t="s">
        <v>1198</v>
      </c>
      <c r="C2085" s="1189" t="str">
        <f t="shared" si="384"/>
        <v xml:space="preserve"> </v>
      </c>
      <c r="D2085" s="1236"/>
      <c r="E2085" s="1248" t="str">
        <f>VLOOKUP($B2085,DG!A:D,DG!$C$2,)&amp;" bắt trụ đôi"</f>
        <v>Boulon 16x500VRS+ 4 long đền vuông D18-50x50x3/Zn bắt trụ đôi</v>
      </c>
      <c r="F2085" s="1236" t="str">
        <f>VLOOKUP($B2085,DG!A:D,DG!$D$2,)</f>
        <v>bộ</v>
      </c>
      <c r="G2085" s="1928">
        <f>+ppht!AD342*2*0</f>
        <v>0</v>
      </c>
      <c r="H2085" s="1245">
        <f>G2085</f>
        <v>0</v>
      </c>
      <c r="I2085" s="1245"/>
      <c r="J2085" s="1245"/>
      <c r="K2085" s="1245"/>
      <c r="L2085" s="1245"/>
      <c r="M2085" s="1245"/>
      <c r="N2085" s="1245">
        <f t="shared" si="385"/>
        <v>0</v>
      </c>
      <c r="O2085" s="1245"/>
      <c r="P2085" s="1257">
        <f t="shared" si="377"/>
        <v>0</v>
      </c>
      <c r="Q2085" s="1245"/>
      <c r="R2085" s="1245"/>
      <c r="S2085" s="1245"/>
      <c r="T2085" s="1671"/>
      <c r="U2085" s="1664" t="str">
        <f>IFERROR(VLOOKUP(B2085,ChiTietDuToan!C:H,5,0),"")</f>
        <v>bộ</v>
      </c>
      <c r="V2085" s="2309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59" t="s">
        <v>2262</v>
      </c>
      <c r="C2086" s="1189" t="str">
        <f t="shared" si="384"/>
        <v xml:space="preserve"> </v>
      </c>
      <c r="D2086" s="1236"/>
      <c r="E2086" s="1248" t="str">
        <f>VLOOKUP($B2086,DG!A:D,DG!$C$2,)&amp;" (Coå deâ 310)"</f>
        <v>Cổ dê trụ đôi 8,4m bắt móc dừng  (Coå deâ 310)</v>
      </c>
      <c r="F2086" s="1236" t="str">
        <f>VLOOKUP($B2086,DG!A:D,DG!$D$2,)</f>
        <v>bộ</v>
      </c>
      <c r="G2086" s="1928">
        <f>ppht!DL338</f>
        <v>0</v>
      </c>
      <c r="H2086" s="1245">
        <f t="shared" si="386"/>
        <v>0</v>
      </c>
      <c r="I2086" s="1245"/>
      <c r="J2086" s="1245"/>
      <c r="K2086" s="1245"/>
      <c r="L2086" s="1245"/>
      <c r="M2086" s="1245"/>
      <c r="N2086" s="1245">
        <f t="shared" si="385"/>
        <v>0</v>
      </c>
      <c r="O2086" s="1245"/>
      <c r="P2086" s="1257">
        <f t="shared" si="377"/>
        <v>0</v>
      </c>
      <c r="Q2086" s="1245"/>
      <c r="R2086" s="1245"/>
      <c r="S2086" s="1245"/>
      <c r="T2086" s="1671"/>
      <c r="U2086" s="1664" t="str">
        <f>IFERROR(VLOOKUP(B2086,ChiTietDuToan!C:H,5,0),"")</f>
        <v/>
      </c>
      <c r="V2086" s="2309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59" t="s">
        <v>1053</v>
      </c>
      <c r="C2087" s="1189" t="str">
        <f t="shared" si="384"/>
        <v xml:space="preserve"> </v>
      </c>
      <c r="D2087" s="1236"/>
      <c r="E2087" s="1248" t="str">
        <f>VLOOKUP($B2087,DG!A:D,DG!$C$2,)</f>
        <v>Cáp thép 3/8"</v>
      </c>
      <c r="F2087" s="1236" t="str">
        <f>VLOOKUP($B2087,DG!A:D,DG!$D$2,)</f>
        <v>kg</v>
      </c>
      <c r="G2087" s="1928">
        <f>ppht!BF338</f>
        <v>0</v>
      </c>
      <c r="H2087" s="1245">
        <f t="shared" si="386"/>
        <v>0</v>
      </c>
      <c r="I2087" s="1245"/>
      <c r="J2087" s="1245"/>
      <c r="K2087" s="1245"/>
      <c r="L2087" s="1245"/>
      <c r="M2087" s="1245"/>
      <c r="N2087" s="1245">
        <f t="shared" si="385"/>
        <v>0</v>
      </c>
      <c r="O2087" s="1245"/>
      <c r="P2087" s="1257">
        <f t="shared" si="377"/>
        <v>0</v>
      </c>
      <c r="Q2087" s="1245"/>
      <c r="R2087" s="1245"/>
      <c r="S2087" s="1245"/>
      <c r="T2087" s="1671"/>
      <c r="U2087" s="1664" t="str">
        <f>IFERROR(VLOOKUP(B2087,ChiTietDuToan!C:H,5,0),"")</f>
        <v>mét</v>
      </c>
      <c r="V2087" s="2309">
        <f>IFERROR(VLOOKUP(B2087,ChiTietDuToan!C:H,6,0),"")</f>
        <v>30</v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59" t="s">
        <v>1539</v>
      </c>
      <c r="C2088" s="1189" t="str">
        <f t="shared" si="384"/>
        <v xml:space="preserve"> </v>
      </c>
      <c r="D2088" s="1236"/>
      <c r="E2088" s="1248" t="str">
        <f>VLOOKUP($B2088,DG!A:D,DG!$C$2,)</f>
        <v>Ống nối dây cỡ 50mm2</v>
      </c>
      <c r="F2088" s="1236" t="str">
        <f>VLOOKUP($B2088,DG!A:D,DG!$D$2,)</f>
        <v>cái</v>
      </c>
      <c r="G2088" s="1915">
        <f>ROUND(G2007/2000+G2008/0.195/1500,0)</f>
        <v>0</v>
      </c>
      <c r="H2088" s="1245">
        <f t="shared" si="372"/>
        <v>0</v>
      </c>
      <c r="I2088" s="1245"/>
      <c r="J2088" s="1245"/>
      <c r="K2088" s="1245"/>
      <c r="L2088" s="1245"/>
      <c r="M2088" s="1245"/>
      <c r="N2088" s="1245">
        <f t="shared" si="385"/>
        <v>0</v>
      </c>
      <c r="O2088" s="1245"/>
      <c r="P2088" s="1257">
        <f t="shared" si="377"/>
        <v>0</v>
      </c>
      <c r="Q2088" s="1245"/>
      <c r="R2088" s="1245"/>
      <c r="S2088" s="1245"/>
      <c r="T2088" s="1671"/>
      <c r="U2088" s="1664" t="str">
        <f>IFERROR(VLOOKUP(B2088,ChiTietDuToan!C:H,5,0),"")</f>
        <v>cái</v>
      </c>
      <c r="V2088" s="2309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59" t="s">
        <v>1540</v>
      </c>
      <c r="C2089" s="1189" t="str">
        <f t="shared" si="384"/>
        <v xml:space="preserve"> </v>
      </c>
      <c r="D2089" s="1236"/>
      <c r="E2089" s="1248" t="str">
        <f>VLOOKUP($B2089,DG!A:D,DG!$C$2,)</f>
        <v>Ống nối dây cỡ 70mm2</v>
      </c>
      <c r="F2089" s="1236" t="str">
        <f>VLOOKUP($B2089,DG!A:D,DG!$D$2,)</f>
        <v>cái</v>
      </c>
      <c r="G2089" s="1915">
        <f>ROUND(G2006/2000,0)</f>
        <v>0</v>
      </c>
      <c r="H2089" s="1245">
        <f t="shared" si="372"/>
        <v>0</v>
      </c>
      <c r="I2089" s="1245"/>
      <c r="J2089" s="1245"/>
      <c r="K2089" s="1245"/>
      <c r="L2089" s="1245"/>
      <c r="M2089" s="1245"/>
      <c r="N2089" s="1245">
        <f t="shared" si="385"/>
        <v>0</v>
      </c>
      <c r="O2089" s="1245"/>
      <c r="P2089" s="1257">
        <f t="shared" si="377"/>
        <v>0</v>
      </c>
      <c r="Q2089" s="1245"/>
      <c r="R2089" s="1245"/>
      <c r="S2089" s="1245"/>
      <c r="T2089" s="1671"/>
      <c r="U2089" s="1664" t="str">
        <f>IFERROR(VLOOKUP(B2089,ChiTietDuToan!C:H,5,0),"")</f>
        <v/>
      </c>
      <c r="V2089" s="2309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59" t="s">
        <v>1622</v>
      </c>
      <c r="C2090" s="1189" t="str">
        <f t="shared" si="384"/>
        <v xml:space="preserve"> </v>
      </c>
      <c r="D2090" s="1236"/>
      <c r="E2090" s="1248" t="str">
        <f>VLOOKUP($B2090,DG!A:D,DG!$C$2,)</f>
        <v>Biển số - Bảng nguy hiểm</v>
      </c>
      <c r="F2090" s="1236" t="str">
        <f>VLOOKUP($B2090,DG!A:D,DG!$D$2,)</f>
        <v>cái</v>
      </c>
      <c r="G2090" s="1915"/>
      <c r="H2090" s="1245">
        <f t="shared" si="372"/>
        <v>0</v>
      </c>
      <c r="I2090" s="1245"/>
      <c r="J2090" s="1245"/>
      <c r="K2090" s="1245"/>
      <c r="L2090" s="1245"/>
      <c r="M2090" s="1245"/>
      <c r="N2090" s="1245">
        <f t="shared" si="385"/>
        <v>0</v>
      </c>
      <c r="O2090" s="1245"/>
      <c r="P2090" s="1257">
        <f t="shared" si="377"/>
        <v>0</v>
      </c>
      <c r="Q2090" s="1245"/>
      <c r="R2090" s="1245"/>
      <c r="S2090" s="1245"/>
      <c r="T2090" s="1671"/>
      <c r="U2090" s="1664" t="str">
        <f>IFERROR(VLOOKUP(B2090,ChiTietDuToan!C:H,5,0),"")</f>
        <v>kg</v>
      </c>
      <c r="V2090" s="2309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59" t="s">
        <v>230</v>
      </c>
      <c r="C2091" s="1189" t="str">
        <f t="shared" si="384"/>
        <v xml:space="preserve"> </v>
      </c>
      <c r="D2091" s="1236"/>
      <c r="E2091" s="1248" t="str">
        <f>VLOOKUP($B2091,DG!A:D,DG!$C$2,)</f>
        <v xml:space="preserve">Dây nhôm buộc </v>
      </c>
      <c r="F2091" s="1236" t="str">
        <f>VLOOKUP($B2091,DG!A:D,DG!$D$2,)</f>
        <v>kg</v>
      </c>
      <c r="G2091" s="1915">
        <f>SUM(G2094:G2096)*5/1.4</f>
        <v>0</v>
      </c>
      <c r="H2091" s="1245">
        <f t="shared" si="372"/>
        <v>0</v>
      </c>
      <c r="I2091" s="1245"/>
      <c r="J2091" s="1245"/>
      <c r="K2091" s="1245"/>
      <c r="L2091" s="1245"/>
      <c r="M2091" s="1245"/>
      <c r="N2091" s="1245">
        <f t="shared" si="385"/>
        <v>0</v>
      </c>
      <c r="O2091" s="1245"/>
      <c r="P2091" s="1257">
        <f t="shared" si="377"/>
        <v>0</v>
      </c>
      <c r="Q2091" s="1245"/>
      <c r="R2091" s="1245"/>
      <c r="S2091" s="1245"/>
      <c r="T2091" s="1671"/>
      <c r="U2091" s="1664" t="str">
        <f>IFERROR(VLOOKUP(B2091,ChiTietDuToan!C:H,5,0),"")</f>
        <v>kg</v>
      </c>
      <c r="V2091" s="2309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95" t="s">
        <v>677</v>
      </c>
      <c r="C2092" s="1189" t="str">
        <f t="shared" si="384"/>
        <v xml:space="preserve"> </v>
      </c>
      <c r="D2092" s="1236"/>
      <c r="E2092" s="1248" t="str">
        <f>VLOOKUP($B2092,DG!A:D,DG!$C$2,)</f>
        <v>Băng keo cách điện</v>
      </c>
      <c r="F2092" s="1236" t="str">
        <f>VLOOKUP($B2092,DG!A:D,DG!$D$2,)</f>
        <v>cuộn</v>
      </c>
      <c r="G2092" s="1915"/>
      <c r="H2092" s="1245">
        <f>G2092</f>
        <v>0</v>
      </c>
      <c r="I2092" s="1250"/>
      <c r="J2092" s="1250"/>
      <c r="K2092" s="1250"/>
      <c r="L2092" s="1250"/>
      <c r="M2092" s="1250"/>
      <c r="N2092" s="1250"/>
      <c r="O2092" s="1250"/>
      <c r="P2092" s="1257">
        <f t="shared" si="377"/>
        <v>0</v>
      </c>
      <c r="Q2092" s="1250"/>
      <c r="R2092" s="1250"/>
      <c r="S2092" s="1250"/>
      <c r="T2092" s="1671"/>
      <c r="U2092" s="1664" t="str">
        <f>IFERROR(VLOOKUP(B2092,ChiTietDuToan!C:H,5,0),"")</f>
        <v/>
      </c>
      <c r="V2092" s="2309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59" t="s">
        <v>846</v>
      </c>
      <c r="C2093" s="1189" t="str">
        <f t="shared" si="384"/>
        <v xml:space="preserve"> </v>
      </c>
      <c r="D2093" s="1236"/>
      <c r="E2093" s="1248" t="str">
        <f>VLOOKUP($B2093,DG!A:D,DG!$C$2,)</f>
        <v>Tủ điện kế 1 pha</v>
      </c>
      <c r="F2093" s="1236" t="str">
        <f>VLOOKUP($B2093,DG!A:D,DG!$D$2,)</f>
        <v>cái</v>
      </c>
      <c r="G2093" s="1915"/>
      <c r="H2093" s="1245">
        <f t="shared" si="372"/>
        <v>0</v>
      </c>
      <c r="I2093" s="1245"/>
      <c r="J2093" s="1245"/>
      <c r="K2093" s="1245"/>
      <c r="L2093" s="1245"/>
      <c r="M2093" s="1245"/>
      <c r="N2093" s="1245">
        <f t="shared" si="385"/>
        <v>0</v>
      </c>
      <c r="O2093" s="1245"/>
      <c r="P2093" s="1257">
        <f t="shared" si="377"/>
        <v>0</v>
      </c>
      <c r="Q2093" s="1245"/>
      <c r="R2093" s="1245"/>
      <c r="S2093" s="1245"/>
      <c r="T2093" s="1671"/>
      <c r="U2093" s="1664" t="str">
        <f>IFERROR(VLOOKUP(B2093,ChiTietDuToan!C:H,5,0),"")</f>
        <v/>
      </c>
      <c r="V2093" s="2309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59" t="s">
        <v>79</v>
      </c>
      <c r="C2094" s="1189" t="str">
        <f t="shared" si="384"/>
        <v xml:space="preserve"> </v>
      </c>
      <c r="D2094" s="1236" t="str">
        <f>VLOOKUP($B2094,DG!A:D,DG!$B$2,)</f>
        <v>06.6105</v>
      </c>
      <c r="E2094" s="1241" t="str">
        <f>VLOOKUP($B2094,DG!A:D,DG!$C$2,)</f>
        <v>Kéo dây nhôm bọc 70mm2</v>
      </c>
      <c r="F2094" s="1236" t="str">
        <f>VLOOKUP($B2094,DG!A:D,DG!$D$2,)</f>
        <v>km</v>
      </c>
      <c r="G2094" s="1914">
        <f>ROUND(D2006/1000,2)</f>
        <v>0</v>
      </c>
      <c r="H2094" s="1245"/>
      <c r="I2094" s="1245"/>
      <c r="J2094" s="1245"/>
      <c r="K2094" s="1245"/>
      <c r="L2094" s="1245"/>
      <c r="M2094" s="1245"/>
      <c r="N2094" s="1245"/>
      <c r="O2094" s="1245"/>
      <c r="P2094" s="1257">
        <f t="shared" si="377"/>
        <v>0</v>
      </c>
      <c r="Q2094" s="1245"/>
      <c r="R2094" s="1245"/>
      <c r="S2094" s="1245"/>
      <c r="T2094" s="1671"/>
      <c r="U2094" s="1664" t="str">
        <f>IFERROR(VLOOKUP(B2094,ChiTietDuToan!C:H,5,0),"")</f>
        <v/>
      </c>
      <c r="V2094" s="2309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59" t="s">
        <v>454</v>
      </c>
      <c r="C2095" s="1189" t="str">
        <f t="shared" si="384"/>
        <v xml:space="preserve"> </v>
      </c>
      <c r="D2095" s="1236" t="str">
        <f>VLOOKUP($B2095,DG!A:D,DG!$B$2,)</f>
        <v>06.6124</v>
      </c>
      <c r="E2095" s="1241" t="str">
        <f>VLOOKUP($B2095,DG!A:D,DG!$C$2,)</f>
        <v>Kéo dây nhôm bọc 50mm2</v>
      </c>
      <c r="F2095" s="1236" t="str">
        <f>VLOOKUP($B2095,DG!A:D,DG!$D$2,)</f>
        <v>km</v>
      </c>
      <c r="G2095" s="1914">
        <f>ROUND(D2007/1000,2)</f>
        <v>0</v>
      </c>
      <c r="H2095" s="1245"/>
      <c r="I2095" s="1245"/>
      <c r="J2095" s="1245"/>
      <c r="K2095" s="1245"/>
      <c r="L2095" s="1245"/>
      <c r="M2095" s="1245"/>
      <c r="N2095" s="1245"/>
      <c r="O2095" s="1245"/>
      <c r="P2095" s="1257">
        <f t="shared" si="377"/>
        <v>0</v>
      </c>
      <c r="Q2095" s="1245"/>
      <c r="R2095" s="1245"/>
      <c r="S2095" s="1245"/>
      <c r="T2095" s="1671"/>
      <c r="U2095" s="1664" t="str">
        <f>IFERROR(VLOOKUP(B2095,ChiTietDuToan!C:H,5,0),"")</f>
        <v>km</v>
      </c>
      <c r="V2095" s="2309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59" t="s">
        <v>1302</v>
      </c>
      <c r="C2096" s="1189" t="str">
        <f t="shared" si="384"/>
        <v xml:space="preserve"> </v>
      </c>
      <c r="D2096" s="1236" t="str">
        <f>VLOOKUP($B2096,DG!A:D,DG!$B$2,)</f>
        <v>06.6114</v>
      </c>
      <c r="E2096" s="1241" t="str">
        <f>VLOOKUP($B2096,DG!A:D,DG!$C$2,)</f>
        <v>Kéo dây nhôm lõi thép cỡ dây 50mm2</v>
      </c>
      <c r="F2096" s="1236" t="str">
        <f>VLOOKUP($B2096,DG!A:D,DG!$D$2,)</f>
        <v>km</v>
      </c>
      <c r="G2096" s="1914">
        <f>ROUND(D2008/1000,2)</f>
        <v>0</v>
      </c>
      <c r="H2096" s="1245"/>
      <c r="I2096" s="1245"/>
      <c r="J2096" s="1245"/>
      <c r="K2096" s="1245"/>
      <c r="L2096" s="1245"/>
      <c r="M2096" s="1245"/>
      <c r="N2096" s="1245"/>
      <c r="O2096" s="1245"/>
      <c r="P2096" s="1257">
        <f t="shared" si="377"/>
        <v>0</v>
      </c>
      <c r="Q2096" s="1245"/>
      <c r="R2096" s="1245"/>
      <c r="S2096" s="1245"/>
      <c r="T2096" s="1671"/>
      <c r="U2096" s="1664" t="str">
        <f>IFERROR(VLOOKUP(B2096,ChiTietDuToan!C:H,5,0),"")</f>
        <v/>
      </c>
      <c r="V2096" s="2309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59" t="s">
        <v>1699</v>
      </c>
      <c r="C2097" s="1189" t="str">
        <f t="shared" si="384"/>
        <v xml:space="preserve"> </v>
      </c>
      <c r="D2097" s="1240" t="str">
        <f>VLOOKUP($B2097,DG!A:D,DG!$B$2,)</f>
        <v>07.3404</v>
      </c>
      <c r="E2097" s="1241" t="str">
        <f>VLOOKUP($B2097,DG!A:D,DG!$C$2,)</f>
        <v>Lắp cáp trong ống bảo vệ loại &lt;=4.5kg</v>
      </c>
      <c r="F2097" s="1240" t="str">
        <f>VLOOKUP($B2097,DG!A:D,DG!$D$2,)</f>
        <v>mét</v>
      </c>
      <c r="G2097" s="1917"/>
      <c r="H2097" s="1247"/>
      <c r="I2097" s="1247"/>
      <c r="J2097" s="1247"/>
      <c r="K2097" s="1247"/>
      <c r="L2097" s="1247"/>
      <c r="M2097" s="1247"/>
      <c r="N2097" s="1247"/>
      <c r="O2097" s="1247"/>
      <c r="P2097" s="1257">
        <f t="shared" si="377"/>
        <v>0</v>
      </c>
      <c r="Q2097" s="1247"/>
      <c r="R2097" s="1247"/>
      <c r="S2097" s="1247"/>
      <c r="T2097" s="1671"/>
      <c r="U2097" s="1664" t="str">
        <f>IFERROR(VLOOKUP(B2097,ChiTietDuToan!C:H,5,0),"")</f>
        <v/>
      </c>
      <c r="V2097" s="2309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59" t="s">
        <v>1700</v>
      </c>
      <c r="C2098" s="1189" t="str">
        <f t="shared" si="384"/>
        <v xml:space="preserve"> </v>
      </c>
      <c r="D2098" s="1240" t="str">
        <f>VLOOKUP($B2098,DG!A:D,DG!$B$2,)</f>
        <v>07.3403</v>
      </c>
      <c r="E2098" s="1241" t="str">
        <f>VLOOKUP($B2098,DG!A:D,DG!$C$2,)</f>
        <v>Lắp cáp trong ống bảo vệ loại &lt;=3kg</v>
      </c>
      <c r="F2098" s="1240" t="str">
        <f>VLOOKUP($B2098,DG!A:D,DG!$D$2,)</f>
        <v>mét</v>
      </c>
      <c r="G2098" s="1917"/>
      <c r="H2098" s="1247"/>
      <c r="I2098" s="1247"/>
      <c r="J2098" s="1247"/>
      <c r="K2098" s="1247"/>
      <c r="L2098" s="1247"/>
      <c r="M2098" s="1247"/>
      <c r="N2098" s="1247"/>
      <c r="O2098" s="1247"/>
      <c r="P2098" s="1257">
        <f t="shared" si="377"/>
        <v>0</v>
      </c>
      <c r="Q2098" s="1247"/>
      <c r="R2098" s="1247"/>
      <c r="S2098" s="1247"/>
      <c r="T2098" s="1671"/>
      <c r="U2098" s="1664" t="str">
        <f>IFERROR(VLOOKUP(B2098,ChiTietDuToan!C:H,5,0),"")</f>
        <v/>
      </c>
      <c r="V2098" s="2309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59" t="s">
        <v>2284</v>
      </c>
      <c r="C2099" s="1189" t="str">
        <f t="shared" si="384"/>
        <v xml:space="preserve"> </v>
      </c>
      <c r="D2099" s="1236" t="str">
        <f>VLOOKUP($B2099,DG!A:D,DG!$B$2,)</f>
        <v>06.7007</v>
      </c>
      <c r="E2099" s="1241" t="str">
        <f>VLOOKUP($B2099,DG!A:D,DG!$C$2,)</f>
        <v>Kéo dây ABC 4x150mm2</v>
      </c>
      <c r="F2099" s="1236" t="str">
        <f>VLOOKUP($B2099,DG!A:D,DG!$D$2,)</f>
        <v>km</v>
      </c>
      <c r="G2099" s="1913">
        <f>(D2014+G2075)/1000</f>
        <v>0</v>
      </c>
      <c r="H2099" s="1245"/>
      <c r="I2099" s="1245"/>
      <c r="J2099" s="1245"/>
      <c r="K2099" s="1245"/>
      <c r="L2099" s="1245"/>
      <c r="M2099" s="1245"/>
      <c r="N2099" s="1245"/>
      <c r="O2099" s="1245"/>
      <c r="P2099" s="1257">
        <f t="shared" si="377"/>
        <v>0</v>
      </c>
      <c r="Q2099" s="1245"/>
      <c r="R2099" s="1245"/>
      <c r="S2099" s="1245"/>
      <c r="T2099" s="1671"/>
      <c r="U2099" s="1664" t="str">
        <f>IFERROR(VLOOKUP(B2099,ChiTietDuToan!C:H,5,0),"")</f>
        <v/>
      </c>
      <c r="V2099" s="2309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59" t="s">
        <v>881</v>
      </c>
      <c r="C2100" s="1189" t="str">
        <f t="shared" si="384"/>
        <v xml:space="preserve"> </v>
      </c>
      <c r="D2100" s="1236" t="str">
        <f>VLOOKUP($B2100,DG!A:D,DG!$B$2,)</f>
        <v>06.7006</v>
      </c>
      <c r="E2100" s="1241" t="str">
        <f>VLOOKUP($B2100,DG!A:D,DG!$C$2,)</f>
        <v>Kéo dây ABC 3x95mm2</v>
      </c>
      <c r="F2100" s="1236" t="str">
        <f>VLOOKUP($B2100,DG!A:D,DG!$D$2,)</f>
        <v>km</v>
      </c>
      <c r="G2100" s="1913">
        <f>(D2010)/1000</f>
        <v>0</v>
      </c>
      <c r="H2100" s="1256">
        <f>G2100</f>
        <v>0</v>
      </c>
      <c r="I2100" s="1256"/>
      <c r="J2100" s="1256"/>
      <c r="K2100" s="1256"/>
      <c r="L2100" s="1256"/>
      <c r="M2100" s="1256"/>
      <c r="N2100" s="1256"/>
      <c r="O2100" s="1256"/>
      <c r="P2100" s="1257">
        <f t="shared" si="377"/>
        <v>0</v>
      </c>
      <c r="Q2100" s="1245"/>
      <c r="R2100" s="1245"/>
      <c r="S2100" s="1245"/>
      <c r="T2100" s="1671"/>
      <c r="U2100" s="1664" t="str">
        <f>IFERROR(VLOOKUP(B2100,ChiTietDuToan!C:H,5,0),"")</f>
        <v/>
      </c>
      <c r="V2100" s="2309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59" t="s">
        <v>881</v>
      </c>
      <c r="C2101" s="1189" t="str">
        <f t="shared" si="384"/>
        <v xml:space="preserve"> </v>
      </c>
      <c r="D2101" s="1236" t="str">
        <f>VLOOKUP($B2101,DG!A:D,DG!$B$2,)</f>
        <v>06.7006</v>
      </c>
      <c r="E2101" s="1241" t="str">
        <f>VLOOKUP($B2101,DG!A:D,DG!$C$2,)</f>
        <v>Kéo dây ABC 3x95mm2</v>
      </c>
      <c r="F2101" s="1236" t="str">
        <f>VLOOKUP($B2101,DG!A:D,DG!$D$2,)</f>
        <v>km</v>
      </c>
      <c r="G2101" s="1913">
        <f>(D2012+D2010)/1000</f>
        <v>0</v>
      </c>
      <c r="H2101" s="1249">
        <f>H2012/1000</f>
        <v>0</v>
      </c>
      <c r="I2101" s="1245"/>
      <c r="J2101" s="1245"/>
      <c r="K2101" s="1245"/>
      <c r="L2101" s="1245"/>
      <c r="M2101" s="1245"/>
      <c r="N2101" s="1245"/>
      <c r="O2101" s="1245"/>
      <c r="P2101" s="1518">
        <f t="shared" si="377"/>
        <v>0</v>
      </c>
      <c r="Q2101" s="1245"/>
      <c r="R2101" s="1245"/>
      <c r="S2101" s="1245"/>
      <c r="T2101" s="1671"/>
      <c r="U2101" s="1664" t="str">
        <f>IFERROR(VLOOKUP(B2101,ChiTietDuToan!C:H,5,0),"")</f>
        <v/>
      </c>
      <c r="V2101" s="2309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59" t="s">
        <v>883</v>
      </c>
      <c r="C2102" s="1189" t="str">
        <f t="shared" si="384"/>
        <v xml:space="preserve"> </v>
      </c>
      <c r="D2102" s="1236" t="str">
        <f>VLOOKUP($B2102,DG!A:D,DG!$B$2,)</f>
        <v>06.6504</v>
      </c>
      <c r="E2102" s="1241" t="str">
        <f>VLOOKUP($B2102,DG!A:D,DG!$C$2,)</f>
        <v>Kéo dây ABC 4x50mm2</v>
      </c>
      <c r="F2102" s="1236" t="str">
        <f>VLOOKUP($B2102,DG!A:D,DG!$D$2,)</f>
        <v>km</v>
      </c>
      <c r="G2102" s="1913">
        <f>D2011/1000</f>
        <v>0</v>
      </c>
      <c r="H2102" s="1245"/>
      <c r="I2102" s="1245"/>
      <c r="J2102" s="1245"/>
      <c r="K2102" s="1245"/>
      <c r="L2102" s="1245"/>
      <c r="M2102" s="1245"/>
      <c r="N2102" s="1245"/>
      <c r="O2102" s="1245"/>
      <c r="P2102" s="1257">
        <f t="shared" si="377"/>
        <v>0</v>
      </c>
      <c r="Q2102" s="1245"/>
      <c r="R2102" s="1245"/>
      <c r="S2102" s="1245"/>
      <c r="T2102" s="1671"/>
      <c r="U2102" s="1664" t="str">
        <f>IFERROR(VLOOKUP(B2102,ChiTietDuToan!C:H,5,0),"")</f>
        <v/>
      </c>
      <c r="V2102" s="2309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59" t="s">
        <v>883</v>
      </c>
      <c r="C2103" s="1189" t="str">
        <f t="shared" si="384"/>
        <v xml:space="preserve"> </v>
      </c>
      <c r="D2103" s="1236" t="str">
        <f>VLOOKUP($B2103,DG!A:D,DG!$B$2,)</f>
        <v>06.6504</v>
      </c>
      <c r="E2103" s="1241" t="s">
        <v>2628</v>
      </c>
      <c r="F2103" s="1236" t="str">
        <f>VLOOKUP($B2103,DG!A:D,DG!$D$2,)</f>
        <v>km</v>
      </c>
      <c r="G2103" s="1913">
        <f>D2009/1000</f>
        <v>0</v>
      </c>
      <c r="H2103" s="1245"/>
      <c r="I2103" s="1245"/>
      <c r="J2103" s="1245"/>
      <c r="K2103" s="1245"/>
      <c r="L2103" s="1245"/>
      <c r="M2103" s="1245"/>
      <c r="N2103" s="1245"/>
      <c r="O2103" s="1245"/>
      <c r="P2103" s="1257">
        <f t="shared" si="377"/>
        <v>0</v>
      </c>
      <c r="Q2103" s="1245"/>
      <c r="R2103" s="1245"/>
      <c r="S2103" s="1245"/>
      <c r="T2103" s="1671"/>
      <c r="U2103" s="1664" t="str">
        <f>IFERROR(VLOOKUP(B2103,ChiTietDuToan!C:H,5,0),"")</f>
        <v/>
      </c>
      <c r="V2103" s="2309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59" t="s">
        <v>1700</v>
      </c>
      <c r="C2104" s="1189" t="str">
        <f t="shared" si="384"/>
        <v xml:space="preserve"> </v>
      </c>
      <c r="D2104" s="1236" t="str">
        <f>VLOOKUP($B2104,DG!A:D,DG!$B$2,)</f>
        <v>07.3403</v>
      </c>
      <c r="E2104" s="1241" t="str">
        <f>VLOOKUP($B2104,DG!A:D,DG!$C$2,)</f>
        <v>Lắp cáp trong ống bảo vệ loại &lt;=3kg</v>
      </c>
      <c r="F2104" s="1236" t="str">
        <f>VLOOKUP($B2104,DG!A:D,DG!$D$2,)</f>
        <v>mét</v>
      </c>
      <c r="G2104" s="1913">
        <f>G2015/1000</f>
        <v>0</v>
      </c>
      <c r="H2104" s="1245"/>
      <c r="I2104" s="1245"/>
      <c r="J2104" s="1245"/>
      <c r="K2104" s="1245"/>
      <c r="L2104" s="1245"/>
      <c r="M2104" s="1245"/>
      <c r="N2104" s="1245"/>
      <c r="O2104" s="1245"/>
      <c r="P2104" s="1257">
        <f t="shared" si="377"/>
        <v>0</v>
      </c>
      <c r="Q2104" s="1245"/>
      <c r="R2104" s="1245"/>
      <c r="S2104" s="1245"/>
      <c r="T2104" s="1671"/>
      <c r="U2104" s="1664" t="str">
        <f>IFERROR(VLOOKUP(B2104,ChiTietDuToan!C:H,5,0),"")</f>
        <v/>
      </c>
      <c r="V2104" s="2309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59" t="s">
        <v>126</v>
      </c>
      <c r="C2105" s="1189" t="str">
        <f t="shared" si="384"/>
        <v xml:space="preserve"> </v>
      </c>
      <c r="D2105" s="1236" t="str">
        <f>VLOOKUP($B2105,DG!A:D,DG!$B$2,)</f>
        <v>06.1213</v>
      </c>
      <c r="E2105" s="1241" t="str">
        <f>VLOOKUP($B2105,DG!A:D,DG!$C$2,)</f>
        <v>Lắp rack 2 sứ + sứ ống chỉ</v>
      </c>
      <c r="F2105" s="1236" t="str">
        <f>VLOOKUP($B2105,DG!A:D,DG!$D$2,)</f>
        <v>bộ</v>
      </c>
      <c r="G2105" s="1915">
        <f>G2067</f>
        <v>0</v>
      </c>
      <c r="H2105" s="1245"/>
      <c r="I2105" s="1245"/>
      <c r="J2105" s="1245"/>
      <c r="K2105" s="1245"/>
      <c r="L2105" s="1245"/>
      <c r="M2105" s="1245"/>
      <c r="N2105" s="1245"/>
      <c r="O2105" s="1245"/>
      <c r="P2105" s="1257">
        <f t="shared" si="377"/>
        <v>0</v>
      </c>
      <c r="Q2105" s="1245"/>
      <c r="R2105" s="1245"/>
      <c r="S2105" s="1245"/>
      <c r="T2105" s="1671"/>
      <c r="U2105" s="1664" t="str">
        <f>IFERROR(VLOOKUP(B2105,ChiTietDuToan!C:H,5,0),"")</f>
        <v/>
      </c>
      <c r="V2105" s="2309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59" t="s">
        <v>455</v>
      </c>
      <c r="C2106" s="1189" t="str">
        <f t="shared" si="384"/>
        <v xml:space="preserve"> </v>
      </c>
      <c r="D2106" s="1236" t="str">
        <f>VLOOKUP($B2106,DG!A:D,DG!$B$2,)</f>
        <v>06.1214</v>
      </c>
      <c r="E2106" s="1241" t="str">
        <f>VLOOKUP($B2106,DG!A:D,DG!$C$2,)</f>
        <v>Lắp rack 3 sứ + sứ ống chỉ</v>
      </c>
      <c r="F2106" s="1236" t="str">
        <f>VLOOKUP($B2106,DG!A:D,DG!$D$2,)</f>
        <v>bộ</v>
      </c>
      <c r="G2106" s="1915">
        <f>G2068</f>
        <v>0</v>
      </c>
      <c r="H2106" s="1250"/>
      <c r="I2106" s="1250"/>
      <c r="J2106" s="1250"/>
      <c r="K2106" s="1250"/>
      <c r="L2106" s="1250"/>
      <c r="M2106" s="1250"/>
      <c r="N2106" s="1250"/>
      <c r="O2106" s="1250"/>
      <c r="P2106" s="1257">
        <f t="shared" si="377"/>
        <v>0</v>
      </c>
      <c r="Q2106" s="1250"/>
      <c r="R2106" s="1250"/>
      <c r="S2106" s="1250"/>
      <c r="T2106" s="1671"/>
      <c r="U2106" s="1664" t="str">
        <f>IFERROR(VLOOKUP(B2106,ChiTietDuToan!C:H,5,0),"")</f>
        <v/>
      </c>
      <c r="V2106" s="2309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59" t="s">
        <v>696</v>
      </c>
      <c r="C2107" s="1189" t="str">
        <f t="shared" si="384"/>
        <v xml:space="preserve"> </v>
      </c>
      <c r="D2107" s="1236" t="str">
        <f>VLOOKUP($B2107,DG!A:D,DG!$B$2,)</f>
        <v>06.1215</v>
      </c>
      <c r="E2107" s="1241" t="str">
        <f>VLOOKUP($B2107,DG!A:D,DG!$C$2,)</f>
        <v>Lắp rack 4 sứ + sứ ống chỉ</v>
      </c>
      <c r="F2107" s="1236" t="str">
        <f>VLOOKUP($B2107,DG!A:D,DG!$D$2,)</f>
        <v>bộ</v>
      </c>
      <c r="G2107" s="1915">
        <f>G2069</f>
        <v>0</v>
      </c>
      <c r="H2107" s="1245"/>
      <c r="I2107" s="1245"/>
      <c r="J2107" s="1245"/>
      <c r="K2107" s="1245"/>
      <c r="L2107" s="1245"/>
      <c r="M2107" s="1245"/>
      <c r="N2107" s="1245"/>
      <c r="O2107" s="1245"/>
      <c r="P2107" s="1257">
        <f t="shared" si="377"/>
        <v>0</v>
      </c>
      <c r="Q2107" s="1245"/>
      <c r="R2107" s="1245"/>
      <c r="S2107" s="1245"/>
      <c r="T2107" s="1671"/>
      <c r="U2107" s="1664" t="str">
        <f>IFERROR(VLOOKUP(B2107,ChiTietDuToan!C:H,5,0),"")</f>
        <v/>
      </c>
      <c r="V2107" s="2309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59" t="s">
        <v>353</v>
      </c>
      <c r="C2108" s="1189" t="str">
        <f t="shared" si="384"/>
        <v xml:space="preserve"> </v>
      </c>
      <c r="D2108" s="1236" t="str">
        <f>VLOOKUP($B2108,DG!A:D,DG!$B$2,)</f>
        <v>06.2070</v>
      </c>
      <c r="E2108" s="1248" t="str">
        <f>VLOOKUP($B2108,DG!A:D,DG!$C$2,)</f>
        <v>Sơn biển số- bảng nguy hiểm</v>
      </c>
      <c r="F2108" s="1236" t="str">
        <f>VLOOKUP($B2108,DG!A:D,DG!$D$2,)</f>
        <v>cái</v>
      </c>
      <c r="G2108" s="1915">
        <f>ppht!S338*0</f>
        <v>0</v>
      </c>
      <c r="H2108" s="1245"/>
      <c r="I2108" s="1245"/>
      <c r="J2108" s="1245"/>
      <c r="K2108" s="1245"/>
      <c r="L2108" s="1245"/>
      <c r="M2108" s="1245"/>
      <c r="N2108" s="1245"/>
      <c r="O2108" s="1245"/>
      <c r="P2108" s="1257">
        <f t="shared" ref="P2108:P2171" si="387">H2108+Q2108-R2108</f>
        <v>0</v>
      </c>
      <c r="Q2108" s="1245"/>
      <c r="R2108" s="1245"/>
      <c r="S2108" s="1245"/>
      <c r="T2108" s="1671"/>
      <c r="U2108" s="1664" t="str">
        <f>IFERROR(VLOOKUP(B2108,ChiTietDuToan!C:H,5,0),"")</f>
        <v/>
      </c>
      <c r="V2108" s="2309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59" t="s">
        <v>356</v>
      </c>
      <c r="C2109" s="1189" t="str">
        <f t="shared" si="384"/>
        <v xml:space="preserve"> </v>
      </c>
      <c r="D2109" s="1236" t="str">
        <f>VLOOKUP($B2109,DG!A:D,DG!$B$2,)</f>
        <v>02.1122</v>
      </c>
      <c r="E2109" s="1241" t="str">
        <f>VLOOKUP($B2109,DG!A:D,DG!$C$2,)</f>
        <v>Bốc dỡ dây</v>
      </c>
      <c r="F2109" s="1236" t="str">
        <f>VLOOKUP($B2109,DG!A:D,DG!$D$2,)</f>
        <v>tấn</v>
      </c>
      <c r="G2109" s="1914">
        <f>G2112</f>
        <v>0</v>
      </c>
      <c r="H2109" s="1250"/>
      <c r="I2109" s="1250"/>
      <c r="J2109" s="1250"/>
      <c r="K2109" s="1250"/>
      <c r="L2109" s="1250"/>
      <c r="M2109" s="1250"/>
      <c r="N2109" s="1250"/>
      <c r="O2109" s="1250"/>
      <c r="P2109" s="1257">
        <f t="shared" si="387"/>
        <v>0</v>
      </c>
      <c r="Q2109" s="1250"/>
      <c r="R2109" s="1250"/>
      <c r="S2109" s="1250"/>
      <c r="T2109" s="1671"/>
      <c r="U2109" s="1664" t="str">
        <f>IFERROR(VLOOKUP(B2109,ChiTietDuToan!C:H,5,0),"")</f>
        <v/>
      </c>
      <c r="V2109" s="2309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59" t="s">
        <v>1955</v>
      </c>
      <c r="C2110" s="1189" t="str">
        <f t="shared" si="384"/>
        <v xml:space="preserve"> </v>
      </c>
      <c r="D2110" s="1236" t="str">
        <f>VLOOKUP($B2110,DG!A:D,DG!$B$2,)</f>
        <v>02.1120</v>
      </c>
      <c r="E2110" s="1241" t="str">
        <f>VLOOKUP($B2110,DG!A:D,DG!$C$2,)</f>
        <v>Bốc dỡ phụ kiện</v>
      </c>
      <c r="F2110" s="1236" t="str">
        <f>VLOOKUP($B2110,DG!A:D,DG!$D$2,)</f>
        <v>tấn</v>
      </c>
      <c r="G2110" s="1914">
        <f>G2111</f>
        <v>0</v>
      </c>
      <c r="H2110" s="1250"/>
      <c r="I2110" s="1250"/>
      <c r="J2110" s="1250"/>
      <c r="K2110" s="1250"/>
      <c r="L2110" s="1250"/>
      <c r="M2110" s="1250"/>
      <c r="N2110" s="1250"/>
      <c r="O2110" s="1250"/>
      <c r="P2110" s="1257">
        <f t="shared" si="387"/>
        <v>0</v>
      </c>
      <c r="Q2110" s="1250"/>
      <c r="R2110" s="1250"/>
      <c r="S2110" s="1250"/>
      <c r="T2110" s="1671"/>
      <c r="U2110" s="1664" t="str">
        <f>IFERROR(VLOOKUP(B2110,ChiTietDuToan!C:H,5,0),"")</f>
        <v/>
      </c>
      <c r="V2110" s="2309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76"/>
      <c r="C2111" s="1189" t="str">
        <f t="shared" si="384"/>
        <v xml:space="preserve"> </v>
      </c>
      <c r="D2111" s="1236"/>
      <c r="E2111" s="1248"/>
      <c r="F2111" s="1236"/>
      <c r="G2111" s="1914"/>
      <c r="H2111" s="1250"/>
      <c r="I2111" s="1250"/>
      <c r="J2111" s="1250"/>
      <c r="K2111" s="1250"/>
      <c r="L2111" s="1250"/>
      <c r="M2111" s="1250"/>
      <c r="N2111" s="1250"/>
      <c r="O2111" s="1250"/>
      <c r="P2111" s="1257">
        <f t="shared" si="387"/>
        <v>0</v>
      </c>
      <c r="Q2111" s="1250"/>
      <c r="R2111" s="1250"/>
      <c r="S2111" s="1250"/>
      <c r="T2111" s="1671"/>
      <c r="U2111" s="1664">
        <f>IFERROR(VLOOKUP(B2111,ChiTietDuToan!C:H,5,0),"")</f>
        <v>0</v>
      </c>
      <c r="V2111" s="2309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76"/>
      <c r="C2112" s="1189" t="str">
        <f t="shared" si="384"/>
        <v xml:space="preserve"> </v>
      </c>
      <c r="D2112" s="1236"/>
      <c r="E2112" s="1248"/>
      <c r="F2112" s="1236"/>
      <c r="G2112" s="1914"/>
      <c r="H2112" s="1250"/>
      <c r="I2112" s="1250"/>
      <c r="J2112" s="1250"/>
      <c r="K2112" s="1250"/>
      <c r="L2112" s="1250"/>
      <c r="M2112" s="1250"/>
      <c r="N2112" s="1250"/>
      <c r="O2112" s="1250"/>
      <c r="P2112" s="1257">
        <f t="shared" si="387"/>
        <v>0</v>
      </c>
      <c r="Q2112" s="1250"/>
      <c r="R2112" s="1250"/>
      <c r="S2112" s="1250"/>
      <c r="T2112" s="1671"/>
      <c r="U2112" s="1664">
        <f>IFERROR(VLOOKUP(B2112,ChiTietDuToan!C:H,5,0),"")</f>
        <v>0</v>
      </c>
      <c r="V2112" s="2309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74"/>
      <c r="C2113" s="1189" t="str">
        <f t="shared" si="384"/>
        <v xml:space="preserve"> </v>
      </c>
      <c r="D2113" s="1236"/>
      <c r="E2113" s="1248"/>
      <c r="F2113" s="1236"/>
      <c r="G2113" s="1914"/>
      <c r="H2113" s="1250"/>
      <c r="I2113" s="1250"/>
      <c r="J2113" s="1250"/>
      <c r="K2113" s="1250"/>
      <c r="L2113" s="1250"/>
      <c r="M2113" s="1250"/>
      <c r="N2113" s="1250"/>
      <c r="O2113" s="1250"/>
      <c r="P2113" s="1257">
        <f t="shared" si="387"/>
        <v>0</v>
      </c>
      <c r="Q2113" s="1250"/>
      <c r="R2113" s="1250"/>
      <c r="S2113" s="1250"/>
      <c r="T2113" s="1671"/>
      <c r="U2113" s="1664">
        <f>IFERROR(VLOOKUP(B2113,ChiTietDuToan!C:H,5,0),"")</f>
        <v>0</v>
      </c>
      <c r="V2113" s="2309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56"/>
      <c r="C2114" s="1189" t="str">
        <f>IF(G2114&lt;&gt;0,"x"," ")</f>
        <v xml:space="preserve"> </v>
      </c>
      <c r="D2114" s="1238" t="s">
        <v>1711</v>
      </c>
      <c r="E2114" s="1666" t="s">
        <v>2629</v>
      </c>
      <c r="F2114" s="1238" t="s">
        <v>2364</v>
      </c>
      <c r="G2114" s="1912">
        <f>IF(SUM(G2115:G2137)=0,0,1)</f>
        <v>0</v>
      </c>
      <c r="H2114" s="1523">
        <f>SUM(I2114:O2114)+T2114</f>
        <v>0</v>
      </c>
      <c r="I2114" s="1239"/>
      <c r="J2114" s="1239"/>
      <c r="K2114" s="1239"/>
      <c r="L2114" s="1239">
        <f>IFERROR(HLOOKUP(A2114,pp1p!$6:$90,85,0),0)</f>
        <v>0</v>
      </c>
      <c r="M2114" s="1239"/>
      <c r="N2114" s="1239"/>
      <c r="O2114" s="1239"/>
      <c r="P2114" s="1257">
        <f t="shared" si="387"/>
        <v>0</v>
      </c>
      <c r="Q2114" s="1239"/>
      <c r="R2114" s="1239"/>
      <c r="S2114" s="1239"/>
      <c r="T2114" s="1671"/>
      <c r="U2114" s="1664">
        <f>IFERROR(VLOOKUP(B2114,ChiTietDuToan!C:H,5,0),"")</f>
        <v>0</v>
      </c>
      <c r="V2114" s="2309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59" t="s">
        <v>1376</v>
      </c>
      <c r="C2115" s="1189" t="str">
        <f t="shared" si="384"/>
        <v xml:space="preserve"> </v>
      </c>
      <c r="D2115" s="1253">
        <f>+'ppht NC'!E310</f>
        <v>0</v>
      </c>
      <c r="E2115" s="1248" t="str">
        <f>VLOOKUP($B2115,DG!A:D,DG!$C$2,)</f>
        <v>Cáp nhôm bọc AV95</v>
      </c>
      <c r="F2115" s="1236" t="str">
        <f>VLOOKUP($B2115,DG!A:D,DG!$D$2,)</f>
        <v>mét</v>
      </c>
      <c r="G2115" s="1915">
        <f>ROUND(D2115*1.03,0)</f>
        <v>0</v>
      </c>
      <c r="H2115" s="1245">
        <f>$G2115</f>
        <v>0</v>
      </c>
      <c r="I2115" s="1245"/>
      <c r="J2115" s="1245"/>
      <c r="K2115" s="1245"/>
      <c r="L2115" s="1245"/>
      <c r="M2115" s="1245">
        <f t="shared" ref="M2115:M2120" si="388">H2115</f>
        <v>0</v>
      </c>
      <c r="N2115" s="1245"/>
      <c r="O2115" s="1245"/>
      <c r="P2115" s="1257">
        <f t="shared" si="387"/>
        <v>0</v>
      </c>
      <c r="Q2115" s="1245"/>
      <c r="R2115" s="1245"/>
      <c r="S2115" s="1245"/>
      <c r="T2115" s="1671"/>
      <c r="U2115" s="1664" t="str">
        <f>IFERROR(VLOOKUP(B2115,ChiTietDuToan!C:H,5,0),"")</f>
        <v/>
      </c>
      <c r="V2115" s="2309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59" t="s">
        <v>1064</v>
      </c>
      <c r="C2116" s="1189" t="str">
        <f t="shared" si="384"/>
        <v xml:space="preserve"> </v>
      </c>
      <c r="D2116" s="1253">
        <f>+'ppht NC'!D310</f>
        <v>0</v>
      </c>
      <c r="E2116" s="1248" t="str">
        <f>VLOOKUP($B2116,DG!A:D,DG!$C$2,)</f>
        <v>Cáp nhôm bọc AV50</v>
      </c>
      <c r="F2116" s="1236" t="str">
        <f>VLOOKUP($B2116,DG!A:D,DG!$D$2,)</f>
        <v>mét</v>
      </c>
      <c r="G2116" s="1915">
        <f>ROUND(D2116*1.03,0)</f>
        <v>0</v>
      </c>
      <c r="H2116" s="1245">
        <f>$G2116</f>
        <v>0</v>
      </c>
      <c r="I2116" s="1245"/>
      <c r="J2116" s="1245"/>
      <c r="K2116" s="1245"/>
      <c r="L2116" s="1245"/>
      <c r="M2116" s="1245">
        <f t="shared" si="388"/>
        <v>0</v>
      </c>
      <c r="N2116" s="1245"/>
      <c r="O2116" s="1245"/>
      <c r="P2116" s="1257">
        <f t="shared" si="387"/>
        <v>0</v>
      </c>
      <c r="Q2116" s="1245"/>
      <c r="R2116" s="1245"/>
      <c r="S2116" s="1245"/>
      <c r="T2116" s="1671"/>
      <c r="U2116" s="1664" t="str">
        <f>IFERROR(VLOOKUP(B2116,ChiTietDuToan!C:H,5,0),"")</f>
        <v/>
      </c>
      <c r="V2116" s="2309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59" t="s">
        <v>88</v>
      </c>
      <c r="C2117" s="1189" t="str">
        <f t="shared" si="384"/>
        <v xml:space="preserve"> </v>
      </c>
      <c r="D2117" s="1253"/>
      <c r="E2117" s="1248" t="str">
        <f>VLOOKUP($B2117,DG!A:D,DG!$C$2,)</f>
        <v>Cáp nhôm lõi thép AC-50/8</v>
      </c>
      <c r="F2117" s="1236" t="str">
        <f>VLOOKUP($B2117,DG!A:D,DG!$D$2,)</f>
        <v>kg</v>
      </c>
      <c r="G2117" s="1915">
        <f>ROUND(D2117*1.03,0)</f>
        <v>0</v>
      </c>
      <c r="H2117" s="1245">
        <f>$G2117</f>
        <v>0</v>
      </c>
      <c r="I2117" s="1245"/>
      <c r="J2117" s="1245"/>
      <c r="K2117" s="1245"/>
      <c r="L2117" s="1245"/>
      <c r="M2117" s="1245">
        <f t="shared" si="388"/>
        <v>0</v>
      </c>
      <c r="N2117" s="1245"/>
      <c r="O2117" s="1245"/>
      <c r="P2117" s="1257">
        <f t="shared" si="387"/>
        <v>0</v>
      </c>
      <c r="Q2117" s="1245"/>
      <c r="R2117" s="1245"/>
      <c r="S2117" s="1245"/>
      <c r="T2117" s="1671"/>
      <c r="U2117" s="1664" t="str">
        <f>IFERROR(VLOOKUP(B2117,ChiTietDuToan!C:H,5,0),"")</f>
        <v/>
      </c>
      <c r="V2117" s="2309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59" t="s">
        <v>1735</v>
      </c>
      <c r="C2118" s="1189" t="str">
        <f t="shared" si="384"/>
        <v xml:space="preserve"> </v>
      </c>
      <c r="D2118" s="1253">
        <f>pp_NC!P200</f>
        <v>0</v>
      </c>
      <c r="E2118" s="1248" t="str">
        <f>VLOOKUP($B2118,DG!A:D,DG!$C$2,)</f>
        <v>Cáp Duplex 2x11</v>
      </c>
      <c r="F2118" s="1236" t="str">
        <f>VLOOKUP($B2118,DG!A:D,DG!$D$2,)</f>
        <v>m</v>
      </c>
      <c r="G2118" s="1915">
        <f>ROUND(D2118*1.02,0)</f>
        <v>0</v>
      </c>
      <c r="H2118" s="1245">
        <f>$G2118</f>
        <v>0</v>
      </c>
      <c r="I2118" s="1245"/>
      <c r="J2118" s="1245"/>
      <c r="K2118" s="1245"/>
      <c r="L2118" s="1245"/>
      <c r="M2118" s="1245">
        <f t="shared" si="388"/>
        <v>0</v>
      </c>
      <c r="N2118" s="1245"/>
      <c r="O2118" s="1245"/>
      <c r="P2118" s="1257">
        <f t="shared" si="387"/>
        <v>0</v>
      </c>
      <c r="Q2118" s="1245"/>
      <c r="R2118" s="1245"/>
      <c r="S2118" s="1245"/>
      <c r="T2118" s="1671"/>
      <c r="U2118" s="1664" t="str">
        <f>IFERROR(VLOOKUP(B2118,ChiTietDuToan!C:H,5,0),"")</f>
        <v/>
      </c>
      <c r="V2118" s="2309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59" t="s">
        <v>1634</v>
      </c>
      <c r="C2119" s="1189" t="str">
        <f t="shared" si="384"/>
        <v xml:space="preserve"> </v>
      </c>
      <c r="D2119" s="1236"/>
      <c r="E2119" s="1248" t="str">
        <f>VLOOKUP($B2119,DG!A:D,DG!$C$2,)</f>
        <v>Kẹp 2 rãnh (APC) cỡ dây 50mm2</v>
      </c>
      <c r="F2119" s="1236" t="str">
        <f>VLOOKUP($B2119,DG!A:D,DG!$D$2,)</f>
        <v>cái</v>
      </c>
      <c r="G2119" s="1928">
        <f>ppht!DS340</f>
        <v>0</v>
      </c>
      <c r="H2119" s="1245">
        <f t="shared" ref="H2119:H2133" si="389">G2119</f>
        <v>0</v>
      </c>
      <c r="I2119" s="1245"/>
      <c r="J2119" s="1245"/>
      <c r="K2119" s="1245"/>
      <c r="L2119" s="1245"/>
      <c r="M2119" s="1245">
        <f t="shared" si="388"/>
        <v>0</v>
      </c>
      <c r="N2119" s="1245"/>
      <c r="O2119" s="1245"/>
      <c r="P2119" s="1257">
        <f t="shared" si="387"/>
        <v>0</v>
      </c>
      <c r="Q2119" s="1245"/>
      <c r="R2119" s="1245"/>
      <c r="S2119" s="1245"/>
      <c r="T2119" s="1671"/>
      <c r="U2119" s="1664" t="str">
        <f>IFERROR(VLOOKUP(B2119,ChiTietDuToan!C:H,5,0),"")</f>
        <v/>
      </c>
      <c r="V2119" s="2309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59" t="s">
        <v>1633</v>
      </c>
      <c r="C2120" s="1189" t="str">
        <f t="shared" si="384"/>
        <v xml:space="preserve"> </v>
      </c>
      <c r="D2120" s="1236"/>
      <c r="E2120" s="1248" t="str">
        <f>VLOOKUP($B2120,DG!A:D,DG!$C$2,)</f>
        <v>Kẹp 2 rãnh (APC) cỡ dây 70mm2</v>
      </c>
      <c r="F2120" s="1236" t="str">
        <f>VLOOKUP($B2120,DG!A:D,DG!$D$2,)</f>
        <v>cái</v>
      </c>
      <c r="G2120" s="1928">
        <f>ppht!DT340</f>
        <v>0</v>
      </c>
      <c r="H2120" s="1245">
        <f>G2120</f>
        <v>0</v>
      </c>
      <c r="I2120" s="1245"/>
      <c r="J2120" s="1245"/>
      <c r="K2120" s="1245"/>
      <c r="L2120" s="1245"/>
      <c r="M2120" s="1245">
        <f t="shared" si="388"/>
        <v>0</v>
      </c>
      <c r="N2120" s="1245"/>
      <c r="O2120" s="1245"/>
      <c r="P2120" s="1257">
        <f t="shared" si="387"/>
        <v>0</v>
      </c>
      <c r="Q2120" s="1245"/>
      <c r="R2120" s="1245"/>
      <c r="S2120" s="1245"/>
      <c r="T2120" s="1671"/>
      <c r="U2120" s="1664" t="str">
        <f>IFERROR(VLOOKUP(B2120,ChiTietDuToan!C:H,5,0),"")</f>
        <v/>
      </c>
      <c r="V2120" s="2309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59" t="s">
        <v>1620</v>
      </c>
      <c r="C2121" s="1189" t="str">
        <f t="shared" si="384"/>
        <v xml:space="preserve"> </v>
      </c>
      <c r="D2121" s="1236"/>
      <c r="E2121" s="1248" t="str">
        <f>VLOOKUP($B2121,DG!A:D,DG!$C$2,)</f>
        <v>Uclevis</v>
      </c>
      <c r="F2121" s="1236" t="str">
        <f>VLOOKUP($B2121,DG!A:D,DG!$D$2,)</f>
        <v>bộ</v>
      </c>
      <c r="G2121" s="1928">
        <f>+'ppht NC'!BW310</f>
        <v>0</v>
      </c>
      <c r="H2121" s="1245">
        <f t="shared" si="389"/>
        <v>0</v>
      </c>
      <c r="I2121" s="1245"/>
      <c r="J2121" s="1245"/>
      <c r="K2121" s="1245"/>
      <c r="L2121" s="1245"/>
      <c r="M2121" s="1245">
        <f t="shared" ref="M2121:M2129" si="390">H2121</f>
        <v>0</v>
      </c>
      <c r="N2121" s="1245"/>
      <c r="O2121" s="1245"/>
      <c r="P2121" s="1257">
        <f t="shared" si="387"/>
        <v>0</v>
      </c>
      <c r="Q2121" s="1245"/>
      <c r="R2121" s="1245"/>
      <c r="S2121" s="1245"/>
      <c r="T2121" s="1671"/>
      <c r="U2121" s="1664" t="str">
        <f>IFERROR(VLOOKUP(B2121,ChiTietDuToan!C:H,5,0),"")</f>
        <v>bộ</v>
      </c>
      <c r="V2121" s="2309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59" t="s">
        <v>1543</v>
      </c>
      <c r="C2122" s="1189" t="str">
        <f t="shared" si="384"/>
        <v xml:space="preserve"> </v>
      </c>
      <c r="D2122" s="1236"/>
      <c r="E2122" s="1248" t="str">
        <f>VLOOKUP($B2122,DG!A:D,DG!$C$2,)</f>
        <v>Rack 2 sứ + sứ ống chỉ</v>
      </c>
      <c r="F2122" s="1236" t="str">
        <f>VLOOKUP($B2122,DG!A:D,DG!$D$2,)</f>
        <v>bộ</v>
      </c>
      <c r="G2122" s="1928">
        <f>ppht!BY340+pp_NC!EM182</f>
        <v>0</v>
      </c>
      <c r="H2122" s="1245">
        <f t="shared" si="389"/>
        <v>0</v>
      </c>
      <c r="I2122" s="1245"/>
      <c r="J2122" s="1245"/>
      <c r="K2122" s="1245"/>
      <c r="L2122" s="1245"/>
      <c r="M2122" s="1245">
        <f t="shared" si="390"/>
        <v>0</v>
      </c>
      <c r="N2122" s="1245"/>
      <c r="O2122" s="1245"/>
      <c r="P2122" s="1257">
        <f t="shared" si="387"/>
        <v>0</v>
      </c>
      <c r="Q2122" s="1245"/>
      <c r="R2122" s="1245"/>
      <c r="S2122" s="1245"/>
      <c r="T2122" s="1671"/>
      <c r="U2122" s="1664" t="str">
        <f>IFERROR(VLOOKUP(B2122,ChiTietDuToan!C:H,5,0),"")</f>
        <v/>
      </c>
      <c r="V2122" s="2309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59" t="s">
        <v>279</v>
      </c>
      <c r="C2123" s="1189" t="str">
        <f t="shared" si="384"/>
        <v xml:space="preserve"> </v>
      </c>
      <c r="D2123" s="1236"/>
      <c r="E2123" s="1248" t="str">
        <f>VLOOKUP($B2123,DG!A:D,DG!$C$2,)</f>
        <v>Rack 3 sứ + sứ ống chỉ</v>
      </c>
      <c r="F2123" s="1236" t="str">
        <f>VLOOKUP($B2123,DG!A:D,DG!$D$2,)</f>
        <v>bộ</v>
      </c>
      <c r="G2123" s="1928">
        <f>ppht!BZ340+pp_NC!EN182</f>
        <v>0</v>
      </c>
      <c r="H2123" s="1245">
        <f t="shared" si="389"/>
        <v>0</v>
      </c>
      <c r="I2123" s="1245"/>
      <c r="J2123" s="1245"/>
      <c r="K2123" s="1245"/>
      <c r="L2123" s="1245"/>
      <c r="M2123" s="1245">
        <f t="shared" si="390"/>
        <v>0</v>
      </c>
      <c r="N2123" s="1245"/>
      <c r="O2123" s="1245"/>
      <c r="P2123" s="1257">
        <f t="shared" si="387"/>
        <v>0</v>
      </c>
      <c r="Q2123" s="1245"/>
      <c r="R2123" s="1245"/>
      <c r="S2123" s="1245"/>
      <c r="T2123" s="1671"/>
      <c r="U2123" s="1664" t="str">
        <f>IFERROR(VLOOKUP(B2123,ChiTietDuToan!C:H,5,0),"")</f>
        <v/>
      </c>
      <c r="V2123" s="2309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59" t="s">
        <v>705</v>
      </c>
      <c r="C2124" s="1189" t="str">
        <f t="shared" si="384"/>
        <v xml:space="preserve"> </v>
      </c>
      <c r="D2124" s="1236"/>
      <c r="E2124" s="1248" t="str">
        <f>VLOOKUP($B2124,DG!A:D,DG!$C$2,)</f>
        <v>Rack 4</v>
      </c>
      <c r="F2124" s="1236" t="str">
        <f>VLOOKUP($B2124,DG!A:D,DG!$D$2,)</f>
        <v>cái</v>
      </c>
      <c r="G2124" s="1928">
        <f>+'ppht NC'!BZ310</f>
        <v>0</v>
      </c>
      <c r="H2124" s="1245">
        <f>G2124</f>
        <v>0</v>
      </c>
      <c r="I2124" s="1245"/>
      <c r="J2124" s="1245"/>
      <c r="K2124" s="1245"/>
      <c r="L2124" s="1245"/>
      <c r="M2124" s="1245">
        <f t="shared" si="390"/>
        <v>0</v>
      </c>
      <c r="N2124" s="1245"/>
      <c r="O2124" s="1245"/>
      <c r="P2124" s="1257">
        <f t="shared" si="387"/>
        <v>0</v>
      </c>
      <c r="Q2124" s="1245"/>
      <c r="R2124" s="1245"/>
      <c r="S2124" s="1245"/>
      <c r="T2124" s="1671"/>
      <c r="U2124" s="1664" t="str">
        <f>IFERROR(VLOOKUP(B2124,ChiTietDuToan!C:H,5,0),"")</f>
        <v/>
      </c>
      <c r="V2124" s="2309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59" t="s">
        <v>1481</v>
      </c>
      <c r="C2125" s="1189" t="str">
        <f t="shared" si="384"/>
        <v xml:space="preserve"> </v>
      </c>
      <c r="D2125" s="1236"/>
      <c r="E2125" s="1248" t="str">
        <f>VLOOKUP($B2125,DG!A:D,DG!$C$2,)</f>
        <v xml:space="preserve">Sứ ống chỉ </v>
      </c>
      <c r="F2125" s="1236" t="str">
        <f>VLOOKUP($B2125,DG!A:D,DG!$D$2,)</f>
        <v>cái</v>
      </c>
      <c r="G2125" s="1928">
        <f>+'ppht NC'!BV310</f>
        <v>0</v>
      </c>
      <c r="H2125" s="1245">
        <f>G2125</f>
        <v>0</v>
      </c>
      <c r="I2125" s="1245"/>
      <c r="J2125" s="1245"/>
      <c r="K2125" s="1245"/>
      <c r="L2125" s="1245"/>
      <c r="M2125" s="1245">
        <f>H2125</f>
        <v>0</v>
      </c>
      <c r="N2125" s="1245"/>
      <c r="O2125" s="1245"/>
      <c r="P2125" s="1257">
        <f t="shared" si="387"/>
        <v>0</v>
      </c>
      <c r="Q2125" s="1245"/>
      <c r="R2125" s="1245"/>
      <c r="S2125" s="1245"/>
      <c r="T2125" s="1671"/>
      <c r="U2125" s="1664" t="str">
        <f>IFERROR(VLOOKUP(B2125,ChiTietDuToan!C:H,5,0),"")</f>
        <v>cái</v>
      </c>
      <c r="V2125" s="2309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66" t="s">
        <v>1661</v>
      </c>
      <c r="C2126" s="1189" t="str">
        <f t="shared" si="384"/>
        <v xml:space="preserve"> </v>
      </c>
      <c r="D2126" s="1236"/>
      <c r="E2126" s="1248" t="str">
        <f>VLOOKUP($B2126,DG!A:D,DG!$C$2,)</f>
        <v>Boulon 16x250+ 2 long đền vuông D18-50x50x3/Zn</v>
      </c>
      <c r="F2126" s="1236" t="str">
        <f>VLOOKUP($B2126,DG!A:D,DG!$D$2,)</f>
        <v>bộ</v>
      </c>
      <c r="G2126" s="1928">
        <f>+'ppht NC'!CA310</f>
        <v>0</v>
      </c>
      <c r="H2126" s="1245">
        <f t="shared" si="389"/>
        <v>0</v>
      </c>
      <c r="I2126" s="1245"/>
      <c r="J2126" s="1245"/>
      <c r="K2126" s="1245"/>
      <c r="L2126" s="1245"/>
      <c r="M2126" s="1245">
        <f t="shared" si="390"/>
        <v>0</v>
      </c>
      <c r="N2126" s="1245"/>
      <c r="O2126" s="1245"/>
      <c r="P2126" s="1257">
        <f t="shared" si="387"/>
        <v>0</v>
      </c>
      <c r="Q2126" s="1245"/>
      <c r="R2126" s="1245"/>
      <c r="S2126" s="1245"/>
      <c r="T2126" s="1671"/>
      <c r="U2126" s="1664" t="str">
        <f>IFERROR(VLOOKUP(B2126,ChiTietDuToan!C:H,5,0),"")</f>
        <v>bộ</v>
      </c>
      <c r="V2126" s="2309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66" t="s">
        <v>1662</v>
      </c>
      <c r="C2127" s="1189" t="str">
        <f t="shared" si="384"/>
        <v xml:space="preserve"> </v>
      </c>
      <c r="D2127" s="1236"/>
      <c r="E2127" s="1248" t="str">
        <f>VLOOKUP($B2127,DG!A:D,DG!$C$2,)</f>
        <v>Boulon 16x300+ 2 long đền vuông D18-50x50x3/Zn</v>
      </c>
      <c r="F2127" s="1236" t="str">
        <f>VLOOKUP($B2127,DG!A:D,DG!$D$2,)</f>
        <v>bộ</v>
      </c>
      <c r="G2127" s="1928">
        <f>+'ppht NC'!CB310</f>
        <v>0</v>
      </c>
      <c r="H2127" s="1245">
        <f t="shared" si="389"/>
        <v>0</v>
      </c>
      <c r="I2127" s="1245"/>
      <c r="J2127" s="1245"/>
      <c r="K2127" s="1245"/>
      <c r="L2127" s="1245"/>
      <c r="M2127" s="1245">
        <f t="shared" si="390"/>
        <v>0</v>
      </c>
      <c r="N2127" s="1245"/>
      <c r="O2127" s="1245"/>
      <c r="P2127" s="1257">
        <f t="shared" si="387"/>
        <v>0</v>
      </c>
      <c r="Q2127" s="1245"/>
      <c r="R2127" s="1245"/>
      <c r="S2127" s="1245"/>
      <c r="T2127" s="1671"/>
      <c r="U2127" s="1664" t="str">
        <f>IFERROR(VLOOKUP(B2127,ChiTietDuToan!C:H,5,0),"")</f>
        <v>bộ</v>
      </c>
      <c r="V2127" s="2309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66" t="s">
        <v>1215</v>
      </c>
      <c r="C2128" s="1189" t="str">
        <f t="shared" si="384"/>
        <v xml:space="preserve"> </v>
      </c>
      <c r="D2128" s="1236"/>
      <c r="E2128" s="1248" t="str">
        <f>VLOOKUP($B2128,DG!A:D,DG!$C$2,)</f>
        <v>Boulon 16x350+ 2 long đền vuông D18-50x50x3/Zn</v>
      </c>
      <c r="F2128" s="1236" t="str">
        <f>VLOOKUP($B2128,DG!A:D,DG!$D$2,)</f>
        <v>bộ</v>
      </c>
      <c r="G2128" s="1928">
        <f>ppht!CD340</f>
        <v>0</v>
      </c>
      <c r="H2128" s="1245">
        <f t="shared" si="389"/>
        <v>0</v>
      </c>
      <c r="I2128" s="1245"/>
      <c r="J2128" s="1245"/>
      <c r="K2128" s="1245"/>
      <c r="L2128" s="1245"/>
      <c r="M2128" s="1245">
        <f t="shared" si="390"/>
        <v>0</v>
      </c>
      <c r="N2128" s="1245"/>
      <c r="O2128" s="1245"/>
      <c r="P2128" s="1257">
        <f t="shared" si="387"/>
        <v>0</v>
      </c>
      <c r="Q2128" s="1245"/>
      <c r="R2128" s="1245"/>
      <c r="S2128" s="1245"/>
      <c r="T2128" s="1671"/>
      <c r="U2128" s="1664" t="str">
        <f>IFERROR(VLOOKUP(B2128,ChiTietDuToan!C:H,5,0),"")</f>
        <v/>
      </c>
      <c r="V2128" s="2309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66" t="s">
        <v>1053</v>
      </c>
      <c r="C2129" s="1189" t="str">
        <f t="shared" si="384"/>
        <v xml:space="preserve"> </v>
      </c>
      <c r="D2129" s="1236"/>
      <c r="E2129" s="1248" t="str">
        <f>VLOOKUP($B2129,DG!A:D,DG!$C$2,)</f>
        <v>Cáp thép 3/8"</v>
      </c>
      <c r="F2129" s="1236" t="str">
        <f>VLOOKUP($B2129,DG!A:D,DG!$D$2,)</f>
        <v>kg</v>
      </c>
      <c r="G2129" s="1928">
        <f>ppht!BF340</f>
        <v>0</v>
      </c>
      <c r="H2129" s="1245">
        <f t="shared" si="389"/>
        <v>0</v>
      </c>
      <c r="I2129" s="1245"/>
      <c r="J2129" s="1245"/>
      <c r="K2129" s="1245"/>
      <c r="L2129" s="1245"/>
      <c r="M2129" s="1245">
        <f t="shared" si="390"/>
        <v>0</v>
      </c>
      <c r="N2129" s="1245"/>
      <c r="O2129" s="1245"/>
      <c r="P2129" s="1257">
        <f t="shared" si="387"/>
        <v>0</v>
      </c>
      <c r="Q2129" s="1245"/>
      <c r="R2129" s="1245"/>
      <c r="S2129" s="1245"/>
      <c r="T2129" s="1671"/>
      <c r="U2129" s="1664" t="str">
        <f>IFERROR(VLOOKUP(B2129,ChiTietDuToan!C:H,5,0),"")</f>
        <v>mét</v>
      </c>
      <c r="V2129" s="2309">
        <f>IFERROR(VLOOKUP(B2129,ChiTietDuToan!C:H,6,0),"")</f>
        <v>30</v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66" t="s">
        <v>1539</v>
      </c>
      <c r="C2130" s="1189" t="str">
        <f t="shared" si="384"/>
        <v xml:space="preserve"> </v>
      </c>
      <c r="D2130" s="1236"/>
      <c r="E2130" s="1248" t="str">
        <f>VLOOKUP($B2130,DG!A:D,DG!$C$2,)</f>
        <v>Ống nối dây cỡ 50mm2</v>
      </c>
      <c r="F2130" s="1236" t="str">
        <f>VLOOKUP($B2130,DG!A:D,DG!$D$2,)</f>
        <v>cái</v>
      </c>
      <c r="G2130" s="1915"/>
      <c r="H2130" s="1245">
        <f t="shared" si="389"/>
        <v>0</v>
      </c>
      <c r="I2130" s="1245"/>
      <c r="J2130" s="1245"/>
      <c r="K2130" s="1245"/>
      <c r="L2130" s="1245"/>
      <c r="M2130" s="1245">
        <f>H2130</f>
        <v>0</v>
      </c>
      <c r="N2130" s="1245"/>
      <c r="O2130" s="1245"/>
      <c r="P2130" s="1257">
        <f t="shared" si="387"/>
        <v>0</v>
      </c>
      <c r="Q2130" s="1245"/>
      <c r="R2130" s="1245"/>
      <c r="S2130" s="1245"/>
      <c r="T2130" s="1671"/>
      <c r="U2130" s="1664" t="str">
        <f>IFERROR(VLOOKUP(B2130,ChiTietDuToan!C:H,5,0),"")</f>
        <v>cái</v>
      </c>
      <c r="V2130" s="2309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66" t="s">
        <v>1540</v>
      </c>
      <c r="C2131" s="1189" t="str">
        <f t="shared" si="384"/>
        <v xml:space="preserve"> </v>
      </c>
      <c r="D2131" s="1236"/>
      <c r="E2131" s="1248" t="str">
        <f>VLOOKUP($B2131,DG!A:D,DG!$C$2,)</f>
        <v>Ống nối dây cỡ 70mm2</v>
      </c>
      <c r="F2131" s="1236" t="str">
        <f>VLOOKUP($B2131,DG!A:D,DG!$D$2,)</f>
        <v>cái</v>
      </c>
      <c r="G2131" s="1915">
        <f>ROUND(G2115/2000,0)</f>
        <v>0</v>
      </c>
      <c r="H2131" s="1245">
        <f t="shared" si="389"/>
        <v>0</v>
      </c>
      <c r="I2131" s="1245"/>
      <c r="J2131" s="1245"/>
      <c r="K2131" s="1245"/>
      <c r="L2131" s="1245"/>
      <c r="M2131" s="1245">
        <f>H2131</f>
        <v>0</v>
      </c>
      <c r="N2131" s="1245"/>
      <c r="O2131" s="1245"/>
      <c r="P2131" s="1257">
        <f t="shared" si="387"/>
        <v>0</v>
      </c>
      <c r="Q2131" s="1245"/>
      <c r="R2131" s="1245"/>
      <c r="S2131" s="1245"/>
      <c r="T2131" s="1671"/>
      <c r="U2131" s="1664" t="str">
        <f>IFERROR(VLOOKUP(B2131,ChiTietDuToan!C:H,5,0),"")</f>
        <v/>
      </c>
      <c r="V2131" s="2309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66" t="s">
        <v>1622</v>
      </c>
      <c r="C2132" s="1189" t="str">
        <f t="shared" si="384"/>
        <v xml:space="preserve"> </v>
      </c>
      <c r="D2132" s="1236"/>
      <c r="E2132" s="1248" t="str">
        <f>VLOOKUP($B2132,DG!A:D,DG!$C$2,)</f>
        <v>Biển số - Bảng nguy hiểm</v>
      </c>
      <c r="F2132" s="1236" t="str">
        <f>VLOOKUP($B2132,DG!A:D,DG!$D$2,)</f>
        <v>cái</v>
      </c>
      <c r="G2132" s="1915"/>
      <c r="H2132" s="1245">
        <f t="shared" si="389"/>
        <v>0</v>
      </c>
      <c r="I2132" s="1245"/>
      <c r="J2132" s="1245"/>
      <c r="K2132" s="1245"/>
      <c r="L2132" s="1245"/>
      <c r="M2132" s="1245">
        <f>H2132</f>
        <v>0</v>
      </c>
      <c r="N2132" s="1245"/>
      <c r="O2132" s="1245"/>
      <c r="P2132" s="1257">
        <f t="shared" si="387"/>
        <v>0</v>
      </c>
      <c r="Q2132" s="1245"/>
      <c r="R2132" s="1245"/>
      <c r="S2132" s="1245"/>
      <c r="T2132" s="1671"/>
      <c r="U2132" s="1664" t="str">
        <f>IFERROR(VLOOKUP(B2132,ChiTietDuToan!C:H,5,0),"")</f>
        <v>kg</v>
      </c>
      <c r="V2132" s="2309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66" t="s">
        <v>230</v>
      </c>
      <c r="C2133" s="1189" t="str">
        <f t="shared" si="384"/>
        <v xml:space="preserve"> </v>
      </c>
      <c r="D2133" s="1236"/>
      <c r="E2133" s="1248" t="str">
        <f>VLOOKUP($B2133,DG!A:D,DG!$C$2,)</f>
        <v xml:space="preserve">Dây nhôm buộc </v>
      </c>
      <c r="F2133" s="1236" t="str">
        <f>VLOOKUP($B2133,DG!A:D,DG!$D$2,)</f>
        <v>kg</v>
      </c>
      <c r="G2133" s="1915">
        <f>SUM(G2135:G2135)*5/1.4</f>
        <v>0</v>
      </c>
      <c r="H2133" s="1245">
        <f t="shared" si="389"/>
        <v>0</v>
      </c>
      <c r="I2133" s="1245"/>
      <c r="J2133" s="1245"/>
      <c r="K2133" s="1245"/>
      <c r="L2133" s="1245"/>
      <c r="M2133" s="1245">
        <f>H2133</f>
        <v>0</v>
      </c>
      <c r="N2133" s="1245"/>
      <c r="O2133" s="1245"/>
      <c r="P2133" s="1257">
        <f t="shared" si="387"/>
        <v>0</v>
      </c>
      <c r="Q2133" s="1245"/>
      <c r="R2133" s="1245"/>
      <c r="S2133" s="1245"/>
      <c r="T2133" s="1671"/>
      <c r="U2133" s="1664" t="str">
        <f>IFERROR(VLOOKUP(B2133,ChiTietDuToan!C:H,5,0),"")</f>
        <v>kg</v>
      </c>
      <c r="V2133" s="2309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66" t="s">
        <v>454</v>
      </c>
      <c r="C2134" s="1189" t="str">
        <f t="shared" si="384"/>
        <v xml:space="preserve"> </v>
      </c>
      <c r="D2134" s="1236" t="str">
        <f>VLOOKUP($B2134,DG!A:D,DG!$B$2,)</f>
        <v>06.6124</v>
      </c>
      <c r="E2134" s="1241" t="str">
        <f>VLOOKUP($B2134,DG!A:D,DG!$C$2,)</f>
        <v>Kéo dây nhôm bọc 50mm2</v>
      </c>
      <c r="F2134" s="1236" t="str">
        <f>VLOOKUP($B2134,DG!A:D,DG!$D$2,)</f>
        <v>km</v>
      </c>
      <c r="G2134" s="1914">
        <f>ROUND(D2116/1000,2)</f>
        <v>0</v>
      </c>
      <c r="H2134" s="1245"/>
      <c r="I2134" s="1245"/>
      <c r="J2134" s="1245"/>
      <c r="K2134" s="1245"/>
      <c r="L2134" s="1245"/>
      <c r="M2134" s="1245"/>
      <c r="N2134" s="1245"/>
      <c r="O2134" s="1245"/>
      <c r="P2134" s="1257">
        <f t="shared" si="387"/>
        <v>0</v>
      </c>
      <c r="Q2134" s="1245"/>
      <c r="R2134" s="1245"/>
      <c r="S2134" s="1245"/>
      <c r="T2134" s="1671"/>
      <c r="U2134" s="1664" t="str">
        <f>IFERROR(VLOOKUP(B2134,ChiTietDuToan!C:H,5,0),"")</f>
        <v>km</v>
      </c>
      <c r="V2134" s="2309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66" t="s">
        <v>79</v>
      </c>
      <c r="C2135" s="1189" t="str">
        <f t="shared" ref="C2135:C2198" si="392">IF(OR(P2135&lt;&gt;0,H2135&lt;&gt;0),"x"," ")</f>
        <v xml:space="preserve"> </v>
      </c>
      <c r="D2135" s="1236" t="str">
        <f>VLOOKUP($B2135,DG!A:D,DG!$B$2,)</f>
        <v>06.6105</v>
      </c>
      <c r="E2135" s="1241" t="str">
        <f>VLOOKUP($B2135,DG!A:D,DG!$C$2,)</f>
        <v>Kéo dây nhôm bọc 70mm2</v>
      </c>
      <c r="F2135" s="1236" t="str">
        <f>VLOOKUP($B2135,DG!A:D,DG!$D$2,)</f>
        <v>km</v>
      </c>
      <c r="G2135" s="1914">
        <f>ROUND(D2115/1000,2)</f>
        <v>0</v>
      </c>
      <c r="H2135" s="1245"/>
      <c r="I2135" s="1245"/>
      <c r="J2135" s="1245"/>
      <c r="K2135" s="1245"/>
      <c r="L2135" s="1245"/>
      <c r="M2135" s="1245"/>
      <c r="N2135" s="1245"/>
      <c r="O2135" s="1245"/>
      <c r="P2135" s="1257">
        <f t="shared" si="387"/>
        <v>0</v>
      </c>
      <c r="Q2135" s="1245"/>
      <c r="R2135" s="1245"/>
      <c r="S2135" s="1245"/>
      <c r="T2135" s="1671"/>
      <c r="U2135" s="1664" t="str">
        <f>IFERROR(VLOOKUP(B2135,ChiTietDuToan!C:H,5,0),"")</f>
        <v/>
      </c>
      <c r="V2135" s="2309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66" t="s">
        <v>1302</v>
      </c>
      <c r="C2136" s="1189" t="str">
        <f t="shared" si="392"/>
        <v xml:space="preserve"> </v>
      </c>
      <c r="D2136" s="1236" t="str">
        <f>VLOOKUP($B2136,DG!A:D,DG!$B$2,)</f>
        <v>06.6114</v>
      </c>
      <c r="E2136" s="1241" t="str">
        <f>VLOOKUP($B2136,DG!A:D,DG!$C$2,)</f>
        <v>Kéo dây nhôm lõi thép cỡ dây 50mm2</v>
      </c>
      <c r="F2136" s="1236" t="str">
        <f>VLOOKUP($B2136,DG!A:D,DG!$D$2,)</f>
        <v>km</v>
      </c>
      <c r="G2136" s="1914">
        <f>ROUND(D2117/1000,2)</f>
        <v>0</v>
      </c>
      <c r="H2136" s="1245"/>
      <c r="I2136" s="1245"/>
      <c r="J2136" s="1245"/>
      <c r="K2136" s="1245"/>
      <c r="L2136" s="1245"/>
      <c r="M2136" s="1245"/>
      <c r="N2136" s="1245"/>
      <c r="O2136" s="1245"/>
      <c r="P2136" s="1257">
        <f t="shared" si="387"/>
        <v>0</v>
      </c>
      <c r="Q2136" s="1245"/>
      <c r="R2136" s="1245"/>
      <c r="S2136" s="1245"/>
      <c r="T2136" s="1671"/>
      <c r="U2136" s="1664" t="str">
        <f>IFERROR(VLOOKUP(B2136,ChiTietDuToan!C:H,5,0),"")</f>
        <v/>
      </c>
      <c r="V2136" s="2309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59" t="s">
        <v>1948</v>
      </c>
      <c r="C2137" s="1189" t="str">
        <f t="shared" si="392"/>
        <v xml:space="preserve"> </v>
      </c>
      <c r="D2137" s="1236" t="str">
        <f>VLOOKUP($B2137,DG!A:D,DG!$B$2,)</f>
        <v>06.1211</v>
      </c>
      <c r="E2137" s="1241" t="str">
        <f>VLOOKUP($B2137,DG!A:D,DG!$C$2,)</f>
        <v>Lắp rack sứ + sứ ống chỉ</v>
      </c>
      <c r="F2137" s="1236" t="str">
        <f>VLOOKUP($B2137,DG!A:D,DG!$D$2,)</f>
        <v>bộ</v>
      </c>
      <c r="G2137" s="1915">
        <f>G2121</f>
        <v>0</v>
      </c>
      <c r="H2137" s="1245"/>
      <c r="I2137" s="1245"/>
      <c r="J2137" s="1245"/>
      <c r="K2137" s="1245"/>
      <c r="L2137" s="1245"/>
      <c r="M2137" s="1245"/>
      <c r="N2137" s="1245"/>
      <c r="O2137" s="1245"/>
      <c r="P2137" s="1257">
        <f t="shared" si="387"/>
        <v>0</v>
      </c>
      <c r="Q2137" s="1245"/>
      <c r="R2137" s="1245"/>
      <c r="S2137" s="1245"/>
      <c r="T2137" s="1671"/>
      <c r="U2137" s="1664" t="str">
        <f>IFERROR(VLOOKUP(B2137,ChiTietDuToan!C:H,5,0),"")</f>
        <v>bộ</v>
      </c>
      <c r="V2137" s="2309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59" t="s">
        <v>126</v>
      </c>
      <c r="C2138" s="1189" t="str">
        <f t="shared" si="392"/>
        <v xml:space="preserve"> </v>
      </c>
      <c r="D2138" s="1236" t="str">
        <f>VLOOKUP($B2138,DG!A:D,DG!$B$2,)</f>
        <v>06.1213</v>
      </c>
      <c r="E2138" s="1241" t="str">
        <f>VLOOKUP($B2138,DG!A:D,DG!$C$2,)</f>
        <v>Lắp rack 2 sứ + sứ ống chỉ</v>
      </c>
      <c r="F2138" s="1236" t="str">
        <f>VLOOKUP($B2138,DG!A:D,DG!$D$2,)</f>
        <v>bộ</v>
      </c>
      <c r="G2138" s="1915">
        <f>G2122</f>
        <v>0</v>
      </c>
      <c r="H2138" s="1245"/>
      <c r="I2138" s="1245"/>
      <c r="J2138" s="1245"/>
      <c r="K2138" s="1245"/>
      <c r="L2138" s="1245"/>
      <c r="M2138" s="1245"/>
      <c r="N2138" s="1245"/>
      <c r="O2138" s="1245"/>
      <c r="P2138" s="1257">
        <f t="shared" si="387"/>
        <v>0</v>
      </c>
      <c r="Q2138" s="1245"/>
      <c r="R2138" s="1245"/>
      <c r="S2138" s="1245"/>
      <c r="T2138" s="1671"/>
      <c r="U2138" s="1664" t="str">
        <f>IFERROR(VLOOKUP(B2138,ChiTietDuToan!C:H,5,0),"")</f>
        <v/>
      </c>
      <c r="V2138" s="2309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59" t="s">
        <v>455</v>
      </c>
      <c r="C2139" s="1189" t="str">
        <f t="shared" si="392"/>
        <v xml:space="preserve"> </v>
      </c>
      <c r="D2139" s="1236" t="str">
        <f>VLOOKUP($B2139,DG!A:D,DG!$B$2,)</f>
        <v>06.1214</v>
      </c>
      <c r="E2139" s="1241" t="str">
        <f>VLOOKUP($B2139,DG!A:D,DG!$C$2,)</f>
        <v>Lắp rack 3 sứ + sứ ống chỉ</v>
      </c>
      <c r="F2139" s="1236" t="str">
        <f>VLOOKUP($B2139,DG!A:D,DG!$D$2,)</f>
        <v>bộ</v>
      </c>
      <c r="G2139" s="1915">
        <f>G2123</f>
        <v>0</v>
      </c>
      <c r="H2139" s="1250"/>
      <c r="I2139" s="1250"/>
      <c r="J2139" s="1250"/>
      <c r="K2139" s="1250"/>
      <c r="L2139" s="1250"/>
      <c r="M2139" s="1250"/>
      <c r="N2139" s="1250"/>
      <c r="O2139" s="1250"/>
      <c r="P2139" s="1257">
        <f t="shared" si="387"/>
        <v>0</v>
      </c>
      <c r="Q2139" s="1250"/>
      <c r="R2139" s="1250"/>
      <c r="S2139" s="1250"/>
      <c r="T2139" s="1671"/>
      <c r="U2139" s="1664" t="str">
        <f>IFERROR(VLOOKUP(B2139,ChiTietDuToan!C:H,5,0),"")</f>
        <v/>
      </c>
      <c r="V2139" s="2309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59" t="s">
        <v>696</v>
      </c>
      <c r="C2140" s="1189" t="str">
        <f t="shared" si="392"/>
        <v xml:space="preserve"> </v>
      </c>
      <c r="D2140" s="1236" t="str">
        <f>VLOOKUP($B2140,DG!A:D,DG!$B$2,)</f>
        <v>06.1215</v>
      </c>
      <c r="E2140" s="1241" t="str">
        <f>VLOOKUP($B2140,DG!A:D,DG!$C$2,)</f>
        <v>Lắp rack 4 sứ + sứ ống chỉ</v>
      </c>
      <c r="F2140" s="1236" t="str">
        <f>VLOOKUP($B2140,DG!A:D,DG!$D$2,)</f>
        <v>bộ</v>
      </c>
      <c r="G2140" s="1915">
        <f>G2124</f>
        <v>0</v>
      </c>
      <c r="H2140" s="1245"/>
      <c r="I2140" s="1245"/>
      <c r="J2140" s="1245"/>
      <c r="K2140" s="1245"/>
      <c r="L2140" s="1245"/>
      <c r="M2140" s="1245"/>
      <c r="N2140" s="1245"/>
      <c r="O2140" s="1245"/>
      <c r="P2140" s="1257">
        <f t="shared" si="387"/>
        <v>0</v>
      </c>
      <c r="Q2140" s="1245"/>
      <c r="R2140" s="1245"/>
      <c r="S2140" s="1245"/>
      <c r="T2140" s="1671"/>
      <c r="U2140" s="1664" t="str">
        <f>IFERROR(VLOOKUP(B2140,ChiTietDuToan!C:H,5,0),"")</f>
        <v/>
      </c>
      <c r="V2140" s="2309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59" t="s">
        <v>353</v>
      </c>
      <c r="C2141" s="1189" t="str">
        <f t="shared" si="392"/>
        <v xml:space="preserve"> </v>
      </c>
      <c r="D2141" s="1236" t="str">
        <f>VLOOKUP($B2141,DG!A:D,DG!$B$2,)</f>
        <v>06.2070</v>
      </c>
      <c r="E2141" s="1248" t="str">
        <f>VLOOKUP($B2141,DG!A:D,DG!$C$2,)</f>
        <v>Sơn biển số- bảng nguy hiểm</v>
      </c>
      <c r="F2141" s="1236" t="str">
        <f>VLOOKUP($B2141,DG!A:D,DG!$D$2,)</f>
        <v>cái</v>
      </c>
      <c r="G2141" s="1915">
        <f>G2132</f>
        <v>0</v>
      </c>
      <c r="H2141" s="1245"/>
      <c r="I2141" s="1245"/>
      <c r="J2141" s="1245"/>
      <c r="K2141" s="1245"/>
      <c r="L2141" s="1245"/>
      <c r="M2141" s="1245"/>
      <c r="N2141" s="1245"/>
      <c r="O2141" s="1245"/>
      <c r="P2141" s="1257">
        <f t="shared" si="387"/>
        <v>0</v>
      </c>
      <c r="Q2141" s="1245"/>
      <c r="R2141" s="1245"/>
      <c r="S2141" s="1245"/>
      <c r="T2141" s="1671"/>
      <c r="U2141" s="1664" t="str">
        <f>IFERROR(VLOOKUP(B2141,ChiTietDuToan!C:H,5,0),"")</f>
        <v/>
      </c>
      <c r="V2141" s="2309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59" t="s">
        <v>356</v>
      </c>
      <c r="C2142" s="1189" t="str">
        <f t="shared" si="392"/>
        <v xml:space="preserve"> </v>
      </c>
      <c r="D2142" s="1236" t="str">
        <f>VLOOKUP($B2142,DG!A:D,DG!$B$2,)</f>
        <v>02.1122</v>
      </c>
      <c r="E2142" s="1241" t="str">
        <f>VLOOKUP($B2142,DG!A:D,DG!$C$2,)</f>
        <v>Bốc dỡ dây</v>
      </c>
      <c r="F2142" s="1236" t="str">
        <f>VLOOKUP($B2142,DG!A:D,DG!$D$2,)</f>
        <v>tấn</v>
      </c>
      <c r="G2142" s="1914">
        <f>G2145</f>
        <v>0</v>
      </c>
      <c r="H2142" s="1250"/>
      <c r="I2142" s="1250"/>
      <c r="J2142" s="1250"/>
      <c r="K2142" s="1250"/>
      <c r="L2142" s="1250"/>
      <c r="M2142" s="1250"/>
      <c r="N2142" s="1250"/>
      <c r="O2142" s="1250"/>
      <c r="P2142" s="1257">
        <f t="shared" si="387"/>
        <v>0</v>
      </c>
      <c r="Q2142" s="1250"/>
      <c r="R2142" s="1250"/>
      <c r="S2142" s="1250"/>
      <c r="T2142" s="1671"/>
      <c r="U2142" s="1664" t="str">
        <f>IFERROR(VLOOKUP(B2142,ChiTietDuToan!C:H,5,0),"")</f>
        <v/>
      </c>
      <c r="V2142" s="2309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59" t="s">
        <v>1955</v>
      </c>
      <c r="C2143" s="1189" t="str">
        <f t="shared" si="392"/>
        <v xml:space="preserve"> </v>
      </c>
      <c r="D2143" s="1236" t="str">
        <f>VLOOKUP($B2143,DG!A:D,DG!$B$2,)</f>
        <v>02.1120</v>
      </c>
      <c r="E2143" s="1241" t="str">
        <f>VLOOKUP($B2143,DG!A:D,DG!$C$2,)</f>
        <v>Bốc dỡ phụ kiện</v>
      </c>
      <c r="F2143" s="1236" t="str">
        <f>VLOOKUP($B2143,DG!A:D,DG!$D$2,)</f>
        <v>tấn</v>
      </c>
      <c r="G2143" s="1914">
        <f>G2144</f>
        <v>0</v>
      </c>
      <c r="H2143" s="1250"/>
      <c r="I2143" s="1250"/>
      <c r="J2143" s="1250"/>
      <c r="K2143" s="1250"/>
      <c r="L2143" s="1250"/>
      <c r="M2143" s="1250"/>
      <c r="N2143" s="1250"/>
      <c r="O2143" s="1250"/>
      <c r="P2143" s="1257">
        <f t="shared" si="387"/>
        <v>0</v>
      </c>
      <c r="Q2143" s="1250"/>
      <c r="R2143" s="1250"/>
      <c r="S2143" s="1250"/>
      <c r="T2143" s="1671"/>
      <c r="U2143" s="1664" t="str">
        <f>IFERROR(VLOOKUP(B2143,ChiTietDuToan!C:H,5,0),"")</f>
        <v/>
      </c>
      <c r="V2143" s="2309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76" t="s">
        <v>357</v>
      </c>
      <c r="C2144" s="1189" t="str">
        <f t="shared" si="392"/>
        <v xml:space="preserve"> </v>
      </c>
      <c r="D2144" s="1236" t="str">
        <f>VLOOKUP($B2144,DG!A:C,2,)</f>
        <v>02.1421</v>
      </c>
      <c r="E2144" s="1241" t="str">
        <f>VLOOKUP($B2144,DG!A:C,3,)</f>
        <v>V/c phụ kiện vào vị trí (cự ly &lt;=100m)</v>
      </c>
      <c r="F2144" s="1236" t="str">
        <f>VLOOKUP($B2144,DG!A:D,4,0)</f>
        <v>tấn</v>
      </c>
      <c r="G2144" s="1914">
        <f>(G2121*1+G2122*2+G2123*3+G2124*4)/1000</f>
        <v>0</v>
      </c>
      <c r="H2144" s="1250"/>
      <c r="I2144" s="1250"/>
      <c r="J2144" s="1250"/>
      <c r="K2144" s="1250"/>
      <c r="L2144" s="1250"/>
      <c r="M2144" s="1250"/>
      <c r="N2144" s="1250"/>
      <c r="O2144" s="1250"/>
      <c r="P2144" s="1257">
        <f t="shared" si="387"/>
        <v>0</v>
      </c>
      <c r="Q2144" s="1250"/>
      <c r="R2144" s="1250"/>
      <c r="S2144" s="1250"/>
      <c r="T2144" s="1671"/>
      <c r="U2144" s="1664" t="str">
        <f>IFERROR(VLOOKUP(B2144,ChiTietDuToan!C:H,5,0),"")</f>
        <v>tấn</v>
      </c>
      <c r="V2144" s="2309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76" t="s">
        <v>358</v>
      </c>
      <c r="C2145" s="1189" t="str">
        <f t="shared" si="392"/>
        <v xml:space="preserve"> </v>
      </c>
      <c r="D2145" s="1236" t="str">
        <f>VLOOKUP($B2145,DG!A:C,2,)</f>
        <v>02.1441</v>
      </c>
      <c r="E2145" s="1241" t="str">
        <f>VLOOKUP($B2145,DG!A:C,3,)</f>
        <v>V/c dây vào vị trí (cự ly &lt;=100m)</v>
      </c>
      <c r="F2145" s="1236" t="str">
        <f>VLOOKUP($B2145,DG!A:D,4,0)</f>
        <v>tấn</v>
      </c>
      <c r="G2145" s="1914">
        <f>ROUND((G2115*0.308+G2116*0.229)*1.05/1000,2)</f>
        <v>0</v>
      </c>
      <c r="H2145" s="1250"/>
      <c r="I2145" s="1250"/>
      <c r="J2145" s="1250"/>
      <c r="K2145" s="1250"/>
      <c r="L2145" s="1250"/>
      <c r="M2145" s="1250"/>
      <c r="N2145" s="1250"/>
      <c r="O2145" s="1250"/>
      <c r="P2145" s="1257">
        <f t="shared" si="387"/>
        <v>0</v>
      </c>
      <c r="Q2145" s="1250"/>
      <c r="R2145" s="1250"/>
      <c r="S2145" s="1250"/>
      <c r="T2145" s="1671"/>
      <c r="U2145" s="1664" t="str">
        <f>IFERROR(VLOOKUP(B2145,ChiTietDuToan!C:H,5,0),"")</f>
        <v/>
      </c>
      <c r="V2145" s="2309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74" t="s">
        <v>611</v>
      </c>
      <c r="C2146" s="1189" t="str">
        <f t="shared" si="392"/>
        <v xml:space="preserve"> </v>
      </c>
      <c r="D2146" s="1236" t="str">
        <f>VLOOKUP($B2146,DG!A:C,2,)</f>
        <v>02.1482</v>
      </c>
      <c r="E2146" s="1241" t="str">
        <f>VLOOKUP($B2146,DG!A:C,3,)</f>
        <v>V/c dụng cụ thi công vào vị trí (cự ly &lt;=100m)</v>
      </c>
      <c r="F2146" s="1236" t="str">
        <f>VLOOKUP($B2146,DG!A:D,4,0)</f>
        <v>tấn</v>
      </c>
      <c r="G2146" s="1914">
        <f>IF(G2145&lt;&gt;0,2,0)</f>
        <v>0</v>
      </c>
      <c r="H2146" s="1250"/>
      <c r="I2146" s="1250"/>
      <c r="J2146" s="1250"/>
      <c r="K2146" s="1250"/>
      <c r="L2146" s="1250"/>
      <c r="M2146" s="1250"/>
      <c r="N2146" s="1250"/>
      <c r="O2146" s="1250"/>
      <c r="P2146" s="1257">
        <f t="shared" si="387"/>
        <v>0</v>
      </c>
      <c r="Q2146" s="1250"/>
      <c r="R2146" s="1250"/>
      <c r="S2146" s="1250"/>
      <c r="T2146" s="1671"/>
      <c r="U2146" s="1664" t="str">
        <f>IFERROR(VLOOKUP(B2146,ChiTietDuToan!C:H,5,0),"")</f>
        <v/>
      </c>
      <c r="V2146" s="2309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56"/>
      <c r="C2147" s="1189" t="str">
        <f t="shared" si="392"/>
        <v xml:space="preserve"> </v>
      </c>
      <c r="D2147" s="1238" t="s">
        <v>749</v>
      </c>
      <c r="E2147" s="1666" t="s">
        <v>2630</v>
      </c>
      <c r="F2147" s="1238" t="s">
        <v>2364</v>
      </c>
      <c r="G2147" s="1912"/>
      <c r="H2147" s="1523">
        <f>SUM(I2147:O2147)+T2147</f>
        <v>0</v>
      </c>
      <c r="I2147" s="1239"/>
      <c r="J2147" s="1239"/>
      <c r="K2147" s="1239"/>
      <c r="L2147" s="1239">
        <f>IFERROR(HLOOKUP(A2147,pp1p!$6:$90,85,0),0)</f>
        <v>0</v>
      </c>
      <c r="M2147" s="1239"/>
      <c r="N2147" s="1239"/>
      <c r="O2147" s="1239"/>
      <c r="P2147" s="1257">
        <f t="shared" si="387"/>
        <v>0</v>
      </c>
      <c r="Q2147" s="1239"/>
      <c r="R2147" s="1239"/>
      <c r="S2147" s="1239"/>
      <c r="T2147" s="1671"/>
      <c r="U2147" s="1664">
        <f>IFERROR(VLOOKUP(B2147,ChiTietDuToan!C:H,5,0),"")</f>
        <v>0</v>
      </c>
      <c r="V2147" s="2309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59" t="s">
        <v>945</v>
      </c>
      <c r="C2148" s="1189" t="str">
        <f t="shared" si="392"/>
        <v xml:space="preserve"> </v>
      </c>
      <c r="D2148" s="1253">
        <f>PPHTCS!C74</f>
        <v>0</v>
      </c>
      <c r="E2148" s="1248" t="str">
        <f>VLOOKUP($B2148,DG!A:D,DG!$C$2,)</f>
        <v>Cáp Triplex 3x16</v>
      </c>
      <c r="F2148" s="1236" t="str">
        <f>VLOOKUP($B2148,DG!A:D,DG!$D$2,)</f>
        <v>m</v>
      </c>
      <c r="G2148" s="1921">
        <f>ROUND(D2148*1.02,0)</f>
        <v>0</v>
      </c>
      <c r="H2148" s="1245">
        <f t="shared" ref="H2148:H2154" si="393">G2148</f>
        <v>0</v>
      </c>
      <c r="I2148" s="1245"/>
      <c r="J2148" s="1245"/>
      <c r="K2148" s="1245"/>
      <c r="L2148" s="1245"/>
      <c r="M2148" s="1245"/>
      <c r="N2148" s="1245"/>
      <c r="O2148" s="1245"/>
      <c r="P2148" s="1257">
        <f t="shared" si="387"/>
        <v>0</v>
      </c>
      <c r="Q2148" s="1245"/>
      <c r="R2148" s="1245"/>
      <c r="S2148" s="1245"/>
      <c r="T2148" s="1671"/>
      <c r="U2148" s="1664" t="str">
        <f>IFERROR(VLOOKUP(B2148,ChiTietDuToan!C:H,5,0),"")</f>
        <v/>
      </c>
      <c r="V2148" s="2309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59" t="s">
        <v>1736</v>
      </c>
      <c r="C2149" s="1189" t="str">
        <f t="shared" si="392"/>
        <v xml:space="preserve"> </v>
      </c>
      <c r="D2149" s="1253">
        <f>PPHTCS!C75</f>
        <v>0</v>
      </c>
      <c r="E2149" s="1248" t="str">
        <f>VLOOKUP($B2149,DG!A:D,DG!$C$2,)</f>
        <v>Cáp Quadruplex 4x11</v>
      </c>
      <c r="F2149" s="1236" t="str">
        <f>VLOOKUP($B2149,DG!A:D,DG!$D$2,)</f>
        <v>m</v>
      </c>
      <c r="G2149" s="1921">
        <f>ROUND(D2149*1.02,0)</f>
        <v>0</v>
      </c>
      <c r="H2149" s="1245">
        <f t="shared" si="393"/>
        <v>0</v>
      </c>
      <c r="I2149" s="1245"/>
      <c r="J2149" s="1245"/>
      <c r="K2149" s="1245"/>
      <c r="L2149" s="1245"/>
      <c r="M2149" s="1245"/>
      <c r="N2149" s="1245"/>
      <c r="O2149" s="1245"/>
      <c r="P2149" s="1257">
        <f t="shared" si="387"/>
        <v>0</v>
      </c>
      <c r="Q2149" s="1245"/>
      <c r="R2149" s="1245"/>
      <c r="S2149" s="1245"/>
      <c r="T2149" s="1671"/>
      <c r="U2149" s="1664" t="str">
        <f>IFERROR(VLOOKUP(B2149,ChiTietDuToan!C:H,5,0),"")</f>
        <v/>
      </c>
      <c r="V2149" s="2309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59" t="s">
        <v>4</v>
      </c>
      <c r="C2150" s="1189" t="str">
        <f t="shared" si="392"/>
        <v xml:space="preserve"> </v>
      </c>
      <c r="D2150" s="1253">
        <f>PPHTCS!C76</f>
        <v>0</v>
      </c>
      <c r="E2150" s="1248" t="str">
        <f>VLOOKUP($B2150,DG!A:D,DG!$C$2,)</f>
        <v>Cáp Quadruplex 4x16</v>
      </c>
      <c r="F2150" s="1236" t="str">
        <f>VLOOKUP($B2150,DG!A:D,DG!$D$2,)</f>
        <v>m</v>
      </c>
      <c r="G2150" s="1921">
        <f>ROUND(D2150*1.02,0)</f>
        <v>0</v>
      </c>
      <c r="H2150" s="1245">
        <f t="shared" si="393"/>
        <v>0</v>
      </c>
      <c r="I2150" s="1245"/>
      <c r="J2150" s="1245"/>
      <c r="K2150" s="1245"/>
      <c r="L2150" s="1245"/>
      <c r="M2150" s="1245"/>
      <c r="N2150" s="1245"/>
      <c r="O2150" s="1245"/>
      <c r="P2150" s="1257">
        <f t="shared" si="387"/>
        <v>0</v>
      </c>
      <c r="Q2150" s="1245"/>
      <c r="R2150" s="1245"/>
      <c r="S2150" s="1245"/>
      <c r="T2150" s="1671"/>
      <c r="U2150" s="1664" t="str">
        <f>IFERROR(VLOOKUP(B2150,ChiTietDuToan!C:H,5,0),"")</f>
        <v/>
      </c>
      <c r="V2150" s="2309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59" t="s">
        <v>2196</v>
      </c>
      <c r="C2151" s="1189" t="str">
        <f t="shared" si="392"/>
        <v xml:space="preserve"> </v>
      </c>
      <c r="D2151" s="1253">
        <f>PPHTCS!C77</f>
        <v>0</v>
      </c>
      <c r="E2151" s="1248" t="str">
        <f>VLOOKUP($B2151,DG!A:D,DG!$C$2,)</f>
        <v>Cáp nhôm ABC 4x50mm2</v>
      </c>
      <c r="F2151" s="1236" t="str">
        <f>VLOOKUP($B2151,DG!A:D,DG!$D$2,)</f>
        <v>mét</v>
      </c>
      <c r="G2151" s="1921">
        <f>ROUND(D2151*1.02,0)</f>
        <v>0</v>
      </c>
      <c r="H2151" s="1245">
        <f t="shared" si="393"/>
        <v>0</v>
      </c>
      <c r="I2151" s="1245"/>
      <c r="J2151" s="1245"/>
      <c r="K2151" s="1245"/>
      <c r="L2151" s="1245"/>
      <c r="M2151" s="1245"/>
      <c r="N2151" s="1245"/>
      <c r="O2151" s="1245"/>
      <c r="P2151" s="1257">
        <f t="shared" si="387"/>
        <v>0</v>
      </c>
      <c r="Q2151" s="1245"/>
      <c r="R2151" s="1245"/>
      <c r="S2151" s="1245"/>
      <c r="T2151" s="1671"/>
      <c r="U2151" s="1664" t="str">
        <f>IFERROR(VLOOKUP(B2151,ChiTietDuToan!C:H,5,0),"")</f>
        <v/>
      </c>
      <c r="V2151" s="2309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59" t="s">
        <v>583</v>
      </c>
      <c r="C2152" s="1189" t="str">
        <f t="shared" si="392"/>
        <v xml:space="preserve"> </v>
      </c>
      <c r="D2152" s="1253"/>
      <c r="E2152" s="1248" t="str">
        <f>VLOOKUP($B2152,DG!A:D,DG!$C$2,)</f>
        <v>Cáp đồng bọc CV16</v>
      </c>
      <c r="F2152" s="1236" t="str">
        <f>VLOOKUP($B2152,DG!A:D,DG!$D$2,)</f>
        <v>mét</v>
      </c>
      <c r="G2152" s="1921">
        <f>ROUND(D2152*1.05,0)</f>
        <v>0</v>
      </c>
      <c r="H2152" s="1245">
        <f t="shared" si="393"/>
        <v>0</v>
      </c>
      <c r="I2152" s="1245"/>
      <c r="J2152" s="1245"/>
      <c r="K2152" s="1245"/>
      <c r="L2152" s="1245"/>
      <c r="M2152" s="1245"/>
      <c r="N2152" s="1245"/>
      <c r="O2152" s="1245"/>
      <c r="P2152" s="1257">
        <f t="shared" si="387"/>
        <v>0</v>
      </c>
      <c r="Q2152" s="1245"/>
      <c r="R2152" s="1245"/>
      <c r="S2152" s="1245"/>
      <c r="T2152" s="1671"/>
      <c r="U2152" s="1664" t="str">
        <f>IFERROR(VLOOKUP(B2152,ChiTietDuToan!C:H,5,0),"")</f>
        <v/>
      </c>
      <c r="V2152" s="2309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59" t="s">
        <v>1401</v>
      </c>
      <c r="C2153" s="1189" t="str">
        <f t="shared" si="392"/>
        <v xml:space="preserve"> </v>
      </c>
      <c r="D2153" s="1253"/>
      <c r="E2153" s="1248" t="str">
        <f>VLOOKUP($B2153,DG!A:D,DG!$C$2,)&amp;": 8m/ñeøn"</f>
        <v>Cáp đồng mềm CV2,5: 8m/ñeøn</v>
      </c>
      <c r="F2153" s="1236" t="str">
        <f>VLOOKUP($B2153,DG!A:D,DG!$D$2,)</f>
        <v>mét</v>
      </c>
      <c r="G2153" s="1921">
        <f>ROUND((G2156+G2155*2)*8*1.02,0)</f>
        <v>0</v>
      </c>
      <c r="H2153" s="1245">
        <f t="shared" si="393"/>
        <v>0</v>
      </c>
      <c r="I2153" s="1245"/>
      <c r="J2153" s="1245"/>
      <c r="K2153" s="1245"/>
      <c r="L2153" s="1245"/>
      <c r="M2153" s="1245"/>
      <c r="N2153" s="1245"/>
      <c r="O2153" s="1245"/>
      <c r="P2153" s="1257">
        <f t="shared" si="387"/>
        <v>0</v>
      </c>
      <c r="Q2153" s="1245"/>
      <c r="R2153" s="1245"/>
      <c r="S2153" s="1245"/>
      <c r="T2153" s="1671"/>
      <c r="U2153" s="1664" t="str">
        <f>IFERROR(VLOOKUP(B2153,ChiTietDuToan!C:H,5,0),"")</f>
        <v/>
      </c>
      <c r="V2153" s="2309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59" t="s">
        <v>8</v>
      </c>
      <c r="C2154" s="1189" t="str">
        <f t="shared" si="392"/>
        <v xml:space="preserve"> </v>
      </c>
      <c r="D2154" s="1253"/>
      <c r="E2154" s="1248" t="str">
        <f>VLOOKUP($B2154,DG!A:D,DG!$C$2,)&amp;": 5m/ñeøn"</f>
        <v>Cáp CVV 2x2,5mm2  : 5m/ñeøn</v>
      </c>
      <c r="F2154" s="1236" t="str">
        <f>VLOOKUP($B2154,DG!A:D,DG!$D$2,)</f>
        <v>mét</v>
      </c>
      <c r="G2154" s="1921">
        <f>ROUND(G2157*5*1.02,0)</f>
        <v>0</v>
      </c>
      <c r="H2154" s="1245">
        <f t="shared" si="393"/>
        <v>0</v>
      </c>
      <c r="I2154" s="1245"/>
      <c r="J2154" s="1245"/>
      <c r="K2154" s="1245"/>
      <c r="L2154" s="1245"/>
      <c r="M2154" s="1245"/>
      <c r="N2154" s="1245"/>
      <c r="O2154" s="1245"/>
      <c r="P2154" s="1257">
        <f t="shared" si="387"/>
        <v>0</v>
      </c>
      <c r="Q2154" s="1245"/>
      <c r="R2154" s="1245"/>
      <c r="S2154" s="1245"/>
      <c r="T2154" s="1671"/>
      <c r="U2154" s="1664" t="str">
        <f>IFERROR(VLOOKUP(B2154,ChiTietDuToan!C:H,5,0),"")</f>
        <v/>
      </c>
      <c r="V2154" s="2309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59" t="s">
        <v>1278</v>
      </c>
      <c r="C2155" s="1189" t="str">
        <f t="shared" si="392"/>
        <v xml:space="preserve"> </v>
      </c>
      <c r="D2155" s="1253"/>
      <c r="E2155" s="1668" t="str">
        <f>VLOOKUP($B2155,DG!A:D,DG!$C$2,)</f>
        <v>Cần đèn STK D60 đôi cao 2m vươn 1,5m nghiêng 15 độ</v>
      </c>
      <c r="F2155" s="1690" t="str">
        <f>VLOOKUP($B2155,DG!A:D,DG!$D$2,)</f>
        <v>cần</v>
      </c>
      <c r="G2155" s="1915">
        <f>PPHTCS!Z69</f>
        <v>0</v>
      </c>
      <c r="H2155" s="1691">
        <f t="shared" ref="H2155:H2194" si="394">G2155</f>
        <v>0</v>
      </c>
      <c r="I2155" s="1691"/>
      <c r="J2155" s="1691"/>
      <c r="K2155" s="1691"/>
      <c r="L2155" s="1691"/>
      <c r="M2155" s="1691"/>
      <c r="N2155" s="1691"/>
      <c r="O2155" s="1691"/>
      <c r="P2155" s="1257">
        <f t="shared" si="387"/>
        <v>0</v>
      </c>
      <c r="Q2155" s="1691"/>
      <c r="R2155" s="1691"/>
      <c r="S2155" s="1691"/>
      <c r="T2155" s="1671"/>
      <c r="U2155" s="1664" t="str">
        <f>IFERROR(VLOOKUP(B2155,ChiTietDuToan!C:H,5,0),"")</f>
        <v/>
      </c>
      <c r="V2155" s="2309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59" t="s">
        <v>847</v>
      </c>
      <c r="C2156" s="1189" t="str">
        <f t="shared" si="392"/>
        <v xml:space="preserve"> </v>
      </c>
      <c r="D2156" s="1236"/>
      <c r="E2156" s="1248" t="str">
        <f>VLOOKUP($B2156,DG!A:D,DG!$C$2,)</f>
        <v>Cần đèn STK D60 đơn cao 1m vươn 1,8m nghiêng 15 độ + chụp đầu trụ</v>
      </c>
      <c r="F2156" s="1236" t="str">
        <f>VLOOKUP($B2156,DG!A:D,DG!$D$2,)</f>
        <v>cần</v>
      </c>
      <c r="G2156" s="1915">
        <f>PPHTCS!AA69</f>
        <v>0</v>
      </c>
      <c r="H2156" s="1691">
        <f t="shared" si="394"/>
        <v>0</v>
      </c>
      <c r="I2156" s="1691"/>
      <c r="J2156" s="1691"/>
      <c r="K2156" s="1691"/>
      <c r="L2156" s="1691"/>
      <c r="M2156" s="1691"/>
      <c r="N2156" s="1691"/>
      <c r="O2156" s="1691"/>
      <c r="P2156" s="1257">
        <f t="shared" si="387"/>
        <v>0</v>
      </c>
      <c r="Q2156" s="1691"/>
      <c r="R2156" s="1691"/>
      <c r="S2156" s="1691"/>
      <c r="T2156" s="1671"/>
      <c r="U2156" s="1664" t="str">
        <f>IFERROR(VLOOKUP(B2156,ChiTietDuToan!C:H,5,0),"")</f>
        <v/>
      </c>
      <c r="V2156" s="2309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59" t="s">
        <v>2198</v>
      </c>
      <c r="C2157" s="1189" t="str">
        <f t="shared" si="392"/>
        <v xml:space="preserve"> </v>
      </c>
      <c r="D2157" s="1236"/>
      <c r="E2157" s="1248" t="str">
        <f>VLOOKUP($B2157,DG!A:D,DG!$C$2,)</f>
        <v>Cần đèn STK D60 đơn cao 1,7m vươn 2,8m (CĐT cung cấp)</v>
      </c>
      <c r="F2157" s="1236" t="str">
        <f>VLOOKUP($B2157,DG!A:D,DG!$D$2,)</f>
        <v>cần</v>
      </c>
      <c r="G2157" s="1915">
        <f>PPHTCS!AB69</f>
        <v>0</v>
      </c>
      <c r="H2157" s="1691">
        <f t="shared" si="394"/>
        <v>0</v>
      </c>
      <c r="I2157" s="1691"/>
      <c r="J2157" s="1691"/>
      <c r="K2157" s="1691"/>
      <c r="L2157" s="1691"/>
      <c r="M2157" s="1691"/>
      <c r="N2157" s="1691"/>
      <c r="O2157" s="1691"/>
      <c r="P2157" s="1257">
        <f t="shared" si="387"/>
        <v>0</v>
      </c>
      <c r="Q2157" s="1691"/>
      <c r="R2157" s="1691"/>
      <c r="S2157" s="1691"/>
      <c r="T2157" s="1671"/>
      <c r="U2157" s="1664" t="str">
        <f>IFERROR(VLOOKUP(B2157,ChiTietDuToan!C:H,5,0),"")</f>
        <v/>
      </c>
      <c r="V2157" s="2309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59" t="s">
        <v>321</v>
      </c>
      <c r="C2158" s="1189" t="str">
        <f t="shared" si="392"/>
        <v xml:space="preserve"> </v>
      </c>
      <c r="D2158" s="1236"/>
      <c r="E2158" s="1248" t="str">
        <f>VLOOKUP($B2158,DG!A:D,DG!$C$2,)</f>
        <v>Choá đèn 73FS 10 + bóng OSAM-250W + tụ điện + ballast</v>
      </c>
      <c r="F2158" s="1236" t="str">
        <f>VLOOKUP($B2158,DG!A:D,DG!$D$2,)</f>
        <v>bộ</v>
      </c>
      <c r="G2158" s="1915">
        <f>PPHTCS!AD69</f>
        <v>0</v>
      </c>
      <c r="H2158" s="1691">
        <f t="shared" si="394"/>
        <v>0</v>
      </c>
      <c r="I2158" s="1691"/>
      <c r="J2158" s="1691"/>
      <c r="K2158" s="1691"/>
      <c r="L2158" s="1691"/>
      <c r="M2158" s="1691"/>
      <c r="N2158" s="1691"/>
      <c r="O2158" s="1691"/>
      <c r="P2158" s="1257">
        <f t="shared" si="387"/>
        <v>0</v>
      </c>
      <c r="Q2158" s="1691"/>
      <c r="R2158" s="1691"/>
      <c r="S2158" s="1691"/>
      <c r="T2158" s="1671"/>
      <c r="U2158" s="1664" t="str">
        <f>IFERROR(VLOOKUP(B2158,ChiTietDuToan!C:H,5,0),"")</f>
        <v/>
      </c>
      <c r="V2158" s="2309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59" t="s">
        <v>2121</v>
      </c>
      <c r="C2159" s="1189" t="str">
        <f t="shared" si="392"/>
        <v xml:space="preserve"> </v>
      </c>
      <c r="D2159" s="1694" t="str">
        <f>VLOOKUP($B2159,DG!A:D,DG!$B$2,)</f>
        <v>CS4.09.021</v>
      </c>
      <c r="E2159" s="1670" t="str">
        <f>VLOOKUP($B2159,DG!A:D,DG!$C$2,)</f>
        <v>Tủ điều khiển chiếu sáng</v>
      </c>
      <c r="F2159" s="1694" t="str">
        <f>VLOOKUP($B2159,DG!A:D,DG!$D$2,)</f>
        <v>cái</v>
      </c>
      <c r="G2159" s="1935"/>
      <c r="H2159" s="1691">
        <f t="shared" si="394"/>
        <v>0</v>
      </c>
      <c r="I2159" s="1691"/>
      <c r="J2159" s="1691"/>
      <c r="K2159" s="1691"/>
      <c r="L2159" s="1691"/>
      <c r="M2159" s="1691"/>
      <c r="N2159" s="1691"/>
      <c r="O2159" s="1691"/>
      <c r="P2159" s="1257">
        <f t="shared" si="387"/>
        <v>0</v>
      </c>
      <c r="Q2159" s="1691"/>
      <c r="R2159" s="1691"/>
      <c r="S2159" s="1691"/>
      <c r="T2159" s="1671"/>
      <c r="U2159" s="1664" t="str">
        <f>IFERROR(VLOOKUP(B2159,ChiTietDuToan!C:H,5,0),"")</f>
        <v/>
      </c>
      <c r="V2159" s="2309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59" t="s">
        <v>2062</v>
      </c>
      <c r="C2160" s="1189" t="str">
        <f t="shared" si="392"/>
        <v xml:space="preserve"> </v>
      </c>
      <c r="D2160" s="1694"/>
      <c r="E2160" s="1670" t="str">
        <f>VLOOKUP($B2160,DG!A:D,DG!$C$2,)</f>
        <v>Ống PVC D60x2,8mm</v>
      </c>
      <c r="F2160" s="1694" t="str">
        <f>VLOOKUP($B2160,DG!A:D,DG!$D$2,)</f>
        <v>m</v>
      </c>
      <c r="G2160" s="1935">
        <f>G2159*12</f>
        <v>0</v>
      </c>
      <c r="H2160" s="1691">
        <f t="shared" si="394"/>
        <v>0</v>
      </c>
      <c r="I2160" s="1691"/>
      <c r="J2160" s="1691"/>
      <c r="K2160" s="1691"/>
      <c r="L2160" s="1691"/>
      <c r="M2160" s="1691"/>
      <c r="N2160" s="1691"/>
      <c r="O2160" s="1691"/>
      <c r="P2160" s="1257">
        <f t="shared" si="387"/>
        <v>0</v>
      </c>
      <c r="Q2160" s="1691"/>
      <c r="R2160" s="1691"/>
      <c r="S2160" s="1691"/>
      <c r="T2160" s="1671"/>
      <c r="U2160" s="1664" t="str">
        <f>IFERROR(VLOOKUP(B2160,ChiTietDuToan!C:H,5,0),"")</f>
        <v/>
      </c>
      <c r="V2160" s="2309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59" t="s">
        <v>1517</v>
      </c>
      <c r="C2161" s="1189" t="str">
        <f t="shared" si="392"/>
        <v xml:space="preserve"> </v>
      </c>
      <c r="D2161" s="1694">
        <f>VLOOKUP($B2161,DG!A:D,DG!$B$2,)</f>
        <v>0</v>
      </c>
      <c r="E2161" s="1670" t="str">
        <f>VLOOKUP($B2161,DG!A:D,DG!$C$2,)</f>
        <v>Co 90 độ PVC 60</v>
      </c>
      <c r="F2161" s="1694" t="str">
        <f>VLOOKUP($B2161,DG!A:D,DG!$D$2,)</f>
        <v>cái</v>
      </c>
      <c r="G2161" s="1935">
        <f>G2159*6</f>
        <v>0</v>
      </c>
      <c r="H2161" s="1691">
        <f t="shared" si="394"/>
        <v>0</v>
      </c>
      <c r="I2161" s="1691"/>
      <c r="J2161" s="1691"/>
      <c r="K2161" s="1691"/>
      <c r="L2161" s="1691"/>
      <c r="M2161" s="1691"/>
      <c r="N2161" s="1691"/>
      <c r="O2161" s="1691"/>
      <c r="P2161" s="1257">
        <f t="shared" si="387"/>
        <v>0</v>
      </c>
      <c r="Q2161" s="1691"/>
      <c r="R2161" s="1691"/>
      <c r="S2161" s="1691"/>
      <c r="T2161" s="1671"/>
      <c r="U2161" s="1664" t="str">
        <f>IFERROR(VLOOKUP(B2161,ChiTietDuToan!C:H,5,0),"")</f>
        <v/>
      </c>
      <c r="V2161" s="2309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59" t="s">
        <v>1398</v>
      </c>
      <c r="C2162" s="1189" t="str">
        <f t="shared" si="392"/>
        <v xml:space="preserve"> </v>
      </c>
      <c r="D2162" s="1694">
        <f>VLOOKUP($B2162,DG!A:D,DG!$B$2,)</f>
        <v>0</v>
      </c>
      <c r="E2162" s="1670" t="str">
        <f>VLOOKUP($B2162,DG!A:D,DG!$C$2,)</f>
        <v>Cáp C/XLPE/DSTA/PVC -0.6/1kV-3x50+35mm2</v>
      </c>
      <c r="F2162" s="1694" t="str">
        <f>VLOOKUP($B2162,DG!A:D,DG!$D$2,)</f>
        <v>mét</v>
      </c>
      <c r="G2162" s="1935">
        <f>G2159*18</f>
        <v>0</v>
      </c>
      <c r="H2162" s="1691">
        <f t="shared" si="394"/>
        <v>0</v>
      </c>
      <c r="I2162" s="1691"/>
      <c r="J2162" s="1691"/>
      <c r="K2162" s="1691"/>
      <c r="L2162" s="1691"/>
      <c r="M2162" s="1691"/>
      <c r="N2162" s="1691"/>
      <c r="O2162" s="1691"/>
      <c r="P2162" s="1257">
        <f t="shared" si="387"/>
        <v>0</v>
      </c>
      <c r="Q2162" s="1691"/>
      <c r="R2162" s="1691"/>
      <c r="S2162" s="1691"/>
      <c r="T2162" s="1671"/>
      <c r="U2162" s="1664" t="str">
        <f>IFERROR(VLOOKUP(B2162,ChiTietDuToan!C:H,5,0),"")</f>
        <v/>
      </c>
      <c r="V2162" s="2309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59" t="s">
        <v>1899</v>
      </c>
      <c r="C2163" s="1189" t="str">
        <f t="shared" si="392"/>
        <v xml:space="preserve"> </v>
      </c>
      <c r="D2163" s="1694">
        <f>VLOOKUP($B2163,DG!A:D,DG!$B$2,)</f>
        <v>0</v>
      </c>
      <c r="E2163" s="1670" t="str">
        <f>VLOOKUP($B2163,DG!A:D,DG!$C$2,)</f>
        <v>Đầu cáp ngầm hạ thế 3x50</v>
      </c>
      <c r="F2163" s="1694" t="str">
        <f>VLOOKUP($B2163,DG!A:D,DG!$D$2,)</f>
        <v>cái</v>
      </c>
      <c r="G2163" s="1935">
        <f>G2159*4</f>
        <v>0</v>
      </c>
      <c r="H2163" s="1691">
        <f t="shared" si="394"/>
        <v>0</v>
      </c>
      <c r="I2163" s="1691"/>
      <c r="J2163" s="1691"/>
      <c r="K2163" s="1691"/>
      <c r="L2163" s="1691"/>
      <c r="M2163" s="1691"/>
      <c r="N2163" s="1691"/>
      <c r="O2163" s="1691"/>
      <c r="P2163" s="1257">
        <f t="shared" si="387"/>
        <v>0</v>
      </c>
      <c r="Q2163" s="1691"/>
      <c r="R2163" s="1691"/>
      <c r="S2163" s="1691"/>
      <c r="T2163" s="1671"/>
      <c r="U2163" s="1664" t="str">
        <f>IFERROR(VLOOKUP(B2163,ChiTietDuToan!C:H,5,0),"")</f>
        <v/>
      </c>
      <c r="V2163" s="2309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59" t="s">
        <v>1380</v>
      </c>
      <c r="C2164" s="1189" t="str">
        <f t="shared" si="392"/>
        <v xml:space="preserve"> </v>
      </c>
      <c r="D2164" s="1694"/>
      <c r="E2164" s="1670" t="str">
        <f>VLOOKUP($B2164,DG!A:D,DG!$C$2,)&amp;": ñaáu noái töø löôùi ABC vaøo tuû"</f>
        <v>Ghíp nối IPC 150-50: ñaáu noái töø löôùi ABC vaøo tuû</v>
      </c>
      <c r="F2164" s="1694" t="str">
        <f>VLOOKUP($B2164,DG!A:D,DG!$D$2,)</f>
        <v>cái</v>
      </c>
      <c r="G2164" s="1935">
        <f>G2159*4</f>
        <v>0</v>
      </c>
      <c r="H2164" s="1245">
        <f>G2164</f>
        <v>0</v>
      </c>
      <c r="I2164" s="1245"/>
      <c r="J2164" s="1245"/>
      <c r="K2164" s="1245"/>
      <c r="L2164" s="1245"/>
      <c r="M2164" s="1245"/>
      <c r="N2164" s="1245"/>
      <c r="O2164" s="1245"/>
      <c r="P2164" s="1257">
        <f t="shared" si="387"/>
        <v>0</v>
      </c>
      <c r="Q2164" s="1245"/>
      <c r="R2164" s="1245"/>
      <c r="S2164" s="1245"/>
      <c r="T2164" s="1671"/>
      <c r="U2164" s="1664" t="str">
        <f>IFERROR(VLOOKUP(B2164,ChiTietDuToan!C:H,5,0),"")</f>
        <v/>
      </c>
      <c r="V2164" s="2309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59" t="s">
        <v>2274</v>
      </c>
      <c r="C2165" s="1189" t="str">
        <f t="shared" si="392"/>
        <v xml:space="preserve"> </v>
      </c>
      <c r="D2165" s="1694"/>
      <c r="E2165" s="1670" t="str">
        <f>VLOOKUP($B2165,DG!A:D,DG!$C$2,)&amp;": ñaáu noái töø tuû leân löôùi chieáu saùng"</f>
        <v>Ghíp nối IPC 50-35: ñaáu noái töø tuû leân löôùi chieáu saùng</v>
      </c>
      <c r="F2165" s="1694" t="str">
        <f>VLOOKUP($B2165,DG!A:D,DG!$D$2,)</f>
        <v>cái</v>
      </c>
      <c r="G2165" s="1935">
        <f>G2164</f>
        <v>0</v>
      </c>
      <c r="H2165" s="1245">
        <f>G2165</f>
        <v>0</v>
      </c>
      <c r="I2165" s="1245"/>
      <c r="J2165" s="1245"/>
      <c r="K2165" s="1245"/>
      <c r="L2165" s="1245"/>
      <c r="M2165" s="1245"/>
      <c r="N2165" s="1245"/>
      <c r="O2165" s="1245"/>
      <c r="P2165" s="1257">
        <f t="shared" si="387"/>
        <v>0</v>
      </c>
      <c r="Q2165" s="1245"/>
      <c r="R2165" s="1245"/>
      <c r="S2165" s="1245"/>
      <c r="T2165" s="1671"/>
      <c r="U2165" s="1664" t="str">
        <f>IFERROR(VLOOKUP(B2165,ChiTietDuToan!C:H,5,0),"")</f>
        <v/>
      </c>
      <c r="V2165" s="2309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59" t="s">
        <v>827</v>
      </c>
      <c r="C2166" s="1189" t="str">
        <f t="shared" si="392"/>
        <v xml:space="preserve"> </v>
      </c>
      <c r="D2166" s="1236" t="str">
        <f>VLOOKUP($B2166,DG!A:D,DG!$B$2,)</f>
        <v>03.4001</v>
      </c>
      <c r="E2166" s="1248" t="str">
        <f>VLOOKUP($B2166,DG!A:D,DG!$C$2,)</f>
        <v>Đầu cosse ép Cu-Al 16mm2</v>
      </c>
      <c r="F2166" s="1236" t="str">
        <f>VLOOKUP($B2166,DG!A:D,DG!$D$2,)</f>
        <v>cái</v>
      </c>
      <c r="G2166" s="1915">
        <f>G2165*6</f>
        <v>0</v>
      </c>
      <c r="H2166" s="1245">
        <f t="shared" si="394"/>
        <v>0</v>
      </c>
      <c r="I2166" s="1245"/>
      <c r="J2166" s="1245"/>
      <c r="K2166" s="1245"/>
      <c r="L2166" s="1245"/>
      <c r="M2166" s="1245"/>
      <c r="N2166" s="1245"/>
      <c r="O2166" s="1245"/>
      <c r="P2166" s="1257">
        <f t="shared" si="387"/>
        <v>0</v>
      </c>
      <c r="Q2166" s="1245"/>
      <c r="R2166" s="1245"/>
      <c r="S2166" s="1245"/>
      <c r="T2166" s="1671"/>
      <c r="U2166" s="1664" t="str">
        <f>IFERROR(VLOOKUP(B2166,ChiTietDuToan!C:H,5,0),"")</f>
        <v/>
      </c>
      <c r="V2166" s="2309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59" t="s">
        <v>1918</v>
      </c>
      <c r="C2167" s="1189" t="str">
        <f t="shared" si="392"/>
        <v xml:space="preserve"> </v>
      </c>
      <c r="D2167" s="1236"/>
      <c r="E2167" s="1248" t="str">
        <f>VLOOKUP($B2167,DG!A:D,DG!$C$2,)</f>
        <v xml:space="preserve">Đầu cosse ép Cu 2,5mm2 + bao PVC </v>
      </c>
      <c r="F2167" s="1236" t="str">
        <f>VLOOKUP($B2167,DG!A:D,DG!$D$2,)</f>
        <v>cái</v>
      </c>
      <c r="G2167" s="1915">
        <f>4*G2155+G2156*2+G2157*2</f>
        <v>0</v>
      </c>
      <c r="H2167" s="1245">
        <f t="shared" si="394"/>
        <v>0</v>
      </c>
      <c r="I2167" s="1245"/>
      <c r="J2167" s="1245"/>
      <c r="K2167" s="1245"/>
      <c r="L2167" s="1245"/>
      <c r="M2167" s="1245"/>
      <c r="N2167" s="1245"/>
      <c r="O2167" s="1245"/>
      <c r="P2167" s="1257">
        <f t="shared" si="387"/>
        <v>0</v>
      </c>
      <c r="Q2167" s="1245"/>
      <c r="R2167" s="1245"/>
      <c r="S2167" s="1245"/>
      <c r="T2167" s="1671"/>
      <c r="U2167" s="1664" t="str">
        <f>IFERROR(VLOOKUP(B2167,ChiTietDuToan!C:H,5,0),"")</f>
        <v/>
      </c>
      <c r="V2167" s="2309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59" t="s">
        <v>999</v>
      </c>
      <c r="C2168" s="1189" t="str">
        <f t="shared" si="392"/>
        <v xml:space="preserve"> </v>
      </c>
      <c r="D2168" s="1236">
        <f>VLOOKUP($B2168,DG!A:D,DG!$B$2,)</f>
        <v>0</v>
      </c>
      <c r="E2168" s="1248" t="str">
        <f>VLOOKUP($B2168,DG!A:D,DG!$C$2,)</f>
        <v>Cầu chì nhựa trong nhà 5A+ chì 5A</v>
      </c>
      <c r="F2168" s="1236" t="str">
        <f>VLOOKUP($B2168,DG!A:D,DG!$D$2,)</f>
        <v>cái</v>
      </c>
      <c r="G2168" s="1915">
        <f>G2155*2+G2156</f>
        <v>0</v>
      </c>
      <c r="H2168" s="1245">
        <f t="shared" si="394"/>
        <v>0</v>
      </c>
      <c r="I2168" s="1245"/>
      <c r="J2168" s="1245"/>
      <c r="K2168" s="1245"/>
      <c r="L2168" s="1245"/>
      <c r="M2168" s="1245"/>
      <c r="N2168" s="1245"/>
      <c r="O2168" s="1245"/>
      <c r="P2168" s="1257">
        <f t="shared" si="387"/>
        <v>0</v>
      </c>
      <c r="Q2168" s="1245"/>
      <c r="R2168" s="1245"/>
      <c r="S2168" s="1245"/>
      <c r="T2168" s="1671"/>
      <c r="U2168" s="1664" t="str">
        <f>IFERROR(VLOOKUP(B2168,ChiTietDuToan!C:H,5,0),"")</f>
        <v/>
      </c>
      <c r="V2168" s="2309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59" t="s">
        <v>627</v>
      </c>
      <c r="C2169" s="1189" t="str">
        <f t="shared" si="392"/>
        <v xml:space="preserve"> </v>
      </c>
      <c r="D2169" s="1236">
        <f>VLOOKUP($B2169,DG!A:D,DG!$B$2,)</f>
        <v>0</v>
      </c>
      <c r="E2169" s="1248" t="str">
        <f>VLOOKUP($B2169,DG!A:D,DG!$C$2,)</f>
        <v>Tấm bakelit hay nhựa cách điện 600V (200x60x6)</v>
      </c>
      <c r="F2169" s="1236" t="str">
        <f>VLOOKUP($B2169,DG!A:D,DG!$D$2,)</f>
        <v>cái</v>
      </c>
      <c r="G2169" s="1915">
        <f>G2171</f>
        <v>0</v>
      </c>
      <c r="H2169" s="1245">
        <f t="shared" si="394"/>
        <v>0</v>
      </c>
      <c r="I2169" s="1245"/>
      <c r="J2169" s="1245"/>
      <c r="K2169" s="1245"/>
      <c r="L2169" s="1245"/>
      <c r="M2169" s="1245"/>
      <c r="N2169" s="1245"/>
      <c r="O2169" s="1245"/>
      <c r="P2169" s="1257">
        <f t="shared" si="387"/>
        <v>0</v>
      </c>
      <c r="Q2169" s="1245"/>
      <c r="R2169" s="1245"/>
      <c r="S2169" s="1245"/>
      <c r="T2169" s="1671"/>
      <c r="U2169" s="1664" t="str">
        <f>IFERROR(VLOOKUP(B2169,ChiTietDuToan!C:H,5,0),"")</f>
        <v/>
      </c>
      <c r="V2169" s="2309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59" t="s">
        <v>933</v>
      </c>
      <c r="C2170" s="1189" t="str">
        <f t="shared" si="392"/>
        <v xml:space="preserve"> </v>
      </c>
      <c r="D2170" s="1236">
        <f>VLOOKUP($B2170,DG!A:D,DG!$B$2,)</f>
        <v>0</v>
      </c>
      <c r="E2170" s="1248" t="str">
        <f>VLOOKUP($B2170,DG!A:D,DG!$C$2,)</f>
        <v>Boulon thau 12x50 + 2 long đền vuông D14-50x50x3/Zn</v>
      </c>
      <c r="F2170" s="1236" t="str">
        <f>VLOOKUP($B2170,DG!A:D,DG!$D$2,)</f>
        <v>bộ</v>
      </c>
      <c r="G2170" s="1915">
        <f>G2169*4</f>
        <v>0</v>
      </c>
      <c r="H2170" s="1245">
        <f t="shared" si="394"/>
        <v>0</v>
      </c>
      <c r="I2170" s="1245"/>
      <c r="J2170" s="1245"/>
      <c r="K2170" s="1245"/>
      <c r="L2170" s="1245"/>
      <c r="M2170" s="1245"/>
      <c r="N2170" s="1245"/>
      <c r="O2170" s="1245"/>
      <c r="P2170" s="1257">
        <f t="shared" si="387"/>
        <v>0</v>
      </c>
      <c r="Q2170" s="1245"/>
      <c r="R2170" s="1245"/>
      <c r="S2170" s="1245"/>
      <c r="T2170" s="1671"/>
      <c r="U2170" s="1664" t="str">
        <f>IFERROR(VLOOKUP(B2170,ChiTietDuToan!C:H,5,0),"")</f>
        <v/>
      </c>
      <c r="V2170" s="2309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59" t="s">
        <v>1560</v>
      </c>
      <c r="C2171" s="1189" t="str">
        <f t="shared" si="392"/>
        <v xml:space="preserve"> </v>
      </c>
      <c r="D2171" s="1236">
        <f>VLOOKUP($B2171,DG!A:D,DG!$B$2,)</f>
        <v>0</v>
      </c>
      <c r="E2171" s="1248" t="str">
        <f>VLOOKUP($B2171,DG!A:D,DG!$C$2,)</f>
        <v>Cọc tiếp đất Ø 16- 2,4m + kẹp cọc</v>
      </c>
      <c r="F2171" s="1236" t="str">
        <f>VLOOKUP($B2171,DG!A:D,DG!$D$2,)</f>
        <v>bộ</v>
      </c>
      <c r="G2171" s="1915"/>
      <c r="H2171" s="1245">
        <f t="shared" si="394"/>
        <v>0</v>
      </c>
      <c r="I2171" s="1245"/>
      <c r="J2171" s="1245"/>
      <c r="K2171" s="1245"/>
      <c r="L2171" s="1245"/>
      <c r="M2171" s="1245"/>
      <c r="N2171" s="1245"/>
      <c r="O2171" s="1245"/>
      <c r="P2171" s="1257">
        <f t="shared" si="387"/>
        <v>0</v>
      </c>
      <c r="Q2171" s="1245"/>
      <c r="R2171" s="1245"/>
      <c r="S2171" s="1245"/>
      <c r="T2171" s="1671"/>
      <c r="U2171" s="1664" t="str">
        <f>IFERROR(VLOOKUP(B2171,ChiTietDuToan!C:H,5,0),"")</f>
        <v>bộ</v>
      </c>
      <c r="V2171" s="2309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59" t="s">
        <v>2122</v>
      </c>
      <c r="C2172" s="1189" t="str">
        <f t="shared" si="392"/>
        <v xml:space="preserve"> </v>
      </c>
      <c r="D2172" s="1236">
        <f>VLOOKUP($B2172,DG!A:D,DG!$B$2,)</f>
        <v>0</v>
      </c>
      <c r="E2172" s="1248" t="str">
        <f>VLOOKUP($B2172,DG!A:D,DG!$C$2,)</f>
        <v>Kẹp treo cáp ABC4x35mm2</v>
      </c>
      <c r="F2172" s="1236" t="str">
        <f>VLOOKUP($B2172,DG!A:D,DG!$D$2,)</f>
        <v>cái</v>
      </c>
      <c r="G2172" s="1915">
        <f>PPHTCS!BB69</f>
        <v>0</v>
      </c>
      <c r="H2172" s="1245">
        <f t="shared" si="394"/>
        <v>0</v>
      </c>
      <c r="I2172" s="1245"/>
      <c r="J2172" s="1245"/>
      <c r="K2172" s="1245"/>
      <c r="L2172" s="1245"/>
      <c r="M2172" s="1245"/>
      <c r="N2172" s="1245"/>
      <c r="O2172" s="1245"/>
      <c r="P2172" s="1257">
        <f t="shared" ref="P2172:P2236" si="395">H2172+Q2172-R2172</f>
        <v>0</v>
      </c>
      <c r="Q2172" s="1245"/>
      <c r="R2172" s="1245"/>
      <c r="S2172" s="1245"/>
      <c r="T2172" s="1671"/>
      <c r="U2172" s="1664" t="str">
        <f>IFERROR(VLOOKUP(B2172,ChiTietDuToan!C:H,5,0),"")</f>
        <v/>
      </c>
      <c r="V2172" s="2309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59" t="s">
        <v>2123</v>
      </c>
      <c r="C2173" s="1189" t="str">
        <f t="shared" si="392"/>
        <v xml:space="preserve"> </v>
      </c>
      <c r="D2173" s="1236">
        <f>VLOOKUP($B2173,DG!A:D,DG!$B$2,)</f>
        <v>0</v>
      </c>
      <c r="E2173" s="1248" t="str">
        <f>VLOOKUP($B2173,DG!A:D,DG!$C$2,)</f>
        <v>Kẹp ngừng cáp ABC4x35mm2</v>
      </c>
      <c r="F2173" s="1236" t="str">
        <f>VLOOKUP($B2173,DG!A:D,DG!$D$2,)</f>
        <v>cái</v>
      </c>
      <c r="G2173" s="1915">
        <f>PPHTCS!BE69</f>
        <v>0</v>
      </c>
      <c r="H2173" s="1245">
        <f t="shared" si="394"/>
        <v>0</v>
      </c>
      <c r="I2173" s="1245"/>
      <c r="J2173" s="1245"/>
      <c r="K2173" s="1245"/>
      <c r="L2173" s="1245"/>
      <c r="M2173" s="1245"/>
      <c r="N2173" s="1245"/>
      <c r="O2173" s="1245"/>
      <c r="P2173" s="1257">
        <f t="shared" si="395"/>
        <v>0</v>
      </c>
      <c r="Q2173" s="1245"/>
      <c r="R2173" s="1245"/>
      <c r="S2173" s="1245"/>
      <c r="T2173" s="1671"/>
      <c r="U2173" s="1664" t="str">
        <f>IFERROR(VLOOKUP(B2173,ChiTietDuToan!C:H,5,0),"")</f>
        <v/>
      </c>
      <c r="V2173" s="2309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59" t="s">
        <v>1096</v>
      </c>
      <c r="C2174" s="1189" t="str">
        <f t="shared" si="392"/>
        <v xml:space="preserve"> </v>
      </c>
      <c r="D2174" s="1694"/>
      <c r="E2174" s="1670" t="str">
        <f>VLOOKUP($B2174,DG!A:D,DG!$C$2,)&amp;": ñaáu reõ nhaùnh truï 15"</f>
        <v>Ghíp nối IPC 35-35: ñaáu reõ nhaùnh truï 15</v>
      </c>
      <c r="F2174" s="1694" t="str">
        <f>VLOOKUP($B2174,DG!A:D,DG!$D$2,)</f>
        <v>cái</v>
      </c>
      <c r="G2174" s="1935"/>
      <c r="H2174" s="1245">
        <f t="shared" si="394"/>
        <v>0</v>
      </c>
      <c r="I2174" s="1245"/>
      <c r="J2174" s="1245"/>
      <c r="K2174" s="1245"/>
      <c r="L2174" s="1245"/>
      <c r="M2174" s="1245"/>
      <c r="N2174" s="1245"/>
      <c r="O2174" s="1245"/>
      <c r="P2174" s="1257">
        <f t="shared" si="395"/>
        <v>0</v>
      </c>
      <c r="Q2174" s="1245"/>
      <c r="R2174" s="1245"/>
      <c r="S2174" s="1245"/>
      <c r="T2174" s="1671"/>
      <c r="U2174" s="1664" t="str">
        <f>IFERROR(VLOOKUP(B2174,ChiTietDuToan!C:H,5,0),"")</f>
        <v/>
      </c>
      <c r="V2174" s="2309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59" t="s">
        <v>1787</v>
      </c>
      <c r="C2175" s="1189" t="str">
        <f t="shared" si="392"/>
        <v xml:space="preserve"> </v>
      </c>
      <c r="D2175" s="1236">
        <f>VLOOKUP($B2175,DG!A:D,DG!$B$2,)</f>
        <v>0</v>
      </c>
      <c r="E2175" s="1248" t="str">
        <f>VLOOKUP($B2175,DG!A:D,DG!$C$2,)</f>
        <v>Móc treo chữ A</v>
      </c>
      <c r="F2175" s="1236" t="str">
        <f>VLOOKUP($B2175,DG!A:D,DG!$D$2,)</f>
        <v>cái</v>
      </c>
      <c r="G2175" s="1915">
        <f>PPHTCS!BK69</f>
        <v>0</v>
      </c>
      <c r="H2175" s="1245">
        <f t="shared" si="394"/>
        <v>0</v>
      </c>
      <c r="I2175" s="1245"/>
      <c r="J2175" s="1245"/>
      <c r="K2175" s="1245"/>
      <c r="L2175" s="1245"/>
      <c r="M2175" s="1245"/>
      <c r="N2175" s="1245"/>
      <c r="O2175" s="1245"/>
      <c r="P2175" s="1257">
        <f t="shared" si="395"/>
        <v>0</v>
      </c>
      <c r="Q2175" s="1245"/>
      <c r="R2175" s="1245"/>
      <c r="S2175" s="1245"/>
      <c r="T2175" s="1671"/>
      <c r="U2175" s="1664" t="str">
        <f>IFERROR(VLOOKUP(B2175,ChiTietDuToan!C:H,5,0),"")</f>
        <v/>
      </c>
      <c r="V2175" s="2309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59" t="s">
        <v>2077</v>
      </c>
      <c r="C2176" s="1189" t="str">
        <f t="shared" si="392"/>
        <v xml:space="preserve"> </v>
      </c>
      <c r="D2176" s="1236">
        <f>VLOOKUP($B2176,DG!A:D,DG!$B$2,)</f>
        <v>0</v>
      </c>
      <c r="E2176" s="1248" t="str">
        <f>VLOOKUP($B2176,DG!A:D,DG!$C$2,)</f>
        <v xml:space="preserve">Móc đơn treo cáp </v>
      </c>
      <c r="F2176" s="1236" t="str">
        <f>VLOOKUP($B2176,DG!A:D,DG!$D$2,)</f>
        <v>cái</v>
      </c>
      <c r="G2176" s="1915">
        <f>PPHTCS!BJ69</f>
        <v>0</v>
      </c>
      <c r="H2176" s="1245">
        <f t="shared" si="394"/>
        <v>0</v>
      </c>
      <c r="I2176" s="1245"/>
      <c r="J2176" s="1245"/>
      <c r="K2176" s="1245"/>
      <c r="L2176" s="1245"/>
      <c r="M2176" s="1245"/>
      <c r="N2176" s="1245"/>
      <c r="O2176" s="1245"/>
      <c r="P2176" s="1257">
        <f t="shared" si="395"/>
        <v>0</v>
      </c>
      <c r="Q2176" s="1245"/>
      <c r="R2176" s="1245"/>
      <c r="S2176" s="1245"/>
      <c r="T2176" s="1671"/>
      <c r="U2176" s="1664" t="str">
        <f>IFERROR(VLOOKUP(B2176,ChiTietDuToan!C:H,5,0),"")</f>
        <v/>
      </c>
      <c r="V2176" s="2309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59" t="s">
        <v>868</v>
      </c>
      <c r="C2177" s="1189" t="str">
        <f t="shared" si="392"/>
        <v xml:space="preserve"> </v>
      </c>
      <c r="D2177" s="1236">
        <f>VLOOKUP($B2177,DG!A:D,DG!$B$2,)</f>
        <v>0</v>
      </c>
      <c r="E2177" s="1248" t="str">
        <f>VLOOKUP($B2177,DG!A:D,DG!$C$2,)</f>
        <v>Boulon móc 16x250+ long đền vuông D18-50x50x3/Zn</v>
      </c>
      <c r="F2177" s="1236" t="str">
        <f>VLOOKUP($B2177,DG!A:D,DG!$D$2,)</f>
        <v>bộ</v>
      </c>
      <c r="G2177" s="1915">
        <f>PPHTCS!AO69</f>
        <v>0</v>
      </c>
      <c r="H2177" s="1245">
        <f t="shared" si="394"/>
        <v>0</v>
      </c>
      <c r="I2177" s="1245"/>
      <c r="J2177" s="1245"/>
      <c r="K2177" s="1245"/>
      <c r="L2177" s="1245"/>
      <c r="M2177" s="1245"/>
      <c r="N2177" s="1245"/>
      <c r="O2177" s="1245"/>
      <c r="P2177" s="1257">
        <f t="shared" si="395"/>
        <v>0</v>
      </c>
      <c r="Q2177" s="1245"/>
      <c r="R2177" s="1245"/>
      <c r="S2177" s="1245"/>
      <c r="T2177" s="1671"/>
      <c r="U2177" s="1664" t="str">
        <f>IFERROR(VLOOKUP(B2177,ChiTietDuToan!C:H,5,0),"")</f>
        <v/>
      </c>
      <c r="V2177" s="2309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59" t="s">
        <v>869</v>
      </c>
      <c r="C2178" s="1189" t="str">
        <f t="shared" si="392"/>
        <v xml:space="preserve"> </v>
      </c>
      <c r="D2178" s="1236">
        <f>VLOOKUP($B2178,DG!A:D,DG!$B$2,)</f>
        <v>0</v>
      </c>
      <c r="E2178" s="1248" t="str">
        <f>VLOOKUP($B2178,DG!A:D,DG!$C$2,)</f>
        <v>Boulon móc 16x300+ long đền vuông D18-50x50x3/Zn</v>
      </c>
      <c r="F2178" s="1236" t="str">
        <f>VLOOKUP($B2178,DG!A:D,DG!$D$2,)</f>
        <v>bộ</v>
      </c>
      <c r="G2178" s="1915">
        <f>PPHTCS!AP69</f>
        <v>0</v>
      </c>
      <c r="H2178" s="1245">
        <f t="shared" si="394"/>
        <v>0</v>
      </c>
      <c r="I2178" s="1245"/>
      <c r="J2178" s="1245"/>
      <c r="K2178" s="1245"/>
      <c r="L2178" s="1245"/>
      <c r="M2178" s="1245"/>
      <c r="N2178" s="1245"/>
      <c r="O2178" s="1245"/>
      <c r="P2178" s="1257">
        <f t="shared" si="395"/>
        <v>0</v>
      </c>
      <c r="Q2178" s="1245"/>
      <c r="R2178" s="1245"/>
      <c r="S2178" s="1245"/>
      <c r="T2178" s="1671"/>
      <c r="U2178" s="1664" t="str">
        <f>IFERROR(VLOOKUP(B2178,ChiTietDuToan!C:H,5,0),"")</f>
        <v>bộ</v>
      </c>
      <c r="V2178" s="2309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59" t="s">
        <v>2262</v>
      </c>
      <c r="C2179" s="1189" t="str">
        <f t="shared" si="392"/>
        <v xml:space="preserve"> </v>
      </c>
      <c r="D2179" s="1236"/>
      <c r="E2179" s="1248" t="str">
        <f>VLOOKUP($B2179,DG!A:D,DG!$C$2,)</f>
        <v xml:space="preserve">Cổ dê trụ đôi 8,4m bắt móc dừng </v>
      </c>
      <c r="F2179" s="1236" t="str">
        <f>VLOOKUP($B2179,DG!A:D,DG!$D$2,)</f>
        <v>bộ</v>
      </c>
      <c r="G2179" s="1912">
        <f>PPHTCS!BH69</f>
        <v>0</v>
      </c>
      <c r="H2179" s="1245">
        <f t="shared" si="394"/>
        <v>0</v>
      </c>
      <c r="I2179" s="1245"/>
      <c r="J2179" s="1245"/>
      <c r="K2179" s="1245"/>
      <c r="L2179" s="1245"/>
      <c r="M2179" s="1245"/>
      <c r="N2179" s="1245"/>
      <c r="O2179" s="1245"/>
      <c r="P2179" s="1257">
        <f t="shared" si="395"/>
        <v>0</v>
      </c>
      <c r="Q2179" s="1245"/>
      <c r="R2179" s="1245"/>
      <c r="S2179" s="1245"/>
      <c r="T2179" s="1671"/>
      <c r="U2179" s="1664" t="str">
        <f>IFERROR(VLOOKUP(B2179,ChiTietDuToan!C:H,5,0),"")</f>
        <v/>
      </c>
      <c r="V2179" s="2309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59" t="s">
        <v>1519</v>
      </c>
      <c r="C2180" s="1189" t="str">
        <f t="shared" si="392"/>
        <v xml:space="preserve"> </v>
      </c>
      <c r="D2180" s="1236">
        <f>VLOOKUP($B2180,DG!A:D,DG!$B$2,)</f>
        <v>0</v>
      </c>
      <c r="E2180" s="1248" t="str">
        <f>VLOOKUP($B2180,DG!A:D,DG!$C$2,)</f>
        <v xml:space="preserve">Móc dừng </v>
      </c>
      <c r="F2180" s="1236" t="str">
        <f>VLOOKUP($B2180,DG!A:D,DG!$D$2,)</f>
        <v>cái</v>
      </c>
      <c r="G2180" s="1912">
        <f>PPHTCS!BI69</f>
        <v>0</v>
      </c>
      <c r="H2180" s="1245">
        <f t="shared" si="394"/>
        <v>0</v>
      </c>
      <c r="I2180" s="1245"/>
      <c r="J2180" s="1245"/>
      <c r="K2180" s="1245"/>
      <c r="L2180" s="1245"/>
      <c r="M2180" s="1245"/>
      <c r="N2180" s="1245"/>
      <c r="O2180" s="1245"/>
      <c r="P2180" s="1257">
        <f t="shared" si="395"/>
        <v>0</v>
      </c>
      <c r="Q2180" s="1245"/>
      <c r="R2180" s="1245"/>
      <c r="S2180" s="1245"/>
      <c r="T2180" s="1671"/>
      <c r="U2180" s="1664" t="str">
        <f>IFERROR(VLOOKUP(B2180,ChiTietDuToan!C:H,5,0),"")</f>
        <v/>
      </c>
      <c r="V2180" s="2309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59" t="s">
        <v>195</v>
      </c>
      <c r="C2181" s="1189" t="str">
        <f t="shared" si="392"/>
        <v xml:space="preserve"> </v>
      </c>
      <c r="D2181" s="1236">
        <f>VLOOKUP($B2181,DG!A:D,DG!$B$2,)</f>
        <v>0</v>
      </c>
      <c r="E2181" s="1248" t="str">
        <f>VLOOKUP($B2181,DG!A:D,DG!$C$2,)&amp;": ñaáu noái löôùi hieän höõu"</f>
        <v>Kẹp U bolt dây 50mm2: ñaáu noái löôùi hieän höõu</v>
      </c>
      <c r="F2181" s="1236" t="str">
        <f>VLOOKUP($B2181,DG!A:D,DG!$D$2,)</f>
        <v>cái</v>
      </c>
      <c r="G2181" s="1918">
        <f>PPHTCS!BL69</f>
        <v>0</v>
      </c>
      <c r="H2181" s="1245">
        <f t="shared" si="394"/>
        <v>0</v>
      </c>
      <c r="I2181" s="1245"/>
      <c r="J2181" s="1245"/>
      <c r="K2181" s="1245"/>
      <c r="L2181" s="1245"/>
      <c r="M2181" s="1245"/>
      <c r="N2181" s="1245"/>
      <c r="O2181" s="1245"/>
      <c r="P2181" s="1257">
        <f t="shared" si="395"/>
        <v>0</v>
      </c>
      <c r="Q2181" s="1245"/>
      <c r="R2181" s="1245"/>
      <c r="S2181" s="1245"/>
      <c r="T2181" s="1671"/>
      <c r="U2181" s="1664" t="str">
        <f>IFERROR(VLOOKUP(B2181,ChiTietDuToan!C:H,5,0),"")</f>
        <v/>
      </c>
      <c r="V2181" s="2309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59" t="s">
        <v>71</v>
      </c>
      <c r="C2182" s="1189" t="str">
        <f t="shared" si="392"/>
        <v xml:space="preserve"> </v>
      </c>
      <c r="D2182" s="1236">
        <f>VLOOKUP($B2182,DG!A:D,DG!$B$2,)</f>
        <v>0</v>
      </c>
      <c r="E2182" s="1248" t="str">
        <f>VLOOKUP($B2182,DG!A:D,DG!$C$2,)</f>
        <v>ÔÁng sắt tráng kẽm D60</v>
      </c>
      <c r="F2182" s="1236" t="str">
        <f>VLOOKUP($B2182,DG!A:D,DG!$D$2,)</f>
        <v>mét</v>
      </c>
      <c r="G2182" s="1915"/>
      <c r="H2182" s="1245">
        <f>G2182</f>
        <v>0</v>
      </c>
      <c r="I2182" s="1245"/>
      <c r="J2182" s="1245"/>
      <c r="K2182" s="1245"/>
      <c r="L2182" s="1245"/>
      <c r="M2182" s="1245"/>
      <c r="N2182" s="1245"/>
      <c r="O2182" s="1245"/>
      <c r="P2182" s="1257">
        <f t="shared" si="395"/>
        <v>0</v>
      </c>
      <c r="Q2182" s="1245"/>
      <c r="R2182" s="1245"/>
      <c r="S2182" s="1245"/>
      <c r="T2182" s="1671"/>
      <c r="U2182" s="1664" t="str">
        <f>IFERROR(VLOOKUP(B2182,ChiTietDuToan!C:H,5,0),"")</f>
        <v/>
      </c>
      <c r="V2182" s="2309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59" t="s">
        <v>2163</v>
      </c>
      <c r="C2183" s="1189" t="str">
        <f t="shared" si="392"/>
        <v xml:space="preserve"> </v>
      </c>
      <c r="D2183" s="1236">
        <f>VLOOKUP($B2183,DG!A:D,DG!$B$2,)</f>
        <v>0</v>
      </c>
      <c r="E2183" s="1248" t="str">
        <f>VLOOKUP($B2183,DG!A:D,DG!$C$2,)</f>
        <v>ÔÁng sắt tráng kẽm D42</v>
      </c>
      <c r="F2183" s="1236" t="str">
        <f>VLOOKUP($B2183,DG!A:D,DG!$D$2,)</f>
        <v>mét</v>
      </c>
      <c r="G2183" s="1915"/>
      <c r="H2183" s="1245">
        <f>G2183</f>
        <v>0</v>
      </c>
      <c r="I2183" s="1245"/>
      <c r="J2183" s="1245"/>
      <c r="K2183" s="1245"/>
      <c r="L2183" s="1245"/>
      <c r="M2183" s="1245"/>
      <c r="N2183" s="1245"/>
      <c r="O2183" s="1245"/>
      <c r="P2183" s="1257">
        <f t="shared" si="395"/>
        <v>0</v>
      </c>
      <c r="Q2183" s="1245"/>
      <c r="R2183" s="1245"/>
      <c r="S2183" s="1245"/>
      <c r="T2183" s="1671"/>
      <c r="U2183" s="1664" t="str">
        <f>IFERROR(VLOOKUP(B2183,ChiTietDuToan!C:H,5,0),"")</f>
        <v/>
      </c>
      <c r="V2183" s="2309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59" t="s">
        <v>2062</v>
      </c>
      <c r="C2184" s="1189" t="str">
        <f t="shared" si="392"/>
        <v xml:space="preserve"> </v>
      </c>
      <c r="D2184" s="1236" t="str">
        <f>VLOOKUP($B2184,DG!A:D,DG!$B$2,)</f>
        <v>07.2404</v>
      </c>
      <c r="E2184" s="1248" t="str">
        <f>VLOOKUP($B2184,DG!A:D,DG!$C$2,)</f>
        <v>Ống PVC D60x2,8mm</v>
      </c>
      <c r="F2184" s="1236" t="str">
        <f>VLOOKUP($B2184,DG!A:D,DG!$D$2,)</f>
        <v>m</v>
      </c>
      <c r="G2184" s="1915"/>
      <c r="H2184" s="1245">
        <f>G2184</f>
        <v>0</v>
      </c>
      <c r="I2184" s="1245"/>
      <c r="J2184" s="1245"/>
      <c r="K2184" s="1245"/>
      <c r="L2184" s="1245"/>
      <c r="M2184" s="1245"/>
      <c r="N2184" s="1245"/>
      <c r="O2184" s="1245"/>
      <c r="P2184" s="1257">
        <f t="shared" si="395"/>
        <v>0</v>
      </c>
      <c r="Q2184" s="1245"/>
      <c r="R2184" s="1245"/>
      <c r="S2184" s="1245"/>
      <c r="T2184" s="1671"/>
      <c r="U2184" s="1664" t="str">
        <f>IFERROR(VLOOKUP(B2184,ChiTietDuToan!C:H,5,0),"")</f>
        <v/>
      </c>
      <c r="V2184" s="2309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59" t="s">
        <v>2203</v>
      </c>
      <c r="C2185" s="1189" t="str">
        <f t="shared" si="392"/>
        <v xml:space="preserve"> </v>
      </c>
      <c r="D2185" s="1236" t="str">
        <f>VLOOKUP($B2185,DG!A:D,DG!$B$2,)</f>
        <v>07.2403</v>
      </c>
      <c r="E2185" s="1248" t="str">
        <f>VLOOKUP($B2185,DG!A:D,DG!$C$2,)</f>
        <v>Ống PVC D42x2,1mm</v>
      </c>
      <c r="F2185" s="1236" t="str">
        <f>VLOOKUP($B2185,DG!A:D,DG!$D$2,)</f>
        <v>m</v>
      </c>
      <c r="G2185" s="1915">
        <f>G2184</f>
        <v>0</v>
      </c>
      <c r="H2185" s="1245">
        <f>G2185</f>
        <v>0</v>
      </c>
      <c r="I2185" s="1245"/>
      <c r="J2185" s="1245"/>
      <c r="K2185" s="1245"/>
      <c r="L2185" s="1245"/>
      <c r="M2185" s="1245"/>
      <c r="N2185" s="1245"/>
      <c r="O2185" s="1245"/>
      <c r="P2185" s="1257">
        <f t="shared" si="395"/>
        <v>0</v>
      </c>
      <c r="Q2185" s="1245"/>
      <c r="R2185" s="1245"/>
      <c r="S2185" s="1245"/>
      <c r="T2185" s="1671"/>
      <c r="U2185" s="1664" t="str">
        <f>IFERROR(VLOOKUP(B2185,ChiTietDuToan!C:H,5,0),"")</f>
        <v/>
      </c>
      <c r="V2185" s="2309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96" t="s">
        <v>1308</v>
      </c>
      <c r="C2186" s="1189" t="str">
        <f t="shared" si="392"/>
        <v xml:space="preserve"> </v>
      </c>
      <c r="D2186" s="1236" t="str">
        <f>VLOOKUP($B2186,DG!A:D,DG!$B$2,)</f>
        <v>07,2404</v>
      </c>
      <c r="E2186" s="1241" t="str">
        <f>VLOOKUP($B2186,DG!A:D,DG!$C$2,)</f>
        <v>Lắp ống PVC D60 (Nhân công đã qui đổi về ĐG chiếu sáng)</v>
      </c>
      <c r="F2186" s="1236" t="str">
        <f>VLOOKUP($B2186,DG!A:D,DG!$D$2,)</f>
        <v>mét</v>
      </c>
      <c r="G2186" s="1915">
        <f>G2184+G2160</f>
        <v>0</v>
      </c>
      <c r="H2186" s="1245">
        <f t="shared" si="394"/>
        <v>0</v>
      </c>
      <c r="I2186" s="1245"/>
      <c r="J2186" s="1245"/>
      <c r="K2186" s="1245"/>
      <c r="L2186" s="1245"/>
      <c r="M2186" s="1245"/>
      <c r="N2186" s="1245"/>
      <c r="O2186" s="1245"/>
      <c r="P2186" s="1257">
        <f t="shared" si="395"/>
        <v>0</v>
      </c>
      <c r="Q2186" s="1245"/>
      <c r="R2186" s="1245"/>
      <c r="S2186" s="1245"/>
      <c r="T2186" s="1671"/>
      <c r="U2186" s="1664" t="str">
        <f>IFERROR(VLOOKUP(B2186,ChiTietDuToan!C:H,5,0),"")</f>
        <v/>
      </c>
      <c r="V2186" s="2309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96" t="s">
        <v>1310</v>
      </c>
      <c r="C2187" s="1189" t="str">
        <f t="shared" si="392"/>
        <v xml:space="preserve"> </v>
      </c>
      <c r="D2187" s="1236" t="str">
        <f>VLOOKUP($B2187,DG!A:D,DG!$B$2,)</f>
        <v>07.2301</v>
      </c>
      <c r="E2187" s="1241" t="str">
        <f>VLOOKUP($B2187,DG!A:D,DG!$C$2,)</f>
        <v>Lắp ống sắt d&lt;120mm (Nhân công đã qui đổi về ĐG chiếu sáng)</v>
      </c>
      <c r="F2187" s="1236" t="str">
        <f>VLOOKUP($B2187,DG!A:D,DG!$D$2,)</f>
        <v>mét</v>
      </c>
      <c r="G2187" s="1915">
        <f>G2182+G2183</f>
        <v>0</v>
      </c>
      <c r="H2187" s="1245">
        <f t="shared" si="394"/>
        <v>0</v>
      </c>
      <c r="I2187" s="1245"/>
      <c r="J2187" s="1245"/>
      <c r="K2187" s="1245"/>
      <c r="L2187" s="1245"/>
      <c r="M2187" s="1245"/>
      <c r="N2187" s="1245"/>
      <c r="O2187" s="1245"/>
      <c r="P2187" s="1257">
        <f t="shared" si="395"/>
        <v>0</v>
      </c>
      <c r="Q2187" s="1245"/>
      <c r="R2187" s="1245"/>
      <c r="S2187" s="1245"/>
      <c r="T2187" s="1671"/>
      <c r="U2187" s="1664" t="str">
        <f>IFERROR(VLOOKUP(B2187,ChiTietDuToan!C:H,5,0),"")</f>
        <v/>
      </c>
      <c r="V2187" s="2309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96" t="s">
        <v>597</v>
      </c>
      <c r="C2188" s="1189" t="str">
        <f t="shared" si="392"/>
        <v xml:space="preserve"> </v>
      </c>
      <c r="D2188" s="1236" t="str">
        <f>VLOOKUP($B2188,DG!A:D,DG!$B$2,)</f>
        <v>CS4.02.011</v>
      </c>
      <c r="E2188" s="1241" t="str">
        <f>VLOOKUP($B2188,DG!A:D,DG!$C$2,)</f>
        <v>Kéo rải cáp chiếu sáng D&lt;25</v>
      </c>
      <c r="F2188" s="1236" t="str">
        <f>VLOOKUP($B2188,DG!A:D,DG!$D$2,)</f>
        <v>mét</v>
      </c>
      <c r="G2188" s="1913">
        <f>(G2150+G2149+G2148)</f>
        <v>0</v>
      </c>
      <c r="H2188" s="1245">
        <f t="shared" si="394"/>
        <v>0</v>
      </c>
      <c r="I2188" s="1245"/>
      <c r="J2188" s="1245"/>
      <c r="K2188" s="1245"/>
      <c r="L2188" s="1245"/>
      <c r="M2188" s="1245"/>
      <c r="N2188" s="1245"/>
      <c r="O2188" s="1245"/>
      <c r="P2188" s="1257">
        <f t="shared" si="395"/>
        <v>0</v>
      </c>
      <c r="Q2188" s="1245"/>
      <c r="R2188" s="1245"/>
      <c r="S2188" s="1245"/>
      <c r="T2188" s="1671"/>
      <c r="U2188" s="1664" t="str">
        <f>IFERROR(VLOOKUP(B2188,ChiTietDuToan!C:H,5,0),"")</f>
        <v/>
      </c>
      <c r="V2188" s="2309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96" t="s">
        <v>601</v>
      </c>
      <c r="C2189" s="1189" t="str">
        <f t="shared" si="392"/>
        <v xml:space="preserve"> </v>
      </c>
      <c r="D2189" s="1236" t="str">
        <f>VLOOKUP($B2189,DG!A:D,DG!$B$2,)</f>
        <v>CS4.03.010</v>
      </c>
      <c r="E2189" s="1241" t="str">
        <f>VLOOKUP($B2189,DG!A:D,DG!$C$2,)</f>
        <v>Lắp đầu cáp ngầm chiếu sáng</v>
      </c>
      <c r="F2189" s="1236" t="str">
        <f>VLOOKUP($B2189,DG!A:D,DG!$D$2,)</f>
        <v>bộ</v>
      </c>
      <c r="G2189" s="1918">
        <f>G2163</f>
        <v>0</v>
      </c>
      <c r="H2189" s="1245">
        <f t="shared" si="394"/>
        <v>0</v>
      </c>
      <c r="I2189" s="1245"/>
      <c r="J2189" s="1245"/>
      <c r="K2189" s="1245"/>
      <c r="L2189" s="1245"/>
      <c r="M2189" s="1245"/>
      <c r="N2189" s="1245"/>
      <c r="O2189" s="1245"/>
      <c r="P2189" s="1257">
        <f t="shared" si="395"/>
        <v>0</v>
      </c>
      <c r="Q2189" s="1245"/>
      <c r="R2189" s="1245"/>
      <c r="S2189" s="1245"/>
      <c r="T2189" s="1671"/>
      <c r="U2189" s="1664" t="str">
        <f>IFERROR(VLOOKUP(B2189,ChiTietDuToan!C:H,5,0),"")</f>
        <v/>
      </c>
      <c r="V2189" s="2309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96" t="s">
        <v>1898</v>
      </c>
      <c r="C2190" s="1189" t="str">
        <f t="shared" si="392"/>
        <v xml:space="preserve"> </v>
      </c>
      <c r="D2190" s="1236" t="str">
        <f>VLOOKUP($B2190,DG!A:D,DG!$B$2,)</f>
        <v>CS3.02.011</v>
      </c>
      <c r="E2190" s="1241" t="str">
        <f>VLOOKUP($B2190,DG!A:D,DG!$C$2,)</f>
        <v>Lắp cần đèn +  chụp đầu cột hạ thế ≤ 10,5m</v>
      </c>
      <c r="F2190" s="1236" t="str">
        <f>VLOOKUP($B2190,DG!A:D,DG!$D$2,)</f>
        <v>cái</v>
      </c>
      <c r="G2190" s="1918">
        <f>G2156+G2155</f>
        <v>0</v>
      </c>
      <c r="H2190" s="1245">
        <f t="shared" si="394"/>
        <v>0</v>
      </c>
      <c r="I2190" s="1245"/>
      <c r="J2190" s="1245"/>
      <c r="K2190" s="1245"/>
      <c r="L2190" s="1245"/>
      <c r="M2190" s="1245"/>
      <c r="N2190" s="1245"/>
      <c r="O2190" s="1245"/>
      <c r="P2190" s="1257">
        <f t="shared" si="395"/>
        <v>0</v>
      </c>
      <c r="Q2190" s="1245"/>
      <c r="R2190" s="1245"/>
      <c r="S2190" s="1245"/>
      <c r="T2190" s="1671"/>
      <c r="U2190" s="1664" t="str">
        <f>IFERROR(VLOOKUP(B2190,ChiTietDuToan!C:H,5,0),"")</f>
        <v/>
      </c>
      <c r="V2190" s="2309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96" t="s">
        <v>1202</v>
      </c>
      <c r="C2191" s="1189" t="str">
        <f t="shared" si="392"/>
        <v xml:space="preserve"> </v>
      </c>
      <c r="D2191" s="1236" t="str">
        <f>VLOOKUP($B2191,DG!A:D,DG!$B$2,)</f>
        <v>CS3.05.001</v>
      </c>
      <c r="E2191" s="1241" t="str">
        <f>VLOOKUP($B2191,DG!A:D,DG!$C$2,)</f>
        <v>Lắp chóa đèn chiếu sáng ≤ 12m</v>
      </c>
      <c r="F2191" s="1236" t="str">
        <f>VLOOKUP($B2191,DG!A:D,DG!$D$2,)</f>
        <v>bộ</v>
      </c>
      <c r="G2191" s="1918">
        <f>G2158</f>
        <v>0</v>
      </c>
      <c r="H2191" s="1245">
        <f t="shared" si="394"/>
        <v>0</v>
      </c>
      <c r="I2191" s="1245"/>
      <c r="J2191" s="1245"/>
      <c r="K2191" s="1245"/>
      <c r="L2191" s="1245"/>
      <c r="M2191" s="1245"/>
      <c r="N2191" s="1245"/>
      <c r="O2191" s="1245"/>
      <c r="P2191" s="1257">
        <f t="shared" si="395"/>
        <v>0</v>
      </c>
      <c r="Q2191" s="1245"/>
      <c r="R2191" s="1245"/>
      <c r="S2191" s="1245"/>
      <c r="T2191" s="1671"/>
      <c r="U2191" s="1664" t="str">
        <f>IFERROR(VLOOKUP(B2191,ChiTietDuToan!C:H,5,0),"")</f>
        <v/>
      </c>
      <c r="V2191" s="2309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96" t="s">
        <v>1737</v>
      </c>
      <c r="C2192" s="1189" t="str">
        <f t="shared" si="392"/>
        <v xml:space="preserve"> </v>
      </c>
      <c r="D2192" s="1236" t="str">
        <f>VLOOKUP($B2192,DG!A:D,DG!$B$2,)</f>
        <v>CS4.08.010</v>
      </c>
      <c r="E2192" s="1248" t="str">
        <f>VLOOKUP($B2192,DG!A:D,DG!$C$2,)</f>
        <v>Luồn dây lên đèn</v>
      </c>
      <c r="F2192" s="1236" t="str">
        <f>VLOOKUP($B2192,DG!A:D,DG!$D$2,)</f>
        <v>mét</v>
      </c>
      <c r="G2192" s="1915">
        <f>G2154+G2153</f>
        <v>0</v>
      </c>
      <c r="H2192" s="1245">
        <f t="shared" si="394"/>
        <v>0</v>
      </c>
      <c r="I2192" s="1245"/>
      <c r="J2192" s="1245"/>
      <c r="K2192" s="1245"/>
      <c r="L2192" s="1245"/>
      <c r="M2192" s="1245"/>
      <c r="N2192" s="1245"/>
      <c r="O2192" s="1245"/>
      <c r="P2192" s="1257">
        <f t="shared" si="395"/>
        <v>0</v>
      </c>
      <c r="Q2192" s="1245"/>
      <c r="R2192" s="1245"/>
      <c r="S2192" s="1245"/>
      <c r="T2192" s="1671"/>
      <c r="U2192" s="1664" t="str">
        <f>IFERROR(VLOOKUP(B2192,ChiTietDuToan!C:H,5,0),"")</f>
        <v/>
      </c>
      <c r="V2192" s="2309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96" t="s">
        <v>1153</v>
      </c>
      <c r="C2193" s="1189" t="str">
        <f t="shared" si="392"/>
        <v xml:space="preserve"> </v>
      </c>
      <c r="D2193" s="1236" t="str">
        <f>VLOOKUP($B2193,DG!A:D,DG!$B$2,)</f>
        <v>CS4.03.020</v>
      </c>
      <c r="E2193" s="1241" t="str">
        <f>VLOOKUP($B2193,DG!A:D,DG!$C$2,)</f>
        <v>Lắp cầu chì đuôi cá</v>
      </c>
      <c r="F2193" s="1236" t="str">
        <f>VLOOKUP($B2193,DG!A:D,DG!$D$2,)</f>
        <v>cái</v>
      </c>
      <c r="G2193" s="1915">
        <f>G2168</f>
        <v>0</v>
      </c>
      <c r="H2193" s="1245">
        <f t="shared" si="394"/>
        <v>0</v>
      </c>
      <c r="I2193" s="1245"/>
      <c r="J2193" s="1245"/>
      <c r="K2193" s="1245"/>
      <c r="L2193" s="1245"/>
      <c r="M2193" s="1245"/>
      <c r="N2193" s="1245"/>
      <c r="O2193" s="1245"/>
      <c r="P2193" s="1257">
        <f t="shared" si="395"/>
        <v>0</v>
      </c>
      <c r="Q2193" s="1245"/>
      <c r="R2193" s="1245"/>
      <c r="S2193" s="1245"/>
      <c r="T2193" s="1671"/>
      <c r="U2193" s="1664" t="str">
        <f>IFERROR(VLOOKUP(B2193,ChiTietDuToan!C:H,5,0),"")</f>
        <v/>
      </c>
      <c r="V2193" s="2309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96" t="s">
        <v>1001</v>
      </c>
      <c r="C2194" s="1189" t="str">
        <f t="shared" si="392"/>
        <v xml:space="preserve"> </v>
      </c>
      <c r="D2194" s="1236">
        <f>VLOOKUP($B2194,DG!A:D,DG!$B$2,)</f>
        <v>0</v>
      </c>
      <c r="E2194" s="1241" t="str">
        <f>VLOOKUP($B2194,DG!A:D,DG!$C$2,)</f>
        <v>Lắp tấm bakelit</v>
      </c>
      <c r="F2194" s="1236">
        <f>VLOOKUP($B2194,DG!A:D,DG!$D$2,)</f>
        <v>0</v>
      </c>
      <c r="G2194" s="1915">
        <f>G2169</f>
        <v>0</v>
      </c>
      <c r="H2194" s="1245">
        <f t="shared" si="394"/>
        <v>0</v>
      </c>
      <c r="I2194" s="1245"/>
      <c r="J2194" s="1245"/>
      <c r="K2194" s="1245"/>
      <c r="L2194" s="1245"/>
      <c r="M2194" s="1245"/>
      <c r="N2194" s="1245"/>
      <c r="O2194" s="1245"/>
      <c r="P2194" s="1257">
        <f t="shared" si="395"/>
        <v>0</v>
      </c>
      <c r="Q2194" s="1245"/>
      <c r="R2194" s="1245"/>
      <c r="S2194" s="1245"/>
      <c r="T2194" s="1671"/>
      <c r="U2194" s="1664" t="str">
        <f>IFERROR(VLOOKUP(B2194,ChiTietDuToan!C:H,5,0),"")</f>
        <v/>
      </c>
      <c r="V2194" s="2309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68"/>
      <c r="C2195" s="1189" t="str">
        <f>IF(G2195&lt;&gt;0,"x"," ")</f>
        <v xml:space="preserve"> </v>
      </c>
      <c r="D2195" s="1238" t="s">
        <v>1950</v>
      </c>
      <c r="E2195" s="1666" t="s">
        <v>2631</v>
      </c>
      <c r="F2195" s="1238"/>
      <c r="G2195" s="1936"/>
      <c r="H2195" s="1523">
        <f>SUM(I2195:O2195)+T2195</f>
        <v>0</v>
      </c>
      <c r="I2195" s="1258"/>
      <c r="J2195" s="1258"/>
      <c r="K2195" s="1258"/>
      <c r="L2195" s="1239">
        <f>IFERROR(HLOOKUP(A2195,pp1p!$6:$90,85,0),0)</f>
        <v>0</v>
      </c>
      <c r="M2195" s="1258"/>
      <c r="N2195" s="1258"/>
      <c r="O2195" s="1258"/>
      <c r="P2195" s="1257">
        <f t="shared" si="395"/>
        <v>0</v>
      </c>
      <c r="Q2195" s="1258"/>
      <c r="R2195" s="1258"/>
      <c r="S2195" s="1258"/>
      <c r="T2195" s="1671"/>
      <c r="U2195" s="1664">
        <f>IFERROR(VLOOKUP(B2195,ChiTietDuToan!C:H,5,0),"")</f>
        <v>0</v>
      </c>
      <c r="V2195" s="2309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56" t="s">
        <v>161</v>
      </c>
      <c r="C2196" s="1189" t="str">
        <f t="shared" si="392"/>
        <v xml:space="preserve"> </v>
      </c>
      <c r="D2196" s="1236" t="str">
        <f>VLOOKUP($B2196,DG!A:D,DG!$B$2,)</f>
        <v>HL02</v>
      </c>
      <c r="E2196" s="1241" t="str">
        <f>VLOOKUP($B2196,DG!A:D,DG!$C$2,)</f>
        <v>Lắp sứ đứng đường dây 3 pha xà đối xứng</v>
      </c>
      <c r="F2196" s="1236" t="str">
        <f>VLOOKUP($B2196,DG!A:D,DG!$D$2,)</f>
        <v>bộ</v>
      </c>
      <c r="G2196" s="1928"/>
      <c r="H2196" s="1245">
        <f t="shared" ref="H2196:H2202" si="396">G2196</f>
        <v>0</v>
      </c>
      <c r="I2196" s="1245"/>
      <c r="J2196" s="1250">
        <f t="shared" ref="J2196:J2202" si="397">G2196</f>
        <v>0</v>
      </c>
      <c r="K2196" s="1250"/>
      <c r="L2196" s="1250"/>
      <c r="M2196" s="1250"/>
      <c r="N2196" s="1250"/>
      <c r="O2196" s="1250"/>
      <c r="P2196" s="1257">
        <f t="shared" si="395"/>
        <v>0</v>
      </c>
      <c r="Q2196" s="1245"/>
      <c r="R2196" s="1245"/>
      <c r="S2196" s="1245"/>
      <c r="T2196" s="1671"/>
      <c r="U2196" s="1664" t="str">
        <f>IFERROR(VLOOKUP(B2196,ChiTietDuToan!C:H,5,0),"")</f>
        <v/>
      </c>
      <c r="V2196" s="2309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56" t="s">
        <v>156</v>
      </c>
      <c r="C2197" s="1189" t="str">
        <f t="shared" si="392"/>
        <v xml:space="preserve"> </v>
      </c>
      <c r="D2197" s="1236" t="str">
        <f>VLOOKUP($B2197,DG!A:D,DG!$B$2,)</f>
        <v>HL05</v>
      </c>
      <c r="E2197" s="1241" t="str">
        <f>VLOOKUP($B2197,DG!A:D,DG!$C$2,)</f>
        <v>Lắp chuỗi sứ néo Polymer đường dây 3 pha</v>
      </c>
      <c r="F2197" s="1236" t="str">
        <f>VLOOKUP($B2197,DG!A:D,DG!$D$2,)</f>
        <v>bộ</v>
      </c>
      <c r="G2197" s="1928"/>
      <c r="H2197" s="1245">
        <f t="shared" si="396"/>
        <v>0</v>
      </c>
      <c r="I2197" s="1245"/>
      <c r="J2197" s="1250">
        <f t="shared" si="397"/>
        <v>0</v>
      </c>
      <c r="K2197" s="1250"/>
      <c r="L2197" s="1250"/>
      <c r="M2197" s="1250"/>
      <c r="N2197" s="1250"/>
      <c r="O2197" s="1250"/>
      <c r="P2197" s="1257">
        <f t="shared" si="395"/>
        <v>0</v>
      </c>
      <c r="Q2197" s="1245"/>
      <c r="R2197" s="1245"/>
      <c r="S2197" s="1245"/>
      <c r="T2197" s="1671"/>
      <c r="U2197" s="1664" t="str">
        <f>IFERROR(VLOOKUP(B2197,ChiTietDuToan!C:H,5,0),"")</f>
        <v/>
      </c>
      <c r="V2197" s="2309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56" t="s">
        <v>404</v>
      </c>
      <c r="C2198" s="1189" t="str">
        <f t="shared" si="392"/>
        <v xml:space="preserve"> </v>
      </c>
      <c r="D2198" s="1236" t="str">
        <f>VLOOKUP($B2198,DG!A:D,DG!$B$2,)</f>
        <v>HL07</v>
      </c>
      <c r="E2198" s="1248" t="str">
        <f>VLOOKUP($B2198,DG!A:D,DG!$C$2,)</f>
        <v>Đấu cò lèo đường dây 3 pha</v>
      </c>
      <c r="F2198" s="1236" t="str">
        <f>VLOOKUP($B2198,DG!A:D,DG!$D$2,)</f>
        <v>cò</v>
      </c>
      <c r="G2198" s="1928"/>
      <c r="H2198" s="1245">
        <f t="shared" si="396"/>
        <v>0</v>
      </c>
      <c r="I2198" s="1245"/>
      <c r="J2198" s="1250">
        <f t="shared" si="397"/>
        <v>0</v>
      </c>
      <c r="K2198" s="1250"/>
      <c r="L2198" s="1250"/>
      <c r="M2198" s="1250"/>
      <c r="N2198" s="1250"/>
      <c r="O2198" s="1250"/>
      <c r="P2198" s="1257">
        <f t="shared" si="395"/>
        <v>0</v>
      </c>
      <c r="Q2198" s="1245"/>
      <c r="R2198" s="1245"/>
      <c r="S2198" s="1245"/>
      <c r="T2198" s="1671"/>
      <c r="U2198" s="1664" t="str">
        <f>IFERROR(VLOOKUP(B2198,ChiTietDuToan!C:H,5,0),"")</f>
        <v/>
      </c>
      <c r="V2198" s="2309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56" t="s">
        <v>160</v>
      </c>
      <c r="C2199" s="1189" t="str">
        <f t="shared" ref="C2199:C2224" si="399">IF(OR(P2199&lt;&gt;0,H2199&lt;&gt;0),"x"," ")</f>
        <v xml:space="preserve"> </v>
      </c>
      <c r="D2199" s="1236" t="str">
        <f>VLOOKUP($B2199,DG!A:D,DG!$B$2,)</f>
        <v>HL13</v>
      </c>
      <c r="E2199" s="1241" t="str">
        <f>VLOOKUP($B2199,DG!A:D,DG!$C$2,)</f>
        <v>Lắp xà</v>
      </c>
      <c r="F2199" s="1236" t="str">
        <f>VLOOKUP($B2199,DG!A:D,DG!$D$2,)</f>
        <v>bộ</v>
      </c>
      <c r="G2199" s="1928"/>
      <c r="H2199" s="1245">
        <f t="shared" si="396"/>
        <v>0</v>
      </c>
      <c r="I2199" s="1245"/>
      <c r="J2199" s="1250">
        <f t="shared" si="397"/>
        <v>0</v>
      </c>
      <c r="K2199" s="1250"/>
      <c r="L2199" s="1250"/>
      <c r="M2199" s="1250"/>
      <c r="N2199" s="1250"/>
      <c r="O2199" s="1250"/>
      <c r="P2199" s="1257">
        <f t="shared" si="395"/>
        <v>0</v>
      </c>
      <c r="Q2199" s="1245"/>
      <c r="R2199" s="1245"/>
      <c r="S2199" s="1245"/>
      <c r="T2199" s="1671"/>
      <c r="U2199" s="1664" t="str">
        <f>IFERROR(VLOOKUP(B2199,ChiTietDuToan!C:H,5,0),"")</f>
        <v/>
      </c>
      <c r="V2199" s="2309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56" t="s">
        <v>162</v>
      </c>
      <c r="C2200" s="1189" t="str">
        <f t="shared" si="399"/>
        <v xml:space="preserve"> </v>
      </c>
      <c r="D2200" s="1236" t="str">
        <f>VLOOKUP($B2200,DG!A:D,DG!$B$2,)</f>
        <v>HL03</v>
      </c>
      <c r="E2200" s="1241" t="str">
        <f>VLOOKUP($B2200,DG!A:D,DG!$C$2,)</f>
        <v>Lắp sứ đứng đường dây 3 pha xà vectical</v>
      </c>
      <c r="F2200" s="1236" t="str">
        <f>VLOOKUP($B2200,DG!A:D,DG!$D$2,)</f>
        <v>bộ</v>
      </c>
      <c r="G2200" s="1928"/>
      <c r="H2200" s="1245">
        <f t="shared" si="396"/>
        <v>0</v>
      </c>
      <c r="I2200" s="1245"/>
      <c r="J2200" s="1250">
        <f t="shared" si="397"/>
        <v>0</v>
      </c>
      <c r="K2200" s="1250"/>
      <c r="L2200" s="1250"/>
      <c r="M2200" s="1250"/>
      <c r="N2200" s="1250"/>
      <c r="O2200" s="1250"/>
      <c r="P2200" s="1257">
        <f t="shared" si="395"/>
        <v>0</v>
      </c>
      <c r="Q2200" s="1245"/>
      <c r="R2200" s="1245"/>
      <c r="S2200" s="1245"/>
      <c r="T2200" s="1671"/>
      <c r="U2200" s="1664" t="str">
        <f>IFERROR(VLOOKUP(B2200,ChiTietDuToan!C:H,5,0),"")</f>
        <v/>
      </c>
      <c r="V2200" s="2309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56" t="s">
        <v>328</v>
      </c>
      <c r="C2201" s="1189" t="str">
        <f t="shared" si="399"/>
        <v xml:space="preserve"> </v>
      </c>
      <c r="D2201" s="1236" t="str">
        <f>VLOOKUP($B2201,DG!A:D,DG!$B$2,)</f>
        <v>HL09</v>
      </c>
      <c r="E2201" s="1241" t="str">
        <f>VLOOKUP($B2201,DG!A:D,DG!$C$2,)</f>
        <v>Lắp FCO, LBFCO đường dây 3 pha</v>
      </c>
      <c r="F2201" s="1236" t="str">
        <f>VLOOKUP($B2201,DG!A:D,DG!$D$2,)</f>
        <v>bộ</v>
      </c>
      <c r="G2201" s="1928"/>
      <c r="H2201" s="1245">
        <f t="shared" si="396"/>
        <v>0</v>
      </c>
      <c r="I2201" s="1245"/>
      <c r="J2201" s="1250">
        <f t="shared" si="397"/>
        <v>0</v>
      </c>
      <c r="K2201" s="1250"/>
      <c r="L2201" s="1250"/>
      <c r="M2201" s="1250"/>
      <c r="N2201" s="1250"/>
      <c r="O2201" s="1250"/>
      <c r="P2201" s="1257">
        <f t="shared" si="395"/>
        <v>0</v>
      </c>
      <c r="Q2201" s="1245"/>
      <c r="R2201" s="1245"/>
      <c r="S2201" s="1245"/>
      <c r="T2201" s="1671"/>
      <c r="U2201" s="1664" t="str">
        <f>IFERROR(VLOOKUP(B2201,ChiTietDuToan!C:H,5,0),"")</f>
        <v/>
      </c>
      <c r="V2201" s="2309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56" t="s">
        <v>329</v>
      </c>
      <c r="C2202" s="1189" t="str">
        <f t="shared" si="399"/>
        <v xml:space="preserve"> </v>
      </c>
      <c r="D2202" s="1236" t="str">
        <f>VLOOKUP($B2202,DG!A:D,DG!$B$2,)</f>
        <v>HL09</v>
      </c>
      <c r="E2202" s="1241" t="str">
        <f>VLOOKUP($B2202,DG!A:D,DG!$C$2,)</f>
        <v>Lắp LA</v>
      </c>
      <c r="F2202" s="1236" t="str">
        <f>VLOOKUP($B2202,DG!A:D,DG!$D$2,)</f>
        <v>cái</v>
      </c>
      <c r="G2202" s="1928"/>
      <c r="H2202" s="1245">
        <f t="shared" si="396"/>
        <v>0</v>
      </c>
      <c r="I2202" s="1245"/>
      <c r="J2202" s="1250">
        <f t="shared" si="397"/>
        <v>0</v>
      </c>
      <c r="K2202" s="1250"/>
      <c r="L2202" s="1250"/>
      <c r="M2202" s="1250"/>
      <c r="N2202" s="1250"/>
      <c r="O2202" s="1250"/>
      <c r="P2202" s="1257">
        <f t="shared" si="395"/>
        <v>0</v>
      </c>
      <c r="Q2202" s="1245"/>
      <c r="R2202" s="1245"/>
      <c r="S2202" s="1245"/>
      <c r="T2202" s="1671"/>
      <c r="U2202" s="1664" t="str">
        <f>IFERROR(VLOOKUP(B2202,ChiTietDuToan!C:H,5,0),"")</f>
        <v/>
      </c>
      <c r="V2202" s="2309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92" t="s">
        <v>594</v>
      </c>
      <c r="B2203" s="1997"/>
      <c r="C2203" s="1189"/>
      <c r="D2203" s="1238" t="s">
        <v>1953</v>
      </c>
      <c r="E2203" s="1666" t="s">
        <v>2632</v>
      </c>
      <c r="F2203" s="1238"/>
      <c r="G2203" s="1912">
        <f>IF(SUM(G2204:G2213)=0,0,1)</f>
        <v>0</v>
      </c>
      <c r="H2203" s="1523">
        <f>SUM(I2203:O2203)+T2203</f>
        <v>0</v>
      </c>
      <c r="I2203" s="1258"/>
      <c r="J2203" s="1258"/>
      <c r="K2203" s="1258"/>
      <c r="L2203" s="1239">
        <f>IFERROR(HLOOKUP(A2203,pp1p!$6:$90,85,0),0)</f>
        <v>0</v>
      </c>
      <c r="M2203" s="1258"/>
      <c r="N2203" s="1258"/>
      <c r="O2203" s="1258"/>
      <c r="P2203" s="1257">
        <f t="shared" si="395"/>
        <v>0</v>
      </c>
      <c r="Q2203" s="1258"/>
      <c r="R2203" s="1258"/>
      <c r="S2203" s="1258"/>
      <c r="T2203" s="1664"/>
      <c r="U2203" s="1664">
        <f>IFERROR(VLOOKUP(B2203,ChiTietDuToan!C:H,5,0),"")</f>
        <v>0</v>
      </c>
      <c r="V2203" s="2309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66" t="s">
        <v>796</v>
      </c>
      <c r="C2204" s="1189" t="str">
        <f t="shared" si="399"/>
        <v xml:space="preserve"> </v>
      </c>
      <c r="D2204" s="1236" t="str">
        <f>VLOOKUP($B2204,DG!A:D,DG!$B$2,)</f>
        <v>02.3104</v>
      </c>
      <c r="E2204" s="1248" t="str">
        <f>VLOOKUP($B2204,DG!A:D,DG!$C$2,)</f>
        <v>LTD 1P 24KV - 800A</v>
      </c>
      <c r="F2204" s="1236" t="str">
        <f>VLOOKUP($B2204,DG!A:D,DG!$D$2,)</f>
        <v>cái</v>
      </c>
      <c r="G2204" s="1928">
        <f>+pp_NC!ED184</f>
        <v>0</v>
      </c>
      <c r="H2204" s="1245"/>
      <c r="I2204" s="1245"/>
      <c r="J2204" s="1250">
        <f t="shared" ref="J2204:J2213" si="400">G2204</f>
        <v>0</v>
      </c>
      <c r="K2204" s="1250"/>
      <c r="L2204" s="1250"/>
      <c r="M2204" s="1250"/>
      <c r="N2204" s="1250"/>
      <c r="O2204" s="1250"/>
      <c r="P2204" s="1257">
        <f t="shared" si="395"/>
        <v>0</v>
      </c>
      <c r="Q2204" s="1245"/>
      <c r="R2204" s="1245"/>
      <c r="S2204" s="1245"/>
      <c r="T2204" s="1671"/>
      <c r="U2204" s="1664" t="str">
        <f>IFERROR(VLOOKUP(B2204,ChiTietDuToan!C:H,5,0),"")</f>
        <v/>
      </c>
      <c r="V2204" s="2309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66" t="str">
        <f>"lbfco200-"&amp;22</f>
        <v>lbfco200-22</v>
      </c>
      <c r="C2205" s="1189" t="str">
        <f t="shared" si="399"/>
        <v xml:space="preserve"> </v>
      </c>
      <c r="D2205" s="1236" t="str">
        <f>VLOOKUP($B2205,DG!A:D,DG!$B$2,)</f>
        <v>02.3505</v>
      </c>
      <c r="E2205" s="1248" t="str">
        <f>VLOOKUP($B2205,DG!A:D,DG!$C$2,)</f>
        <v>LBFCO-24KV-200A</v>
      </c>
      <c r="F2205" s="1236" t="str">
        <f>VLOOKUP($B2205,DG!A:D,DG!$D$2,)</f>
        <v>cái</v>
      </c>
      <c r="G2205" s="1928">
        <f>pp_NC!EF184</f>
        <v>0</v>
      </c>
      <c r="H2205" s="1245">
        <f t="shared" ref="H2205:H2213" si="401">G2205</f>
        <v>0</v>
      </c>
      <c r="I2205" s="1245"/>
      <c r="J2205" s="1250">
        <f>G2205</f>
        <v>0</v>
      </c>
      <c r="K2205" s="1250"/>
      <c r="L2205" s="1250"/>
      <c r="M2205" s="1250"/>
      <c r="N2205" s="1250"/>
      <c r="O2205" s="1250"/>
      <c r="P2205" s="1257">
        <f t="shared" si="395"/>
        <v>0</v>
      </c>
      <c r="Q2205" s="1245"/>
      <c r="R2205" s="1245"/>
      <c r="S2205" s="1245"/>
      <c r="T2205" s="1671"/>
      <c r="U2205" s="1664" t="str">
        <f>IFERROR(VLOOKUP(B2205,ChiTietDuToan!C:H,5,0),"")</f>
        <v/>
      </c>
      <c r="V2205" s="2309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66" t="str">
        <f>"FCO200-"&amp;22</f>
        <v>FCO200-22</v>
      </c>
      <c r="C2206" s="1189" t="str">
        <f t="shared" si="399"/>
        <v xml:space="preserve"> </v>
      </c>
      <c r="D2206" s="1236" t="str">
        <f>VLOOKUP($B2206,DG!A:D,DG!$B$2,)</f>
        <v>02.3505</v>
      </c>
      <c r="E2206" s="1248" t="str">
        <f>VLOOKUP($B2206,DG!A:D,DG!$C$2,)</f>
        <v xml:space="preserve">FCO 24KV - 200A </v>
      </c>
      <c r="F2206" s="1236" t="str">
        <f>VLOOKUP($B2206,DG!A:D,DG!$D$2,)</f>
        <v>cái</v>
      </c>
      <c r="G2206" s="1928">
        <f>pp_NC!EG184</f>
        <v>0</v>
      </c>
      <c r="H2206" s="1245">
        <f t="shared" si="401"/>
        <v>0</v>
      </c>
      <c r="I2206" s="1245"/>
      <c r="J2206" s="1250">
        <f t="shared" si="400"/>
        <v>0</v>
      </c>
      <c r="K2206" s="1250"/>
      <c r="L2206" s="1250"/>
      <c r="M2206" s="1250"/>
      <c r="N2206" s="1250"/>
      <c r="O2206" s="1250"/>
      <c r="P2206" s="1257">
        <f t="shared" si="395"/>
        <v>0</v>
      </c>
      <c r="Q2206" s="1245"/>
      <c r="R2206" s="1245"/>
      <c r="S2206" s="1245"/>
      <c r="T2206" s="1671"/>
      <c r="U2206" s="1664" t="str">
        <f>IFERROR(VLOOKUP(B2206,ChiTietDuToan!C:H,5,0),"")</f>
        <v/>
      </c>
      <c r="V2206" s="2309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91"/>
      <c r="B2207" s="1950" t="str">
        <f>"FCO100-"&amp;22</f>
        <v>FCO100-22</v>
      </c>
      <c r="C2207" s="1189" t="str">
        <f t="shared" si="399"/>
        <v xml:space="preserve"> </v>
      </c>
      <c r="D2207" s="1236" t="str">
        <f>VLOOKUP($B2207,DG!A:D,DG!$B$2,)</f>
        <v>02.3155</v>
      </c>
      <c r="E2207" s="1248" t="str">
        <f>VLOOKUP($B2207,DG!A:D,DG!$C$2,)</f>
        <v>FCO 24kV - 100A</v>
      </c>
      <c r="F2207" s="1236" t="str">
        <f>VLOOKUP($B2207,DG!A:D,DG!$D$2,)</f>
        <v>cái</v>
      </c>
      <c r="G2207" s="1928">
        <f>pp_NC!EH184</f>
        <v>0</v>
      </c>
      <c r="H2207" s="1245">
        <f t="shared" si="401"/>
        <v>0</v>
      </c>
      <c r="I2207" s="1245"/>
      <c r="J2207" s="1250">
        <f t="shared" si="400"/>
        <v>0</v>
      </c>
      <c r="K2207" s="1250"/>
      <c r="L2207" s="1250"/>
      <c r="M2207" s="1250"/>
      <c r="N2207" s="1250"/>
      <c r="O2207" s="1250"/>
      <c r="P2207" s="1257">
        <f t="shared" si="395"/>
        <v>0</v>
      </c>
      <c r="Q2207" s="1245"/>
      <c r="R2207" s="1245"/>
      <c r="S2207" s="1245"/>
      <c r="T2207" s="1664"/>
      <c r="U2207" s="1664" t="str">
        <f>IFERROR(VLOOKUP(B2207,ChiTietDuToan!C:H,5,0),"")</f>
        <v/>
      </c>
      <c r="V2207" s="2309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91"/>
      <c r="B2208" s="1965" t="s">
        <v>387</v>
      </c>
      <c r="C2208" s="1189" t="str">
        <f t="shared" si="399"/>
        <v xml:space="preserve"> </v>
      </c>
      <c r="D2208" s="1236">
        <f>VLOOKUP($B2208,DG!A:D,DG!$B$2,)</f>
        <v>0</v>
      </c>
      <c r="E2208" s="1248" t="str">
        <f>VLOOKUP($B2208,DG!A:D,DG!$C$2,)</f>
        <v>Dây chảy 12K</v>
      </c>
      <c r="F2208" s="1236" t="str">
        <f>VLOOKUP($B2208,DG!A:D,DG!$D$2,)</f>
        <v>Sợi</v>
      </c>
      <c r="G2208" s="1928"/>
      <c r="H2208" s="1245">
        <f t="shared" si="401"/>
        <v>0</v>
      </c>
      <c r="I2208" s="1245"/>
      <c r="J2208" s="1250">
        <f t="shared" si="400"/>
        <v>0</v>
      </c>
      <c r="K2208" s="1250"/>
      <c r="L2208" s="1250"/>
      <c r="M2208" s="1250"/>
      <c r="N2208" s="1250"/>
      <c r="O2208" s="1250"/>
      <c r="P2208" s="1257">
        <f t="shared" si="395"/>
        <v>0</v>
      </c>
      <c r="Q2208" s="1245"/>
      <c r="R2208" s="1245"/>
      <c r="S2208" s="1245"/>
      <c r="T2208" s="1664"/>
      <c r="U2208" s="1664" t="str">
        <f>IFERROR(VLOOKUP(B2208,ChiTietDuToan!C:H,5,0),"")</f>
        <v/>
      </c>
      <c r="V2208" s="2309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91"/>
      <c r="B2209" s="1965" t="s">
        <v>4545</v>
      </c>
      <c r="C2209" s="1189" t="str">
        <f t="shared" si="399"/>
        <v xml:space="preserve"> </v>
      </c>
      <c r="D2209" s="1236">
        <f>VLOOKUP($B2209,DG!A:D,DG!$B$2,)</f>
        <v>0</v>
      </c>
      <c r="E2209" s="1248" t="str">
        <f>VLOOKUP($B2209,DG!A:D,DG!$C$2,)</f>
        <v>Chụp cách điện đầu cực FCO (trên + dưới)</v>
      </c>
      <c r="F2209" s="1236" t="str">
        <f>VLOOKUP($B2209,DG!A:D,DG!$D$2,)</f>
        <v>bộ</v>
      </c>
      <c r="G2209" s="1928"/>
      <c r="H2209" s="1245">
        <f>G2209</f>
        <v>0</v>
      </c>
      <c r="I2209" s="1245"/>
      <c r="J2209" s="1250">
        <f t="shared" si="400"/>
        <v>0</v>
      </c>
      <c r="K2209" s="1250"/>
      <c r="L2209" s="1250"/>
      <c r="M2209" s="1250"/>
      <c r="N2209" s="1250"/>
      <c r="O2209" s="1250"/>
      <c r="P2209" s="1257">
        <f>H2209+Q2209-R2209</f>
        <v>0</v>
      </c>
      <c r="Q2209" s="1245"/>
      <c r="R2209" s="1245"/>
      <c r="S2209" s="1245"/>
      <c r="T2209" s="1664"/>
      <c r="U2209" s="1664" t="str">
        <f>IFERROR(VLOOKUP(B2209,ChiTietDuToan!C:H,5,0),"")</f>
        <v/>
      </c>
      <c r="V2209" s="2309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66" t="s">
        <v>449</v>
      </c>
      <c r="C2210" s="1189" t="str">
        <f t="shared" si="399"/>
        <v xml:space="preserve"> </v>
      </c>
      <c r="D2210" s="1236" t="str">
        <f>VLOOKUP($B2210,DG!A:D,DG!$B$2,)</f>
        <v>02.3302</v>
      </c>
      <c r="E2210" s="1248" t="str">
        <f>VLOOKUP($B2210,DG!A:D,DG!$C$2,)</f>
        <v xml:space="preserve">DS 1P - 24KV - 600A </v>
      </c>
      <c r="F2210" s="1236" t="str">
        <f>VLOOKUP($B2210,DG!A:D,DG!$D$2,)</f>
        <v>bộ</v>
      </c>
      <c r="G2210" s="1928"/>
      <c r="H2210" s="1245">
        <f t="shared" si="401"/>
        <v>0</v>
      </c>
      <c r="I2210" s="1245"/>
      <c r="J2210" s="1250">
        <f t="shared" si="400"/>
        <v>0</v>
      </c>
      <c r="K2210" s="1250"/>
      <c r="L2210" s="1250"/>
      <c r="M2210" s="1250"/>
      <c r="N2210" s="1250"/>
      <c r="O2210" s="1250"/>
      <c r="P2210" s="1257">
        <f t="shared" si="395"/>
        <v>0</v>
      </c>
      <c r="Q2210" s="1245"/>
      <c r="R2210" s="1245"/>
      <c r="S2210" s="1245"/>
      <c r="T2210" s="1671"/>
      <c r="U2210" s="1664" t="str">
        <f>IFERROR(VLOOKUP(B2210,ChiTietDuToan!C:H,5,0),"")</f>
        <v/>
      </c>
      <c r="V2210" s="2309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66" t="s">
        <v>1974</v>
      </c>
      <c r="C2211" s="1189" t="str">
        <f t="shared" si="399"/>
        <v xml:space="preserve"> </v>
      </c>
      <c r="D2211" s="1236" t="str">
        <f>VLOOKUP($B2211,DG!A:D,DG!$B$2,)</f>
        <v>02.3302</v>
      </c>
      <c r="E2211" s="1248" t="str">
        <f>VLOOKUP($B2211,DG!A:D,DG!$C$2,)</f>
        <v xml:space="preserve">DS 3P - 24KV - 630A </v>
      </c>
      <c r="F2211" s="1236" t="str">
        <f>VLOOKUP($B2211,DG!A:D,DG!$D$2,)</f>
        <v>bộ</v>
      </c>
      <c r="G2211" s="1928">
        <f>pp_NC!EJ184</f>
        <v>0</v>
      </c>
      <c r="H2211" s="1245">
        <f t="shared" si="401"/>
        <v>0</v>
      </c>
      <c r="I2211" s="1245"/>
      <c r="J2211" s="1250">
        <f t="shared" si="400"/>
        <v>0</v>
      </c>
      <c r="K2211" s="1250"/>
      <c r="L2211" s="1250"/>
      <c r="M2211" s="1250"/>
      <c r="N2211" s="1250"/>
      <c r="O2211" s="1250"/>
      <c r="P2211" s="1257">
        <f t="shared" si="395"/>
        <v>0</v>
      </c>
      <c r="Q2211" s="1245"/>
      <c r="R2211" s="1245"/>
      <c r="S2211" s="1245"/>
      <c r="T2211" s="1671"/>
      <c r="U2211" s="1664" t="str">
        <f>IFERROR(VLOOKUP(B2211,ChiTietDuToan!C:H,5,0),"")</f>
        <v/>
      </c>
      <c r="V2211" s="2309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66" t="s">
        <v>607</v>
      </c>
      <c r="C2212" s="1189" t="str">
        <f t="shared" si="399"/>
        <v xml:space="preserve"> </v>
      </c>
      <c r="D2212" s="1236" t="str">
        <f>VLOOKUP($B2212,DG!A:D,DG!$B$2,)</f>
        <v>02.2124</v>
      </c>
      <c r="E2212" s="1248" t="str">
        <f>VLOOKUP($B2212,DG!A:D,DG!$C$2,)</f>
        <v>LBS SF6 3pha 24kV 630A - 16kA</v>
      </c>
      <c r="F2212" s="1236" t="str">
        <f>VLOOKUP($B2212,DG!A:D,DG!$D$2,)</f>
        <v>bộ</v>
      </c>
      <c r="G2212" s="1928"/>
      <c r="H2212" s="1245">
        <f t="shared" si="401"/>
        <v>0</v>
      </c>
      <c r="I2212" s="1245"/>
      <c r="J2212" s="1250">
        <f t="shared" si="400"/>
        <v>0</v>
      </c>
      <c r="K2212" s="1250"/>
      <c r="L2212" s="1250"/>
      <c r="M2212" s="1250"/>
      <c r="N2212" s="1250"/>
      <c r="O2212" s="1250"/>
      <c r="P2212" s="1257">
        <f t="shared" si="395"/>
        <v>0</v>
      </c>
      <c r="Q2212" s="1245"/>
      <c r="R2212" s="1245"/>
      <c r="S2212" s="1245"/>
      <c r="T2212" s="1671"/>
      <c r="U2212" s="1664" t="str">
        <f>IFERROR(VLOOKUP(B2212,ChiTietDuToan!C:H,5,0),"")</f>
        <v/>
      </c>
      <c r="V2212" s="2309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66" t="s">
        <v>1965</v>
      </c>
      <c r="C2213" s="1189" t="str">
        <f t="shared" si="399"/>
        <v xml:space="preserve"> </v>
      </c>
      <c r="D2213" s="1236" t="str">
        <f>VLOOKUP($B2213,DG!A:D,DG!$B$2,)</f>
        <v>02.2124</v>
      </c>
      <c r="E2213" s="1248" t="str">
        <f>VLOOKUP($B2213,DG!A:D,DG!$C$2,)</f>
        <v>Recloser 24kV 630-800A</v>
      </c>
      <c r="F2213" s="1236" t="str">
        <f>VLOOKUP($B2213,DG!A:D,DG!$D$2,)</f>
        <v>bộ</v>
      </c>
      <c r="G2213" s="1928"/>
      <c r="H2213" s="1245">
        <f t="shared" si="401"/>
        <v>0</v>
      </c>
      <c r="I2213" s="1245"/>
      <c r="J2213" s="1250">
        <f t="shared" si="400"/>
        <v>0</v>
      </c>
      <c r="K2213" s="1250"/>
      <c r="L2213" s="1250"/>
      <c r="M2213" s="1250"/>
      <c r="N2213" s="1250"/>
      <c r="O2213" s="1250"/>
      <c r="P2213" s="1257">
        <f t="shared" si="395"/>
        <v>0</v>
      </c>
      <c r="Q2213" s="1245"/>
      <c r="R2213" s="1245"/>
      <c r="S2213" s="1245"/>
      <c r="T2213" s="1671"/>
      <c r="U2213" s="1664" t="str">
        <f>IFERROR(VLOOKUP(B2213,ChiTietDuToan!C:H,5,0),"")</f>
        <v/>
      </c>
      <c r="V2213" s="2309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68"/>
      <c r="C2214" s="1189" t="str">
        <f>IF(G2214&lt;&gt;0,"x"," ")</f>
        <v xml:space="preserve"> </v>
      </c>
      <c r="D2214" s="1238" t="s">
        <v>1953</v>
      </c>
      <c r="E2214" s="1666" t="s">
        <v>2633</v>
      </c>
      <c r="F2214" s="1238"/>
      <c r="G2214" s="1912">
        <f>IF(SUM(G2215:G2224)=0,0,1)</f>
        <v>0</v>
      </c>
      <c r="H2214" s="1523">
        <f>SUM(I2214:O2214)+T2214</f>
        <v>0</v>
      </c>
      <c r="I2214" s="1258"/>
      <c r="J2214" s="1258"/>
      <c r="K2214" s="1258"/>
      <c r="L2214" s="1239">
        <f>IFERROR(HLOOKUP(A2214,pp1p!$6:$90,85,0),0)</f>
        <v>0</v>
      </c>
      <c r="M2214" s="1258"/>
      <c r="N2214" s="1258"/>
      <c r="O2214" s="1258"/>
      <c r="P2214" s="1257">
        <f t="shared" si="395"/>
        <v>0</v>
      </c>
      <c r="Q2214" s="1258"/>
      <c r="R2214" s="1258"/>
      <c r="S2214" s="1258"/>
      <c r="T2214" s="1671"/>
      <c r="U2214" s="1664">
        <f>IFERROR(VLOOKUP(B2214,ChiTietDuToan!C:H,5,0),"")</f>
        <v>0</v>
      </c>
      <c r="V2214" s="2309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66" t="s">
        <v>796</v>
      </c>
      <c r="C2215" s="1189" t="str">
        <f t="shared" si="399"/>
        <v xml:space="preserve"> </v>
      </c>
      <c r="D2215" s="1236" t="str">
        <f>VLOOKUP($B2215,DG!A:D,DG!$B$2,)</f>
        <v>02.3104</v>
      </c>
      <c r="E2215" s="1248" t="str">
        <f>VLOOKUP($B2215,DG!A:D,DG!$C$2,)</f>
        <v>LTD 1P 24KV - 800A</v>
      </c>
      <c r="F2215" s="1236" t="str">
        <f>VLOOKUP($B2215,DG!A:D,DG!$D$2,)</f>
        <v>cái</v>
      </c>
      <c r="G2215" s="1929">
        <f>+'pp3p2m '!DM82</f>
        <v>0</v>
      </c>
      <c r="H2215" s="1245">
        <v>0</v>
      </c>
      <c r="I2215" s="1244">
        <f t="shared" ref="I2215:I2222" si="402">G2215</f>
        <v>0</v>
      </c>
      <c r="J2215" s="1247"/>
      <c r="K2215" s="1247"/>
      <c r="L2215" s="1247"/>
      <c r="M2215" s="1247"/>
      <c r="N2215" s="1247"/>
      <c r="O2215" s="1247"/>
      <c r="P2215" s="1257">
        <f t="shared" si="395"/>
        <v>0</v>
      </c>
      <c r="Q2215" s="1244"/>
      <c r="R2215" s="1244"/>
      <c r="S2215" s="1244"/>
      <c r="T2215" s="1671"/>
      <c r="U2215" s="1664" t="str">
        <f>IFERROR(VLOOKUP(B2215,ChiTietDuToan!C:H,5,0),"")</f>
        <v/>
      </c>
      <c r="V2215" s="2309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66" t="str">
        <f>"lbfco100-"&amp;22</f>
        <v>lbfco100-22</v>
      </c>
      <c r="C2216" s="1189" t="str">
        <f t="shared" si="399"/>
        <v xml:space="preserve"> </v>
      </c>
      <c r="D2216" s="1236" t="str">
        <f>VLOOKUP($B2216,DG!A:D,DG!$B$2,)</f>
        <v>02.3505</v>
      </c>
      <c r="E2216" s="1248" t="str">
        <f>VLOOKUP($B2216,DG!A:D,DG!$C$2,)</f>
        <v>LBFCO-24KV-100A</v>
      </c>
      <c r="F2216" s="1236" t="str">
        <f>VLOOKUP($B2216,DG!A:D,DG!$D$2,)</f>
        <v>cái</v>
      </c>
      <c r="G2216" s="1929"/>
      <c r="H2216" s="1244">
        <f t="shared" ref="H2216:H2224" si="403">G2216</f>
        <v>0</v>
      </c>
      <c r="I2216" s="1244">
        <f>G2216</f>
        <v>0</v>
      </c>
      <c r="J2216" s="1247"/>
      <c r="K2216" s="1247"/>
      <c r="L2216" s="1247"/>
      <c r="M2216" s="1247"/>
      <c r="N2216" s="1247"/>
      <c r="O2216" s="1247"/>
      <c r="P2216" s="1257">
        <f t="shared" si="395"/>
        <v>0</v>
      </c>
      <c r="Q2216" s="1244"/>
      <c r="R2216" s="1244"/>
      <c r="S2216" s="1244"/>
      <c r="T2216" s="1671"/>
      <c r="U2216" s="1664" t="str">
        <f>IFERROR(VLOOKUP(B2216,ChiTietDuToan!C:H,5,0),"")</f>
        <v/>
      </c>
      <c r="V2216" s="2309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66" t="str">
        <f>"FCO200-"&amp;22</f>
        <v>FCO200-22</v>
      </c>
      <c r="C2217" s="1189" t="str">
        <f t="shared" si="399"/>
        <v xml:space="preserve"> </v>
      </c>
      <c r="D2217" s="1236" t="str">
        <f>VLOOKUP($B2217,DG!A:D,DG!$B$2,)</f>
        <v>02.3505</v>
      </c>
      <c r="E2217" s="1248" t="str">
        <f>VLOOKUP($B2217,DG!A:D,DG!$C$2,)</f>
        <v xml:space="preserve">FCO 24KV - 200A </v>
      </c>
      <c r="F2217" s="1236" t="str">
        <f>VLOOKUP($B2217,DG!A:D,DG!$D$2,)</f>
        <v>cái</v>
      </c>
      <c r="G2217" s="1929"/>
      <c r="H2217" s="1244">
        <f t="shared" si="403"/>
        <v>0</v>
      </c>
      <c r="I2217" s="1244">
        <f t="shared" si="402"/>
        <v>0</v>
      </c>
      <c r="J2217" s="1247"/>
      <c r="K2217" s="1247"/>
      <c r="L2217" s="1247"/>
      <c r="M2217" s="1247"/>
      <c r="N2217" s="1247"/>
      <c r="O2217" s="1247"/>
      <c r="P2217" s="1257">
        <f t="shared" si="395"/>
        <v>0</v>
      </c>
      <c r="Q2217" s="1244"/>
      <c r="R2217" s="1244"/>
      <c r="S2217" s="1244"/>
      <c r="T2217" s="1671"/>
      <c r="U2217" s="1664" t="str">
        <f>IFERROR(VLOOKUP(B2217,ChiTietDuToan!C:H,5,0),"")</f>
        <v/>
      </c>
      <c r="V2217" s="2309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50" t="str">
        <f>"FCO100-"&amp;22</f>
        <v>FCO100-22</v>
      </c>
      <c r="C2218" s="1189" t="str">
        <f t="shared" si="399"/>
        <v xml:space="preserve"> </v>
      </c>
      <c r="D2218" s="1236" t="str">
        <f>VLOOKUP($B2218,DG!A:D,DG!$B$2,)</f>
        <v>02.3155</v>
      </c>
      <c r="E2218" s="1248" t="str">
        <f>VLOOKUP($B2218,DG!A:D,DG!$C$2,)</f>
        <v>FCO 24kV - 100A</v>
      </c>
      <c r="F2218" s="1236" t="str">
        <f>VLOOKUP($B2218,DG!A:D,DG!$D$2,)</f>
        <v>cái</v>
      </c>
      <c r="G2218" s="1929"/>
      <c r="H2218" s="1244">
        <f t="shared" si="403"/>
        <v>0</v>
      </c>
      <c r="I2218" s="1244">
        <f t="shared" si="402"/>
        <v>0</v>
      </c>
      <c r="J2218" s="1247"/>
      <c r="K2218" s="1247"/>
      <c r="L2218" s="1247"/>
      <c r="M2218" s="1247"/>
      <c r="N2218" s="1247"/>
      <c r="O2218" s="1247"/>
      <c r="P2218" s="1257">
        <f t="shared" si="395"/>
        <v>0</v>
      </c>
      <c r="Q2218" s="1244"/>
      <c r="R2218" s="1244"/>
      <c r="S2218" s="1244"/>
      <c r="T2218" s="1671"/>
      <c r="U2218" s="1664" t="str">
        <f>IFERROR(VLOOKUP(B2218,ChiTietDuToan!C:H,5,0),"")</f>
        <v/>
      </c>
      <c r="V2218" s="2309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66" t="s">
        <v>449</v>
      </c>
      <c r="C2219" s="1189" t="str">
        <f t="shared" si="399"/>
        <v xml:space="preserve"> </v>
      </c>
      <c r="D2219" s="1236" t="str">
        <f>VLOOKUP($B2219,DG!A:D,DG!$B$2,)</f>
        <v>02.3302</v>
      </c>
      <c r="E2219" s="1248" t="str">
        <f>VLOOKUP($B2219,DG!A:D,DG!$C$2,)</f>
        <v xml:space="preserve">DS 1P - 24KV - 600A </v>
      </c>
      <c r="F2219" s="1236" t="str">
        <f>VLOOKUP($B2219,DG!A:D,DG!$D$2,)</f>
        <v>bộ</v>
      </c>
      <c r="G2219" s="1929"/>
      <c r="H2219" s="1244">
        <f t="shared" si="403"/>
        <v>0</v>
      </c>
      <c r="I2219" s="1244">
        <f t="shared" si="402"/>
        <v>0</v>
      </c>
      <c r="J2219" s="1247"/>
      <c r="K2219" s="1247"/>
      <c r="L2219" s="1247"/>
      <c r="M2219" s="1247"/>
      <c r="N2219" s="1247"/>
      <c r="O2219" s="1247"/>
      <c r="P2219" s="1257">
        <f t="shared" si="395"/>
        <v>0</v>
      </c>
      <c r="Q2219" s="1244"/>
      <c r="R2219" s="1244"/>
      <c r="S2219" s="1244"/>
      <c r="T2219" s="1671"/>
      <c r="U2219" s="1664" t="str">
        <f>IFERROR(VLOOKUP(B2219,ChiTietDuToan!C:H,5,0),"")</f>
        <v/>
      </c>
      <c r="V2219" s="2309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66" t="s">
        <v>396</v>
      </c>
      <c r="C2220" s="1189" t="str">
        <f t="shared" si="399"/>
        <v xml:space="preserve"> </v>
      </c>
      <c r="D2220" s="1236" t="str">
        <f>VLOOKUP($B2220,DG!A:D,DG!$B$2,)</f>
        <v>02.3302</v>
      </c>
      <c r="E2220" s="1248" t="str">
        <f>VLOOKUP($B2220,DG!A:D,DG!$C$2,)</f>
        <v xml:space="preserve">DS 3P - 24KV - 630A </v>
      </c>
      <c r="F2220" s="1236" t="str">
        <f>VLOOKUP($B2220,DG!A:D,DG!$D$2,)</f>
        <v>bộ</v>
      </c>
      <c r="G2220" s="1929">
        <f>'pp3p2m '!DQ82</f>
        <v>0</v>
      </c>
      <c r="H2220" s="1244">
        <f t="shared" si="403"/>
        <v>0</v>
      </c>
      <c r="I2220" s="1244">
        <f t="shared" si="402"/>
        <v>0</v>
      </c>
      <c r="J2220" s="1247"/>
      <c r="K2220" s="1247"/>
      <c r="L2220" s="1247"/>
      <c r="M2220" s="1247"/>
      <c r="N2220" s="1247"/>
      <c r="O2220" s="1247"/>
      <c r="P2220" s="1257">
        <f t="shared" si="395"/>
        <v>0</v>
      </c>
      <c r="Q2220" s="1244"/>
      <c r="R2220" s="1244"/>
      <c r="S2220" s="1244"/>
      <c r="T2220" s="1671"/>
      <c r="U2220" s="1664" t="str">
        <f>IFERROR(VLOOKUP(B2220,ChiTietDuToan!C:H,5,0),"")</f>
        <v/>
      </c>
      <c r="V2220" s="2309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66" t="s">
        <v>607</v>
      </c>
      <c r="C2221" s="1189" t="str">
        <f t="shared" si="399"/>
        <v xml:space="preserve"> </v>
      </c>
      <c r="D2221" s="1236" t="str">
        <f>VLOOKUP($B2221,DG!A:D,DG!$B$2,)</f>
        <v>02.2124</v>
      </c>
      <c r="E2221" s="1248" t="str">
        <f>VLOOKUP($B2221,DG!A:D,DG!$C$2,)</f>
        <v>LBS SF6 3pha 24kV 630A - 16kA</v>
      </c>
      <c r="F2221" s="1236" t="str">
        <f>VLOOKUP($B2221,DG!A:D,DG!$D$2,)</f>
        <v>bộ</v>
      </c>
      <c r="G2221" s="1929"/>
      <c r="H2221" s="1244">
        <f t="shared" si="403"/>
        <v>0</v>
      </c>
      <c r="I2221" s="1244">
        <f t="shared" si="402"/>
        <v>0</v>
      </c>
      <c r="J2221" s="1247"/>
      <c r="K2221" s="1247"/>
      <c r="L2221" s="1247"/>
      <c r="M2221" s="1247"/>
      <c r="N2221" s="1247"/>
      <c r="O2221" s="1247"/>
      <c r="P2221" s="1257">
        <f t="shared" si="395"/>
        <v>0</v>
      </c>
      <c r="Q2221" s="1244"/>
      <c r="R2221" s="1244"/>
      <c r="S2221" s="1244"/>
      <c r="T2221" s="1671"/>
      <c r="U2221" s="1664" t="str">
        <f>IFERROR(VLOOKUP(B2221,ChiTietDuToan!C:H,5,0),"")</f>
        <v/>
      </c>
      <c r="V2221" s="2309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66" t="s">
        <v>1965</v>
      </c>
      <c r="C2222" s="1189" t="str">
        <f t="shared" si="399"/>
        <v xml:space="preserve"> </v>
      </c>
      <c r="D2222" s="1236" t="str">
        <f>VLOOKUP($B2222,DG!A:D,DG!$B$2,)</f>
        <v>02.2124</v>
      </c>
      <c r="E2222" s="1248" t="str">
        <f>VLOOKUP($B2222,DG!A:D,DG!$C$2,)</f>
        <v>Recloser 24kV 630-800A</v>
      </c>
      <c r="F2222" s="1236" t="str">
        <f>VLOOKUP($B2222,DG!A:D,DG!$D$2,)</f>
        <v>bộ</v>
      </c>
      <c r="G2222" s="1929"/>
      <c r="H2222" s="1244">
        <f t="shared" si="403"/>
        <v>0</v>
      </c>
      <c r="I2222" s="1244">
        <f t="shared" si="402"/>
        <v>0</v>
      </c>
      <c r="J2222" s="1247"/>
      <c r="K2222" s="1247"/>
      <c r="L2222" s="1247"/>
      <c r="M2222" s="1247"/>
      <c r="N2222" s="1247"/>
      <c r="O2222" s="1247"/>
      <c r="P2222" s="1257">
        <f t="shared" si="395"/>
        <v>0</v>
      </c>
      <c r="Q2222" s="1244"/>
      <c r="R2222" s="1244"/>
      <c r="S2222" s="1244"/>
      <c r="T2222" s="1671"/>
      <c r="U2222" s="1664" t="str">
        <f>IFERROR(VLOOKUP(B2222,ChiTietDuToan!C:H,5,0),"")</f>
        <v/>
      </c>
      <c r="V2222" s="2309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66" t="s">
        <v>1406</v>
      </c>
      <c r="C2223" s="1189" t="str">
        <f t="shared" si="399"/>
        <v xml:space="preserve"> </v>
      </c>
      <c r="D2223" s="1236" t="str">
        <f>VLOOKUP($B2223,DG!A:D,DG!$B$2,)</f>
        <v>02.5114</v>
      </c>
      <c r="E2223" s="1248" t="str">
        <f>VLOOKUP($B2223,DG!A:D,DG!$C$2,)</f>
        <v>LA 18kV 10kA</v>
      </c>
      <c r="F2223" s="1236" t="str">
        <f>VLOOKUP($B2223,DG!A:D,DG!$D$2,)</f>
        <v>cái</v>
      </c>
      <c r="G2223" s="1929"/>
      <c r="H2223" s="1244">
        <f t="shared" si="403"/>
        <v>0</v>
      </c>
      <c r="I2223" s="1244">
        <f>G2223</f>
        <v>0</v>
      </c>
      <c r="J2223" s="1247"/>
      <c r="K2223" s="1247"/>
      <c r="L2223" s="1247"/>
      <c r="M2223" s="1247"/>
      <c r="N2223" s="1247"/>
      <c r="O2223" s="1247"/>
      <c r="P2223" s="1257">
        <f t="shared" si="395"/>
        <v>0</v>
      </c>
      <c r="Q2223" s="1244"/>
      <c r="R2223" s="1244"/>
      <c r="S2223" s="1244"/>
      <c r="T2223" s="1671"/>
      <c r="U2223" s="1664" t="str">
        <f>IFERROR(VLOOKUP(B2223,ChiTietDuToan!C:H,5,0),"")</f>
        <v/>
      </c>
      <c r="V2223" s="2309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66" t="s">
        <v>996</v>
      </c>
      <c r="C2224" s="1189" t="str">
        <f t="shared" si="399"/>
        <v xml:space="preserve"> </v>
      </c>
      <c r="D2224" s="1236" t="str">
        <f>VLOOKUP($B2224,DG!A:D,DG!$B$2,)</f>
        <v>02.5114</v>
      </c>
      <c r="E2224" s="1248" t="str">
        <f>VLOOKUP($B2224,DG!A:D,DG!$C$2,)</f>
        <v>LA 12kV 10kA</v>
      </c>
      <c r="F2224" s="1236" t="str">
        <f>VLOOKUP($B2224,DG!A:D,DG!$D$2,)</f>
        <v>cái</v>
      </c>
      <c r="G2224" s="1929"/>
      <c r="H2224" s="1244">
        <f t="shared" si="403"/>
        <v>0</v>
      </c>
      <c r="I2224" s="1244">
        <f>G2224</f>
        <v>0</v>
      </c>
      <c r="J2224" s="1247"/>
      <c r="K2224" s="1247"/>
      <c r="L2224" s="1247"/>
      <c r="M2224" s="1247"/>
      <c r="N2224" s="1247"/>
      <c r="O2224" s="1247"/>
      <c r="P2224" s="1257">
        <f t="shared" si="395"/>
        <v>0</v>
      </c>
      <c r="Q2224" s="1244"/>
      <c r="R2224" s="1244"/>
      <c r="S2224" s="1244"/>
      <c r="T2224" s="1671"/>
      <c r="U2224" s="1664" t="str">
        <f>IFERROR(VLOOKUP(B2224,ChiTietDuToan!C:H,5,0),"")</f>
        <v/>
      </c>
      <c r="V2224" s="2309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53" t="s">
        <v>1169</v>
      </c>
      <c r="B2225" s="1968" t="str">
        <f>A2225</f>
        <v>TBDD3p1m</v>
      </c>
      <c r="C2225" s="1189" t="str">
        <f>IF(G2225&lt;&gt;0,"x"," ")</f>
        <v>x</v>
      </c>
      <c r="D2225" s="1238" t="s">
        <v>1950</v>
      </c>
      <c r="E2225" s="1666" t="s">
        <v>2634</v>
      </c>
      <c r="F2225" s="1238"/>
      <c r="G2225" s="1912">
        <f>IF(SUM(G2227:G2246)=0,0,1)</f>
        <v>1</v>
      </c>
      <c r="H2225" s="1523">
        <f>SUM(I2225:O2225)+T2225</f>
        <v>0</v>
      </c>
      <c r="I2225" s="1258"/>
      <c r="J2225" s="1258"/>
      <c r="K2225" s="1258"/>
      <c r="L2225" s="1239">
        <f>IFERROR(HLOOKUP(A2225,pp1p!$6:$90,85,0),0)</f>
        <v>0</v>
      </c>
      <c r="M2225" s="1258"/>
      <c r="N2225" s="1258"/>
      <c r="O2225" s="1258"/>
      <c r="P2225" s="1257">
        <f t="shared" si="395"/>
        <v>0</v>
      </c>
      <c r="Q2225" s="1258"/>
      <c r="R2225" s="1258"/>
      <c r="S2225" s="1258"/>
      <c r="T2225" s="1664"/>
      <c r="U2225" s="1664">
        <f>IFERROR(VLOOKUP(B2225,ChiTietDuToan!C:H,5,0),"")</f>
        <v>0</v>
      </c>
      <c r="V2225" s="2309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66" t="s">
        <v>796</v>
      </c>
      <c r="C2226" s="1189" t="str">
        <f t="shared" ref="C2226" si="404">IF(G2226&lt;&gt;0,"x"," ")</f>
        <v xml:space="preserve"> </v>
      </c>
      <c r="D2226" s="1236" t="str">
        <f>VLOOKUP($B2226,DG!A:D,DG!$B$2,)</f>
        <v>02.3104</v>
      </c>
      <c r="E2226" s="1248" t="str">
        <f>VLOOKUP($B2226,DG!A:D,DG!$C$2,)</f>
        <v>LTD 1P 24KV - 800A</v>
      </c>
      <c r="F2226" s="1236" t="str">
        <f>VLOOKUP($B2226,DG!A:D,DG!$D$2,)</f>
        <v>cái</v>
      </c>
      <c r="G2226" s="1937"/>
      <c r="H2226" s="1245" t="e">
        <f>#REF!</f>
        <v>#REF!</v>
      </c>
      <c r="I2226" s="1244"/>
      <c r="J2226" s="1247"/>
      <c r="K2226" s="1244">
        <f>G2226</f>
        <v>0</v>
      </c>
      <c r="L2226" s="1247"/>
      <c r="M2226" s="1247"/>
      <c r="N2226" s="1247"/>
      <c r="O2226" s="1247"/>
      <c r="P2226" s="1257" t="e">
        <f t="shared" ref="P2226" si="405">H2226+Q2226-R2226</f>
        <v>#REF!</v>
      </c>
      <c r="Q2226" s="1244"/>
      <c r="R2226" s="1244"/>
      <c r="S2226" s="1244"/>
      <c r="T2226" s="1671"/>
      <c r="U2226" s="1664" t="str">
        <f>IFERROR(VLOOKUP(B2226,ChiTietDuToan!C:H,5,0),"")</f>
        <v/>
      </c>
      <c r="V2226" s="2309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66" t="s">
        <v>4977</v>
      </c>
      <c r="C2227" s="1189" t="str">
        <f t="shared" ref="C2227:C2290" si="406">IF(G2227&lt;&gt;0,"x"," ")</f>
        <v>x</v>
      </c>
      <c r="D2227" s="1236" t="str">
        <f>VLOOKUP($B2227,DG!A:D,DG!$B$2,)</f>
        <v>02.3104</v>
      </c>
      <c r="E2227" s="1248" t="str">
        <f>VLOOKUP($B2227,DG!A:D,DG!$C$2,)</f>
        <v>LTD 1P 24KV - 600A</v>
      </c>
      <c r="F2227" s="1236" t="str">
        <f>VLOOKUP($B2227,DG!A:D,DG!$D$2,)</f>
        <v>cái</v>
      </c>
      <c r="G2227" s="1937">
        <v>3</v>
      </c>
      <c r="H2227" s="1245" t="e">
        <f>#REF!</f>
        <v>#REF!</v>
      </c>
      <c r="I2227" s="1244"/>
      <c r="J2227" s="1247"/>
      <c r="K2227" s="1244">
        <f>G2227</f>
        <v>3</v>
      </c>
      <c r="L2227" s="1247"/>
      <c r="M2227" s="1247"/>
      <c r="N2227" s="1247"/>
      <c r="O2227" s="1247"/>
      <c r="P2227" s="1257" t="e">
        <f t="shared" si="395"/>
        <v>#REF!</v>
      </c>
      <c r="Q2227" s="1244"/>
      <c r="R2227" s="1244"/>
      <c r="S2227" s="1244"/>
      <c r="T2227" s="1671"/>
      <c r="U2227" s="1664" t="str">
        <f>IFERROR(VLOOKUP(B2227,ChiTietDuToan!C:H,5,0),"")</f>
        <v>cái</v>
      </c>
      <c r="V2227" s="2309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6.2" hidden="1">
      <c r="A2228" s="62"/>
      <c r="B2228" s="1966" t="str">
        <f>"lbfco100-"&amp;22</f>
        <v>lbfco100-22</v>
      </c>
      <c r="C2228" s="1189" t="str">
        <f t="shared" si="406"/>
        <v xml:space="preserve"> </v>
      </c>
      <c r="D2228" s="1236" t="str">
        <f>VLOOKUP($B2228,DG!A:D,DG!$B$2,)</f>
        <v>02.3505</v>
      </c>
      <c r="E2228" s="1248" t="str">
        <f>VLOOKUP($B2228,DG!A:D,DG!$C$2,)&amp;" : lắp trụ đo đếm"</f>
        <v>LBFCO-24KV-100A : lắp trụ đo đếm</v>
      </c>
      <c r="F2228" s="1236" t="str">
        <f>VLOOKUP($B2228,DG!A:D,DG!$D$2,)</f>
        <v>cái</v>
      </c>
      <c r="G2228" s="1937"/>
      <c r="H2228" s="1244">
        <f t="shared" ref="H2228:H2271" si="407">G2228</f>
        <v>0</v>
      </c>
      <c r="I2228" s="1244"/>
      <c r="J2228" s="1247"/>
      <c r="K2228" s="1244">
        <f t="shared" ref="K2228:K2246" si="408">G2228</f>
        <v>0</v>
      </c>
      <c r="L2228" s="1247"/>
      <c r="M2228" s="1247"/>
      <c r="N2228" s="1247"/>
      <c r="O2228" s="1247"/>
      <c r="P2228" s="1257">
        <f t="shared" si="395"/>
        <v>0</v>
      </c>
      <c r="Q2228" s="1244"/>
      <c r="R2228" s="1244"/>
      <c r="S2228" s="1244"/>
      <c r="T2228" s="1671"/>
      <c r="U2228" s="1664" t="str">
        <f>IFERROR(VLOOKUP(B2228,ChiTietDuToan!C:H,5,0),"")</f>
        <v/>
      </c>
      <c r="V2228" s="2309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66" t="s">
        <v>596</v>
      </c>
      <c r="C2229" s="1189" t="str">
        <f t="shared" si="406"/>
        <v xml:space="preserve"> </v>
      </c>
      <c r="D2229" s="1236">
        <f>VLOOKUP($B2229,DG!A:D,DG!$B$2,)</f>
        <v>0</v>
      </c>
      <c r="E2229" s="1248" t="str">
        <f>VLOOKUP($B2229,DG!A:D,DG!$C$2,)</f>
        <v>Dây chảy 80K</v>
      </c>
      <c r="F2229" s="1236" t="str">
        <f>VLOOKUP($B2229,DG!A:D,DG!$D$2,)</f>
        <v>Sợi</v>
      </c>
      <c r="G2229" s="1937"/>
      <c r="H2229" s="1244">
        <f t="shared" si="407"/>
        <v>0</v>
      </c>
      <c r="I2229" s="1244"/>
      <c r="J2229" s="1247"/>
      <c r="K2229" s="1244">
        <f>G2229</f>
        <v>0</v>
      </c>
      <c r="L2229" s="1247"/>
      <c r="M2229" s="1247"/>
      <c r="N2229" s="1247"/>
      <c r="O2229" s="1247"/>
      <c r="P2229" s="1257">
        <f t="shared" si="395"/>
        <v>0</v>
      </c>
      <c r="Q2229" s="1244"/>
      <c r="R2229" s="1244"/>
      <c r="S2229" s="1244"/>
      <c r="T2229" s="1671"/>
      <c r="U2229" s="1664" t="str">
        <f>IFERROR(VLOOKUP(B2229,ChiTietDuToan!C:H,5,0),"")</f>
        <v/>
      </c>
      <c r="V2229" s="2309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66" t="str">
        <f>"lbfco200-"&amp;22</f>
        <v>lbfco200-22</v>
      </c>
      <c r="C2230" s="1189" t="str">
        <f t="shared" si="406"/>
        <v xml:space="preserve"> </v>
      </c>
      <c r="D2230" s="1236" t="str">
        <f>VLOOKUP($B2230,DG!A:D,DG!$B$2,)</f>
        <v>02.3505</v>
      </c>
      <c r="E2230" s="1248" t="str">
        <f>VLOOKUP($B2230,DG!A:D,DG!$C$2,)&amp;" : lắp trụ đầu nhánh"</f>
        <v>LBFCO-24KV-200A : lắp trụ đầu nhánh</v>
      </c>
      <c r="F2230" s="1236" t="str">
        <f>VLOOKUP($B2230,DG!A:D,DG!$D$2,)</f>
        <v>cái</v>
      </c>
      <c r="G2230" s="1937"/>
      <c r="H2230" s="1244">
        <f t="shared" si="407"/>
        <v>0</v>
      </c>
      <c r="I2230" s="1244"/>
      <c r="J2230" s="1247"/>
      <c r="K2230" s="1244">
        <f>G2230</f>
        <v>0</v>
      </c>
      <c r="L2230" s="1247"/>
      <c r="M2230" s="1247"/>
      <c r="N2230" s="1247"/>
      <c r="O2230" s="1247"/>
      <c r="P2230" s="1257">
        <f t="shared" si="395"/>
        <v>0</v>
      </c>
      <c r="Q2230" s="1244"/>
      <c r="R2230" s="1244"/>
      <c r="S2230" s="1244"/>
      <c r="T2230" s="1671"/>
      <c r="U2230" s="1664" t="str">
        <f>IFERROR(VLOOKUP(B2230,ChiTietDuToan!C:H,5,0),"")</f>
        <v/>
      </c>
      <c r="V2230" s="2309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66" t="s">
        <v>902</v>
      </c>
      <c r="C2231" s="1189" t="str">
        <f t="shared" si="406"/>
        <v xml:space="preserve"> </v>
      </c>
      <c r="D2231" s="1236">
        <f>VLOOKUP($B2231,DG!A:D,DG!$B$2,)</f>
        <v>0</v>
      </c>
      <c r="E2231" s="1248" t="str">
        <f>VLOOKUP($B2231,DG!A:D,DG!$C$2,)</f>
        <v>Dây chảy 100K</v>
      </c>
      <c r="F2231" s="1236" t="str">
        <f>VLOOKUP($B2231,DG!A:D,DG!$D$2,)</f>
        <v>Sợi</v>
      </c>
      <c r="G2231" s="1929"/>
      <c r="H2231" s="1244">
        <f t="shared" si="407"/>
        <v>0</v>
      </c>
      <c r="I2231" s="1244"/>
      <c r="J2231" s="1247"/>
      <c r="K2231" s="1244">
        <f>G2231</f>
        <v>0</v>
      </c>
      <c r="L2231" s="1247"/>
      <c r="M2231" s="1247"/>
      <c r="N2231" s="1247"/>
      <c r="O2231" s="1247"/>
      <c r="P2231" s="1257">
        <f t="shared" si="395"/>
        <v>0</v>
      </c>
      <c r="Q2231" s="1244"/>
      <c r="R2231" s="1244"/>
      <c r="S2231" s="1244"/>
      <c r="T2231" s="1671"/>
      <c r="U2231" s="1664" t="str">
        <f>IFERROR(VLOOKUP(B2231,ChiTietDuToan!C:H,5,0),"")</f>
        <v/>
      </c>
      <c r="V2231" s="2309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66" t="str">
        <f>"FCO200-"&amp;22</f>
        <v>FCO200-22</v>
      </c>
      <c r="C2232" s="1189" t="str">
        <f t="shared" si="406"/>
        <v xml:space="preserve"> </v>
      </c>
      <c r="D2232" s="1236" t="str">
        <f>VLOOKUP($B2232,DG!A:D,DG!$B$2,)</f>
        <v>02.3505</v>
      </c>
      <c r="E2232" s="1248" t="str">
        <f>VLOOKUP($B2232,DG!A:D,DG!$C$2,)</f>
        <v xml:space="preserve">FCO 24KV - 200A </v>
      </c>
      <c r="F2232" s="1236" t="str">
        <f>VLOOKUP($B2232,DG!A:D,DG!$D$2,)</f>
        <v>cái</v>
      </c>
      <c r="G2232" s="1937"/>
      <c r="H2232" s="1244">
        <f t="shared" si="407"/>
        <v>0</v>
      </c>
      <c r="I2232" s="1244"/>
      <c r="J2232" s="1247"/>
      <c r="K2232" s="1244">
        <f t="shared" si="408"/>
        <v>0</v>
      </c>
      <c r="L2232" s="1247"/>
      <c r="M2232" s="1247"/>
      <c r="N2232" s="1247"/>
      <c r="O2232" s="1247"/>
      <c r="P2232" s="1257">
        <f t="shared" si="395"/>
        <v>0</v>
      </c>
      <c r="Q2232" s="1244"/>
      <c r="R2232" s="1244"/>
      <c r="S2232" s="1244"/>
      <c r="T2232" s="1671"/>
      <c r="U2232" s="1664" t="str">
        <f>IFERROR(VLOOKUP(B2232,ChiTietDuToan!C:H,5,0),"")</f>
        <v/>
      </c>
      <c r="V2232" s="2309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51" t="str">
        <f>"FCO100-"&amp;22</f>
        <v>FCO100-22</v>
      </c>
      <c r="C2233" s="1189" t="str">
        <f t="shared" si="406"/>
        <v xml:space="preserve"> </v>
      </c>
      <c r="D2233" s="1236" t="str">
        <f>VLOOKUP($B2233,DG!A:D,DG!$B$2,)</f>
        <v>02.3155</v>
      </c>
      <c r="E2233" s="1248" t="str">
        <f>VLOOKUP($B2233,DG!A:D,DG!$C$2,)</f>
        <v>FCO 24kV - 100A</v>
      </c>
      <c r="F2233" s="1236" t="str">
        <f>VLOOKUP($B2233,DG!A:D,DG!$D$2,)</f>
        <v>cái</v>
      </c>
      <c r="G2233" s="1937">
        <f>pp3p1m!FU111</f>
        <v>0</v>
      </c>
      <c r="H2233" s="1244">
        <f>G2233-T2233</f>
        <v>0</v>
      </c>
      <c r="I2233" s="1244"/>
      <c r="J2233" s="1247"/>
      <c r="K2233" s="1244">
        <f t="shared" si="408"/>
        <v>0</v>
      </c>
      <c r="L2233" s="1247"/>
      <c r="M2233" s="1247"/>
      <c r="N2233" s="1247"/>
      <c r="O2233" s="1247"/>
      <c r="P2233" s="1257">
        <f t="shared" si="395"/>
        <v>0</v>
      </c>
      <c r="Q2233" s="1244"/>
      <c r="R2233" s="1244"/>
      <c r="S2233" s="1244"/>
      <c r="T2233" s="1664"/>
      <c r="U2233" s="1664" t="str">
        <f>IFERROR(VLOOKUP(B2233,ChiTietDuToan!C:H,5,0),"")</f>
        <v/>
      </c>
      <c r="V2233" s="2309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66" t="s">
        <v>4884</v>
      </c>
      <c r="C2234" s="1189" t="str">
        <f t="shared" si="406"/>
        <v xml:space="preserve"> </v>
      </c>
      <c r="D2234" s="1236">
        <f>VLOOKUP($B2234,DG!A:D,DG!$B$2,)</f>
        <v>0</v>
      </c>
      <c r="E2234" s="1248" t="str">
        <f>VLOOKUP($B2234,DG!A:D,DG!$C$2,)</f>
        <v>Dây chảy 8K</v>
      </c>
      <c r="F2234" s="1236" t="str">
        <f>VLOOKUP($B2234,DG!A:D,DG!$D$2,)</f>
        <v>Sợi</v>
      </c>
      <c r="G2234" s="1937">
        <f>pp3p1m!FU111</f>
        <v>0</v>
      </c>
      <c r="H2234" s="1244">
        <f>G2234-T2234</f>
        <v>0</v>
      </c>
      <c r="I2234" s="1244"/>
      <c r="J2234" s="1247"/>
      <c r="K2234" s="1244">
        <f>G2234</f>
        <v>0</v>
      </c>
      <c r="L2234" s="1247"/>
      <c r="M2234" s="1247"/>
      <c r="N2234" s="1247"/>
      <c r="O2234" s="1247"/>
      <c r="P2234" s="1257">
        <f>H2234+Q2234-R2234</f>
        <v>0</v>
      </c>
      <c r="Q2234" s="1244"/>
      <c r="R2234" s="1244"/>
      <c r="S2234" s="1244"/>
      <c r="T2234" s="1671"/>
      <c r="U2234" s="1664" t="str">
        <f>IFERROR(VLOOKUP(B2234,ChiTietDuToan!C:H,5,0),"")</f>
        <v/>
      </c>
      <c r="V2234" s="2309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66" t="s">
        <v>387</v>
      </c>
      <c r="C2235" s="1189" t="str">
        <f t="shared" si="406"/>
        <v xml:space="preserve"> </v>
      </c>
      <c r="D2235" s="1236">
        <f>VLOOKUP($B2235,DG!A:D,DG!$B$2,)</f>
        <v>0</v>
      </c>
      <c r="E2235" s="1248" t="str">
        <f>VLOOKUP($B2235,DG!A:D,DG!$C$2,)</f>
        <v>Dây chảy 12K</v>
      </c>
      <c r="F2235" s="1236" t="str">
        <f>VLOOKUP($B2235,DG!A:D,DG!$D$2,)</f>
        <v>Sợi</v>
      </c>
      <c r="G2235" s="1937"/>
      <c r="H2235" s="1244">
        <f>G2235-T2235</f>
        <v>0</v>
      </c>
      <c r="I2235" s="1244"/>
      <c r="J2235" s="1247"/>
      <c r="K2235" s="1244">
        <f>G2235</f>
        <v>0</v>
      </c>
      <c r="L2235" s="1247"/>
      <c r="M2235" s="1247"/>
      <c r="N2235" s="1247"/>
      <c r="O2235" s="1247"/>
      <c r="P2235" s="1257">
        <f>H2235+Q2235-R2235</f>
        <v>0</v>
      </c>
      <c r="Q2235" s="1244"/>
      <c r="R2235" s="1244"/>
      <c r="S2235" s="1244"/>
      <c r="T2235" s="1671"/>
      <c r="U2235" s="1664" t="str">
        <f>IFERROR(VLOOKUP(B2235,ChiTietDuToan!C:H,5,0),"")</f>
        <v/>
      </c>
      <c r="V2235" s="2309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66" t="str">
        <f>"tu"&amp;22</f>
        <v>tu22</v>
      </c>
      <c r="C2236" s="1189" t="str">
        <f t="shared" si="406"/>
        <v xml:space="preserve"> </v>
      </c>
      <c r="D2236" s="1236" t="str">
        <f>VLOOKUP($B2236,DG!A:D,DG!$B$2,)</f>
        <v>02.1114</v>
      </c>
      <c r="E2236" s="1248" t="str">
        <f>VLOOKUP($B2236,DG!A:D,DG!$C$2,)</f>
        <v>Biến điện áp 12000/120(60)V</v>
      </c>
      <c r="F2236" s="1236" t="str">
        <f>VLOOKUP($B2236,DG!A:D,DG!$D$2,)</f>
        <v>cái</v>
      </c>
      <c r="G2236" s="1929">
        <f>G2247*3</f>
        <v>0</v>
      </c>
      <c r="H2236" s="1244">
        <f t="shared" si="407"/>
        <v>0</v>
      </c>
      <c r="I2236" s="1244"/>
      <c r="J2236" s="1247"/>
      <c r="K2236" s="1244">
        <f>G2236</f>
        <v>0</v>
      </c>
      <c r="L2236" s="1247"/>
      <c r="M2236" s="1247"/>
      <c r="N2236" s="1247"/>
      <c r="O2236" s="1247"/>
      <c r="P2236" s="1257">
        <f t="shared" si="395"/>
        <v>0</v>
      </c>
      <c r="Q2236" s="1244"/>
      <c r="R2236" s="1244"/>
      <c r="S2236" s="1244"/>
      <c r="T2236" s="1671"/>
      <c r="U2236" s="1664" t="str">
        <f>IFERROR(VLOOKUP(B2236,ChiTietDuToan!C:H,5,0),"")</f>
        <v/>
      </c>
      <c r="V2236" s="2309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66" t="s">
        <v>78</v>
      </c>
      <c r="C2237" s="1189" t="str">
        <f t="shared" si="406"/>
        <v xml:space="preserve"> </v>
      </c>
      <c r="D2237" s="1236" t="str">
        <f>VLOOKUP($B2237,DG!A:D,DG!$B$2,)</f>
        <v>02.1124</v>
      </c>
      <c r="E2237" s="1248" t="str">
        <f>VLOOKUP($B2237,DG!A:D,DG!$C$2,)</f>
        <v>Biến dòng 24kV  20/5A</v>
      </c>
      <c r="F2237" s="1236" t="str">
        <f>VLOOKUP($B2237,DG!A:D,DG!$D$2,)</f>
        <v>cái</v>
      </c>
      <c r="G2237" s="1937">
        <f>G2236</f>
        <v>0</v>
      </c>
      <c r="H2237" s="1244">
        <f t="shared" si="407"/>
        <v>0</v>
      </c>
      <c r="I2237" s="1244"/>
      <c r="J2237" s="1247"/>
      <c r="K2237" s="1244">
        <f>G2237</f>
        <v>0</v>
      </c>
      <c r="L2237" s="1247"/>
      <c r="M2237" s="1247"/>
      <c r="N2237" s="1247"/>
      <c r="O2237" s="1247"/>
      <c r="P2237" s="1257">
        <f t="shared" ref="P2237:P2302" si="409">H2237+Q2237-R2237</f>
        <v>0</v>
      </c>
      <c r="Q2237" s="1244"/>
      <c r="R2237" s="1244"/>
      <c r="S2237" s="1244"/>
      <c r="T2237" s="1671"/>
      <c r="U2237" s="1664" t="str">
        <f>IFERROR(VLOOKUP(B2237,ChiTietDuToan!C:H,5,0),"")</f>
        <v/>
      </c>
      <c r="V2237" s="2309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66" t="s">
        <v>2</v>
      </c>
      <c r="C2238" s="1189" t="str">
        <f t="shared" si="406"/>
        <v xml:space="preserve"> </v>
      </c>
      <c r="D2238" s="1236">
        <f>VLOOKUP($B2238,DG!A:D,DG!$B$2,)</f>
        <v>0</v>
      </c>
      <c r="E2238" s="1248" t="str">
        <f>VLOOKUP($B2238,DG!A:D,DG!$C$2,)</f>
        <v>Điện kế 3 pha điện tử 600V-5A</v>
      </c>
      <c r="F2238" s="1236" t="str">
        <f>VLOOKUP($B2238,DG!A:D,DG!$D$2,)</f>
        <v>cái</v>
      </c>
      <c r="G2238" s="1937">
        <f>G2247</f>
        <v>0</v>
      </c>
      <c r="H2238" s="1244">
        <f t="shared" si="407"/>
        <v>0</v>
      </c>
      <c r="I2238" s="1244"/>
      <c r="J2238" s="1247"/>
      <c r="K2238" s="1244">
        <f>G2238</f>
        <v>0</v>
      </c>
      <c r="L2238" s="1247"/>
      <c r="M2238" s="1247"/>
      <c r="N2238" s="1247"/>
      <c r="O2238" s="1247"/>
      <c r="P2238" s="1257">
        <f t="shared" si="409"/>
        <v>0</v>
      </c>
      <c r="Q2238" s="1244"/>
      <c r="R2238" s="1244"/>
      <c r="S2238" s="1244"/>
      <c r="T2238" s="1671"/>
      <c r="U2238" s="1664" t="str">
        <f>IFERROR(VLOOKUP(B2238,ChiTietDuToan!C:H,5,0),"")</f>
        <v/>
      </c>
      <c r="V2238" s="2309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66" t="s">
        <v>449</v>
      </c>
      <c r="C2239" s="1189" t="str">
        <f t="shared" si="406"/>
        <v xml:space="preserve"> </v>
      </c>
      <c r="D2239" s="1236" t="str">
        <f>VLOOKUP($B2239,DG!A:D,DG!$B$2,)</f>
        <v>02.3302</v>
      </c>
      <c r="E2239" s="1248" t="str">
        <f>VLOOKUP($B2239,DG!A:D,DG!$C$2,)</f>
        <v xml:space="preserve">DS 1P - 24KV - 600A </v>
      </c>
      <c r="F2239" s="1236" t="str">
        <f>VLOOKUP($B2239,DG!A:D,DG!$D$2,)</f>
        <v>bộ</v>
      </c>
      <c r="G2239" s="1937"/>
      <c r="H2239" s="1244">
        <f t="shared" si="407"/>
        <v>0</v>
      </c>
      <c r="I2239" s="1244"/>
      <c r="J2239" s="1247"/>
      <c r="K2239" s="1244">
        <f t="shared" si="408"/>
        <v>0</v>
      </c>
      <c r="L2239" s="1247"/>
      <c r="M2239" s="1247"/>
      <c r="N2239" s="1247"/>
      <c r="O2239" s="1247"/>
      <c r="P2239" s="1257">
        <f t="shared" si="409"/>
        <v>0</v>
      </c>
      <c r="Q2239" s="1244"/>
      <c r="R2239" s="1244"/>
      <c r="S2239" s="1244"/>
      <c r="T2239" s="1671"/>
      <c r="U2239" s="1664" t="str">
        <f>IFERROR(VLOOKUP(B2239,ChiTietDuToan!C:H,5,0),"")</f>
        <v/>
      </c>
      <c r="V2239" s="2309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66" t="s">
        <v>396</v>
      </c>
      <c r="C2240" s="1189" t="str">
        <f t="shared" si="406"/>
        <v xml:space="preserve"> </v>
      </c>
      <c r="D2240" s="1236" t="str">
        <f>VLOOKUP($B2240,DG!A:D,DG!$B$2,)</f>
        <v>02.3302</v>
      </c>
      <c r="E2240" s="1248" t="str">
        <f>VLOOKUP($B2240,DG!A:D,DG!$C$2,)</f>
        <v xml:space="preserve">DS 3P - 24KV - 630A </v>
      </c>
      <c r="F2240" s="1236" t="str">
        <f>VLOOKUP($B2240,DG!A:D,DG!$D$2,)</f>
        <v>bộ</v>
      </c>
      <c r="G2240" s="1937"/>
      <c r="H2240" s="1244">
        <f t="shared" si="407"/>
        <v>0</v>
      </c>
      <c r="I2240" s="1244"/>
      <c r="J2240" s="1247"/>
      <c r="K2240" s="1244">
        <f t="shared" si="408"/>
        <v>0</v>
      </c>
      <c r="L2240" s="1247"/>
      <c r="M2240" s="1247"/>
      <c r="N2240" s="1247"/>
      <c r="O2240" s="1247"/>
      <c r="P2240" s="1257">
        <f t="shared" si="409"/>
        <v>0</v>
      </c>
      <c r="Q2240" s="1244"/>
      <c r="R2240" s="1244"/>
      <c r="S2240" s="1244"/>
      <c r="T2240" s="1671"/>
      <c r="U2240" s="1664" t="str">
        <f>IFERROR(VLOOKUP(B2240,ChiTietDuToan!C:H,5,0),"")</f>
        <v/>
      </c>
      <c r="V2240" s="2309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66" t="s">
        <v>607</v>
      </c>
      <c r="C2241" s="1189" t="str">
        <f t="shared" si="406"/>
        <v xml:space="preserve"> </v>
      </c>
      <c r="D2241" s="1236" t="str">
        <f>VLOOKUP($B2241,DG!A:D,DG!$B$2,)</f>
        <v>02.2124</v>
      </c>
      <c r="E2241" s="1248" t="str">
        <f>VLOOKUP($B2241,DG!A:D,DG!$C$2,)</f>
        <v>LBS SF6 3pha 24kV 630A - 16kA</v>
      </c>
      <c r="F2241" s="1236" t="str">
        <f>VLOOKUP($B2241,DG!A:D,DG!$D$2,)</f>
        <v>bộ</v>
      </c>
      <c r="G2241" s="1937"/>
      <c r="H2241" s="1244">
        <f t="shared" si="407"/>
        <v>0</v>
      </c>
      <c r="I2241" s="1244"/>
      <c r="J2241" s="1247"/>
      <c r="K2241" s="1244">
        <f t="shared" si="408"/>
        <v>0</v>
      </c>
      <c r="L2241" s="1247"/>
      <c r="M2241" s="1247"/>
      <c r="N2241" s="1247"/>
      <c r="O2241" s="1247"/>
      <c r="P2241" s="1257">
        <f t="shared" si="409"/>
        <v>0</v>
      </c>
      <c r="Q2241" s="1244"/>
      <c r="R2241" s="1244"/>
      <c r="S2241" s="1244"/>
      <c r="T2241" s="1671"/>
      <c r="U2241" s="1664" t="str">
        <f>IFERROR(VLOOKUP(B2241,ChiTietDuToan!C:H,5,0),"")</f>
        <v/>
      </c>
      <c r="V2241" s="2309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66" t="s">
        <v>1965</v>
      </c>
      <c r="C2242" s="1189" t="str">
        <f t="shared" si="406"/>
        <v xml:space="preserve"> </v>
      </c>
      <c r="D2242" s="1236" t="str">
        <f>VLOOKUP($B2242,DG!A:D,DG!$B$2,)</f>
        <v>02.2124</v>
      </c>
      <c r="E2242" s="1248" t="str">
        <f>VLOOKUP($B2242,DG!A:D,DG!$C$2,)</f>
        <v>Recloser 24kV 630-800A</v>
      </c>
      <c r="F2242" s="1236" t="str">
        <f>VLOOKUP($B2242,DG!A:D,DG!$D$2,)</f>
        <v>bộ</v>
      </c>
      <c r="G2242" s="1937"/>
      <c r="H2242" s="1244">
        <f t="shared" si="407"/>
        <v>0</v>
      </c>
      <c r="I2242" s="1244"/>
      <c r="J2242" s="1247"/>
      <c r="K2242" s="1244">
        <f t="shared" si="408"/>
        <v>0</v>
      </c>
      <c r="L2242" s="1247"/>
      <c r="M2242" s="1247"/>
      <c r="N2242" s="1247"/>
      <c r="O2242" s="1247"/>
      <c r="P2242" s="1257">
        <f t="shared" si="409"/>
        <v>0</v>
      </c>
      <c r="Q2242" s="1244"/>
      <c r="R2242" s="1244"/>
      <c r="S2242" s="1244"/>
      <c r="T2242" s="1671"/>
      <c r="U2242" s="1664" t="str">
        <f>IFERROR(VLOOKUP(B2242,ChiTietDuToan!C:H,5,0),"")</f>
        <v/>
      </c>
      <c r="V2242" s="2309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66" t="s">
        <v>1406</v>
      </c>
      <c r="C2243" s="1189" t="str">
        <f t="shared" si="406"/>
        <v xml:space="preserve"> </v>
      </c>
      <c r="D2243" s="1236" t="str">
        <f>VLOOKUP($B2243,DG!A:D,DG!$B$2,)</f>
        <v>02.5114</v>
      </c>
      <c r="E2243" s="1248" t="str">
        <f>VLOOKUP($B2243,DG!A:D,DG!$C$2,)</f>
        <v>LA 18kV 10kA</v>
      </c>
      <c r="F2243" s="1236" t="str">
        <f>VLOOKUP($B2243,DG!A:D,DG!$D$2,)</f>
        <v>cái</v>
      </c>
      <c r="G2243" s="1937"/>
      <c r="H2243" s="1244">
        <f>G2243</f>
        <v>0</v>
      </c>
      <c r="I2243" s="1244"/>
      <c r="J2243" s="1247"/>
      <c r="K2243" s="1244">
        <f>G2243</f>
        <v>0</v>
      </c>
      <c r="L2243" s="1247"/>
      <c r="M2243" s="1247"/>
      <c r="N2243" s="1247"/>
      <c r="O2243" s="1247"/>
      <c r="P2243" s="1257">
        <f>H2243+Q2243-R2243</f>
        <v>0</v>
      </c>
      <c r="Q2243" s="1244"/>
      <c r="R2243" s="1244"/>
      <c r="S2243" s="1244"/>
      <c r="T2243" s="1671"/>
      <c r="U2243" s="1664" t="str">
        <f>IFERROR(VLOOKUP(B2243,ChiTietDuToan!C:H,5,0),"")</f>
        <v/>
      </c>
      <c r="V2243" s="2309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66" t="s">
        <v>996</v>
      </c>
      <c r="C2244" s="1189" t="str">
        <f t="shared" si="406"/>
        <v xml:space="preserve"> </v>
      </c>
      <c r="D2244" s="1236" t="str">
        <f>VLOOKUP($B2244,DG!A:D,DG!$B$2,)</f>
        <v>02.5114</v>
      </c>
      <c r="E2244" s="1248" t="str">
        <f>VLOOKUP($B2244,DG!A:D,DG!$C$2,)</f>
        <v>LA 12kV 10kA</v>
      </c>
      <c r="F2244" s="1236" t="str">
        <f>VLOOKUP($B2244,DG!A:D,DG!$D$2,)</f>
        <v>cái</v>
      </c>
      <c r="G2244" s="1937"/>
      <c r="H2244" s="1244">
        <f>G2244</f>
        <v>0</v>
      </c>
      <c r="I2244" s="1244"/>
      <c r="J2244" s="1247"/>
      <c r="K2244" s="1244">
        <f>G2244</f>
        <v>0</v>
      </c>
      <c r="L2244" s="1247"/>
      <c r="M2244" s="1247"/>
      <c r="N2244" s="1247"/>
      <c r="O2244" s="1247"/>
      <c r="P2244" s="1257">
        <f>H2244+Q2244-R2244</f>
        <v>0</v>
      </c>
      <c r="Q2244" s="1244"/>
      <c r="R2244" s="1244"/>
      <c r="S2244" s="1244"/>
      <c r="T2244" s="1671"/>
      <c r="U2244" s="1664" t="str">
        <f>IFERROR(VLOOKUP(B2244,ChiTietDuToan!C:H,5,0),"")</f>
        <v/>
      </c>
      <c r="V2244" s="2309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66" t="s">
        <v>2104</v>
      </c>
      <c r="C2245" s="1189" t="str">
        <f t="shared" si="406"/>
        <v xml:space="preserve"> </v>
      </c>
      <c r="D2245" s="1236">
        <f>VLOOKUP($B2245,DG!A:D,DG!$B$2,)</f>
        <v>0</v>
      </c>
      <c r="E2245" s="1248" t="str">
        <f>VLOOKUP($B2245,DG!A:D,DG!$C$2,)</f>
        <v>Bass LI bắt FCO</v>
      </c>
      <c r="F2245" s="1236" t="str">
        <f>VLOOKUP($B2245,DG!A:D,DG!$D$2,)</f>
        <v>Bộ</v>
      </c>
      <c r="G2245" s="1937"/>
      <c r="H2245" s="1244">
        <f t="shared" si="407"/>
        <v>0</v>
      </c>
      <c r="I2245" s="1244"/>
      <c r="J2245" s="1247"/>
      <c r="K2245" s="1244">
        <f t="shared" si="408"/>
        <v>0</v>
      </c>
      <c r="L2245" s="1247"/>
      <c r="M2245" s="1247"/>
      <c r="N2245" s="1247"/>
      <c r="O2245" s="1247"/>
      <c r="P2245" s="1257">
        <f t="shared" si="409"/>
        <v>0</v>
      </c>
      <c r="Q2245" s="1244"/>
      <c r="R2245" s="1244"/>
      <c r="S2245" s="1244"/>
      <c r="T2245" s="1671"/>
      <c r="U2245" s="1664" t="str">
        <f>IFERROR(VLOOKUP(B2245,ChiTietDuToan!C:H,5,0),"")</f>
        <v/>
      </c>
      <c r="V2245" s="2309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66" t="s">
        <v>383</v>
      </c>
      <c r="C2246" s="1189" t="str">
        <f t="shared" si="406"/>
        <v xml:space="preserve"> </v>
      </c>
      <c r="D2246" s="1236">
        <f>VLOOKUP($B2246,DG!A:D,DG!$B$2,)</f>
        <v>0</v>
      </c>
      <c r="E2246" s="1248" t="str">
        <f>VLOOKUP($B2246,DG!A:D,DG!$C$2,)</f>
        <v>Chụp đầu cực FCO (bộ 2 cái)</v>
      </c>
      <c r="F2246" s="1236" t="str">
        <f>VLOOKUP($B2246,DG!A:D,DG!$D$2,)</f>
        <v>bộ</v>
      </c>
      <c r="G2246" s="1937"/>
      <c r="H2246" s="1244">
        <f t="shared" si="407"/>
        <v>0</v>
      </c>
      <c r="I2246" s="1244"/>
      <c r="J2246" s="1247"/>
      <c r="K2246" s="1244">
        <f t="shared" si="408"/>
        <v>0</v>
      </c>
      <c r="L2246" s="1247"/>
      <c r="M2246" s="1247"/>
      <c r="N2246" s="1247"/>
      <c r="O2246" s="1247"/>
      <c r="P2246" s="1257">
        <f t="shared" si="409"/>
        <v>0</v>
      </c>
      <c r="Q2246" s="1244"/>
      <c r="R2246" s="1244"/>
      <c r="S2246" s="1244"/>
      <c r="T2246" s="1671"/>
      <c r="U2246" s="1664" t="str">
        <f>IFERROR(VLOOKUP(B2246,ChiTietDuToan!C:H,5,0),"")</f>
        <v/>
      </c>
      <c r="V2246" s="2309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68"/>
      <c r="C2247" s="1189" t="str">
        <f t="shared" si="406"/>
        <v xml:space="preserve"> </v>
      </c>
      <c r="D2247" s="1238" t="s">
        <v>1717</v>
      </c>
      <c r="E2247" s="1666" t="s">
        <v>2635</v>
      </c>
      <c r="F2247" s="1238"/>
      <c r="G2247" s="1912"/>
      <c r="H2247" s="1523">
        <f>SUM(I2247:O2247)+T2247</f>
        <v>0</v>
      </c>
      <c r="I2247" s="1258"/>
      <c r="J2247" s="1258"/>
      <c r="K2247" s="1258"/>
      <c r="L2247" s="1239">
        <f>IFERROR(HLOOKUP(A2247,pp1p!$6:$90,85,0),0)</f>
        <v>0</v>
      </c>
      <c r="M2247" s="1258"/>
      <c r="N2247" s="1258"/>
      <c r="O2247" s="1258"/>
      <c r="P2247" s="1257">
        <f t="shared" si="409"/>
        <v>0</v>
      </c>
      <c r="Q2247" s="1258"/>
      <c r="R2247" s="1258"/>
      <c r="S2247" s="1258"/>
      <c r="T2247" s="1671"/>
      <c r="U2247" s="1664">
        <f>IFERROR(VLOOKUP(B2247,ChiTietDuToan!C:H,5,0),"")</f>
        <v>0</v>
      </c>
      <c r="V2247" s="2309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98" t="s">
        <v>1875</v>
      </c>
      <c r="C2248" s="1189" t="str">
        <f t="shared" si="406"/>
        <v xml:space="preserve"> </v>
      </c>
      <c r="D2248" s="1236" t="str">
        <f>VLOOKUP($B2248,DG!A:D,DG!$B$2,)</f>
        <v>03.1401</v>
      </c>
      <c r="E2248" s="1248" t="str">
        <f>VLOOKUP($B2248,DG!A:D,DG!$C$2,)</f>
        <v xml:space="preserve">Cáp CVV 4x2,5mm2  </v>
      </c>
      <c r="F2248" s="1236" t="str">
        <f>VLOOKUP($B2248,DG!A:D,DG!$D$2,)</f>
        <v>mét</v>
      </c>
      <c r="G2248" s="1938">
        <f>G2247*26</f>
        <v>0</v>
      </c>
      <c r="H2248" s="1244">
        <f t="shared" si="407"/>
        <v>0</v>
      </c>
      <c r="I2248" s="1244"/>
      <c r="J2248" s="1247"/>
      <c r="K2248" s="1244">
        <f t="shared" ref="K2248:K2256" si="410">G2248</f>
        <v>0</v>
      </c>
      <c r="L2248" s="1247"/>
      <c r="M2248" s="1247"/>
      <c r="N2248" s="1247"/>
      <c r="O2248" s="1247"/>
      <c r="P2248" s="1257">
        <f t="shared" si="409"/>
        <v>0</v>
      </c>
      <c r="Q2248" s="1244"/>
      <c r="R2248" s="1244"/>
      <c r="S2248" s="1244"/>
      <c r="T2248" s="1671"/>
      <c r="U2248" s="1664" t="str">
        <f>IFERROR(VLOOKUP(B2248,ChiTietDuToan!C:H,5,0),"")</f>
        <v/>
      </c>
      <c r="V2248" s="2309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98" t="s">
        <v>247</v>
      </c>
      <c r="C2249" s="1189" t="str">
        <f t="shared" si="406"/>
        <v xml:space="preserve"> </v>
      </c>
      <c r="D2249" s="1236" t="str">
        <f>VLOOKUP($B2249,DG!A:D,DG!$B$2,)</f>
        <v>05.6101</v>
      </c>
      <c r="E2249" s="1248" t="str">
        <f>VLOOKUP($B2249,DG!A:D,DG!$C$2,)</f>
        <v>Xà kẹp TU, TI U50x32x4 350</v>
      </c>
      <c r="F2249" s="1236" t="str">
        <f>VLOOKUP($B2249,DG!A:D,DG!$D$2,)</f>
        <v>Bộ</v>
      </c>
      <c r="G2249" s="1938">
        <f>G2247*24</f>
        <v>0</v>
      </c>
      <c r="H2249" s="1244">
        <f t="shared" si="407"/>
        <v>0</v>
      </c>
      <c r="I2249" s="1244"/>
      <c r="J2249" s="1247"/>
      <c r="K2249" s="1244">
        <f t="shared" si="410"/>
        <v>0</v>
      </c>
      <c r="L2249" s="1247"/>
      <c r="M2249" s="1247"/>
      <c r="N2249" s="1247"/>
      <c r="O2249" s="1247"/>
      <c r="P2249" s="1257">
        <f t="shared" si="409"/>
        <v>0</v>
      </c>
      <c r="Q2249" s="1244"/>
      <c r="R2249" s="1244"/>
      <c r="S2249" s="1244"/>
      <c r="T2249" s="1671"/>
      <c r="U2249" s="1664" t="str">
        <f>IFERROR(VLOOKUP(B2249,ChiTietDuToan!C:H,5,0),"")</f>
        <v/>
      </c>
      <c r="V2249" s="2309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98" t="s">
        <v>2104</v>
      </c>
      <c r="C2250" s="1189" t="str">
        <f t="shared" si="406"/>
        <v xml:space="preserve"> </v>
      </c>
      <c r="D2250" s="1236">
        <f>VLOOKUP($B2250,DG!A:D,DG!$B$2,)</f>
        <v>0</v>
      </c>
      <c r="E2250" s="1248" t="str">
        <f>VLOOKUP($B2250,DG!A:D,DG!$C$2,)</f>
        <v>Bass LI bắt FCO</v>
      </c>
      <c r="F2250" s="1236" t="str">
        <f>VLOOKUP($B2250,DG!A:D,DG!$D$2,)</f>
        <v>Bộ</v>
      </c>
      <c r="G2250" s="1938">
        <f>G2247*6*0</f>
        <v>0</v>
      </c>
      <c r="H2250" s="1244">
        <f t="shared" si="407"/>
        <v>0</v>
      </c>
      <c r="I2250" s="1244"/>
      <c r="J2250" s="1247"/>
      <c r="K2250" s="1244">
        <f>G2250</f>
        <v>0</v>
      </c>
      <c r="L2250" s="1247"/>
      <c r="M2250" s="1247"/>
      <c r="N2250" s="1247"/>
      <c r="O2250" s="1247"/>
      <c r="P2250" s="1257">
        <f t="shared" si="409"/>
        <v>0</v>
      </c>
      <c r="Q2250" s="1244"/>
      <c r="R2250" s="1244"/>
      <c r="S2250" s="1244"/>
      <c r="T2250" s="1671"/>
      <c r="U2250" s="1664" t="str">
        <f>IFERROR(VLOOKUP(B2250,ChiTietDuToan!C:H,5,0),"")</f>
        <v/>
      </c>
      <c r="V2250" s="2309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98" t="s">
        <v>1918</v>
      </c>
      <c r="C2251" s="1189" t="str">
        <f t="shared" si="406"/>
        <v xml:space="preserve"> </v>
      </c>
      <c r="D2251" s="1236" t="str">
        <f>VLOOKUP($B2251,DG!A:D,DG!$B$2,)</f>
        <v>03.4001</v>
      </c>
      <c r="E2251" s="1248" t="str">
        <f>VLOOKUP($B2251,DG!A:D,DG!$C$2,)</f>
        <v xml:space="preserve">Đầu cosse ép Cu 2,5mm2 + bao PVC </v>
      </c>
      <c r="F2251" s="1236" t="str">
        <f>VLOOKUP($B2251,DG!A:D,DG!$D$2,)</f>
        <v>cái</v>
      </c>
      <c r="G2251" s="1938">
        <f>G2247*16</f>
        <v>0</v>
      </c>
      <c r="H2251" s="1244">
        <f t="shared" si="407"/>
        <v>0</v>
      </c>
      <c r="I2251" s="1244"/>
      <c r="J2251" s="1247"/>
      <c r="K2251" s="1244">
        <f t="shared" si="410"/>
        <v>0</v>
      </c>
      <c r="L2251" s="1247"/>
      <c r="M2251" s="1247"/>
      <c r="N2251" s="1247"/>
      <c r="O2251" s="1247"/>
      <c r="P2251" s="1257">
        <f t="shared" si="409"/>
        <v>0</v>
      </c>
      <c r="Q2251" s="1244"/>
      <c r="R2251" s="1244"/>
      <c r="S2251" s="1244"/>
      <c r="T2251" s="1671"/>
      <c r="U2251" s="1664" t="str">
        <f>IFERROR(VLOOKUP(B2251,ChiTietDuToan!C:H,5,0),"")</f>
        <v/>
      </c>
      <c r="V2251" s="2309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98" t="s">
        <v>1562</v>
      </c>
      <c r="C2252" s="1189" t="str">
        <f t="shared" si="406"/>
        <v xml:space="preserve"> </v>
      </c>
      <c r="D2252" s="1236">
        <f>VLOOKUP($B2252,DG!A:D,DG!$B$2,)</f>
        <v>0</v>
      </c>
      <c r="E2252" s="1248" t="str">
        <f>VLOOKUP($B2252,DG!A:D,DG!$C$2,)</f>
        <v>Dây điện đôi 16/10</v>
      </c>
      <c r="F2252" s="1236" t="str">
        <f>VLOOKUP($B2252,DG!A:D,DG!$D$2,)</f>
        <v>mét</v>
      </c>
      <c r="G2252" s="1938">
        <f>6*G2247</f>
        <v>0</v>
      </c>
      <c r="H2252" s="1244">
        <f t="shared" si="407"/>
        <v>0</v>
      </c>
      <c r="I2252" s="1244"/>
      <c r="J2252" s="1247"/>
      <c r="K2252" s="1244">
        <f t="shared" si="410"/>
        <v>0</v>
      </c>
      <c r="L2252" s="1247"/>
      <c r="M2252" s="1247"/>
      <c r="N2252" s="1247"/>
      <c r="O2252" s="1247"/>
      <c r="P2252" s="1257">
        <f t="shared" si="409"/>
        <v>0</v>
      </c>
      <c r="Q2252" s="1244"/>
      <c r="R2252" s="1244"/>
      <c r="S2252" s="1244"/>
      <c r="T2252" s="1671"/>
      <c r="U2252" s="1664" t="str">
        <f>IFERROR(VLOOKUP(B2252,ChiTietDuToan!C:H,5,0),"")</f>
        <v/>
      </c>
      <c r="V2252" s="2309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98" t="s">
        <v>824</v>
      </c>
      <c r="C2253" s="1189" t="str">
        <f t="shared" si="406"/>
        <v xml:space="preserve"> </v>
      </c>
      <c r="D2253" s="1236" t="str">
        <f>VLOOKUP($B2253,DG!A:D,DG!$B$2,)</f>
        <v>04.3107</v>
      </c>
      <c r="E2253" s="1248" t="str">
        <f>VLOOKUP($B2253,DG!A:D,DG!$C$2,)</f>
        <v>Ốc xiết cáp cỡ 25mm2</v>
      </c>
      <c r="F2253" s="1236" t="str">
        <f>VLOOKUP($B2253,DG!A:D,DG!$D$2,)</f>
        <v>cái</v>
      </c>
      <c r="G2253" s="1938">
        <f>+G2247*3</f>
        <v>0</v>
      </c>
      <c r="H2253" s="1244">
        <f t="shared" si="407"/>
        <v>0</v>
      </c>
      <c r="I2253" s="1244"/>
      <c r="J2253" s="1247"/>
      <c r="K2253" s="1244">
        <f t="shared" si="410"/>
        <v>0</v>
      </c>
      <c r="L2253" s="1247"/>
      <c r="M2253" s="1247"/>
      <c r="N2253" s="1247"/>
      <c r="O2253" s="1247"/>
      <c r="P2253" s="1257">
        <f t="shared" si="409"/>
        <v>0</v>
      </c>
      <c r="Q2253" s="1244"/>
      <c r="R2253" s="1244"/>
      <c r="S2253" s="1244"/>
      <c r="T2253" s="1671"/>
      <c r="U2253" s="1664" t="str">
        <f>IFERROR(VLOOKUP(B2253,ChiTietDuToan!C:H,5,0),"")</f>
        <v/>
      </c>
      <c r="V2253" s="2309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98" t="s">
        <v>2203</v>
      </c>
      <c r="C2254" s="1189" t="str">
        <f t="shared" si="406"/>
        <v xml:space="preserve"> </v>
      </c>
      <c r="D2254" s="1236" t="str">
        <f>VLOOKUP($B2254,DG!A:D,DG!$B$2,)</f>
        <v>07.2403</v>
      </c>
      <c r="E2254" s="1248" t="str">
        <f>VLOOKUP($B2254,DG!A:D,DG!$C$2,)</f>
        <v>Ống PVC D42x2,1mm</v>
      </c>
      <c r="F2254" s="1236" t="str">
        <f>VLOOKUP($B2254,DG!A:D,DG!$D$2,)</f>
        <v>m</v>
      </c>
      <c r="G2254" s="1938">
        <f>G2265*18</f>
        <v>0</v>
      </c>
      <c r="H2254" s="1244">
        <f t="shared" si="407"/>
        <v>0</v>
      </c>
      <c r="I2254" s="1244"/>
      <c r="J2254" s="1247"/>
      <c r="K2254" s="1244">
        <f t="shared" si="410"/>
        <v>0</v>
      </c>
      <c r="L2254" s="1247"/>
      <c r="M2254" s="1247"/>
      <c r="N2254" s="1247"/>
      <c r="O2254" s="1247"/>
      <c r="P2254" s="1257">
        <f t="shared" si="409"/>
        <v>0</v>
      </c>
      <c r="Q2254" s="1244"/>
      <c r="R2254" s="1244"/>
      <c r="S2254" s="1244"/>
      <c r="T2254" s="1671"/>
      <c r="U2254" s="1664" t="str">
        <f>IFERROR(VLOOKUP(B2254,ChiTietDuToan!C:H,5,0),"")</f>
        <v/>
      </c>
      <c r="V2254" s="2309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98" t="s">
        <v>228</v>
      </c>
      <c r="C2255" s="1189" t="str">
        <f t="shared" si="406"/>
        <v xml:space="preserve"> </v>
      </c>
      <c r="D2255" s="1236" t="str">
        <f>VLOOKUP($B2255,DG!A:D,DG!$B$2,)</f>
        <v>06.3231</v>
      </c>
      <c r="E2255" s="1248" t="str">
        <f>VLOOKUP($B2255,DG!A:D,DG!$C$2,)</f>
        <v>Côllier 25x2</v>
      </c>
      <c r="F2255" s="1236" t="str">
        <f>VLOOKUP($B2255,DG!A:D,DG!$D$2,)</f>
        <v>bộ</v>
      </c>
      <c r="G2255" s="1938">
        <f>G2247*4</f>
        <v>0</v>
      </c>
      <c r="H2255" s="1244">
        <f t="shared" si="407"/>
        <v>0</v>
      </c>
      <c r="I2255" s="1244"/>
      <c r="J2255" s="1247"/>
      <c r="K2255" s="1244">
        <f t="shared" si="410"/>
        <v>0</v>
      </c>
      <c r="L2255" s="1247"/>
      <c r="M2255" s="1247"/>
      <c r="N2255" s="1247"/>
      <c r="O2255" s="1247"/>
      <c r="P2255" s="1257">
        <f t="shared" si="409"/>
        <v>0</v>
      </c>
      <c r="Q2255" s="1244"/>
      <c r="R2255" s="1244"/>
      <c r="S2255" s="1244"/>
      <c r="T2255" s="1671"/>
      <c r="U2255" s="1664" t="str">
        <f>IFERROR(VLOOKUP(B2255,ChiTietDuToan!C:H,5,0),"")</f>
        <v/>
      </c>
      <c r="V2255" s="2309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98" t="s">
        <v>1668</v>
      </c>
      <c r="C2256" s="1189" t="str">
        <f t="shared" si="406"/>
        <v xml:space="preserve"> </v>
      </c>
      <c r="D2256" s="1236">
        <f>VLOOKUP($B2256,DG!A:D,DG!$B$2,)</f>
        <v>0</v>
      </c>
      <c r="E2256" s="1248" t="str">
        <f>VLOOKUP($B2256,DG!A:D,DG!$C$2,)</f>
        <v>Co 90 độ PVC 42</v>
      </c>
      <c r="F2256" s="1236" t="str">
        <f>VLOOKUP($B2256,DG!A:D,DG!$D$2,)</f>
        <v>cái</v>
      </c>
      <c r="G2256" s="1938">
        <f>G2247*8</f>
        <v>0</v>
      </c>
      <c r="H2256" s="1244">
        <f t="shared" si="407"/>
        <v>0</v>
      </c>
      <c r="I2256" s="1244"/>
      <c r="J2256" s="1247"/>
      <c r="K2256" s="1244">
        <f t="shared" si="410"/>
        <v>0</v>
      </c>
      <c r="L2256" s="1247"/>
      <c r="M2256" s="1247"/>
      <c r="N2256" s="1247"/>
      <c r="O2256" s="1247"/>
      <c r="P2256" s="1257">
        <f t="shared" si="409"/>
        <v>0</v>
      </c>
      <c r="Q2256" s="1244"/>
      <c r="R2256" s="1244"/>
      <c r="S2256" s="1244"/>
      <c r="T2256" s="1671"/>
      <c r="U2256" s="1664" t="str">
        <f>IFERROR(VLOOKUP(B2256,ChiTietDuToan!C:H,5,0),"")</f>
        <v/>
      </c>
      <c r="V2256" s="2309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98" t="s">
        <v>1080</v>
      </c>
      <c r="C2257" s="1189" t="str">
        <f t="shared" si="406"/>
        <v xml:space="preserve"> </v>
      </c>
      <c r="D2257" s="1236">
        <f>VLOOKUP($B2257,DG!A:D,DG!$B$2,)</f>
        <v>0</v>
      </c>
      <c r="E2257" s="1248" t="str">
        <f>VLOOKUP($B2257,DG!A:D,DG!$C$2,)</f>
        <v>Co chữ T ống PVC 42</v>
      </c>
      <c r="F2257" s="1236" t="str">
        <f>VLOOKUP($B2257,DG!A:D,DG!$D$2,)</f>
        <v>cái</v>
      </c>
      <c r="G2257" s="1938">
        <f>G2247*4</f>
        <v>0</v>
      </c>
      <c r="H2257" s="1244">
        <f t="shared" si="407"/>
        <v>0</v>
      </c>
      <c r="I2257" s="1244"/>
      <c r="J2257" s="1247"/>
      <c r="K2257" s="1244">
        <f t="shared" ref="K2257:K2262" si="411">G2257</f>
        <v>0</v>
      </c>
      <c r="L2257" s="1247"/>
      <c r="M2257" s="1247"/>
      <c r="N2257" s="1247"/>
      <c r="O2257" s="1247"/>
      <c r="P2257" s="1257">
        <f t="shared" si="409"/>
        <v>0</v>
      </c>
      <c r="Q2257" s="1244"/>
      <c r="R2257" s="1244"/>
      <c r="S2257" s="1244"/>
      <c r="T2257" s="1671"/>
      <c r="U2257" s="1664" t="str">
        <f>IFERROR(VLOOKUP(B2257,ChiTietDuToan!C:H,5,0),"")</f>
        <v/>
      </c>
      <c r="V2257" s="2309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98" t="s">
        <v>1966</v>
      </c>
      <c r="C2258" s="1189" t="str">
        <f t="shared" si="406"/>
        <v xml:space="preserve"> </v>
      </c>
      <c r="D2258" s="1236">
        <f>VLOOKUP($B2258,DG!A:D,DG!$B$2,)</f>
        <v>0</v>
      </c>
      <c r="E2258" s="1248" t="str">
        <f>VLOOKUP($B2258,DG!A:D,DG!$C$2,)</f>
        <v>Nối thẳng ống PVC 42</v>
      </c>
      <c r="F2258" s="1236" t="str">
        <f>VLOOKUP($B2258,DG!A:D,DG!$D$2,)</f>
        <v>cái</v>
      </c>
      <c r="G2258" s="1938">
        <f>G2247*2</f>
        <v>0</v>
      </c>
      <c r="H2258" s="1244">
        <f t="shared" si="407"/>
        <v>0</v>
      </c>
      <c r="I2258" s="1244"/>
      <c r="J2258" s="1247"/>
      <c r="K2258" s="1244">
        <f t="shared" si="411"/>
        <v>0</v>
      </c>
      <c r="L2258" s="1247"/>
      <c r="M2258" s="1247"/>
      <c r="N2258" s="1247"/>
      <c r="O2258" s="1247"/>
      <c r="P2258" s="1257">
        <f t="shared" si="409"/>
        <v>0</v>
      </c>
      <c r="Q2258" s="1244"/>
      <c r="R2258" s="1244"/>
      <c r="S2258" s="1244"/>
      <c r="T2258" s="1671"/>
      <c r="U2258" s="1664" t="str">
        <f>IFERROR(VLOOKUP(B2258,ChiTietDuToan!C:H,5,0),"")</f>
        <v/>
      </c>
      <c r="V2258" s="2309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51" t="s">
        <v>704</v>
      </c>
      <c r="C2259" s="1189" t="str">
        <f t="shared" si="406"/>
        <v xml:space="preserve"> </v>
      </c>
      <c r="D2259" s="1236">
        <f>VLOOKUP($B2259,DG!A:D,DG!$B$2,)</f>
        <v>0</v>
      </c>
      <c r="E2259" s="1248" t="str">
        <f>VLOOKUP($B2259,DG!A:D,DG!$C$2,)</f>
        <v>Cáp 24KV C/XLPE/PVC 25mm2</v>
      </c>
      <c r="F2259" s="1236" t="str">
        <f>VLOOKUP($B2259,DG!A:D,DG!$D$2,)</f>
        <v>mét</v>
      </c>
      <c r="G2259" s="1939">
        <f>G2247*(2)*3</f>
        <v>0</v>
      </c>
      <c r="H2259" s="1244">
        <f t="shared" si="407"/>
        <v>0</v>
      </c>
      <c r="I2259" s="1244"/>
      <c r="J2259" s="1247"/>
      <c r="K2259" s="1244">
        <f t="shared" si="411"/>
        <v>0</v>
      </c>
      <c r="L2259" s="1247"/>
      <c r="M2259" s="1247"/>
      <c r="N2259" s="1247"/>
      <c r="O2259" s="1247"/>
      <c r="P2259" s="1257">
        <f t="shared" si="409"/>
        <v>0</v>
      </c>
      <c r="Q2259" s="1244"/>
      <c r="R2259" s="1244"/>
      <c r="S2259" s="1244"/>
      <c r="T2259" s="1671"/>
      <c r="U2259" s="1664" t="str">
        <f>IFERROR(VLOOKUP(B2259,ChiTietDuToan!C:H,5,0),"")</f>
        <v>mét</v>
      </c>
      <c r="V2259" s="2309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98" t="s">
        <v>734</v>
      </c>
      <c r="C2260" s="1189" t="str">
        <f t="shared" si="406"/>
        <v xml:space="preserve"> </v>
      </c>
      <c r="D2260" s="1236">
        <f>VLOOKUP($B2260,DG!A:D,DG!$B$2,)</f>
        <v>0</v>
      </c>
      <c r="E2260" s="1248" t="str">
        <f>VLOOKUP($B2260,DG!A:D,DG!$C$2,)</f>
        <v>Keo dán ống PVC (500gr)</v>
      </c>
      <c r="F2260" s="1236" t="str">
        <f>VLOOKUP($B2260,DG!A:D,DG!$D$2,)</f>
        <v>lon</v>
      </c>
      <c r="G2260" s="1938">
        <f>G2247*2</f>
        <v>0</v>
      </c>
      <c r="H2260" s="1244">
        <f t="shared" si="407"/>
        <v>0</v>
      </c>
      <c r="I2260" s="1244"/>
      <c r="J2260" s="1247"/>
      <c r="K2260" s="1244">
        <f t="shared" si="411"/>
        <v>0</v>
      </c>
      <c r="L2260" s="1247"/>
      <c r="M2260" s="1247"/>
      <c r="N2260" s="1247"/>
      <c r="O2260" s="1247"/>
      <c r="P2260" s="1257">
        <f t="shared" si="409"/>
        <v>0</v>
      </c>
      <c r="Q2260" s="1244"/>
      <c r="R2260" s="1244"/>
      <c r="S2260" s="1244"/>
      <c r="T2260" s="1671"/>
      <c r="U2260" s="1664" t="str">
        <f>IFERROR(VLOOKUP(B2260,ChiTietDuToan!C:H,5,0),"")</f>
        <v/>
      </c>
      <c r="V2260" s="2309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98" t="s">
        <v>677</v>
      </c>
      <c r="C2261" s="1189" t="str">
        <f t="shared" si="406"/>
        <v xml:space="preserve"> </v>
      </c>
      <c r="D2261" s="1236">
        <f>VLOOKUP($B2261,DG!A:D,DG!$B$2,)</f>
        <v>0</v>
      </c>
      <c r="E2261" s="1248" t="str">
        <f>VLOOKUP($B2261,DG!A:D,DG!$C$2,)</f>
        <v>Băng keo cách điện</v>
      </c>
      <c r="F2261" s="1236" t="str">
        <f>VLOOKUP($B2261,DG!A:D,DG!$D$2,)</f>
        <v>cuộn</v>
      </c>
      <c r="G2261" s="1938">
        <f>G2247*2</f>
        <v>0</v>
      </c>
      <c r="H2261" s="1244">
        <f t="shared" si="407"/>
        <v>0</v>
      </c>
      <c r="I2261" s="1244"/>
      <c r="J2261" s="1247"/>
      <c r="K2261" s="1244">
        <f t="shared" si="411"/>
        <v>0</v>
      </c>
      <c r="L2261" s="1247"/>
      <c r="M2261" s="1247"/>
      <c r="N2261" s="1247"/>
      <c r="O2261" s="1247"/>
      <c r="P2261" s="1257">
        <f t="shared" si="409"/>
        <v>0</v>
      </c>
      <c r="Q2261" s="1244"/>
      <c r="R2261" s="1244"/>
      <c r="S2261" s="1244"/>
      <c r="T2261" s="1671"/>
      <c r="U2261" s="1664" t="str">
        <f>IFERROR(VLOOKUP(B2261,ChiTietDuToan!C:H,5,0),"")</f>
        <v/>
      </c>
      <c r="V2261" s="2309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98" t="s">
        <v>2182</v>
      </c>
      <c r="C2262" s="1189" t="str">
        <f t="shared" si="406"/>
        <v xml:space="preserve"> </v>
      </c>
      <c r="D2262" s="1236">
        <f>VLOOKUP($B2262,DG!A:D,DG!$B$2,)</f>
        <v>0</v>
      </c>
      <c r="E2262" s="1248" t="str">
        <f>VLOOKUP($B2262,DG!A:D,DG!$C$2,)</f>
        <v>Khâu ven răng trong D42</v>
      </c>
      <c r="F2262" s="1236" t="str">
        <f>VLOOKUP($B2262,DG!A:D,DG!$D$2,)</f>
        <v>cái</v>
      </c>
      <c r="G2262" s="1938">
        <f>G2247*4</f>
        <v>0</v>
      </c>
      <c r="H2262" s="1244">
        <f t="shared" si="407"/>
        <v>0</v>
      </c>
      <c r="I2262" s="1244"/>
      <c r="J2262" s="1247"/>
      <c r="K2262" s="1244">
        <f t="shared" si="411"/>
        <v>0</v>
      </c>
      <c r="L2262" s="1247"/>
      <c r="M2262" s="1247"/>
      <c r="N2262" s="1247"/>
      <c r="O2262" s="1247"/>
      <c r="P2262" s="1257">
        <f t="shared" si="409"/>
        <v>0</v>
      </c>
      <c r="Q2262" s="1244"/>
      <c r="R2262" s="1244"/>
      <c r="S2262" s="1244"/>
      <c r="T2262" s="1671"/>
      <c r="U2262" s="1664" t="str">
        <f>IFERROR(VLOOKUP(B2262,ChiTietDuToan!C:H,5,0),"")</f>
        <v/>
      </c>
      <c r="V2262" s="2309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98" t="s">
        <v>989</v>
      </c>
      <c r="C2263" s="1189" t="str">
        <f t="shared" si="406"/>
        <v xml:space="preserve"> </v>
      </c>
      <c r="D2263" s="1236">
        <f>VLOOKUP($B2263,DG!A:D,DG!$B$2,)</f>
        <v>0</v>
      </c>
      <c r="E2263" s="1248" t="str">
        <f>VLOOKUP($B2263,DG!A:D,DG!$C$2,)</f>
        <v>Khâu ven răng ngoài D42</v>
      </c>
      <c r="F2263" s="1236" t="str">
        <f>VLOOKUP($B2263,DG!A:D,DG!$D$2,)</f>
        <v>cái</v>
      </c>
      <c r="G2263" s="1938">
        <f>G2262</f>
        <v>0</v>
      </c>
      <c r="H2263" s="1244">
        <f t="shared" si="407"/>
        <v>0</v>
      </c>
      <c r="I2263" s="1244"/>
      <c r="J2263" s="1247"/>
      <c r="K2263" s="1244">
        <f t="shared" ref="K2263:K2269" si="413">G2263</f>
        <v>0</v>
      </c>
      <c r="L2263" s="1247"/>
      <c r="M2263" s="1247"/>
      <c r="N2263" s="1247"/>
      <c r="O2263" s="1247"/>
      <c r="P2263" s="1257">
        <f t="shared" si="409"/>
        <v>0</v>
      </c>
      <c r="Q2263" s="1244"/>
      <c r="R2263" s="1244"/>
      <c r="S2263" s="1244"/>
      <c r="T2263" s="1671"/>
      <c r="U2263" s="1664" t="str">
        <f>IFERROR(VLOOKUP(B2263,ChiTietDuToan!C:H,5,0),"")</f>
        <v/>
      </c>
      <c r="V2263" s="2309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98" t="s">
        <v>458</v>
      </c>
      <c r="C2264" s="1189" t="str">
        <f t="shared" si="406"/>
        <v xml:space="preserve"> </v>
      </c>
      <c r="D2264" s="1236">
        <f>VLOOKUP($B2264,DG!A:D,DG!$B$2,)</f>
        <v>0</v>
      </c>
      <c r="E2264" s="1248" t="str">
        <f>VLOOKUP($B2264,DG!A:D,DG!$C$2,)</f>
        <v>Bảng nhựa gắn tủ điện kế điện tử</v>
      </c>
      <c r="F2264" s="1236" t="str">
        <f>VLOOKUP($B2264,DG!A:D,DG!$D$2,)</f>
        <v>cái</v>
      </c>
      <c r="G2264" s="1938">
        <f>G2247*2</f>
        <v>0</v>
      </c>
      <c r="H2264" s="1244">
        <f t="shared" si="407"/>
        <v>0</v>
      </c>
      <c r="I2264" s="1244"/>
      <c r="J2264" s="1247"/>
      <c r="K2264" s="1244">
        <f t="shared" si="413"/>
        <v>0</v>
      </c>
      <c r="L2264" s="1247"/>
      <c r="M2264" s="1247"/>
      <c r="N2264" s="1247"/>
      <c r="O2264" s="1247"/>
      <c r="P2264" s="1257">
        <f t="shared" si="409"/>
        <v>0</v>
      </c>
      <c r="Q2264" s="1244"/>
      <c r="R2264" s="1244"/>
      <c r="S2264" s="1244"/>
      <c r="T2264" s="1671"/>
      <c r="U2264" s="1664" t="str">
        <f>IFERROR(VLOOKUP(B2264,ChiTietDuToan!C:H,5,0),"")</f>
        <v/>
      </c>
      <c r="V2264" s="2309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98" t="s">
        <v>1968</v>
      </c>
      <c r="C2265" s="1189" t="str">
        <f t="shared" si="406"/>
        <v xml:space="preserve"> </v>
      </c>
      <c r="D2265" s="1236" t="str">
        <f>VLOOKUP($B2265,DG!A:D,DG!$B$2,)</f>
        <v>05.1101</v>
      </c>
      <c r="E2265" s="1248" t="str">
        <f>VLOOKUP($B2265,DG!A:D,DG!$C$2,)</f>
        <v>Thùng điện kế 450x300x200mm đo đếm trung thế</v>
      </c>
      <c r="F2265" s="1236" t="str">
        <f>VLOOKUP($B2265,DG!A:D,DG!$D$2,)</f>
        <v>cái</v>
      </c>
      <c r="G2265" s="1938">
        <f>G2247</f>
        <v>0</v>
      </c>
      <c r="H2265" s="1244">
        <f t="shared" si="407"/>
        <v>0</v>
      </c>
      <c r="I2265" s="1244"/>
      <c r="J2265" s="1247"/>
      <c r="K2265" s="1244">
        <f t="shared" si="413"/>
        <v>0</v>
      </c>
      <c r="L2265" s="1247"/>
      <c r="M2265" s="1247"/>
      <c r="N2265" s="1247"/>
      <c r="O2265" s="1247"/>
      <c r="P2265" s="1257">
        <f t="shared" si="409"/>
        <v>0</v>
      </c>
      <c r="Q2265" s="1244"/>
      <c r="R2265" s="1244"/>
      <c r="S2265" s="1244"/>
      <c r="T2265" s="1671"/>
      <c r="U2265" s="1664" t="str">
        <f>IFERROR(VLOOKUP(B2265,ChiTietDuToan!C:H,5,0),"")</f>
        <v/>
      </c>
      <c r="V2265" s="2309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98" t="s">
        <v>955</v>
      </c>
      <c r="C2266" s="1189" t="str">
        <f t="shared" si="406"/>
        <v xml:space="preserve"> </v>
      </c>
      <c r="D2266" s="1236" t="str">
        <f>VLOOKUP($B2266,DG!A:D,DG!$B$2,)</f>
        <v>06.3231</v>
      </c>
      <c r="E2266" s="1669" t="str">
        <f>VLOOKUP($B2266,DG!A:D,DG!$C$2,)</f>
        <v>Cổ dê CDĐKĐT( bắt thùng điện kế)</v>
      </c>
      <c r="F2266" s="1695" t="str">
        <f>VLOOKUP($B2266,DG!A:D,DG!$D$2,)</f>
        <v>bộ</v>
      </c>
      <c r="G2266" s="1940">
        <f>G2265*2</f>
        <v>0</v>
      </c>
      <c r="H2266" s="1244">
        <f t="shared" si="407"/>
        <v>0</v>
      </c>
      <c r="I2266" s="1244"/>
      <c r="J2266" s="1247"/>
      <c r="K2266" s="1244">
        <f>G2266</f>
        <v>0</v>
      </c>
      <c r="L2266" s="1247"/>
      <c r="M2266" s="1247"/>
      <c r="N2266" s="1247"/>
      <c r="O2266" s="1247"/>
      <c r="P2266" s="1257">
        <f t="shared" si="409"/>
        <v>0</v>
      </c>
      <c r="Q2266" s="1244"/>
      <c r="R2266" s="1244"/>
      <c r="S2266" s="1244"/>
      <c r="T2266" s="1671"/>
      <c r="U2266" s="1664" t="str">
        <f>IFERROR(VLOOKUP(B2266,ChiTietDuToan!C:H,5,0),"")</f>
        <v/>
      </c>
      <c r="V2266" s="2309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98" t="s">
        <v>6</v>
      </c>
      <c r="C2267" s="1189" t="str">
        <f t="shared" si="406"/>
        <v xml:space="preserve"> </v>
      </c>
      <c r="D2267" s="1236">
        <f>VLOOKUP($B2267,DG!A:D,DG!$B$2,)</f>
        <v>0</v>
      </c>
      <c r="E2267" s="1248" t="str">
        <f>VLOOKUP($B2267,DG!A:D,DG!$C$2,)</f>
        <v>Keo silicon bít miệng ống</v>
      </c>
      <c r="F2267" s="1236" t="str">
        <f>VLOOKUP($B2267,DG!A:D,DG!$D$2,)</f>
        <v>ống</v>
      </c>
      <c r="G2267" s="1938">
        <f>G2247*4</f>
        <v>0</v>
      </c>
      <c r="H2267" s="1244">
        <f t="shared" si="407"/>
        <v>0</v>
      </c>
      <c r="I2267" s="1244"/>
      <c r="J2267" s="1247"/>
      <c r="K2267" s="1244">
        <f t="shared" si="413"/>
        <v>0</v>
      </c>
      <c r="L2267" s="1247"/>
      <c r="M2267" s="1247"/>
      <c r="N2267" s="1247"/>
      <c r="O2267" s="1247"/>
      <c r="P2267" s="1257">
        <f t="shared" si="409"/>
        <v>0</v>
      </c>
      <c r="Q2267" s="1244"/>
      <c r="R2267" s="1244"/>
      <c r="S2267" s="1244"/>
      <c r="T2267" s="1671"/>
      <c r="U2267" s="1664" t="str">
        <f>IFERROR(VLOOKUP(B2267,ChiTietDuToan!C:H,5,0),"")</f>
        <v/>
      </c>
      <c r="V2267" s="2309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98" t="s">
        <v>2201</v>
      </c>
      <c r="C2268" s="1189" t="str">
        <f t="shared" si="406"/>
        <v xml:space="preserve"> </v>
      </c>
      <c r="D2268" s="1236">
        <f>VLOOKUP($B2268,DG!A:D,DG!$B$2,)</f>
        <v>0</v>
      </c>
      <c r="E2268" s="1248" t="str">
        <f>VLOOKUP($B2268,DG!A:D,DG!$C$2,)</f>
        <v>Dây đồng trần mềm dẹt</v>
      </c>
      <c r="F2268" s="1236" t="str">
        <f>VLOOKUP($B2268,DG!A:D,DG!$D$2,)</f>
        <v>mét</v>
      </c>
      <c r="G2268" s="1938">
        <f>G2247*4</f>
        <v>0</v>
      </c>
      <c r="H2268" s="1244">
        <f t="shared" si="407"/>
        <v>0</v>
      </c>
      <c r="I2268" s="1244"/>
      <c r="J2268" s="1247"/>
      <c r="K2268" s="1244">
        <f t="shared" si="413"/>
        <v>0</v>
      </c>
      <c r="L2268" s="1247"/>
      <c r="M2268" s="1247"/>
      <c r="N2268" s="1247"/>
      <c r="O2268" s="1247"/>
      <c r="P2268" s="1257">
        <f t="shared" si="409"/>
        <v>0</v>
      </c>
      <c r="Q2268" s="1244"/>
      <c r="R2268" s="1244"/>
      <c r="S2268" s="1244"/>
      <c r="T2268" s="1671"/>
      <c r="U2268" s="1664" t="str">
        <f>IFERROR(VLOOKUP(B2268,ChiTietDuToan!C:H,5,0),"")</f>
        <v/>
      </c>
      <c r="V2268" s="2309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98" t="s">
        <v>252</v>
      </c>
      <c r="C2269" s="1189" t="str">
        <f t="shared" si="406"/>
        <v xml:space="preserve"> </v>
      </c>
      <c r="D2269" s="1236">
        <f>VLOOKUP($B2269,DG!A:D,DG!$B$2,)</f>
        <v>0</v>
      </c>
      <c r="E2269" s="1248" t="str">
        <f>VLOOKUP($B2269,DG!A:D,DG!$C$2,)</f>
        <v>Boulon 12x150+ 2 long đền vuông D14-50x50x3/Zn</v>
      </c>
      <c r="F2269" s="1236" t="str">
        <f>VLOOKUP($B2269,DG!A:D,DG!$D$2,)</f>
        <v>bộ</v>
      </c>
      <c r="G2269" s="1938">
        <f>2*G2249</f>
        <v>0</v>
      </c>
      <c r="H2269" s="1244">
        <f t="shared" si="407"/>
        <v>0</v>
      </c>
      <c r="I2269" s="1244"/>
      <c r="J2269" s="1247"/>
      <c r="K2269" s="1244">
        <f t="shared" si="413"/>
        <v>0</v>
      </c>
      <c r="L2269" s="1247"/>
      <c r="M2269" s="1247"/>
      <c r="N2269" s="1247"/>
      <c r="O2269" s="1247"/>
      <c r="P2269" s="1257">
        <f t="shared" si="409"/>
        <v>0</v>
      </c>
      <c r="Q2269" s="1244"/>
      <c r="R2269" s="1244"/>
      <c r="S2269" s="1244"/>
      <c r="T2269" s="1671"/>
      <c r="U2269" s="1664" t="str">
        <f>IFERROR(VLOOKUP(B2269,ChiTietDuToan!C:H,5,0),"")</f>
        <v/>
      </c>
      <c r="V2269" s="2309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98" t="s">
        <v>1065</v>
      </c>
      <c r="C2270" s="1189" t="str">
        <f t="shared" si="406"/>
        <v xml:space="preserve"> </v>
      </c>
      <c r="D2270" s="1236">
        <f>VLOOKUP($B2270,DG!A:D,DG!$B$2,)</f>
        <v>0</v>
      </c>
      <c r="E2270" s="1248" t="str">
        <f>VLOOKUP($B2270,DG!A:D,DG!$C$2,)&amp;" : 2 thanh daøi 0,5m"</f>
        <v>Sắt góc L50 x50 x5 : 2 thanh daøi 0,5m</v>
      </c>
      <c r="F2270" s="1236" t="str">
        <f>VLOOKUP($B2270,DG!A:D,DG!$D$2,)</f>
        <v>kg</v>
      </c>
      <c r="G2270" s="1941">
        <f>3.77*G2247*0</f>
        <v>0</v>
      </c>
      <c r="H2270" s="1244">
        <f t="shared" si="407"/>
        <v>0</v>
      </c>
      <c r="I2270" s="1244"/>
      <c r="J2270" s="1247"/>
      <c r="K2270" s="1244">
        <f>G2270</f>
        <v>0</v>
      </c>
      <c r="L2270" s="1247"/>
      <c r="M2270" s="1247"/>
      <c r="N2270" s="1247"/>
      <c r="O2270" s="1247"/>
      <c r="P2270" s="1257">
        <f t="shared" si="409"/>
        <v>0</v>
      </c>
      <c r="Q2270" s="1244"/>
      <c r="R2270" s="1244"/>
      <c r="S2270" s="1244"/>
      <c r="T2270" s="1671"/>
      <c r="U2270" s="1664" t="str">
        <f>IFERROR(VLOOKUP(B2270,ChiTietDuToan!C:H,5,0),"")</f>
        <v/>
      </c>
      <c r="V2270" s="2309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98" t="s">
        <v>1383</v>
      </c>
      <c r="C2271" s="1189" t="str">
        <f t="shared" si="406"/>
        <v xml:space="preserve"> </v>
      </c>
      <c r="D2271" s="1236">
        <f>VLOOKUP($B2271,DG!A:D,DG!$B$2,)</f>
        <v>0</v>
      </c>
      <c r="E2271" s="1248" t="str">
        <f>VLOOKUP($B2271,DG!A:D,DG!$C$2,)</f>
        <v>Boulon 12x60+ 2 long đền vuông D14-50x50x3/Zn</v>
      </c>
      <c r="F2271" s="1236" t="str">
        <f>VLOOKUP($B2271,DG!A:D,DG!$D$2,)</f>
        <v>bộ</v>
      </c>
      <c r="G2271" s="1938">
        <f>4*G2247*0</f>
        <v>0</v>
      </c>
      <c r="H2271" s="1244">
        <f t="shared" si="407"/>
        <v>0</v>
      </c>
      <c r="I2271" s="1244"/>
      <c r="J2271" s="1247"/>
      <c r="K2271" s="1244">
        <f>G2271</f>
        <v>0</v>
      </c>
      <c r="L2271" s="1247"/>
      <c r="M2271" s="1247"/>
      <c r="N2271" s="1247"/>
      <c r="O2271" s="1247"/>
      <c r="P2271" s="1257">
        <f t="shared" si="409"/>
        <v>0</v>
      </c>
      <c r="Q2271" s="1244"/>
      <c r="R2271" s="1244"/>
      <c r="S2271" s="1244"/>
      <c r="T2271" s="1671"/>
      <c r="U2271" s="1664" t="str">
        <f>IFERROR(VLOOKUP(B2271,ChiTietDuToan!C:H,5,0),"")</f>
        <v/>
      </c>
      <c r="V2271" s="2309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92" t="s">
        <v>1952</v>
      </c>
      <c r="B2272" s="1999"/>
      <c r="C2272" s="1189" t="str">
        <f t="shared" si="406"/>
        <v xml:space="preserve"> </v>
      </c>
      <c r="D2272" s="1238" t="s">
        <v>1950</v>
      </c>
      <c r="E2272" s="1666" t="s">
        <v>2636</v>
      </c>
      <c r="F2272" s="1238"/>
      <c r="G2272" s="1912">
        <f>IF(SUM(G2273:G2275)=0,0,1)</f>
        <v>0</v>
      </c>
      <c r="H2272" s="1523">
        <f>SUM(I2272:O2272)+T2272</f>
        <v>0</v>
      </c>
      <c r="I2272" s="1239"/>
      <c r="J2272" s="1258"/>
      <c r="K2272" s="1258"/>
      <c r="L2272" s="1239">
        <f>IFERROR(HLOOKUP(A2272,pp1p!$6:$90,85,0),0)</f>
        <v>0</v>
      </c>
      <c r="M2272" s="1258"/>
      <c r="N2272" s="1258"/>
      <c r="O2272" s="1258"/>
      <c r="P2272" s="1257">
        <f t="shared" si="409"/>
        <v>0</v>
      </c>
      <c r="Q2272" s="1239"/>
      <c r="R2272" s="1239"/>
      <c r="S2272" s="1239"/>
      <c r="T2272" s="1671"/>
      <c r="U2272" s="1664">
        <f>IFERROR(VLOOKUP(B2272,ChiTietDuToan!C:H,5,0),"")</f>
        <v>0</v>
      </c>
      <c r="V2272" s="2309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50" t="str">
        <f>"FCO100-"&amp;22</f>
        <v>FCO100-22</v>
      </c>
      <c r="C2273" s="1189" t="str">
        <f t="shared" si="406"/>
        <v xml:space="preserve"> </v>
      </c>
      <c r="D2273" s="1236" t="str">
        <f>VLOOKUP($B2273,DG!A:D,DG!$B$2,)</f>
        <v>02.3155</v>
      </c>
      <c r="E2273" s="1248" t="str">
        <f>VLOOKUP($B2273,DG!A:D,DG!$C$2,)</f>
        <v>FCO 24kV - 100A</v>
      </c>
      <c r="F2273" s="1236" t="str">
        <f>VLOOKUP($B2273,DG!A:D,DG!$D$2,)</f>
        <v>cái</v>
      </c>
      <c r="G2273" s="1928">
        <f>pp1p!CP90</f>
        <v>0</v>
      </c>
      <c r="H2273" s="1245">
        <f>G2273</f>
        <v>0</v>
      </c>
      <c r="I2273" s="1245"/>
      <c r="J2273" s="1250"/>
      <c r="K2273" s="1250"/>
      <c r="L2273" s="1245">
        <f>G2273</f>
        <v>0</v>
      </c>
      <c r="M2273" s="1250"/>
      <c r="N2273" s="1250"/>
      <c r="O2273" s="1250"/>
      <c r="P2273" s="1257">
        <f t="shared" si="409"/>
        <v>0</v>
      </c>
      <c r="Q2273" s="1245"/>
      <c r="R2273" s="1245"/>
      <c r="S2273" s="1245"/>
      <c r="T2273" s="1671"/>
      <c r="U2273" s="1664" t="str">
        <f>IFERROR(VLOOKUP(B2273,ChiTietDuToan!C:H,5,0),"")</f>
        <v/>
      </c>
      <c r="V2273" s="2309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50" t="s">
        <v>369</v>
      </c>
      <c r="C2274" s="1189" t="str">
        <f t="shared" si="406"/>
        <v xml:space="preserve"> </v>
      </c>
      <c r="D2274" s="1236">
        <f>VLOOKUP($B2274,DG!A:D,DG!$B$2,)</f>
        <v>0</v>
      </c>
      <c r="E2274" s="1248" t="str">
        <f>VLOOKUP($B2274,DG!A:D,DG!$C$2,)</f>
        <v>Dây chảy 8K</v>
      </c>
      <c r="F2274" s="1236" t="str">
        <f>VLOOKUP($B2274,DG!A:D,DG!$D$2,)</f>
        <v>Sợi</v>
      </c>
      <c r="G2274" s="1928"/>
      <c r="H2274" s="1245">
        <f>G2274</f>
        <v>0</v>
      </c>
      <c r="I2274" s="1245"/>
      <c r="J2274" s="1250"/>
      <c r="K2274" s="1250"/>
      <c r="L2274" s="1245">
        <f>G2274</f>
        <v>0</v>
      </c>
      <c r="M2274" s="1250"/>
      <c r="N2274" s="1250"/>
      <c r="O2274" s="1250"/>
      <c r="P2274" s="1257">
        <f t="shared" si="409"/>
        <v>0</v>
      </c>
      <c r="Q2274" s="1245"/>
      <c r="R2274" s="1245"/>
      <c r="S2274" s="1245"/>
      <c r="T2274" s="1671"/>
      <c r="U2274" s="1664" t="str">
        <f>IFERROR(VLOOKUP(B2274,ChiTietDuToan!C:H,5,0),"")</f>
        <v/>
      </c>
      <c r="V2274" s="2309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91"/>
      <c r="B2275" s="1950" t="s">
        <v>370</v>
      </c>
      <c r="C2275" s="1189" t="str">
        <f t="shared" si="406"/>
        <v xml:space="preserve"> </v>
      </c>
      <c r="D2275" s="1236">
        <f>VLOOKUP($B2275,DG!A:D,DG!$B$2,)</f>
        <v>0</v>
      </c>
      <c r="E2275" s="1248" t="str">
        <f>VLOOKUP($B2275,DG!A:D,DG!$C$2,)</f>
        <v>Dây chảy 10K</v>
      </c>
      <c r="F2275" s="1236" t="str">
        <f>VLOOKUP($B2275,DG!A:D,DG!$D$2,)</f>
        <v>Sợi</v>
      </c>
      <c r="G2275" s="1928"/>
      <c r="H2275" s="1245">
        <f>G2275</f>
        <v>0</v>
      </c>
      <c r="I2275" s="1245"/>
      <c r="J2275" s="1250"/>
      <c r="K2275" s="1250"/>
      <c r="L2275" s="1245">
        <f>G2275</f>
        <v>0</v>
      </c>
      <c r="M2275" s="1250"/>
      <c r="N2275" s="1250"/>
      <c r="O2275" s="1250"/>
      <c r="P2275" s="1257">
        <f t="shared" si="409"/>
        <v>0</v>
      </c>
      <c r="Q2275" s="1245"/>
      <c r="R2275" s="1245"/>
      <c r="S2275" s="1245"/>
      <c r="T2275" s="1671"/>
      <c r="U2275" s="1664" t="str">
        <f>IFERROR(VLOOKUP(B2275,ChiTietDuToan!C:H,5,0),"")</f>
        <v/>
      </c>
      <c r="V2275" s="2309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68"/>
      <c r="C2276" s="1189" t="str">
        <f t="shared" si="406"/>
        <v xml:space="preserve"> </v>
      </c>
      <c r="D2276" s="1238" t="s">
        <v>2009</v>
      </c>
      <c r="E2276" s="1666" t="s">
        <v>2637</v>
      </c>
      <c r="F2276" s="1238"/>
      <c r="G2276" s="1912">
        <f>IF(SUM(G2277:G2280)=0,0,1)</f>
        <v>0</v>
      </c>
      <c r="H2276" s="1523">
        <f>SUM(I2276:O2276)+T2276</f>
        <v>0</v>
      </c>
      <c r="I2276" s="1258"/>
      <c r="J2276" s="1258"/>
      <c r="K2276" s="1258"/>
      <c r="L2276" s="1239">
        <f>IFERROR(HLOOKUP(A2276,pp1p!$6:$90,85,0),0)</f>
        <v>0</v>
      </c>
      <c r="M2276" s="1258"/>
      <c r="N2276" s="1258"/>
      <c r="O2276" s="1258"/>
      <c r="P2276" s="1257">
        <f t="shared" si="409"/>
        <v>0</v>
      </c>
      <c r="Q2276" s="1258"/>
      <c r="R2276" s="1258"/>
      <c r="S2276" s="1258"/>
      <c r="T2276" s="1671"/>
      <c r="U2276" s="1664">
        <f>IFERROR(VLOOKUP(B2276,ChiTietDuToan!C:H,5,0),"")</f>
        <v>0</v>
      </c>
      <c r="V2276" s="2309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66" t="s">
        <v>972</v>
      </c>
      <c r="C2277" s="1189" t="str">
        <f t="shared" si="406"/>
        <v xml:space="preserve"> </v>
      </c>
      <c r="D2277" s="1236" t="str">
        <f>VLOOKUP($B2277,DG!A:D,DG!$B$2,)</f>
        <v>05.5104</v>
      </c>
      <c r="E2277" s="1248" t="str">
        <f>VLOOKUP($B2277,DG!A:D,DG!$C$2,)</f>
        <v>Điện năng kế 3 pha 380V-5A</v>
      </c>
      <c r="F2277" s="1236" t="str">
        <f>VLOOKUP($B2277,DG!A:D,DG!$D$2,)</f>
        <v>cái</v>
      </c>
      <c r="G2277" s="1928"/>
      <c r="H2277" s="1245">
        <f>G2277</f>
        <v>0</v>
      </c>
      <c r="I2277" s="1245"/>
      <c r="J2277" s="1250"/>
      <c r="K2277" s="1250"/>
      <c r="L2277" s="1250">
        <f>G2277</f>
        <v>0</v>
      </c>
      <c r="M2277" s="1250"/>
      <c r="N2277" s="1250"/>
      <c r="O2277" s="1250"/>
      <c r="P2277" s="1257">
        <f t="shared" si="409"/>
        <v>0</v>
      </c>
      <c r="Q2277" s="1245"/>
      <c r="R2277" s="1245"/>
      <c r="S2277" s="1245"/>
      <c r="T2277" s="1671"/>
      <c r="U2277" s="1664" t="str">
        <f>IFERROR(VLOOKUP(B2277,ChiTietDuToan!C:H,5,0),"")</f>
        <v/>
      </c>
      <c r="V2277" s="2309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66" t="s">
        <v>2097</v>
      </c>
      <c r="C2278" s="1189" t="str">
        <f t="shared" si="406"/>
        <v xml:space="preserve"> </v>
      </c>
      <c r="D2278" s="1236">
        <f>VLOOKUP($B2278,DG!A:D,DG!$B$2,)</f>
        <v>0</v>
      </c>
      <c r="E2278" s="1248" t="str">
        <f>VLOOKUP($B2278,DG!A:D,DG!$C$2,)</f>
        <v>Biến dòng 600V - 100/5A</v>
      </c>
      <c r="F2278" s="1236" t="str">
        <f>VLOOKUP($B2278,DG!A:D,DG!$D$2,)</f>
        <v>cái</v>
      </c>
      <c r="G2278" s="1928"/>
      <c r="H2278" s="1245">
        <f>G2278</f>
        <v>0</v>
      </c>
      <c r="I2278" s="1245"/>
      <c r="J2278" s="1250"/>
      <c r="K2278" s="1250"/>
      <c r="L2278" s="1250">
        <f>G2278</f>
        <v>0</v>
      </c>
      <c r="M2278" s="1250"/>
      <c r="N2278" s="1250"/>
      <c r="O2278" s="1250"/>
      <c r="P2278" s="1257">
        <f t="shared" si="409"/>
        <v>0</v>
      </c>
      <c r="Q2278" s="1245"/>
      <c r="R2278" s="1245"/>
      <c r="S2278" s="1245"/>
      <c r="T2278" s="1671"/>
      <c r="U2278" s="1664" t="str">
        <f>IFERROR(VLOOKUP(B2278,ChiTietDuToan!C:H,5,0),"")</f>
        <v/>
      </c>
      <c r="V2278" s="2309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66" t="s">
        <v>801</v>
      </c>
      <c r="C2279" s="1189" t="str">
        <f t="shared" si="406"/>
        <v xml:space="preserve"> </v>
      </c>
      <c r="D2279" s="1236" t="str">
        <f>VLOOKUP($B2279,DG!A:D,DG!$B$2,)</f>
        <v>02.8401</v>
      </c>
      <c r="E2279" s="1248" t="str">
        <f>VLOOKUP($B2279,DG!A:D,DG!$C$2,)</f>
        <v>MCCB 3 cực 400V-100A - 30KA</v>
      </c>
      <c r="F2279" s="1236" t="str">
        <f>VLOOKUP($B2279,DG!A:D,DG!$D$2,)</f>
        <v>cái</v>
      </c>
      <c r="G2279" s="1928"/>
      <c r="H2279" s="1245">
        <f>G2279</f>
        <v>0</v>
      </c>
      <c r="I2279" s="1245"/>
      <c r="J2279" s="1250"/>
      <c r="K2279" s="1250"/>
      <c r="L2279" s="1250">
        <f>G2279</f>
        <v>0</v>
      </c>
      <c r="M2279" s="1250"/>
      <c r="N2279" s="1250"/>
      <c r="O2279" s="1250"/>
      <c r="P2279" s="1257">
        <f t="shared" si="409"/>
        <v>0</v>
      </c>
      <c r="Q2279" s="1245"/>
      <c r="R2279" s="1245"/>
      <c r="S2279" s="1245"/>
      <c r="T2279" s="1671"/>
      <c r="U2279" s="1664" t="str">
        <f>IFERROR(VLOOKUP(B2279,ChiTietDuToan!C:H,5,0),"")</f>
        <v/>
      </c>
      <c r="V2279" s="2309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66" t="s">
        <v>1849</v>
      </c>
      <c r="C2280" s="1189" t="str">
        <f t="shared" si="406"/>
        <v xml:space="preserve"> </v>
      </c>
      <c r="D2280" s="1236">
        <f>VLOOKUP($B2280,DG!A:D,DG!$B$2,)</f>
        <v>0</v>
      </c>
      <c r="E2280" s="1248" t="str">
        <f>VLOOKUP($B2280,DG!A:D,DG!$C$2,)</f>
        <v>Contactor 3P-50A</v>
      </c>
      <c r="F2280" s="1236" t="str">
        <f>VLOOKUP($B2280,DG!A:D,DG!$D$2,)</f>
        <v>cái</v>
      </c>
      <c r="G2280" s="1928"/>
      <c r="H2280" s="1245">
        <f>G2280</f>
        <v>0</v>
      </c>
      <c r="I2280" s="1245"/>
      <c r="J2280" s="1250"/>
      <c r="K2280" s="1250"/>
      <c r="L2280" s="1250">
        <f>G2280</f>
        <v>0</v>
      </c>
      <c r="M2280" s="1250"/>
      <c r="N2280" s="1250"/>
      <c r="O2280" s="1250"/>
      <c r="P2280" s="1257">
        <f t="shared" si="409"/>
        <v>0</v>
      </c>
      <c r="Q2280" s="1245"/>
      <c r="R2280" s="1245"/>
      <c r="S2280" s="1245"/>
      <c r="T2280" s="1671"/>
      <c r="U2280" s="1664" t="str">
        <f>IFERROR(VLOOKUP(B2280,ChiTietDuToan!C:H,5,0),"")</f>
        <v/>
      </c>
      <c r="V2280" s="2309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2000"/>
      <c r="C2281" s="1189" t="str">
        <f t="shared" si="406"/>
        <v xml:space="preserve"> </v>
      </c>
      <c r="D2281" s="1696" t="s">
        <v>403</v>
      </c>
      <c r="E2281" s="1858" t="s">
        <v>2638</v>
      </c>
      <c r="F2281" s="1696"/>
      <c r="G2281" s="1942"/>
      <c r="H2281" s="1523">
        <f>SUM(I2281:O2281)+T2281</f>
        <v>0</v>
      </c>
      <c r="I2281" s="1239">
        <f>G1707</f>
        <v>0</v>
      </c>
      <c r="J2281" s="1258">
        <f>G1587</f>
        <v>0</v>
      </c>
      <c r="K2281" s="1258"/>
      <c r="L2281" s="1239">
        <f>IFERROR(HLOOKUP(A2281,pp1p!$6:$90,85,0),0)</f>
        <v>0</v>
      </c>
      <c r="M2281" s="1258"/>
      <c r="N2281" s="1258"/>
      <c r="O2281" s="1697"/>
      <c r="P2281" s="1257">
        <f t="shared" si="409"/>
        <v>0</v>
      </c>
      <c r="Q2281" s="1239"/>
      <c r="R2281" s="1239"/>
      <c r="S2281" s="1239"/>
      <c r="T2281" s="1671"/>
      <c r="U2281" s="1664">
        <f>IFERROR(VLOOKUP(B2281,ChiTietDuToan!C:H,5,0),"")</f>
        <v>0</v>
      </c>
      <c r="V2281" s="2309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2000"/>
      <c r="C2282" s="1189" t="str">
        <f t="shared" si="406"/>
        <v xml:space="preserve"> </v>
      </c>
      <c r="D2282" s="1238"/>
      <c r="E2282" s="1666" t="s">
        <v>2639</v>
      </c>
      <c r="F2282" s="1238" t="s">
        <v>2640</v>
      </c>
      <c r="G2282" s="1912"/>
      <c r="H2282" s="1523">
        <f>SUM(I2282:O2282)+T2282</f>
        <v>0</v>
      </c>
      <c r="I2282" s="1239"/>
      <c r="J2282" s="1258"/>
      <c r="K2282" s="1258"/>
      <c r="L2282" s="1239">
        <f>IFERROR(HLOOKUP(A2282,pp1p!$6:$90,85,0),0)</f>
        <v>0</v>
      </c>
      <c r="M2282" s="1258"/>
      <c r="N2282" s="1258"/>
      <c r="O2282" s="1258"/>
      <c r="P2282" s="1257">
        <f t="shared" si="409"/>
        <v>0</v>
      </c>
      <c r="Q2282" s="1239"/>
      <c r="R2282" s="1239"/>
      <c r="S2282" s="1239"/>
      <c r="T2282" s="1671"/>
      <c r="U2282" s="1664">
        <f>IFERROR(VLOOKUP(B2282,ChiTietDuToan!C:H,5,0),"")</f>
        <v>0</v>
      </c>
      <c r="V2282" s="2309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67" t="s">
        <v>2061</v>
      </c>
      <c r="C2283" s="1189" t="str">
        <f>IF(G2283&lt;&gt;0,"x"," ")</f>
        <v xml:space="preserve"> </v>
      </c>
      <c r="D2283" s="1240"/>
      <c r="E2283" s="1248" t="str">
        <f>VLOOKUP($B2283,DG!A:D,DG!$C$2,)</f>
        <v>Sắt   Ø10</v>
      </c>
      <c r="F2283" s="1236" t="str">
        <f>VLOOKUP($B2283,DG!A:D,DG!$D$2,)</f>
        <v>kg</v>
      </c>
      <c r="G2283" s="1919"/>
      <c r="H2283" s="1244">
        <f t="shared" ref="H2283:H2295" si="414">IF($H$2281&lt;&gt;0,G2283,)</f>
        <v>0</v>
      </c>
      <c r="I2283" s="1247">
        <f>$I$2281*G2283</f>
        <v>0</v>
      </c>
      <c r="J2283" s="1247">
        <f t="shared" ref="J2283:J2292" si="415">$J$2281*G2283</f>
        <v>0</v>
      </c>
      <c r="K2283" s="1247">
        <f t="shared" ref="K2283:L2318" si="416">$K$2281*G2283</f>
        <v>0</v>
      </c>
      <c r="L2283" s="1247">
        <f t="shared" si="416"/>
        <v>0</v>
      </c>
      <c r="M2283" s="1247"/>
      <c r="N2283" s="1247"/>
      <c r="O2283" s="1247"/>
      <c r="P2283" s="1257">
        <f t="shared" si="409"/>
        <v>0</v>
      </c>
      <c r="Q2283" s="1244"/>
      <c r="R2283" s="1244"/>
      <c r="S2283" s="1244"/>
      <c r="T2283" s="1671"/>
      <c r="U2283" s="1664" t="str">
        <f>IFERROR(VLOOKUP(B2283,ChiTietDuToan!C:H,5,0),"")</f>
        <v/>
      </c>
      <c r="V2283" s="2309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67" t="s">
        <v>1568</v>
      </c>
      <c r="C2284" s="1189" t="str">
        <f t="shared" si="406"/>
        <v xml:space="preserve"> </v>
      </c>
      <c r="D2284" s="1240"/>
      <c r="E2284" s="1668" t="str">
        <f>VLOOKUP($B2284,DG!A:D,DG!$C$2,)</f>
        <v>Sắt   Ø12</v>
      </c>
      <c r="F2284" s="1236" t="str">
        <f>VLOOKUP($B2284,DG!A:D,DG!$D$2,)</f>
        <v>kg</v>
      </c>
      <c r="G2284" s="1943"/>
      <c r="H2284" s="1244">
        <f t="shared" si="414"/>
        <v>0</v>
      </c>
      <c r="I2284" s="1247">
        <f>$I$2281*G2284</f>
        <v>0</v>
      </c>
      <c r="J2284" s="1247">
        <f t="shared" si="415"/>
        <v>0</v>
      </c>
      <c r="K2284" s="1247">
        <f t="shared" si="416"/>
        <v>0</v>
      </c>
      <c r="L2284" s="1247">
        <f t="shared" si="416"/>
        <v>0</v>
      </c>
      <c r="M2284" s="1247"/>
      <c r="N2284" s="1247"/>
      <c r="O2284" s="1247"/>
      <c r="P2284" s="1257">
        <f t="shared" si="409"/>
        <v>0</v>
      </c>
      <c r="Q2284" s="1244"/>
      <c r="R2284" s="1244"/>
      <c r="S2284" s="1244"/>
      <c r="T2284" s="1671"/>
      <c r="U2284" s="1664" t="str">
        <f>IFERROR(VLOOKUP(B2284,ChiTietDuToan!C:H,5,0),"")</f>
        <v/>
      </c>
      <c r="V2284" s="2309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67" t="s">
        <v>52</v>
      </c>
      <c r="C2285" s="1189" t="str">
        <f t="shared" si="406"/>
        <v xml:space="preserve"> </v>
      </c>
      <c r="D2285" s="1240"/>
      <c r="E2285" s="1248" t="str">
        <f>VLOOKUP($B2285,DG!A:D,DG!$C$2,)</f>
        <v>Thép tấm 6mm</v>
      </c>
      <c r="F2285" s="1236" t="str">
        <f>VLOOKUP($B2285,DG!A:D,DG!$D$2,)</f>
        <v>kg</v>
      </c>
      <c r="G2285" s="1943"/>
      <c r="H2285" s="1244">
        <f t="shared" si="414"/>
        <v>0</v>
      </c>
      <c r="I2285" s="1247">
        <f t="shared" ref="I2285:I2292" si="417">$I$2281*G2285</f>
        <v>0</v>
      </c>
      <c r="J2285" s="1247">
        <f t="shared" si="415"/>
        <v>0</v>
      </c>
      <c r="K2285" s="1247">
        <f t="shared" si="416"/>
        <v>0</v>
      </c>
      <c r="L2285" s="1247">
        <f t="shared" si="416"/>
        <v>0</v>
      </c>
      <c r="M2285" s="1247"/>
      <c r="N2285" s="1247"/>
      <c r="O2285" s="1247"/>
      <c r="P2285" s="1257">
        <f t="shared" si="409"/>
        <v>0</v>
      </c>
      <c r="Q2285" s="1244"/>
      <c r="R2285" s="1244"/>
      <c r="S2285" s="1244"/>
      <c r="T2285" s="1671"/>
      <c r="U2285" s="1664" t="str">
        <f>IFERROR(VLOOKUP(B2285,ChiTietDuToan!C:H,5,0),"")</f>
        <v/>
      </c>
      <c r="V2285" s="2309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67" t="s">
        <v>709</v>
      </c>
      <c r="C2286" s="1189" t="str">
        <f t="shared" si="406"/>
        <v xml:space="preserve"> </v>
      </c>
      <c r="D2286" s="1240"/>
      <c r="E2286" s="1248" t="str">
        <f>VLOOKUP($B2286,DG!A:D,DG!$C$2,)</f>
        <v>Boulon 12x50+ 2 long đền vuông D14-50x50x3/Zn</v>
      </c>
      <c r="F2286" s="1236" t="str">
        <f>VLOOKUP($B2286,DG!A:D,DG!$D$2,)</f>
        <v>bộ</v>
      </c>
      <c r="G2286" s="1943"/>
      <c r="H2286" s="1244">
        <f t="shared" si="414"/>
        <v>0</v>
      </c>
      <c r="I2286" s="1247">
        <f t="shared" si="417"/>
        <v>0</v>
      </c>
      <c r="J2286" s="1247">
        <f t="shared" si="415"/>
        <v>0</v>
      </c>
      <c r="K2286" s="1247">
        <f t="shared" si="416"/>
        <v>0</v>
      </c>
      <c r="L2286" s="1247">
        <f t="shared" si="416"/>
        <v>0</v>
      </c>
      <c r="M2286" s="1247"/>
      <c r="N2286" s="1247"/>
      <c r="O2286" s="1247"/>
      <c r="P2286" s="1257">
        <f t="shared" si="409"/>
        <v>0</v>
      </c>
      <c r="Q2286" s="1244"/>
      <c r="R2286" s="1244"/>
      <c r="S2286" s="1244"/>
      <c r="T2286" s="1671"/>
      <c r="U2286" s="1664" t="str">
        <f>IFERROR(VLOOKUP(B2286,ChiTietDuToan!C:H,5,0),"")</f>
        <v/>
      </c>
      <c r="V2286" s="2309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67" t="s">
        <v>710</v>
      </c>
      <c r="C2287" s="1189" t="str">
        <f t="shared" si="406"/>
        <v xml:space="preserve"> </v>
      </c>
      <c r="D2287" s="1240"/>
      <c r="E2287" s="1248" t="str">
        <f>VLOOKUP($B2287,DG!A:D,DG!$C$2,)</f>
        <v>Que hàn điện</v>
      </c>
      <c r="F2287" s="1236" t="str">
        <f>VLOOKUP($B2287,DG!A:D,DG!$D$2,)</f>
        <v>kg</v>
      </c>
      <c r="G2287" s="1943"/>
      <c r="H2287" s="1244">
        <f t="shared" si="414"/>
        <v>0</v>
      </c>
      <c r="I2287" s="1247">
        <f t="shared" si="417"/>
        <v>0</v>
      </c>
      <c r="J2287" s="1247">
        <f t="shared" si="415"/>
        <v>0</v>
      </c>
      <c r="K2287" s="1247">
        <f t="shared" si="416"/>
        <v>0</v>
      </c>
      <c r="L2287" s="1247">
        <f t="shared" si="416"/>
        <v>0</v>
      </c>
      <c r="M2287" s="1247"/>
      <c r="N2287" s="1247"/>
      <c r="O2287" s="1247"/>
      <c r="P2287" s="1257">
        <f t="shared" si="409"/>
        <v>0</v>
      </c>
      <c r="Q2287" s="1244"/>
      <c r="R2287" s="1244"/>
      <c r="S2287" s="1244"/>
      <c r="T2287" s="1671"/>
      <c r="U2287" s="1664" t="str">
        <f>IFERROR(VLOOKUP(B2287,ChiTietDuToan!C:H,5,0),"")</f>
        <v/>
      </c>
      <c r="V2287" s="2309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67" t="s">
        <v>711</v>
      </c>
      <c r="C2288" s="1189" t="str">
        <f t="shared" si="406"/>
        <v xml:space="preserve"> </v>
      </c>
      <c r="D2288" s="1240"/>
      <c r="E2288" s="1248" t="str">
        <f>VLOOKUP($B2288,DG!A:D,DG!$C$2,)</f>
        <v>Sơn chống rỉ</v>
      </c>
      <c r="F2288" s="1236" t="str">
        <f>VLOOKUP($B2288,DG!A:D,DG!$D$2,)</f>
        <v>kg</v>
      </c>
      <c r="G2288" s="1943"/>
      <c r="H2288" s="1244">
        <f t="shared" si="414"/>
        <v>0</v>
      </c>
      <c r="I2288" s="1247">
        <f t="shared" si="417"/>
        <v>0</v>
      </c>
      <c r="J2288" s="1247">
        <f t="shared" si="415"/>
        <v>0</v>
      </c>
      <c r="K2288" s="1247">
        <f t="shared" si="416"/>
        <v>0</v>
      </c>
      <c r="L2288" s="1247">
        <f t="shared" si="416"/>
        <v>0</v>
      </c>
      <c r="M2288" s="1247"/>
      <c r="N2288" s="1247"/>
      <c r="O2288" s="1247"/>
      <c r="P2288" s="1257">
        <f t="shared" si="409"/>
        <v>0</v>
      </c>
      <c r="Q2288" s="1244"/>
      <c r="R2288" s="1244"/>
      <c r="S2288" s="1244"/>
      <c r="T2288" s="1671"/>
      <c r="U2288" s="1664" t="str">
        <f>IFERROR(VLOOKUP(B2288,ChiTietDuToan!C:H,5,0),"")</f>
        <v/>
      </c>
      <c r="V2288" s="2309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67" t="s">
        <v>712</v>
      </c>
      <c r="C2289" s="1189" t="str">
        <f t="shared" si="406"/>
        <v xml:space="preserve"> </v>
      </c>
      <c r="D2289" s="1240"/>
      <c r="E2289" s="1248" t="str">
        <f>VLOOKUP($B2289,DG!A:D,DG!$C$2,)</f>
        <v>Sơn màu</v>
      </c>
      <c r="F2289" s="1236" t="str">
        <f>VLOOKUP($B2289,DG!A:D,DG!$D$2,)</f>
        <v>kg</v>
      </c>
      <c r="G2289" s="1943"/>
      <c r="H2289" s="1244">
        <f t="shared" si="414"/>
        <v>0</v>
      </c>
      <c r="I2289" s="1247">
        <f t="shared" si="417"/>
        <v>0</v>
      </c>
      <c r="J2289" s="1247">
        <f t="shared" si="415"/>
        <v>0</v>
      </c>
      <c r="K2289" s="1247">
        <f t="shared" si="416"/>
        <v>0</v>
      </c>
      <c r="L2289" s="1247">
        <f t="shared" si="416"/>
        <v>0</v>
      </c>
      <c r="M2289" s="1247"/>
      <c r="N2289" s="1247"/>
      <c r="O2289" s="1247"/>
      <c r="P2289" s="1257">
        <f t="shared" si="409"/>
        <v>0</v>
      </c>
      <c r="Q2289" s="1244"/>
      <c r="R2289" s="1244"/>
      <c r="S2289" s="1244"/>
      <c r="T2289" s="1671"/>
      <c r="U2289" s="1664" t="str">
        <f>IFERROR(VLOOKUP(B2289,ChiTietDuToan!C:H,5,0),"")</f>
        <v/>
      </c>
      <c r="V2289" s="2309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67" t="s">
        <v>441</v>
      </c>
      <c r="C2290" s="1189" t="str">
        <f t="shared" si="406"/>
        <v xml:space="preserve"> </v>
      </c>
      <c r="D2290" s="1240"/>
      <c r="E2290" s="1248" t="str">
        <f>VLOOKUP($B2290,DG!A:D,DG!$C$2,)</f>
        <v>Ô xy gió</v>
      </c>
      <c r="F2290" s="1236" t="str">
        <f>VLOOKUP($B2290,DG!A:D,DG!$D$2,)</f>
        <v>m3</v>
      </c>
      <c r="G2290" s="1943"/>
      <c r="H2290" s="1244">
        <f t="shared" si="414"/>
        <v>0</v>
      </c>
      <c r="I2290" s="1247">
        <f t="shared" si="417"/>
        <v>0</v>
      </c>
      <c r="J2290" s="1247">
        <f t="shared" si="415"/>
        <v>0</v>
      </c>
      <c r="K2290" s="1247">
        <f t="shared" si="416"/>
        <v>0</v>
      </c>
      <c r="L2290" s="1247">
        <f t="shared" si="416"/>
        <v>0</v>
      </c>
      <c r="M2290" s="1247"/>
      <c r="N2290" s="1247"/>
      <c r="O2290" s="1247"/>
      <c r="P2290" s="1257">
        <f t="shared" si="409"/>
        <v>0</v>
      </c>
      <c r="Q2290" s="1244"/>
      <c r="R2290" s="1244"/>
      <c r="S2290" s="1244"/>
      <c r="T2290" s="1671"/>
      <c r="U2290" s="1664" t="str">
        <f>IFERROR(VLOOKUP(B2290,ChiTietDuToan!C:H,5,0),"")</f>
        <v/>
      </c>
      <c r="V2290" s="2309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67" t="s">
        <v>1616</v>
      </c>
      <c r="C2291" s="1189" t="str">
        <f t="shared" ref="C2291:C2329" si="419">IF(G2291&lt;&gt;0,"x"," ")</f>
        <v xml:space="preserve"> </v>
      </c>
      <c r="D2291" s="1240"/>
      <c r="E2291" s="1248" t="str">
        <f>VLOOKUP($B2291,DG!A:D,DG!$C$2,)</f>
        <v>Hơi Axetylen</v>
      </c>
      <c r="F2291" s="1236" t="str">
        <f>VLOOKUP($B2291,DG!A:D,DG!$D$2,)</f>
        <v>m3</v>
      </c>
      <c r="G2291" s="1943"/>
      <c r="H2291" s="1244">
        <f t="shared" si="414"/>
        <v>0</v>
      </c>
      <c r="I2291" s="1247">
        <f t="shared" si="417"/>
        <v>0</v>
      </c>
      <c r="J2291" s="1247">
        <f t="shared" si="415"/>
        <v>0</v>
      </c>
      <c r="K2291" s="1247">
        <f>$K$2281*G2291</f>
        <v>0</v>
      </c>
      <c r="L2291" s="1247">
        <f>$K$2281*H2291</f>
        <v>0</v>
      </c>
      <c r="M2291" s="1247"/>
      <c r="N2291" s="1247"/>
      <c r="O2291" s="1247"/>
      <c r="P2291" s="1257">
        <f t="shared" si="409"/>
        <v>0</v>
      </c>
      <c r="Q2291" s="1244"/>
      <c r="R2291" s="1244"/>
      <c r="S2291" s="1244"/>
      <c r="T2291" s="1671"/>
      <c r="U2291" s="1664" t="str">
        <f>IFERROR(VLOOKUP(B2291,ChiTietDuToan!C:H,5,0),"")</f>
        <v/>
      </c>
      <c r="V2291" s="2309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67" t="s">
        <v>886</v>
      </c>
      <c r="C2292" s="1189" t="str">
        <f t="shared" si="419"/>
        <v xml:space="preserve"> </v>
      </c>
      <c r="D2292" s="1240"/>
      <c r="E2292" s="1248" t="str">
        <f>VLOOKUP($B2292,DG!A:D,DG!$C$2,)</f>
        <v>Cọ sơn</v>
      </c>
      <c r="F2292" s="1236" t="str">
        <f>VLOOKUP($B2292,DG!A:D,DG!$D$2,)</f>
        <v>cái</v>
      </c>
      <c r="G2292" s="1943"/>
      <c r="H2292" s="1244">
        <f t="shared" si="414"/>
        <v>0</v>
      </c>
      <c r="I2292" s="1247">
        <f t="shared" si="417"/>
        <v>0</v>
      </c>
      <c r="J2292" s="1247">
        <f t="shared" si="415"/>
        <v>0</v>
      </c>
      <c r="K2292" s="1247">
        <f>$K$2281*G2292</f>
        <v>0</v>
      </c>
      <c r="L2292" s="1247">
        <f>$K$2281*H2292</f>
        <v>0</v>
      </c>
      <c r="M2292" s="1247"/>
      <c r="N2292" s="1247"/>
      <c r="O2292" s="1247"/>
      <c r="P2292" s="1257">
        <f t="shared" si="409"/>
        <v>0</v>
      </c>
      <c r="Q2292" s="1244"/>
      <c r="R2292" s="1244"/>
      <c r="S2292" s="1244"/>
      <c r="T2292" s="1671"/>
      <c r="U2292" s="1664" t="str">
        <f>IFERROR(VLOOKUP(B2292,ChiTietDuToan!C:H,5,0),"")</f>
        <v/>
      </c>
      <c r="V2292" s="2309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67" t="s">
        <v>887</v>
      </c>
      <c r="C2293" s="1189" t="str">
        <f t="shared" si="419"/>
        <v xml:space="preserve"> </v>
      </c>
      <c r="D2293" s="1236" t="str">
        <f>VLOOKUP($B2293,DG!A:D,DG!$B$2,)</f>
        <v>NB.1110</v>
      </c>
      <c r="E2293" s="1241" t="str">
        <f>VLOOKUP($B2293,DG!A:D,DG!$C$2,)</f>
        <v>Gia công và lắp dựng cột báo hiệu cao 9m</v>
      </c>
      <c r="F2293" s="1236" t="str">
        <f>VLOOKUP($B2293,DG!A:D,DG!$D$2,)</f>
        <v>Tấn</v>
      </c>
      <c r="G2293" s="1943"/>
      <c r="H2293" s="1244">
        <f t="shared" si="414"/>
        <v>0</v>
      </c>
      <c r="I2293" s="1247"/>
      <c r="J2293" s="1247"/>
      <c r="K2293" s="1247"/>
      <c r="L2293" s="1247"/>
      <c r="M2293" s="1247"/>
      <c r="N2293" s="1247"/>
      <c r="O2293" s="1247"/>
      <c r="P2293" s="1257">
        <f t="shared" si="409"/>
        <v>0</v>
      </c>
      <c r="Q2293" s="1244"/>
      <c r="R2293" s="1244"/>
      <c r="S2293" s="1244"/>
      <c r="T2293" s="1671"/>
      <c r="U2293" s="1664" t="str">
        <f>IFERROR(VLOOKUP(B2293,ChiTietDuToan!C:H,5,0),"")</f>
        <v/>
      </c>
      <c r="V2293" s="2309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67" t="s">
        <v>1692</v>
      </c>
      <c r="C2294" s="1189" t="str">
        <f t="shared" si="419"/>
        <v xml:space="preserve"> </v>
      </c>
      <c r="D2294" s="1236" t="str">
        <f>VLOOKUP($B2294,DG!A:D,DG!$B$2,)</f>
        <v>S2.118</v>
      </c>
      <c r="E2294" s="1248" t="str">
        <f>VLOOKUP($B2294,DG!A:D,DG!$C$2,)</f>
        <v>Sơn cột báo hiệu</v>
      </c>
      <c r="F2294" s="1236" t="str">
        <f>VLOOKUP($B2294,DG!A:D,DG!$D$2,)</f>
        <v>m2</v>
      </c>
      <c r="G2294" s="1943"/>
      <c r="H2294" s="1244">
        <f t="shared" si="414"/>
        <v>0</v>
      </c>
      <c r="I2294" s="1247">
        <f>$I$2281*G2294</f>
        <v>0</v>
      </c>
      <c r="J2294" s="1247">
        <f>$J$2281*G2294</f>
        <v>0</v>
      </c>
      <c r="K2294" s="1247">
        <f t="shared" si="416"/>
        <v>0</v>
      </c>
      <c r="L2294" s="1247">
        <f t="shared" si="416"/>
        <v>0</v>
      </c>
      <c r="M2294" s="1247"/>
      <c r="N2294" s="1247"/>
      <c r="O2294" s="1247"/>
      <c r="P2294" s="1257">
        <f t="shared" si="409"/>
        <v>0</v>
      </c>
      <c r="Q2294" s="1244"/>
      <c r="R2294" s="1244"/>
      <c r="S2294" s="1244"/>
      <c r="T2294" s="1671"/>
      <c r="U2294" s="1664" t="str">
        <f>IFERROR(VLOOKUP(B2294,ChiTietDuToan!C:H,5,0),"")</f>
        <v/>
      </c>
      <c r="V2294" s="2309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67" t="s">
        <v>1693</v>
      </c>
      <c r="C2295" s="1189" t="str">
        <f t="shared" si="419"/>
        <v xml:space="preserve"> </v>
      </c>
      <c r="D2295" s="1236" t="str">
        <f>VLOOKUP($B2295,DG!A:D,DG!$B$2,)</f>
        <v>021351</v>
      </c>
      <c r="E2295" s="1248" t="str">
        <f>VLOOKUP($B2295,DG!A:D,DG!$C$2,)</f>
        <v>Vận Chuyển thép</v>
      </c>
      <c r="F2295" s="1236" t="str">
        <f>VLOOKUP($B2295,DG!A:D,DG!$D$2,)</f>
        <v>Tấn</v>
      </c>
      <c r="G2295" s="1943"/>
      <c r="H2295" s="1244">
        <f t="shared" si="414"/>
        <v>0</v>
      </c>
      <c r="I2295" s="1247"/>
      <c r="J2295" s="1247"/>
      <c r="K2295" s="1247"/>
      <c r="L2295" s="1247"/>
      <c r="M2295" s="1247"/>
      <c r="N2295" s="1247"/>
      <c r="O2295" s="1247"/>
      <c r="P2295" s="1257">
        <f t="shared" si="409"/>
        <v>0</v>
      </c>
      <c r="Q2295" s="1244"/>
      <c r="R2295" s="1244"/>
      <c r="S2295" s="1244"/>
      <c r="T2295" s="1671"/>
      <c r="U2295" s="1664" t="str">
        <f>IFERROR(VLOOKUP(B2295,ChiTietDuToan!C:H,5,0),"")</f>
        <v/>
      </c>
      <c r="V2295" s="2309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2000"/>
      <c r="C2296" s="1189" t="str">
        <f t="shared" si="419"/>
        <v xml:space="preserve"> </v>
      </c>
      <c r="D2296" s="1238"/>
      <c r="E2296" s="1666" t="s">
        <v>2641</v>
      </c>
      <c r="F2296" s="1238" t="s">
        <v>2642</v>
      </c>
      <c r="G2296" s="1912"/>
      <c r="H2296" s="1523">
        <f>SUM(I2296:O2296)+T2296</f>
        <v>0</v>
      </c>
      <c r="I2296" s="1258"/>
      <c r="J2296" s="1258"/>
      <c r="K2296" s="1258"/>
      <c r="L2296" s="1239">
        <f>IFERROR(HLOOKUP(A2296,pp1p!$6:$90,85,0),0)</f>
        <v>0</v>
      </c>
      <c r="M2296" s="1258"/>
      <c r="N2296" s="1258"/>
      <c r="O2296" s="1258"/>
      <c r="P2296" s="1257">
        <f t="shared" si="409"/>
        <v>0</v>
      </c>
      <c r="Q2296" s="1239"/>
      <c r="R2296" s="1239"/>
      <c r="S2296" s="1239"/>
      <c r="T2296" s="1671"/>
      <c r="U2296" s="1664">
        <f>IFERROR(VLOOKUP(B2296,ChiTietDuToan!C:H,5,0),"")</f>
        <v>0</v>
      </c>
      <c r="V2296" s="2309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67" t="s">
        <v>1567</v>
      </c>
      <c r="C2297" s="1189" t="str">
        <f t="shared" si="419"/>
        <v xml:space="preserve"> </v>
      </c>
      <c r="D2297" s="1240"/>
      <c r="E2297" s="1248" t="str">
        <f>VLOOKUP($B2297,DG!A:D,DG!$C$2,)</f>
        <v>Sắt góc L45 x45 x 4</v>
      </c>
      <c r="F2297" s="1236" t="str">
        <f>VLOOKUP($B2297,DG!A:D,DG!$D$2,)</f>
        <v>kg</v>
      </c>
      <c r="G2297" s="1943"/>
      <c r="H2297" s="1244">
        <f>IF($H$2281&lt;&gt;0,G2297,)</f>
        <v>0</v>
      </c>
      <c r="I2297" s="1247">
        <f t="shared" ref="I2297:I2306" si="420">$I$2281*G2297</f>
        <v>0</v>
      </c>
      <c r="J2297" s="1247">
        <f t="shared" ref="J2297:J2306" si="421">$J$2281*G2297</f>
        <v>0</v>
      </c>
      <c r="K2297" s="1247">
        <f t="shared" si="416"/>
        <v>0</v>
      </c>
      <c r="L2297" s="1247">
        <f t="shared" si="416"/>
        <v>0</v>
      </c>
      <c r="M2297" s="1247"/>
      <c r="N2297" s="1247"/>
      <c r="O2297" s="1247"/>
      <c r="P2297" s="1257">
        <f t="shared" si="409"/>
        <v>0</v>
      </c>
      <c r="Q2297" s="1244"/>
      <c r="R2297" s="1244"/>
      <c r="S2297" s="1244"/>
      <c r="T2297" s="1671"/>
      <c r="U2297" s="1664" t="str">
        <f>IFERROR(VLOOKUP(B2297,ChiTietDuToan!C:H,5,0),"")</f>
        <v/>
      </c>
      <c r="V2297" s="2309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67" t="s">
        <v>850</v>
      </c>
      <c r="C2298" s="1189" t="str">
        <f t="shared" si="419"/>
        <v xml:space="preserve"> </v>
      </c>
      <c r="D2298" s="1240"/>
      <c r="E2298" s="1248" t="str">
        <f>VLOOKUP($B2298,DG!A:D,DG!$C$2,)</f>
        <v>Thép tấm 4mm</v>
      </c>
      <c r="F2298" s="1236" t="str">
        <f>VLOOKUP($B2298,DG!A:D,DG!$D$2,)</f>
        <v>kg</v>
      </c>
      <c r="G2298" s="1943"/>
      <c r="H2298" s="1244">
        <f t="shared" ref="H2298:H2309" si="423">IF($H$2281&lt;&gt;0,G2298,)</f>
        <v>0</v>
      </c>
      <c r="I2298" s="1247">
        <f t="shared" si="420"/>
        <v>0</v>
      </c>
      <c r="J2298" s="1247">
        <f t="shared" si="421"/>
        <v>0</v>
      </c>
      <c r="K2298" s="1247">
        <f t="shared" si="416"/>
        <v>0</v>
      </c>
      <c r="L2298" s="1247">
        <f t="shared" si="416"/>
        <v>0</v>
      </c>
      <c r="M2298" s="1247"/>
      <c r="N2298" s="1247"/>
      <c r="O2298" s="1247"/>
      <c r="P2298" s="1257">
        <f t="shared" si="409"/>
        <v>0</v>
      </c>
      <c r="Q2298" s="1244"/>
      <c r="R2298" s="1244"/>
      <c r="S2298" s="1244"/>
      <c r="T2298" s="1671"/>
      <c r="U2298" s="1664" t="str">
        <f>IFERROR(VLOOKUP(B2298,ChiTietDuToan!C:H,5,0),"")</f>
        <v/>
      </c>
      <c r="V2298" s="2309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67" t="s">
        <v>311</v>
      </c>
      <c r="C2299" s="1189" t="str">
        <f t="shared" si="419"/>
        <v xml:space="preserve"> </v>
      </c>
      <c r="D2299" s="1240"/>
      <c r="E2299" s="1248" t="str">
        <f>VLOOKUP($B2299,DG!A:D,DG!$C$2,)</f>
        <v>Thép tấm 2mm</v>
      </c>
      <c r="F2299" s="1236" t="str">
        <f>VLOOKUP($B2299,DG!A:D,DG!$D$2,)</f>
        <v>kg</v>
      </c>
      <c r="G2299" s="1943"/>
      <c r="H2299" s="1244">
        <f t="shared" si="423"/>
        <v>0</v>
      </c>
      <c r="I2299" s="1247">
        <f t="shared" si="420"/>
        <v>0</v>
      </c>
      <c r="J2299" s="1247">
        <f t="shared" si="421"/>
        <v>0</v>
      </c>
      <c r="K2299" s="1247">
        <f t="shared" si="416"/>
        <v>0</v>
      </c>
      <c r="L2299" s="1247">
        <f t="shared" si="416"/>
        <v>0</v>
      </c>
      <c r="M2299" s="1247"/>
      <c r="N2299" s="1247"/>
      <c r="O2299" s="1247"/>
      <c r="P2299" s="1257">
        <f t="shared" si="409"/>
        <v>0</v>
      </c>
      <c r="Q2299" s="1244"/>
      <c r="R2299" s="1244"/>
      <c r="S2299" s="1244"/>
      <c r="T2299" s="1671"/>
      <c r="U2299" s="1664" t="str">
        <f>IFERROR(VLOOKUP(B2299,ChiTietDuToan!C:H,5,0),"")</f>
        <v/>
      </c>
      <c r="V2299" s="2309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67" t="s">
        <v>709</v>
      </c>
      <c r="C2300" s="1189" t="str">
        <f t="shared" si="419"/>
        <v xml:space="preserve"> </v>
      </c>
      <c r="D2300" s="1240"/>
      <c r="E2300" s="1248" t="str">
        <f>VLOOKUP($B2300,DG!A:D,DG!$C$2,)</f>
        <v>Boulon 12x50+ 2 long đền vuông D14-50x50x3/Zn</v>
      </c>
      <c r="F2300" s="1236" t="str">
        <f>VLOOKUP($B2300,DG!A:D,DG!$D$2,)</f>
        <v>bộ</v>
      </c>
      <c r="G2300" s="1943"/>
      <c r="H2300" s="1244">
        <f t="shared" si="423"/>
        <v>0</v>
      </c>
      <c r="I2300" s="1247">
        <f t="shared" si="420"/>
        <v>0</v>
      </c>
      <c r="J2300" s="1247">
        <f t="shared" si="421"/>
        <v>0</v>
      </c>
      <c r="K2300" s="1247">
        <f>$K$2281*G2300</f>
        <v>0</v>
      </c>
      <c r="L2300" s="1247">
        <f>$K$2281*H2300</f>
        <v>0</v>
      </c>
      <c r="M2300" s="1247"/>
      <c r="N2300" s="1247"/>
      <c r="O2300" s="1247"/>
      <c r="P2300" s="1257">
        <f t="shared" si="409"/>
        <v>0</v>
      </c>
      <c r="Q2300" s="1244"/>
      <c r="R2300" s="1244"/>
      <c r="S2300" s="1244"/>
      <c r="T2300" s="1671"/>
      <c r="U2300" s="1664" t="str">
        <f>IFERROR(VLOOKUP(B2300,ChiTietDuToan!C:H,5,0),"")</f>
        <v/>
      </c>
      <c r="V2300" s="2309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67" t="s">
        <v>710</v>
      </c>
      <c r="C2301" s="1189" t="str">
        <f t="shared" si="419"/>
        <v xml:space="preserve"> </v>
      </c>
      <c r="D2301" s="1240"/>
      <c r="E2301" s="1248" t="str">
        <f>VLOOKUP($B2301,DG!A:D,DG!$C$2,)</f>
        <v>Que hàn điện</v>
      </c>
      <c r="F2301" s="1236" t="str">
        <f>VLOOKUP($B2301,DG!A:D,DG!$D$2,)</f>
        <v>kg</v>
      </c>
      <c r="G2301" s="1943"/>
      <c r="H2301" s="1244">
        <f t="shared" si="423"/>
        <v>0</v>
      </c>
      <c r="I2301" s="1247">
        <f t="shared" si="420"/>
        <v>0</v>
      </c>
      <c r="J2301" s="1247">
        <f t="shared" si="421"/>
        <v>0</v>
      </c>
      <c r="K2301" s="1247">
        <f t="shared" si="416"/>
        <v>0</v>
      </c>
      <c r="L2301" s="1247">
        <f t="shared" si="416"/>
        <v>0</v>
      </c>
      <c r="M2301" s="1247"/>
      <c r="N2301" s="1247"/>
      <c r="O2301" s="1247"/>
      <c r="P2301" s="1257">
        <f t="shared" si="409"/>
        <v>0</v>
      </c>
      <c r="Q2301" s="1244"/>
      <c r="R2301" s="1244"/>
      <c r="S2301" s="1244"/>
      <c r="T2301" s="1671"/>
      <c r="U2301" s="1664" t="str">
        <f>IFERROR(VLOOKUP(B2301,ChiTietDuToan!C:H,5,0),"")</f>
        <v/>
      </c>
      <c r="V2301" s="2309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67" t="s">
        <v>711</v>
      </c>
      <c r="C2302" s="1189" t="str">
        <f t="shared" si="419"/>
        <v xml:space="preserve"> </v>
      </c>
      <c r="D2302" s="1240"/>
      <c r="E2302" s="1248" t="str">
        <f>VLOOKUP($B2302,DG!A:D,DG!$C$2,)</f>
        <v>Sơn chống rỉ</v>
      </c>
      <c r="F2302" s="1236" t="str">
        <f>VLOOKUP($B2302,DG!A:D,DG!$D$2,)</f>
        <v>kg</v>
      </c>
      <c r="G2302" s="1943"/>
      <c r="H2302" s="1244">
        <f t="shared" si="423"/>
        <v>0</v>
      </c>
      <c r="I2302" s="1247">
        <f t="shared" si="420"/>
        <v>0</v>
      </c>
      <c r="J2302" s="1247">
        <f t="shared" si="421"/>
        <v>0</v>
      </c>
      <c r="K2302" s="1247">
        <f t="shared" si="416"/>
        <v>0</v>
      </c>
      <c r="L2302" s="1247">
        <f t="shared" si="416"/>
        <v>0</v>
      </c>
      <c r="M2302" s="1247"/>
      <c r="N2302" s="1247"/>
      <c r="O2302" s="1247"/>
      <c r="P2302" s="1257">
        <f t="shared" si="409"/>
        <v>0</v>
      </c>
      <c r="Q2302" s="1244"/>
      <c r="R2302" s="1244"/>
      <c r="S2302" s="1244"/>
      <c r="T2302" s="1671"/>
      <c r="U2302" s="1664" t="str">
        <f>IFERROR(VLOOKUP(B2302,ChiTietDuToan!C:H,5,0),"")</f>
        <v/>
      </c>
      <c r="V2302" s="2309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67" t="s">
        <v>712</v>
      </c>
      <c r="C2303" s="1189" t="str">
        <f t="shared" si="419"/>
        <v xml:space="preserve"> </v>
      </c>
      <c r="D2303" s="1240"/>
      <c r="E2303" s="1248" t="str">
        <f>VLOOKUP($B2303,DG!A:D,DG!$C$2,)</f>
        <v>Sơn màu</v>
      </c>
      <c r="F2303" s="1236" t="str">
        <f>VLOOKUP($B2303,DG!A:D,DG!$D$2,)</f>
        <v>kg</v>
      </c>
      <c r="G2303" s="1943"/>
      <c r="H2303" s="1244">
        <f t="shared" si="423"/>
        <v>0</v>
      </c>
      <c r="I2303" s="1247">
        <f t="shared" si="420"/>
        <v>0</v>
      </c>
      <c r="J2303" s="1247">
        <f t="shared" si="421"/>
        <v>0</v>
      </c>
      <c r="K2303" s="1247">
        <f t="shared" si="416"/>
        <v>0</v>
      </c>
      <c r="L2303" s="1247">
        <f t="shared" si="416"/>
        <v>0</v>
      </c>
      <c r="M2303" s="1247"/>
      <c r="N2303" s="1247"/>
      <c r="O2303" s="1247"/>
      <c r="P2303" s="1257">
        <f t="shared" ref="P2303:P2328" si="424">H2303+Q2303-R2303</f>
        <v>0</v>
      </c>
      <c r="Q2303" s="1244"/>
      <c r="R2303" s="1244"/>
      <c r="S2303" s="1244"/>
      <c r="T2303" s="1671"/>
      <c r="U2303" s="1664" t="str">
        <f>IFERROR(VLOOKUP(B2303,ChiTietDuToan!C:H,5,0),"")</f>
        <v/>
      </c>
      <c r="V2303" s="2309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67" t="s">
        <v>441</v>
      </c>
      <c r="C2304" s="1189" t="str">
        <f t="shared" si="419"/>
        <v xml:space="preserve"> </v>
      </c>
      <c r="D2304" s="1240"/>
      <c r="E2304" s="1248" t="str">
        <f>VLOOKUP($B2304,DG!A:D,DG!$C$2,)</f>
        <v>Ô xy gió</v>
      </c>
      <c r="F2304" s="1236" t="str">
        <f>VLOOKUP($B2304,DG!A:D,DG!$D$2,)</f>
        <v>m3</v>
      </c>
      <c r="G2304" s="1943"/>
      <c r="H2304" s="1244">
        <f t="shared" si="423"/>
        <v>0</v>
      </c>
      <c r="I2304" s="1247">
        <f t="shared" si="420"/>
        <v>0</v>
      </c>
      <c r="J2304" s="1247">
        <f t="shared" si="421"/>
        <v>0</v>
      </c>
      <c r="K2304" s="1247">
        <f t="shared" si="416"/>
        <v>0</v>
      </c>
      <c r="L2304" s="1247">
        <f t="shared" si="416"/>
        <v>0</v>
      </c>
      <c r="M2304" s="1247"/>
      <c r="N2304" s="1247"/>
      <c r="O2304" s="1247"/>
      <c r="P2304" s="1257">
        <f t="shared" si="424"/>
        <v>0</v>
      </c>
      <c r="Q2304" s="1244"/>
      <c r="R2304" s="1244"/>
      <c r="S2304" s="1244"/>
      <c r="T2304" s="1671"/>
      <c r="U2304" s="1664" t="str">
        <f>IFERROR(VLOOKUP(B2304,ChiTietDuToan!C:H,5,0),"")</f>
        <v/>
      </c>
      <c r="V2304" s="2309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67" t="s">
        <v>1616</v>
      </c>
      <c r="C2305" s="1189" t="str">
        <f t="shared" si="419"/>
        <v xml:space="preserve"> </v>
      </c>
      <c r="D2305" s="1240"/>
      <c r="E2305" s="1248" t="str">
        <f>VLOOKUP($B2305,DG!A:D,DG!$C$2,)</f>
        <v>Hơi Axetylen</v>
      </c>
      <c r="F2305" s="1236" t="str">
        <f>VLOOKUP($B2305,DG!A:D,DG!$D$2,)</f>
        <v>m3</v>
      </c>
      <c r="G2305" s="1943"/>
      <c r="H2305" s="1244">
        <f t="shared" si="423"/>
        <v>0</v>
      </c>
      <c r="I2305" s="1247">
        <f t="shared" si="420"/>
        <v>0</v>
      </c>
      <c r="J2305" s="1247">
        <f t="shared" si="421"/>
        <v>0</v>
      </c>
      <c r="K2305" s="1247">
        <f t="shared" si="416"/>
        <v>0</v>
      </c>
      <c r="L2305" s="1247">
        <f t="shared" si="416"/>
        <v>0</v>
      </c>
      <c r="M2305" s="1247"/>
      <c r="N2305" s="1247"/>
      <c r="O2305" s="1247"/>
      <c r="P2305" s="1257">
        <f t="shared" si="424"/>
        <v>0</v>
      </c>
      <c r="Q2305" s="1244"/>
      <c r="R2305" s="1244"/>
      <c r="S2305" s="1244"/>
      <c r="T2305" s="1671"/>
      <c r="U2305" s="1664" t="str">
        <f>IFERROR(VLOOKUP(B2305,ChiTietDuToan!C:H,5,0),"")</f>
        <v/>
      </c>
      <c r="V2305" s="2309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67" t="s">
        <v>886</v>
      </c>
      <c r="C2306" s="1189" t="str">
        <f t="shared" si="419"/>
        <v xml:space="preserve"> </v>
      </c>
      <c r="D2306" s="1240"/>
      <c r="E2306" s="1248" t="str">
        <f>VLOOKUP($B2306,DG!A:D,DG!$C$2,)</f>
        <v>Cọ sơn</v>
      </c>
      <c r="F2306" s="1236" t="str">
        <f>VLOOKUP($B2306,DG!A:D,DG!$D$2,)</f>
        <v>cái</v>
      </c>
      <c r="G2306" s="1943"/>
      <c r="H2306" s="1244">
        <f t="shared" si="423"/>
        <v>0</v>
      </c>
      <c r="I2306" s="1247">
        <f t="shared" si="420"/>
        <v>0</v>
      </c>
      <c r="J2306" s="1247">
        <f t="shared" si="421"/>
        <v>0</v>
      </c>
      <c r="K2306" s="1247">
        <f t="shared" si="416"/>
        <v>0</v>
      </c>
      <c r="L2306" s="1247">
        <f t="shared" si="416"/>
        <v>0</v>
      </c>
      <c r="M2306" s="1247"/>
      <c r="N2306" s="1247"/>
      <c r="O2306" s="1247"/>
      <c r="P2306" s="1257">
        <f t="shared" si="424"/>
        <v>0</v>
      </c>
      <c r="Q2306" s="1244"/>
      <c r="R2306" s="1244"/>
      <c r="S2306" s="1244"/>
      <c r="T2306" s="1671"/>
      <c r="U2306" s="1664" t="str">
        <f>IFERROR(VLOOKUP(B2306,ChiTietDuToan!C:H,5,0),"")</f>
        <v/>
      </c>
      <c r="V2306" s="2309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67" t="s">
        <v>1691</v>
      </c>
      <c r="C2307" s="1189" t="str">
        <f t="shared" si="419"/>
        <v xml:space="preserve"> </v>
      </c>
      <c r="D2307" s="1236" t="str">
        <f>VLOOKUP($B2307,DG!A:D,DG!$B$2,)</f>
        <v>NB.1710</v>
      </c>
      <c r="E2307" s="1241" t="str">
        <f>VLOOKUP($B2307,DG!A:D,DG!$C$2,)</f>
        <v>Gia công và lắp dựng bảng báo hiệu</v>
      </c>
      <c r="F2307" s="1236" t="str">
        <f>VLOOKUP($B2307,DG!A:D,DG!$D$2,)</f>
        <v>Tấn</v>
      </c>
      <c r="G2307" s="1943"/>
      <c r="H2307" s="1244">
        <f t="shared" si="423"/>
        <v>0</v>
      </c>
      <c r="I2307" s="1247"/>
      <c r="J2307" s="1247"/>
      <c r="K2307" s="1247"/>
      <c r="L2307" s="1247"/>
      <c r="M2307" s="1247"/>
      <c r="N2307" s="1247"/>
      <c r="O2307" s="1247"/>
      <c r="P2307" s="1257">
        <f t="shared" si="424"/>
        <v>0</v>
      </c>
      <c r="Q2307" s="1244"/>
      <c r="R2307" s="1244"/>
      <c r="S2307" s="1244"/>
      <c r="T2307" s="1671"/>
      <c r="U2307" s="1664" t="str">
        <f>IFERROR(VLOOKUP(B2307,ChiTietDuToan!C:H,5,0),"")</f>
        <v/>
      </c>
      <c r="V2307" s="2309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67" t="s">
        <v>312</v>
      </c>
      <c r="C2308" s="1189" t="str">
        <f t="shared" si="419"/>
        <v xml:space="preserve"> </v>
      </c>
      <c r="D2308" s="1236" t="str">
        <f>VLOOKUP($B2308,DG!A:D,DG!$B$2,)</f>
        <v>S2.118</v>
      </c>
      <c r="E2308" s="1248" t="str">
        <f>VLOOKUP($B2308,DG!A:D,DG!$C$2,)</f>
        <v>Sơn biển báo hiệu</v>
      </c>
      <c r="F2308" s="1236" t="str">
        <f>VLOOKUP($B2308,DG!A:D,DG!$D$2,)</f>
        <v>m2</v>
      </c>
      <c r="G2308" s="1943"/>
      <c r="H2308" s="1244">
        <f t="shared" si="423"/>
        <v>0</v>
      </c>
      <c r="I2308" s="1247">
        <f>$I$2281*G2308</f>
        <v>0</v>
      </c>
      <c r="J2308" s="1247">
        <f>$J$2281*G2308</f>
        <v>0</v>
      </c>
      <c r="K2308" s="1247">
        <f t="shared" si="416"/>
        <v>0</v>
      </c>
      <c r="L2308" s="1247">
        <f t="shared" si="416"/>
        <v>0</v>
      </c>
      <c r="M2308" s="1247"/>
      <c r="N2308" s="1247"/>
      <c r="O2308" s="1247"/>
      <c r="P2308" s="1257">
        <f t="shared" si="424"/>
        <v>0</v>
      </c>
      <c r="Q2308" s="1244"/>
      <c r="R2308" s="1244"/>
      <c r="S2308" s="1244"/>
      <c r="T2308" s="1671"/>
      <c r="U2308" s="1664" t="str">
        <f>IFERROR(VLOOKUP(B2308,ChiTietDuToan!C:H,5,0),"")</f>
        <v/>
      </c>
      <c r="V2308" s="2309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67" t="s">
        <v>1693</v>
      </c>
      <c r="C2309" s="1189" t="str">
        <f t="shared" si="419"/>
        <v xml:space="preserve"> </v>
      </c>
      <c r="D2309" s="1236" t="str">
        <f>VLOOKUP($B2309,DG!A:D,DG!$B$2,)</f>
        <v>021351</v>
      </c>
      <c r="E2309" s="1248" t="str">
        <f>VLOOKUP($B2309,DG!A:D,DG!$C$2,)</f>
        <v>Vận Chuyển thép</v>
      </c>
      <c r="F2309" s="1236" t="str">
        <f>VLOOKUP($B2309,DG!A:D,DG!$D$2,)</f>
        <v>Tấn</v>
      </c>
      <c r="G2309" s="1943"/>
      <c r="H2309" s="1244">
        <f t="shared" si="423"/>
        <v>0</v>
      </c>
      <c r="I2309" s="1247"/>
      <c r="J2309" s="1247"/>
      <c r="K2309" s="1247"/>
      <c r="L2309" s="1247"/>
      <c r="M2309" s="1247"/>
      <c r="N2309" s="1247"/>
      <c r="O2309" s="1247"/>
      <c r="P2309" s="1257">
        <f t="shared" si="424"/>
        <v>0</v>
      </c>
      <c r="Q2309" s="1244"/>
      <c r="R2309" s="1244"/>
      <c r="S2309" s="1244"/>
      <c r="T2309" s="1671"/>
      <c r="U2309" s="1664" t="str">
        <f>IFERROR(VLOOKUP(B2309,ChiTietDuToan!C:H,5,0),"")</f>
        <v/>
      </c>
      <c r="V2309" s="2309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2000"/>
      <c r="C2310" s="1189" t="str">
        <f t="shared" si="419"/>
        <v xml:space="preserve"> </v>
      </c>
      <c r="D2310" s="1238"/>
      <c r="E2310" s="1666" t="s">
        <v>2643</v>
      </c>
      <c r="F2310" s="1238" t="s">
        <v>2391</v>
      </c>
      <c r="G2310" s="1912"/>
      <c r="H2310" s="1523">
        <f>SUM(I2310:O2310)+T2310</f>
        <v>0</v>
      </c>
      <c r="I2310" s="1258"/>
      <c r="J2310" s="1258"/>
      <c r="K2310" s="1258"/>
      <c r="L2310" s="1239">
        <f>IFERROR(HLOOKUP(A2310,pp1p!$6:$90,85,0),0)</f>
        <v>0</v>
      </c>
      <c r="M2310" s="1258"/>
      <c r="N2310" s="1258"/>
      <c r="O2310" s="1258"/>
      <c r="P2310" s="1257">
        <f t="shared" si="424"/>
        <v>0</v>
      </c>
      <c r="Q2310" s="1239"/>
      <c r="R2310" s="1239"/>
      <c r="S2310" s="1239"/>
      <c r="T2310" s="1671"/>
      <c r="U2310" s="1664">
        <f>IFERROR(VLOOKUP(B2310,ChiTietDuToan!C:H,5,0),"")</f>
        <v>0</v>
      </c>
      <c r="V2310" s="2309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67" t="s">
        <v>759</v>
      </c>
      <c r="C2311" s="1189" t="str">
        <f t="shared" si="419"/>
        <v xml:space="preserve"> </v>
      </c>
      <c r="D2311" s="1240"/>
      <c r="E2311" s="1241" t="str">
        <f>VLOOKUP($B2311,DG!A:D,DG!$C$2,)</f>
        <v xml:space="preserve">Ximăng </v>
      </c>
      <c r="F2311" s="1236" t="str">
        <f>VLOOKUP($B2311,DG!A:D,DG!$D$2,)</f>
        <v>kg</v>
      </c>
      <c r="G2311" s="1943"/>
      <c r="H2311" s="1244">
        <f>IF($H$2281&lt;&gt;0,G2311,)</f>
        <v>0</v>
      </c>
      <c r="I2311" s="1247">
        <f t="shared" ref="I2311:I2318" si="425">$I$2281*G2311</f>
        <v>0</v>
      </c>
      <c r="J2311" s="1247">
        <f t="shared" ref="J2311:J2318" si="426">$J$2281*G2311</f>
        <v>0</v>
      </c>
      <c r="K2311" s="1698">
        <f t="shared" si="416"/>
        <v>0</v>
      </c>
      <c r="L2311" s="1698">
        <f t="shared" si="416"/>
        <v>0</v>
      </c>
      <c r="M2311" s="1247"/>
      <c r="N2311" s="1247"/>
      <c r="O2311" s="1247"/>
      <c r="P2311" s="1257">
        <f t="shared" si="424"/>
        <v>0</v>
      </c>
      <c r="Q2311" s="1244"/>
      <c r="R2311" s="1244"/>
      <c r="S2311" s="1244"/>
      <c r="T2311" s="1671"/>
      <c r="U2311" s="1664" t="str">
        <f>IFERROR(VLOOKUP(B2311,ChiTietDuToan!C:H,5,0),"")</f>
        <v>kg</v>
      </c>
      <c r="V2311" s="2309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58" t="s">
        <v>4665</v>
      </c>
      <c r="C2312" s="1189" t="str">
        <f t="shared" si="419"/>
        <v xml:space="preserve"> </v>
      </c>
      <c r="D2312" s="1240"/>
      <c r="E2312" s="1241" t="str">
        <f>VLOOKUP($B2312,DG!A:D,DG!$C$2,)</f>
        <v>Cát vàng</v>
      </c>
      <c r="F2312" s="1236" t="str">
        <f>VLOOKUP($B2312,DG!A:D,DG!$D$2,)</f>
        <v>m3</v>
      </c>
      <c r="G2312" s="1943"/>
      <c r="H2312" s="1244">
        <f t="shared" ref="H2312:H2321" si="428">IF($H$2281&lt;&gt;0,G2312,)</f>
        <v>0</v>
      </c>
      <c r="I2312" s="1247">
        <f t="shared" si="425"/>
        <v>0</v>
      </c>
      <c r="J2312" s="1247">
        <f t="shared" si="426"/>
        <v>0</v>
      </c>
      <c r="K2312" s="1247">
        <f t="shared" si="416"/>
        <v>0</v>
      </c>
      <c r="L2312" s="1247">
        <f t="shared" si="416"/>
        <v>0</v>
      </c>
      <c r="M2312" s="1247"/>
      <c r="N2312" s="1247"/>
      <c r="O2312" s="1247"/>
      <c r="P2312" s="1257">
        <f t="shared" si="424"/>
        <v>0</v>
      </c>
      <c r="Q2312" s="1244"/>
      <c r="R2312" s="1244"/>
      <c r="S2312" s="1244"/>
      <c r="T2312" s="1671"/>
      <c r="U2312" s="1664" t="str">
        <f>IFERROR(VLOOKUP(B2312,ChiTietDuToan!C:H,5,0),"")</f>
        <v>m3</v>
      </c>
      <c r="V2312" s="2309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67" t="s">
        <v>761</v>
      </c>
      <c r="C2313" s="1189" t="str">
        <f t="shared" si="419"/>
        <v xml:space="preserve"> </v>
      </c>
      <c r="D2313" s="1240"/>
      <c r="E2313" s="1241" t="str">
        <f>VLOOKUP($B2313,DG!A:D,DG!$C$2,)</f>
        <v>Đá 1x2</v>
      </c>
      <c r="F2313" s="1236" t="str">
        <f>VLOOKUP($B2313,DG!A:D,DG!$D$2,)</f>
        <v>m3</v>
      </c>
      <c r="G2313" s="1943"/>
      <c r="H2313" s="1244">
        <f t="shared" si="428"/>
        <v>0</v>
      </c>
      <c r="I2313" s="1247">
        <f t="shared" si="425"/>
        <v>0</v>
      </c>
      <c r="J2313" s="1247">
        <f t="shared" si="426"/>
        <v>0</v>
      </c>
      <c r="K2313" s="1247">
        <f t="shared" si="416"/>
        <v>0</v>
      </c>
      <c r="L2313" s="1247">
        <f t="shared" si="416"/>
        <v>0</v>
      </c>
      <c r="M2313" s="1247"/>
      <c r="N2313" s="1247"/>
      <c r="O2313" s="1247"/>
      <c r="P2313" s="1257">
        <f t="shared" si="424"/>
        <v>0</v>
      </c>
      <c r="Q2313" s="1244"/>
      <c r="R2313" s="1244"/>
      <c r="S2313" s="1244"/>
      <c r="T2313" s="1671"/>
      <c r="U2313" s="1664" t="str">
        <f>IFERROR(VLOOKUP(B2313,ChiTietDuToan!C:H,5,0),"")</f>
        <v/>
      </c>
      <c r="V2313" s="2309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67" t="s">
        <v>762</v>
      </c>
      <c r="C2314" s="1189" t="str">
        <f t="shared" si="419"/>
        <v xml:space="preserve"> </v>
      </c>
      <c r="D2314" s="1240"/>
      <c r="E2314" s="1241" t="str">
        <f>VLOOKUP($B2314,DG!A:D,DG!$C$2,)</f>
        <v>Đá 4x6</v>
      </c>
      <c r="F2314" s="1236" t="str">
        <f>VLOOKUP($B2314,DG!A:D,DG!$D$2,)</f>
        <v>m3</v>
      </c>
      <c r="G2314" s="1943"/>
      <c r="H2314" s="1244">
        <f t="shared" si="428"/>
        <v>0</v>
      </c>
      <c r="I2314" s="1247">
        <f t="shared" si="425"/>
        <v>0</v>
      </c>
      <c r="J2314" s="1247">
        <f t="shared" si="426"/>
        <v>0</v>
      </c>
      <c r="K2314" s="1247">
        <f t="shared" si="416"/>
        <v>0</v>
      </c>
      <c r="L2314" s="1247">
        <f t="shared" si="416"/>
        <v>0</v>
      </c>
      <c r="M2314" s="1247"/>
      <c r="N2314" s="1247"/>
      <c r="O2314" s="1247"/>
      <c r="P2314" s="1257">
        <f t="shared" si="424"/>
        <v>0</v>
      </c>
      <c r="Q2314" s="1244"/>
      <c r="R2314" s="1244"/>
      <c r="S2314" s="1244"/>
      <c r="T2314" s="1671"/>
      <c r="U2314" s="1664" t="str">
        <f>IFERROR(VLOOKUP(B2314,ChiTietDuToan!C:H,5,0),"")</f>
        <v/>
      </c>
      <c r="V2314" s="2309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67" t="s">
        <v>763</v>
      </c>
      <c r="C2315" s="1189" t="str">
        <f t="shared" si="419"/>
        <v xml:space="preserve"> </v>
      </c>
      <c r="D2315" s="1240"/>
      <c r="E2315" s="1241" t="str">
        <f>VLOOKUP($B2315,DG!A:D,DG!$C$2,)</f>
        <v>Nước đổ bê tông</v>
      </c>
      <c r="F2315" s="1236" t="str">
        <f>VLOOKUP($B2315,DG!A:D,DG!$D$2,)</f>
        <v>m3</v>
      </c>
      <c r="G2315" s="1943"/>
      <c r="H2315" s="1244">
        <f t="shared" si="428"/>
        <v>0</v>
      </c>
      <c r="I2315" s="1247">
        <f t="shared" si="425"/>
        <v>0</v>
      </c>
      <c r="J2315" s="1247">
        <f t="shared" si="426"/>
        <v>0</v>
      </c>
      <c r="K2315" s="1247">
        <f t="shared" si="416"/>
        <v>0</v>
      </c>
      <c r="L2315" s="1247">
        <f t="shared" si="416"/>
        <v>0</v>
      </c>
      <c r="M2315" s="1247"/>
      <c r="N2315" s="1247"/>
      <c r="O2315" s="1247"/>
      <c r="P2315" s="1257">
        <f t="shared" si="424"/>
        <v>0</v>
      </c>
      <c r="Q2315" s="1244"/>
      <c r="R2315" s="1244"/>
      <c r="S2315" s="1244"/>
      <c r="T2315" s="1671"/>
      <c r="U2315" s="1664" t="str">
        <f>IFERROR(VLOOKUP(B2315,ChiTietDuToan!C:H,5,0),"")</f>
        <v/>
      </c>
      <c r="V2315" s="2309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67" t="s">
        <v>764</v>
      </c>
      <c r="C2316" s="1189" t="str">
        <f t="shared" si="419"/>
        <v xml:space="preserve"> </v>
      </c>
      <c r="D2316" s="1240"/>
      <c r="E2316" s="1248" t="str">
        <f>VLOOKUP($B2316,DG!A:D,DG!$C$2,)</f>
        <v>Dây thép buộc A70</v>
      </c>
      <c r="F2316" s="1236" t="str">
        <f>VLOOKUP($B2316,DG!A:D,DG!$D$2,)</f>
        <v>kg</v>
      </c>
      <c r="G2316" s="1943"/>
      <c r="H2316" s="1244">
        <f t="shared" si="428"/>
        <v>0</v>
      </c>
      <c r="I2316" s="1247">
        <f t="shared" si="425"/>
        <v>0</v>
      </c>
      <c r="J2316" s="1247">
        <f t="shared" si="426"/>
        <v>0</v>
      </c>
      <c r="K2316" s="1247">
        <f t="shared" si="416"/>
        <v>0</v>
      </c>
      <c r="L2316" s="1247">
        <f t="shared" si="416"/>
        <v>0</v>
      </c>
      <c r="M2316" s="1247"/>
      <c r="N2316" s="1247"/>
      <c r="O2316" s="1247"/>
      <c r="P2316" s="1257">
        <f t="shared" si="424"/>
        <v>0</v>
      </c>
      <c r="Q2316" s="1244"/>
      <c r="R2316" s="1244"/>
      <c r="S2316" s="1244"/>
      <c r="T2316" s="1671"/>
      <c r="U2316" s="1664" t="str">
        <f>IFERROR(VLOOKUP(B2316,ChiTietDuToan!C:H,5,0),"")</f>
        <v/>
      </c>
      <c r="V2316" s="2309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67" t="s">
        <v>1457</v>
      </c>
      <c r="C2317" s="1189" t="str">
        <f t="shared" si="419"/>
        <v xml:space="preserve"> </v>
      </c>
      <c r="D2317" s="1240"/>
      <c r="E2317" s="1248" t="str">
        <f>VLOOKUP($B2317,DG!A:D,DG!$C$2,)</f>
        <v>Sắt   Ø8</v>
      </c>
      <c r="F2317" s="1236" t="str">
        <f>VLOOKUP($B2317,DG!A:D,DG!$D$2,)</f>
        <v>kg</v>
      </c>
      <c r="G2317" s="1943"/>
      <c r="H2317" s="1244">
        <f t="shared" si="428"/>
        <v>0</v>
      </c>
      <c r="I2317" s="1247">
        <f t="shared" si="425"/>
        <v>0</v>
      </c>
      <c r="J2317" s="1247">
        <f t="shared" si="426"/>
        <v>0</v>
      </c>
      <c r="K2317" s="1247">
        <f t="shared" si="416"/>
        <v>0</v>
      </c>
      <c r="L2317" s="1247">
        <f t="shared" si="416"/>
        <v>0</v>
      </c>
      <c r="M2317" s="1247"/>
      <c r="N2317" s="1247"/>
      <c r="O2317" s="1247"/>
      <c r="P2317" s="1257">
        <f t="shared" si="424"/>
        <v>0</v>
      </c>
      <c r="Q2317" s="1244"/>
      <c r="R2317" s="1244"/>
      <c r="S2317" s="1244"/>
      <c r="T2317" s="1671"/>
      <c r="U2317" s="1664" t="str">
        <f>IFERROR(VLOOKUP(B2317,ChiTietDuToan!C:H,5,0),"")</f>
        <v/>
      </c>
      <c r="V2317" s="2309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67" t="s">
        <v>765</v>
      </c>
      <c r="C2318" s="1189" t="str">
        <f t="shared" si="419"/>
        <v xml:space="preserve"> </v>
      </c>
      <c r="D2318" s="1236" t="str">
        <f>VLOOKUP($B2318,DG!A:D,DG!$B$2,)</f>
        <v>04.5142</v>
      </c>
      <c r="E2318" s="1248" t="str">
        <f>VLOOKUP($B2318,DG!A:D,DG!$C$2,)</f>
        <v>Cừ tràm 2,5m</v>
      </c>
      <c r="F2318" s="1236" t="str">
        <f>VLOOKUP($B2318,DG!A:D,DG!$D$2,)</f>
        <v>cây</v>
      </c>
      <c r="G2318" s="1943"/>
      <c r="H2318" s="1244">
        <f t="shared" si="428"/>
        <v>0</v>
      </c>
      <c r="I2318" s="1247">
        <f t="shared" si="425"/>
        <v>0</v>
      </c>
      <c r="J2318" s="1247">
        <f t="shared" si="426"/>
        <v>0</v>
      </c>
      <c r="K2318" s="1247">
        <f t="shared" si="416"/>
        <v>0</v>
      </c>
      <c r="L2318" s="1247">
        <f t="shared" si="416"/>
        <v>0</v>
      </c>
      <c r="M2318" s="1247"/>
      <c r="N2318" s="1247"/>
      <c r="O2318" s="1247"/>
      <c r="P2318" s="1257">
        <f t="shared" si="424"/>
        <v>0</v>
      </c>
      <c r="Q2318" s="1244"/>
      <c r="R2318" s="1244"/>
      <c r="S2318" s="1244"/>
      <c r="T2318" s="1671"/>
      <c r="U2318" s="1664" t="str">
        <f>IFERROR(VLOOKUP(B2318,ChiTietDuToan!C:H,5,0),"")</f>
        <v/>
      </c>
      <c r="V2318" s="2309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67" t="s">
        <v>1006</v>
      </c>
      <c r="C2319" s="1189" t="str">
        <f t="shared" si="419"/>
        <v xml:space="preserve"> </v>
      </c>
      <c r="D2319" s="1236" t="str">
        <f>VLOOKUP($B2319,DG!A:D,DG!$B$2,)</f>
        <v>03.1112</v>
      </c>
      <c r="E2319" s="1241" t="str">
        <f>VLOOKUP($B2319,DG!A:D,DG!$C$2,)</f>
        <v>Đào hố móng đất cấp 2 sâu &gt;1m</v>
      </c>
      <c r="F2319" s="1236" t="str">
        <f>VLOOKUP($B2319,DG!A:D,DG!$D$2,)</f>
        <v>m3</v>
      </c>
      <c r="G2319" s="1943"/>
      <c r="H2319" s="1244">
        <f t="shared" si="428"/>
        <v>0</v>
      </c>
      <c r="I2319" s="1247"/>
      <c r="J2319" s="1247"/>
      <c r="K2319" s="1247"/>
      <c r="L2319" s="1247"/>
      <c r="M2319" s="1247"/>
      <c r="N2319" s="1247"/>
      <c r="O2319" s="1247"/>
      <c r="P2319" s="1257">
        <f t="shared" si="424"/>
        <v>0</v>
      </c>
      <c r="Q2319" s="1244"/>
      <c r="R2319" s="1244"/>
      <c r="S2319" s="1244"/>
      <c r="T2319" s="1671"/>
      <c r="U2319" s="1664" t="str">
        <f>IFERROR(VLOOKUP(B2319,ChiTietDuToan!C:H,5,0),"")</f>
        <v/>
      </c>
      <c r="V2319" s="2309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67" t="s">
        <v>1007</v>
      </c>
      <c r="C2320" s="1189" t="str">
        <f t="shared" si="419"/>
        <v xml:space="preserve"> </v>
      </c>
      <c r="D2320" s="1236" t="str">
        <f>VLOOKUP($B2320,DG!A:D,DG!$B$2,)</f>
        <v>03.2202</v>
      </c>
      <c r="E2320" s="1241" t="str">
        <f>VLOOKUP($B2320,DG!A:D,DG!$C$2,)</f>
        <v>Đắp đất hố móng, đất cấp 2</v>
      </c>
      <c r="F2320" s="1236" t="str">
        <f>VLOOKUP($B2320,DG!A:D,DG!$D$2,)</f>
        <v>m3</v>
      </c>
      <c r="G2320" s="1943"/>
      <c r="H2320" s="1244">
        <f t="shared" si="428"/>
        <v>0</v>
      </c>
      <c r="I2320" s="1247"/>
      <c r="J2320" s="1247"/>
      <c r="K2320" s="1247"/>
      <c r="L2320" s="1247"/>
      <c r="M2320" s="1247"/>
      <c r="N2320" s="1247"/>
      <c r="O2320" s="1247"/>
      <c r="P2320" s="1257">
        <f t="shared" si="424"/>
        <v>0</v>
      </c>
      <c r="Q2320" s="1244"/>
      <c r="R2320" s="1244"/>
      <c r="S2320" s="1244"/>
      <c r="T2320" s="1671"/>
      <c r="U2320" s="1664" t="str">
        <f>IFERROR(VLOOKUP(B2320,ChiTietDuToan!C:H,5,0),"")</f>
        <v/>
      </c>
      <c r="V2320" s="2309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67" t="s">
        <v>2008</v>
      </c>
      <c r="C2321" s="1189" t="str">
        <f t="shared" si="419"/>
        <v xml:space="preserve"> </v>
      </c>
      <c r="D2321" s="1236" t="str">
        <f>VLOOKUP($B2321,DG!A:D,DG!$B$2,)</f>
        <v>04.3112</v>
      </c>
      <c r="E2321" s="1241" t="str">
        <f>VLOOKUP($B2321,DG!A:D,DG!$C$2,)</f>
        <v>Đổ bê tông mác M100 đá 4x6</v>
      </c>
      <c r="F2321" s="1236" t="str">
        <f>VLOOKUP($B2321,DG!A:D,DG!$D$2,)</f>
        <v>m3</v>
      </c>
      <c r="G2321" s="1943"/>
      <c r="H2321" s="1244">
        <f t="shared" si="428"/>
        <v>0</v>
      </c>
      <c r="I2321" s="1247"/>
      <c r="J2321" s="1247"/>
      <c r="K2321" s="1247"/>
      <c r="L2321" s="1247"/>
      <c r="M2321" s="1247"/>
      <c r="N2321" s="1247"/>
      <c r="O2321" s="1247"/>
      <c r="P2321" s="1257">
        <f t="shared" si="424"/>
        <v>0</v>
      </c>
      <c r="Q2321" s="1244"/>
      <c r="R2321" s="1244"/>
      <c r="S2321" s="1244"/>
      <c r="T2321" s="1671"/>
      <c r="U2321" s="1664" t="str">
        <f>IFERROR(VLOOKUP(B2321,ChiTietDuToan!C:H,5,0),"")</f>
        <v/>
      </c>
      <c r="V2321" s="2309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67" t="s">
        <v>1889</v>
      </c>
      <c r="C2322" s="1189" t="str">
        <f t="shared" si="419"/>
        <v xml:space="preserve"> </v>
      </c>
      <c r="D2322" s="1236" t="str">
        <f>VLOOKUP($B2322,DG!A:D,DG!$B$2,)</f>
        <v>04.1203c</v>
      </c>
      <c r="E2322" s="1241" t="str">
        <f>VLOOKUP($B2322,DG!A:D,DG!$C$2,)</f>
        <v>Đổ bê tông móng trụ &lt;=250cm-M200 đá 1x2</v>
      </c>
      <c r="F2322" s="1236" t="str">
        <f>VLOOKUP($B2322,DG!A:D,DG!$D$2,)</f>
        <v>m3</v>
      </c>
      <c r="G2322" s="1943"/>
      <c r="H2322" s="1244"/>
      <c r="I2322" s="1247"/>
      <c r="J2322" s="1247"/>
      <c r="K2322" s="1247"/>
      <c r="L2322" s="1247"/>
      <c r="M2322" s="1247"/>
      <c r="N2322" s="1247"/>
      <c r="O2322" s="1247"/>
      <c r="P2322" s="1257">
        <f t="shared" si="424"/>
        <v>0</v>
      </c>
      <c r="Q2322" s="1244"/>
      <c r="R2322" s="1244"/>
      <c r="S2322" s="1244"/>
      <c r="T2322" s="1671"/>
      <c r="U2322" s="1664" t="str">
        <f>IFERROR(VLOOKUP(B2322,ChiTietDuToan!C:H,5,0),"")</f>
        <v/>
      </c>
      <c r="V2322" s="2309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67" t="s">
        <v>9</v>
      </c>
      <c r="C2323" s="1189" t="str">
        <f t="shared" si="419"/>
        <v xml:space="preserve"> </v>
      </c>
      <c r="D2323" s="1236" t="str">
        <f>VLOOKUP($B2323,DG!A:D,DG!$B$2,)</f>
        <v>04.5101</v>
      </c>
      <c r="E2323" s="1241" t="str">
        <f>VLOOKUP($B2323,DG!A:D,DG!$C$2,)</f>
        <v>Gia công và lắp dựng cốt thép D&lt;=10</v>
      </c>
      <c r="F2323" s="1236" t="str">
        <f>VLOOKUP($B2323,DG!A:D,DG!$D$2,)</f>
        <v>kg</v>
      </c>
      <c r="G2323" s="1943"/>
      <c r="H2323" s="1244"/>
      <c r="I2323" s="1247"/>
      <c r="J2323" s="1247"/>
      <c r="K2323" s="1247"/>
      <c r="L2323" s="1247"/>
      <c r="M2323" s="1247"/>
      <c r="N2323" s="1247"/>
      <c r="O2323" s="1247"/>
      <c r="P2323" s="1257">
        <f t="shared" si="424"/>
        <v>0</v>
      </c>
      <c r="Q2323" s="1244"/>
      <c r="R2323" s="1244"/>
      <c r="S2323" s="1244"/>
      <c r="T2323" s="1671"/>
      <c r="U2323" s="1664" t="str">
        <f>IFERROR(VLOOKUP(B2323,ChiTietDuToan!C:H,5,0),"")</f>
        <v/>
      </c>
      <c r="V2323" s="2309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67" t="s">
        <v>10</v>
      </c>
      <c r="C2324" s="1189" t="str">
        <f t="shared" si="419"/>
        <v xml:space="preserve"> </v>
      </c>
      <c r="D2324" s="1236" t="str">
        <f>VLOOKUP($B2324,DG!A:D,DG!$B$2,)</f>
        <v>04.2001</v>
      </c>
      <c r="E2324" s="1241" t="str">
        <f>VLOOKUP($B2324,DG!A:D,DG!$C$2,)</f>
        <v>Gia công và lắp dựng ván khuôn</v>
      </c>
      <c r="F2324" s="1236" t="str">
        <f>VLOOKUP($B2324,DG!A:D,DG!$D$2,)</f>
        <v>m2</v>
      </c>
      <c r="G2324" s="1943"/>
      <c r="H2324" s="1244"/>
      <c r="I2324" s="1247"/>
      <c r="J2324" s="1247"/>
      <c r="K2324" s="1247"/>
      <c r="L2324" s="1247"/>
      <c r="M2324" s="1247"/>
      <c r="N2324" s="1247"/>
      <c r="O2324" s="1247"/>
      <c r="P2324" s="1257">
        <f t="shared" si="424"/>
        <v>0</v>
      </c>
      <c r="Q2324" s="1244"/>
      <c r="R2324" s="1244"/>
      <c r="S2324" s="1244"/>
      <c r="T2324" s="1671"/>
      <c r="U2324" s="1664" t="str">
        <f>IFERROR(VLOOKUP(B2324,ChiTietDuToan!C:H,5,0),"")</f>
        <v/>
      </c>
      <c r="V2324" s="2309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67" t="s">
        <v>18</v>
      </c>
      <c r="C2325" s="1189" t="str">
        <f t="shared" si="419"/>
        <v xml:space="preserve"> </v>
      </c>
      <c r="D2325" s="1240" t="str">
        <f>VLOOKUP($B2325,DG!A:C,2,)</f>
        <v>02.1211</v>
      </c>
      <c r="E2325" s="1241" t="str">
        <f>VLOOKUP($B2325,DG!A:C,3,)</f>
        <v>V/c xi măng ( cự ly &lt;=100m)</v>
      </c>
      <c r="F2325" s="1240" t="str">
        <f>VLOOKUP($B2325,DG!A:D,4,0)</f>
        <v>tấn</v>
      </c>
      <c r="G2325" s="1917"/>
      <c r="H2325" s="1247"/>
      <c r="I2325" s="1247"/>
      <c r="J2325" s="1247"/>
      <c r="K2325" s="1247"/>
      <c r="L2325" s="1247"/>
      <c r="M2325" s="1247"/>
      <c r="N2325" s="1247"/>
      <c r="O2325" s="1247"/>
      <c r="P2325" s="1257">
        <f t="shared" si="424"/>
        <v>0</v>
      </c>
      <c r="Q2325" s="1247"/>
      <c r="R2325" s="1247"/>
      <c r="S2325" s="1247"/>
      <c r="T2325" s="1671"/>
      <c r="U2325" s="1664" t="str">
        <f>IFERROR(VLOOKUP(B2325,ChiTietDuToan!C:H,5,0),"")</f>
        <v/>
      </c>
      <c r="V2325" s="2309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67" t="s">
        <v>19</v>
      </c>
      <c r="C2326" s="1189" t="str">
        <f t="shared" si="419"/>
        <v xml:space="preserve"> </v>
      </c>
      <c r="D2326" s="1240">
        <f>VLOOKUP($B2326,DG!A:C,2,)</f>
        <v>0</v>
      </c>
      <c r="E2326" s="1241" t="str">
        <f>VLOOKUP($B2326,DG!A:C,3,)</f>
        <v>Cát vàng</v>
      </c>
      <c r="F2326" s="1240" t="str">
        <f>VLOOKUP($B2326,DG!A:D,4,0)</f>
        <v>m3</v>
      </c>
      <c r="G2326" s="1917"/>
      <c r="H2326" s="1247"/>
      <c r="I2326" s="1247"/>
      <c r="J2326" s="1247"/>
      <c r="K2326" s="1247"/>
      <c r="L2326" s="1247"/>
      <c r="M2326" s="1247"/>
      <c r="N2326" s="1247"/>
      <c r="O2326" s="1247"/>
      <c r="P2326" s="1257">
        <f t="shared" si="424"/>
        <v>0</v>
      </c>
      <c r="Q2326" s="1247"/>
      <c r="R2326" s="1247"/>
      <c r="S2326" s="1247"/>
      <c r="T2326" s="1671"/>
      <c r="U2326" s="1664" t="str">
        <f>IFERROR(VLOOKUP(B2326,ChiTietDuToan!C:H,5,0),"")</f>
        <v>m3</v>
      </c>
      <c r="V2326" s="2309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67" t="s">
        <v>17</v>
      </c>
      <c r="C2327" s="1189" t="str">
        <f t="shared" si="419"/>
        <v xml:space="preserve"> </v>
      </c>
      <c r="D2327" s="1240" t="str">
        <f>VLOOKUP($B2327,DG!A:C,2,)</f>
        <v>02.1351</v>
      </c>
      <c r="E2327" s="1241" t="str">
        <f>VLOOKUP($B2327,DG!A:C,3,)</f>
        <v>V/c cốt thép ( cự ly &lt;=100m)</v>
      </c>
      <c r="F2327" s="1240" t="str">
        <f>VLOOKUP($B2327,DG!A:D,4,0)</f>
        <v>tấn</v>
      </c>
      <c r="G2327" s="1917"/>
      <c r="H2327" s="1247"/>
      <c r="I2327" s="1247"/>
      <c r="J2327" s="1247"/>
      <c r="K2327" s="1247"/>
      <c r="L2327" s="1247"/>
      <c r="M2327" s="1247"/>
      <c r="N2327" s="1247"/>
      <c r="O2327" s="1247"/>
      <c r="P2327" s="1257">
        <f t="shared" si="424"/>
        <v>0</v>
      </c>
      <c r="Q2327" s="1247"/>
      <c r="R2327" s="1247"/>
      <c r="S2327" s="1247"/>
      <c r="T2327" s="1671"/>
      <c r="U2327" s="1664" t="str">
        <f>IFERROR(VLOOKUP(B2327,ChiTietDuToan!C:H,5,0),"")</f>
        <v/>
      </c>
      <c r="V2327" s="2309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67" t="s">
        <v>20</v>
      </c>
      <c r="C2328" s="1189" t="str">
        <f t="shared" si="419"/>
        <v xml:space="preserve"> </v>
      </c>
      <c r="D2328" s="1699" t="str">
        <f>VLOOKUP($B2328,DG!A:C,2,)</f>
        <v>02.1241</v>
      </c>
      <c r="E2328" s="1700" t="str">
        <f>VLOOKUP($B2328,DG!A:C,3,)</f>
        <v>V/c đá dăm ( cự ly &lt;=100m)</v>
      </c>
      <c r="F2328" s="1671" t="str">
        <f>VLOOKUP($B2328,DG!A:D,4,0)</f>
        <v>m3</v>
      </c>
      <c r="G2328" s="1944"/>
      <c r="H2328" s="1701"/>
      <c r="I2328" s="1701"/>
      <c r="J2328" s="1701"/>
      <c r="K2328" s="1701"/>
      <c r="L2328" s="1701"/>
      <c r="M2328" s="1701"/>
      <c r="N2328" s="1701"/>
      <c r="O2328" s="1701"/>
      <c r="P2328" s="1257">
        <f t="shared" si="424"/>
        <v>0</v>
      </c>
      <c r="Q2328" s="1701"/>
      <c r="R2328" s="1701"/>
      <c r="S2328" s="1701"/>
      <c r="T2328" s="1671"/>
      <c r="U2328" s="1664" t="str">
        <f>IFERROR(VLOOKUP(B2328,ChiTietDuToan!C:H,5,0),"")</f>
        <v/>
      </c>
      <c r="V2328" s="2309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69"/>
      <c r="C2329" s="1189" t="str">
        <f t="shared" si="419"/>
        <v xml:space="preserve"> </v>
      </c>
      <c r="D2329" s="1672"/>
      <c r="E2329" s="1673"/>
      <c r="F2329" s="1672"/>
      <c r="G2329" s="1909"/>
      <c r="H2329" s="1672"/>
      <c r="I2329" s="1672"/>
      <c r="J2329" s="1672"/>
      <c r="K2329" s="1672"/>
      <c r="L2329" s="1672"/>
      <c r="M2329" s="1672"/>
      <c r="N2329" s="1672"/>
      <c r="O2329" s="1672"/>
      <c r="P2329" s="1672"/>
      <c r="Q2329" s="1672"/>
      <c r="R2329" s="1672"/>
      <c r="S2329" s="1672"/>
      <c r="T2329" s="1663"/>
      <c r="U2329" s="1663"/>
      <c r="V2329" s="1663"/>
      <c r="Y2329" s="53" t="b">
        <f t="shared" ref="Y2329" si="429">IF(ISERROR(V2329),"",V2329=G2329)</f>
        <v>1</v>
      </c>
    </row>
    <row r="2330" spans="1:25" ht="16.2">
      <c r="A2330" s="62"/>
      <c r="C2330" s="1190"/>
      <c r="G2330" s="1945"/>
      <c r="T2330" s="53"/>
      <c r="U2330" s="53"/>
      <c r="V2330" s="2310"/>
    </row>
    <row r="2331" spans="1:25" ht="16.2">
      <c r="G2331" s="1945"/>
    </row>
    <row r="2332" spans="1:25" ht="16.2">
      <c r="G2332" s="1945"/>
    </row>
    <row r="2333" spans="1:25" ht="16.2">
      <c r="G2333" s="1945"/>
    </row>
    <row r="2334" spans="1:25" ht="16.2">
      <c r="G2334" s="1945"/>
    </row>
    <row r="2335" spans="1:25" ht="16.2">
      <c r="E2335" s="1159"/>
      <c r="G2335" s="1945"/>
    </row>
    <row r="2336" spans="1:25" ht="16.8">
      <c r="E2336" s="1160"/>
      <c r="G2336" s="1945"/>
    </row>
    <row r="2337" spans="7:7" ht="16.2">
      <c r="G2337" s="1945"/>
    </row>
    <row r="2338" spans="7:7" ht="16.2">
      <c r="G2338" s="1945"/>
    </row>
    <row r="2339" spans="7:7" ht="16.2">
      <c r="G2339" s="1945"/>
    </row>
    <row r="2340" spans="7:7" ht="16.2">
      <c r="G2340" s="1945"/>
    </row>
    <row r="2341" spans="7:7" ht="16.2">
      <c r="G2341" s="1945"/>
    </row>
    <row r="2342" spans="7:7" ht="16.2">
      <c r="G2342" s="1945"/>
    </row>
    <row r="2343" spans="7:7" ht="16.2">
      <c r="G2343" s="1945"/>
    </row>
    <row r="2344" spans="7:7" ht="16.2">
      <c r="G2344" s="1945"/>
    </row>
    <row r="2345" spans="7:7" ht="16.2">
      <c r="G2345" s="1945"/>
    </row>
    <row r="2346" spans="7:7" ht="16.2">
      <c r="G2346" s="1945"/>
    </row>
    <row r="2347" spans="7:7" ht="16.2">
      <c r="G2347" s="1945"/>
    </row>
    <row r="2348" spans="7:7" ht="16.2">
      <c r="G2348" s="1945"/>
    </row>
    <row r="2349" spans="7:7" ht="16.2">
      <c r="G2349" s="1945"/>
    </row>
    <row r="2350" spans="7:7" ht="16.2">
      <c r="G2350" s="1945"/>
    </row>
    <row r="2351" spans="7:7" ht="16.2">
      <c r="G2351" s="1945"/>
    </row>
    <row r="2352" spans="7:7" ht="16.2">
      <c r="G2352" s="1945"/>
    </row>
    <row r="2353" spans="7:7" ht="16.2">
      <c r="G2353" s="1945"/>
    </row>
    <row r="2354" spans="7:7" ht="16.2">
      <c r="G2354" s="1945"/>
    </row>
    <row r="2355" spans="7:7" ht="16.2">
      <c r="G2355" s="1945"/>
    </row>
    <row r="2356" spans="7:7" ht="16.2">
      <c r="G2356" s="1945"/>
    </row>
    <row r="2357" spans="7:7" ht="16.2">
      <c r="G2357" s="1945"/>
    </row>
    <row r="2358" spans="7:7" ht="16.2">
      <c r="G2358" s="1945"/>
    </row>
    <row r="2359" spans="7:7" ht="16.2">
      <c r="G2359" s="1945"/>
    </row>
    <row r="2360" spans="7:7" ht="16.2">
      <c r="G2360" s="1945"/>
    </row>
    <row r="2361" spans="7:7" ht="16.2">
      <c r="G2361" s="1945"/>
    </row>
    <row r="2362" spans="7:7" ht="16.2">
      <c r="G2362" s="1945"/>
    </row>
    <row r="2363" spans="7:7" ht="16.2">
      <c r="G2363" s="1945"/>
    </row>
    <row r="2364" spans="7:7" ht="16.2">
      <c r="G2364" s="1945"/>
    </row>
    <row r="2365" spans="7:7" ht="16.2">
      <c r="G2365" s="1945"/>
    </row>
    <row r="2366" spans="7:7" ht="16.2">
      <c r="G2366" s="1945"/>
    </row>
    <row r="2367" spans="7:7" ht="16.2">
      <c r="G2367" s="1945"/>
    </row>
    <row r="2368" spans="7:7" ht="16.2">
      <c r="G2368" s="1945"/>
    </row>
    <row r="2369" spans="7:7" ht="16.2">
      <c r="G2369" s="1945"/>
    </row>
    <row r="2370" spans="7:7" ht="16.2">
      <c r="G2370" s="1945"/>
    </row>
    <row r="2371" spans="7:7" ht="16.2">
      <c r="G2371" s="1945"/>
    </row>
    <row r="2372" spans="7:7" ht="16.2">
      <c r="G2372" s="1945"/>
    </row>
    <row r="2373" spans="7:7" ht="16.2">
      <c r="G2373" s="1945"/>
    </row>
    <row r="2374" spans="7:7" ht="16.2">
      <c r="G2374" s="1945"/>
    </row>
    <row r="2375" spans="7:7" ht="16.2">
      <c r="G2375" s="1945"/>
    </row>
    <row r="2376" spans="7:7" ht="16.2">
      <c r="G2376" s="1945"/>
    </row>
    <row r="2377" spans="7:7" ht="16.2">
      <c r="G2377" s="1945"/>
    </row>
    <row r="2378" spans="7:7" ht="16.2">
      <c r="G2378" s="1945"/>
    </row>
    <row r="2379" spans="7:7" ht="16.2">
      <c r="G2379" s="1945"/>
    </row>
    <row r="2380" spans="7:7" ht="16.2">
      <c r="G2380" s="1945"/>
    </row>
    <row r="2381" spans="7:7" ht="16.2">
      <c r="G2381" s="1945"/>
    </row>
    <row r="2382" spans="7:7" ht="16.2">
      <c r="G2382" s="1945"/>
    </row>
    <row r="2383" spans="7:7" ht="16.2">
      <c r="G2383" s="1945"/>
    </row>
    <row r="2384" spans="7:7" ht="16.2">
      <c r="G2384" s="1945"/>
    </row>
    <row r="2385" spans="7:7" ht="16.2">
      <c r="G2385" s="1945"/>
    </row>
    <row r="2386" spans="7:7" ht="16.2">
      <c r="G2386" s="1945"/>
    </row>
    <row r="2387" spans="7:7" ht="16.2">
      <c r="G2387" s="1945"/>
    </row>
    <row r="2388" spans="7:7" ht="16.2">
      <c r="G2388" s="1945"/>
    </row>
    <row r="2389" spans="7:7" ht="16.2">
      <c r="G2389" s="1945"/>
    </row>
    <row r="2390" spans="7:7" ht="16.2">
      <c r="G2390" s="1945"/>
    </row>
    <row r="2391" spans="7:7" ht="16.2">
      <c r="G2391" s="1945"/>
    </row>
    <row r="2392" spans="7:7" ht="16.2">
      <c r="G2392" s="1945"/>
    </row>
    <row r="2393" spans="7:7" ht="16.2">
      <c r="G2393" s="1945"/>
    </row>
    <row r="2394" spans="7:7" ht="16.2">
      <c r="G2394" s="1945"/>
    </row>
    <row r="2395" spans="7:7" ht="16.2">
      <c r="G2395" s="1945"/>
    </row>
    <row r="2396" spans="7:7" ht="16.2">
      <c r="G2396" s="1945"/>
    </row>
    <row r="2397" spans="7:7" ht="16.2">
      <c r="G2397" s="1945"/>
    </row>
    <row r="2398" spans="7:7" ht="16.2">
      <c r="G2398" s="1945"/>
    </row>
    <row r="2399" spans="7:7" ht="16.2">
      <c r="G2399" s="1945"/>
    </row>
    <row r="2400" spans="7:7" ht="16.2">
      <c r="G2400" s="1945"/>
    </row>
    <row r="2401" spans="7:7" ht="16.2">
      <c r="G2401" s="1945"/>
    </row>
    <row r="2402" spans="7:7" ht="16.2">
      <c r="G2402" s="1945"/>
    </row>
    <row r="2403" spans="7:7" ht="16.2">
      <c r="G2403" s="1945"/>
    </row>
    <row r="2404" spans="7:7" ht="16.2">
      <c r="G2404" s="1945"/>
    </row>
    <row r="2405" spans="7:7" ht="16.2">
      <c r="G2405" s="1945"/>
    </row>
    <row r="2406" spans="7:7" ht="16.2">
      <c r="G2406" s="1945"/>
    </row>
    <row r="2407" spans="7:7" ht="16.2">
      <c r="G2407" s="1945"/>
    </row>
    <row r="2408" spans="7:7" ht="16.2">
      <c r="G2408" s="1945"/>
    </row>
    <row r="2409" spans="7:7" ht="16.2">
      <c r="G2409" s="1945"/>
    </row>
    <row r="2410" spans="7:7" ht="16.2">
      <c r="G2410" s="1945"/>
    </row>
    <row r="2411" spans="7:7" ht="16.2">
      <c r="G2411" s="1945"/>
    </row>
    <row r="2412" spans="7:7" ht="16.2">
      <c r="G2412" s="1945"/>
    </row>
    <row r="2413" spans="7:7" ht="16.2">
      <c r="G2413" s="1945"/>
    </row>
    <row r="2414" spans="7:7" ht="16.2">
      <c r="G2414" s="1945"/>
    </row>
    <row r="2415" spans="7:7" ht="16.2">
      <c r="G2415" s="1945"/>
    </row>
    <row r="2416" spans="7:7" ht="16.2">
      <c r="G2416" s="1945"/>
    </row>
    <row r="2417" spans="7:7" ht="16.2">
      <c r="G2417" s="1945"/>
    </row>
    <row r="2418" spans="7:7" ht="16.2">
      <c r="G2418" s="1945"/>
    </row>
    <row r="2419" spans="7:7" ht="16.2">
      <c r="G2419" s="1945"/>
    </row>
    <row r="2420" spans="7:7" ht="16.2">
      <c r="G2420" s="1945"/>
    </row>
    <row r="2421" spans="7:7" ht="16.2">
      <c r="G2421" s="1945"/>
    </row>
    <row r="2422" spans="7:7" ht="16.2">
      <c r="G2422" s="1945"/>
    </row>
    <row r="2423" spans="7:7" ht="16.2">
      <c r="G2423" s="1945"/>
    </row>
    <row r="2424" spans="7:7" ht="16.2">
      <c r="G2424" s="1945"/>
    </row>
    <row r="2425" spans="7:7" ht="16.2">
      <c r="G2425" s="1945"/>
    </row>
    <row r="2426" spans="7:7" ht="16.2">
      <c r="G2426" s="1945"/>
    </row>
    <row r="2427" spans="7:7" ht="16.2">
      <c r="G2427" s="1945"/>
    </row>
    <row r="2428" spans="7:7" ht="16.2">
      <c r="G2428" s="1945"/>
    </row>
    <row r="2429" spans="7:7" ht="16.2">
      <c r="G2429" s="1945"/>
    </row>
    <row r="2430" spans="7:7" ht="16.2">
      <c r="G2430" s="1945"/>
    </row>
    <row r="2431" spans="7:7" ht="16.2">
      <c r="G2431" s="1945"/>
    </row>
    <row r="2432" spans="7:7" ht="16.2">
      <c r="G2432" s="1945"/>
    </row>
    <row r="2433" spans="7:7" ht="16.2">
      <c r="G2433" s="1945"/>
    </row>
    <row r="2434" spans="7:7" ht="16.2">
      <c r="G2434" s="1945"/>
    </row>
    <row r="2435" spans="7:7" ht="16.2">
      <c r="G2435" s="1945"/>
    </row>
    <row r="2436" spans="7:7" ht="16.2">
      <c r="G2436" s="1945"/>
    </row>
    <row r="2437" spans="7:7" ht="16.2">
      <c r="G2437" s="1945"/>
    </row>
    <row r="2438" spans="7:7" ht="16.2">
      <c r="G2438" s="1945"/>
    </row>
    <row r="2439" spans="7:7" ht="16.2">
      <c r="G2439" s="1945"/>
    </row>
    <row r="2440" spans="7:7" ht="16.2">
      <c r="G2440" s="1945"/>
    </row>
    <row r="2441" spans="7:7" ht="16.2">
      <c r="G2441" s="1945"/>
    </row>
    <row r="2442" spans="7:7" ht="16.2">
      <c r="G2442" s="1945"/>
    </row>
    <row r="2443" spans="7:7" ht="16.2">
      <c r="G2443" s="1945"/>
    </row>
    <row r="2444" spans="7:7" ht="16.2">
      <c r="G2444" s="1945"/>
    </row>
    <row r="2445" spans="7:7" ht="16.2">
      <c r="G2445" s="1945"/>
    </row>
    <row r="2446" spans="7:7" ht="16.2">
      <c r="G2446" s="1945"/>
    </row>
    <row r="2447" spans="7:7" ht="16.2">
      <c r="G2447" s="1945"/>
    </row>
    <row r="2448" spans="7:7" ht="16.2">
      <c r="G2448" s="1945"/>
    </row>
    <row r="2449" spans="7:7" ht="16.2">
      <c r="G2449" s="1945"/>
    </row>
    <row r="2450" spans="7:7" ht="16.2">
      <c r="G2450" s="1945"/>
    </row>
    <row r="2451" spans="7:7" ht="16.2">
      <c r="G2451" s="1945"/>
    </row>
    <row r="2452" spans="7:7" ht="16.2">
      <c r="G2452" s="1945"/>
    </row>
    <row r="2453" spans="7:7" ht="16.2">
      <c r="G2453" s="1945"/>
    </row>
    <row r="2454" spans="7:7" ht="16.2">
      <c r="G2454" s="1945"/>
    </row>
    <row r="2455" spans="7:7" ht="16.2">
      <c r="G2455" s="1945"/>
    </row>
    <row r="2456" spans="7:7" ht="16.2">
      <c r="G2456" s="1945"/>
    </row>
    <row r="2457" spans="7:7" ht="16.2">
      <c r="G2457" s="1945"/>
    </row>
    <row r="2458" spans="7:7" ht="16.2">
      <c r="G2458" s="1945"/>
    </row>
    <row r="2459" spans="7:7" ht="16.2">
      <c r="G2459" s="1945"/>
    </row>
    <row r="2460" spans="7:7" ht="16.2">
      <c r="G2460" s="1945"/>
    </row>
    <row r="2461" spans="7:7" ht="16.2">
      <c r="G2461" s="1945"/>
    </row>
    <row r="2462" spans="7:7" ht="16.2">
      <c r="G2462" s="1945"/>
    </row>
    <row r="2463" spans="7:7" ht="16.2">
      <c r="G2463" s="1945"/>
    </row>
    <row r="2464" spans="7:7" ht="16.2">
      <c r="G2464" s="1945"/>
    </row>
    <row r="2465" spans="7:7" ht="16.2">
      <c r="G2465" s="1945"/>
    </row>
    <row r="2466" spans="7:7" ht="16.2">
      <c r="G2466" s="1945"/>
    </row>
    <row r="2467" spans="7:7" ht="16.2">
      <c r="G2467" s="1945"/>
    </row>
    <row r="2468" spans="7:7" ht="16.2">
      <c r="G2468" s="1945"/>
    </row>
    <row r="2469" spans="7:7" ht="16.2">
      <c r="G2469" s="1945"/>
    </row>
    <row r="2470" spans="7:7" ht="16.2">
      <c r="G2470" s="1945"/>
    </row>
    <row r="2471" spans="7:7" ht="16.2">
      <c r="G2471" s="1945"/>
    </row>
    <row r="2472" spans="7:7" ht="16.2">
      <c r="G2472" s="1945"/>
    </row>
    <row r="2473" spans="7:7" ht="16.2">
      <c r="G2473" s="1945"/>
    </row>
    <row r="2474" spans="7:7" ht="16.2">
      <c r="G2474" s="1945"/>
    </row>
    <row r="2475" spans="7:7" ht="16.2">
      <c r="G2475" s="1945"/>
    </row>
    <row r="2476" spans="7:7" ht="16.2">
      <c r="G2476" s="1945"/>
    </row>
    <row r="2477" spans="7:7" ht="16.2">
      <c r="G2477" s="1945"/>
    </row>
    <row r="2478" spans="7:7" ht="16.2">
      <c r="G2478" s="1945"/>
    </row>
    <row r="2479" spans="7:7" ht="16.2">
      <c r="G2479" s="1945"/>
    </row>
    <row r="2480" spans="7:7" ht="16.2">
      <c r="G2480" s="1945"/>
    </row>
    <row r="2481" spans="7:7" ht="16.2">
      <c r="G2481" s="1945"/>
    </row>
    <row r="2482" spans="7:7" ht="16.2">
      <c r="G2482" s="1945"/>
    </row>
    <row r="2483" spans="7:7" ht="16.2">
      <c r="G2483" s="1945"/>
    </row>
    <row r="2484" spans="7:7" ht="16.2">
      <c r="G2484" s="1945"/>
    </row>
    <row r="2485" spans="7:7" ht="16.2">
      <c r="G2485" s="1945"/>
    </row>
    <row r="2486" spans="7:7" ht="16.2">
      <c r="G2486" s="1945"/>
    </row>
    <row r="2487" spans="7:7" ht="16.2">
      <c r="G2487" s="1945"/>
    </row>
    <row r="2488" spans="7:7" ht="16.2">
      <c r="G2488" s="1945"/>
    </row>
    <row r="2489" spans="7:7" ht="16.2">
      <c r="G2489" s="1945"/>
    </row>
    <row r="2490" spans="7:7" ht="16.2">
      <c r="G2490" s="1945"/>
    </row>
    <row r="2491" spans="7:7" ht="16.2">
      <c r="G2491" s="1945"/>
    </row>
    <row r="2492" spans="7:7" ht="16.2">
      <c r="G2492" s="1945"/>
    </row>
    <row r="2493" spans="7:7" ht="16.2">
      <c r="G2493" s="1945"/>
    </row>
    <row r="2494" spans="7:7" ht="16.2">
      <c r="G2494" s="1945"/>
    </row>
    <row r="2495" spans="7:7" ht="16.2">
      <c r="G2495" s="1945"/>
    </row>
    <row r="2496" spans="7:7" ht="16.2">
      <c r="G2496" s="1945"/>
    </row>
    <row r="2497" spans="7:7" ht="16.2">
      <c r="G2497" s="1945"/>
    </row>
    <row r="2498" spans="7:7" ht="16.2">
      <c r="G2498" s="1945"/>
    </row>
    <row r="2499" spans="7:7" ht="16.2">
      <c r="G2499" s="1945"/>
    </row>
    <row r="2500" spans="7:7" ht="16.2">
      <c r="G2500" s="1945"/>
    </row>
    <row r="2501" spans="7:7" ht="16.2">
      <c r="G2501" s="1945"/>
    </row>
    <row r="2502" spans="7:7" ht="16.2">
      <c r="G2502" s="1945"/>
    </row>
    <row r="2503" spans="7:7" ht="16.2">
      <c r="G2503" s="1945"/>
    </row>
    <row r="2504" spans="7:7" ht="16.2">
      <c r="G2504" s="1945"/>
    </row>
    <row r="2505" spans="7:7" ht="16.2">
      <c r="G2505" s="1945"/>
    </row>
    <row r="2506" spans="7:7" ht="16.2">
      <c r="G2506" s="1945"/>
    </row>
    <row r="2507" spans="7:7" ht="16.2">
      <c r="G2507" s="1945"/>
    </row>
    <row r="2508" spans="7:7" ht="16.2">
      <c r="G2508" s="1945"/>
    </row>
    <row r="2509" spans="7:7" ht="16.2">
      <c r="G2509" s="1945"/>
    </row>
    <row r="2510" spans="7:7" ht="16.2">
      <c r="G2510" s="1945"/>
    </row>
    <row r="2511" spans="7:7" ht="16.2">
      <c r="G2511" s="1945"/>
    </row>
    <row r="2512" spans="7:7" ht="16.2">
      <c r="G2512" s="1945"/>
    </row>
    <row r="2513" spans="7:7" ht="16.2">
      <c r="G2513" s="1945"/>
    </row>
    <row r="2514" spans="7:7" ht="16.2">
      <c r="G2514" s="1945"/>
    </row>
    <row r="2515" spans="7:7" ht="16.2">
      <c r="G2515" s="1945"/>
    </row>
    <row r="2516" spans="7:7" ht="16.2">
      <c r="G2516" s="1945"/>
    </row>
    <row r="2517" spans="7:7" ht="16.2">
      <c r="G2517" s="1945"/>
    </row>
    <row r="2518" spans="7:7" ht="16.2">
      <c r="G2518" s="1945"/>
    </row>
    <row r="2519" spans="7:7" ht="16.2">
      <c r="G2519" s="1945"/>
    </row>
    <row r="2520" spans="7:7" ht="16.2">
      <c r="G2520" s="1945"/>
    </row>
    <row r="2521" spans="7:7" ht="16.2">
      <c r="G2521" s="1945"/>
    </row>
    <row r="2522" spans="7:7" ht="16.2">
      <c r="G2522" s="1945"/>
    </row>
    <row r="2523" spans="7:7" ht="16.2">
      <c r="G2523" s="1945"/>
    </row>
    <row r="2524" spans="7:7" ht="16.2">
      <c r="G2524" s="1945"/>
    </row>
    <row r="2525" spans="7:7" ht="16.2">
      <c r="G2525" s="1945"/>
    </row>
    <row r="2526" spans="7:7" ht="16.2">
      <c r="G2526" s="1945"/>
    </row>
    <row r="2527" spans="7:7" ht="16.2">
      <c r="G2527" s="1945"/>
    </row>
    <row r="2528" spans="7:7" ht="16.2">
      <c r="G2528" s="1945"/>
    </row>
    <row r="2529" spans="7:7" ht="16.2">
      <c r="G2529" s="1945"/>
    </row>
    <row r="2530" spans="7:7" ht="16.2">
      <c r="G2530" s="1945"/>
    </row>
    <row r="2531" spans="7:7" ht="16.2">
      <c r="G2531" s="1945"/>
    </row>
    <row r="2532" spans="7:7" ht="16.2">
      <c r="G2532" s="1945"/>
    </row>
    <row r="2533" spans="7:7" ht="16.2">
      <c r="G2533" s="1945"/>
    </row>
    <row r="2534" spans="7:7" ht="16.2">
      <c r="G2534" s="1945"/>
    </row>
    <row r="2535" spans="7:7" ht="16.2">
      <c r="G2535" s="1945"/>
    </row>
    <row r="2536" spans="7:7" ht="16.2">
      <c r="G2536" s="1945"/>
    </row>
    <row r="2537" spans="7:7" ht="16.2">
      <c r="G2537" s="1945"/>
    </row>
    <row r="2538" spans="7:7" ht="16.2">
      <c r="G2538" s="1945"/>
    </row>
    <row r="2539" spans="7:7" ht="16.2">
      <c r="G2539" s="1945"/>
    </row>
    <row r="2540" spans="7:7" ht="16.2">
      <c r="G2540" s="1945"/>
    </row>
    <row r="2541" spans="7:7" ht="16.2">
      <c r="G2541" s="1945"/>
    </row>
    <row r="2542" spans="7:7" ht="16.2">
      <c r="G2542" s="1945"/>
    </row>
    <row r="2543" spans="7:7" ht="16.2">
      <c r="G2543" s="1945"/>
    </row>
    <row r="2544" spans="7:7" ht="16.2">
      <c r="G2544" s="1945"/>
    </row>
    <row r="2545" spans="7:7" ht="16.2">
      <c r="G2545" s="1945"/>
    </row>
    <row r="2546" spans="7:7" ht="16.2">
      <c r="G2546" s="1945"/>
    </row>
    <row r="2547" spans="7:7" ht="16.2">
      <c r="G2547" s="1945"/>
    </row>
    <row r="2548" spans="7:7" ht="16.2">
      <c r="G2548" s="1945"/>
    </row>
    <row r="2549" spans="7:7" ht="16.2">
      <c r="G2549" s="1945"/>
    </row>
    <row r="2550" spans="7:7" ht="16.2">
      <c r="G2550" s="1945"/>
    </row>
    <row r="2551" spans="7:7" ht="16.2">
      <c r="G2551" s="1945"/>
    </row>
    <row r="2552" spans="7:7" ht="16.2">
      <c r="G2552" s="1945"/>
    </row>
    <row r="2553" spans="7:7" ht="16.2">
      <c r="G2553" s="1945"/>
    </row>
    <row r="2554" spans="7:7" ht="16.2">
      <c r="G2554" s="1945"/>
    </row>
    <row r="2555" spans="7:7" ht="16.2">
      <c r="G2555" s="1945"/>
    </row>
    <row r="2556" spans="7:7" ht="16.2">
      <c r="G2556" s="1945"/>
    </row>
    <row r="2557" spans="7:7" ht="16.2">
      <c r="G2557" s="1945"/>
    </row>
    <row r="2558" spans="7:7" ht="16.2">
      <c r="G2558" s="1945"/>
    </row>
    <row r="2559" spans="7:7" ht="16.2">
      <c r="G2559" s="1945"/>
    </row>
    <row r="2560" spans="7:7" ht="16.2">
      <c r="G2560" s="1945"/>
    </row>
    <row r="2561" spans="7:7" ht="16.2">
      <c r="G2561" s="1945"/>
    </row>
    <row r="2562" spans="7:7" ht="16.2">
      <c r="G2562" s="1945"/>
    </row>
    <row r="2563" spans="7:7" ht="16.2">
      <c r="G2563" s="1945"/>
    </row>
    <row r="2564" spans="7:7" ht="16.2">
      <c r="G2564" s="1945"/>
    </row>
    <row r="2565" spans="7:7" ht="16.2">
      <c r="G2565" s="1945"/>
    </row>
    <row r="2566" spans="7:7" ht="16.2">
      <c r="G2566" s="1945"/>
    </row>
    <row r="2567" spans="7:7" ht="16.2">
      <c r="G2567" s="1945"/>
    </row>
    <row r="2568" spans="7:7" ht="16.2">
      <c r="G2568" s="1945"/>
    </row>
    <row r="2569" spans="7:7" ht="16.2">
      <c r="G2569" s="1945"/>
    </row>
    <row r="2570" spans="7:7" ht="16.2">
      <c r="G2570" s="1945"/>
    </row>
    <row r="2571" spans="7:7" ht="16.2">
      <c r="G2571" s="1945"/>
    </row>
    <row r="2572" spans="7:7" ht="16.2">
      <c r="G2572" s="1945"/>
    </row>
    <row r="2573" spans="7:7" ht="16.2">
      <c r="G2573" s="1945"/>
    </row>
    <row r="2574" spans="7:7" ht="16.2">
      <c r="G2574" s="1945"/>
    </row>
    <row r="2575" spans="7:7" ht="16.2">
      <c r="G2575" s="1945"/>
    </row>
    <row r="2576" spans="7:7" ht="16.2">
      <c r="G2576" s="1945"/>
    </row>
    <row r="2577" spans="7:7" ht="16.2">
      <c r="G2577" s="1945"/>
    </row>
    <row r="2578" spans="7:7" ht="16.2">
      <c r="G2578" s="1945"/>
    </row>
    <row r="2579" spans="7:7" ht="16.2">
      <c r="G2579" s="1945"/>
    </row>
    <row r="2580" spans="7:7" ht="16.2">
      <c r="G2580" s="1945"/>
    </row>
    <row r="2581" spans="7:7" ht="16.2">
      <c r="G2581" s="1945"/>
    </row>
    <row r="2582" spans="7:7" ht="16.2">
      <c r="G2582" s="1945"/>
    </row>
    <row r="2583" spans="7:7" ht="16.2">
      <c r="G2583" s="1945"/>
    </row>
    <row r="2584" spans="7:7" ht="16.2">
      <c r="G2584" s="1945"/>
    </row>
    <row r="2585" spans="7:7" ht="16.2">
      <c r="G2585" s="1945"/>
    </row>
    <row r="2586" spans="7:7" ht="16.2">
      <c r="G2586" s="1945"/>
    </row>
    <row r="2587" spans="7:7" ht="16.2">
      <c r="G2587" s="1945"/>
    </row>
    <row r="2588" spans="7:7" ht="16.2">
      <c r="G2588" s="1945"/>
    </row>
    <row r="2589" spans="7:7" ht="16.2">
      <c r="G2589" s="1945"/>
    </row>
    <row r="2590" spans="7:7" ht="16.2">
      <c r="G2590" s="1945"/>
    </row>
    <row r="2591" spans="7:7" ht="16.2">
      <c r="G2591" s="1945"/>
    </row>
    <row r="2592" spans="7:7" ht="16.2">
      <c r="G2592" s="1945"/>
    </row>
    <row r="2593" spans="7:7" ht="16.2">
      <c r="G2593" s="1945"/>
    </row>
    <row r="2594" spans="7:7" ht="16.2">
      <c r="G2594" s="1945"/>
    </row>
    <row r="2595" spans="7:7" ht="16.2">
      <c r="G2595" s="1945"/>
    </row>
    <row r="2596" spans="7:7" ht="16.2">
      <c r="G2596" s="1945"/>
    </row>
    <row r="2597" spans="7:7" ht="16.2">
      <c r="G2597" s="1945"/>
    </row>
    <row r="2598" spans="7:7" ht="16.2">
      <c r="G2598" s="1945"/>
    </row>
    <row r="2599" spans="7:7" ht="16.2">
      <c r="G2599" s="1945"/>
    </row>
    <row r="2600" spans="7:7" ht="16.2">
      <c r="G2600" s="1945"/>
    </row>
    <row r="2601" spans="7:7" ht="16.2">
      <c r="G2601" s="1945"/>
    </row>
    <row r="2602" spans="7:7" ht="16.2">
      <c r="G2602" s="1945"/>
    </row>
    <row r="2603" spans="7:7" ht="16.2">
      <c r="G2603" s="1945"/>
    </row>
    <row r="2604" spans="7:7" ht="16.2">
      <c r="G2604" s="1945"/>
    </row>
    <row r="2605" spans="7:7" ht="16.2">
      <c r="G2605" s="1945"/>
    </row>
    <row r="2606" spans="7:7" ht="16.2">
      <c r="G2606" s="1945"/>
    </row>
    <row r="2607" spans="7:7" ht="16.2">
      <c r="G2607" s="1945"/>
    </row>
    <row r="2608" spans="7:7" ht="16.2">
      <c r="G2608" s="1945"/>
    </row>
    <row r="2609" spans="7:7" ht="16.2">
      <c r="G2609" s="1945"/>
    </row>
    <row r="2610" spans="7:7" ht="16.2">
      <c r="G2610" s="1945"/>
    </row>
    <row r="2611" spans="7:7" ht="16.2">
      <c r="G2611" s="1945"/>
    </row>
    <row r="2612" spans="7:7" ht="16.2">
      <c r="G2612" s="1945"/>
    </row>
    <row r="2613" spans="7:7" ht="16.2">
      <c r="G2613" s="1945"/>
    </row>
    <row r="2614" spans="7:7" ht="16.2">
      <c r="G2614" s="1945"/>
    </row>
    <row r="2615" spans="7:7" ht="16.2">
      <c r="G2615" s="1945"/>
    </row>
    <row r="2616" spans="7:7" ht="16.2">
      <c r="G2616" s="1945"/>
    </row>
    <row r="2617" spans="7:7" ht="16.2">
      <c r="G2617" s="1945"/>
    </row>
    <row r="2618" spans="7:7" ht="16.2">
      <c r="G2618" s="1945"/>
    </row>
    <row r="2619" spans="7:7" ht="16.2">
      <c r="G2619" s="1945"/>
    </row>
    <row r="2620" spans="7:7" ht="16.2">
      <c r="G2620" s="1945"/>
    </row>
    <row r="2621" spans="7:7" ht="16.2">
      <c r="G2621" s="1945"/>
    </row>
    <row r="2622" spans="7:7" ht="16.2">
      <c r="G2622" s="1945"/>
    </row>
    <row r="2623" spans="7:7" ht="16.2">
      <c r="G2623" s="1945"/>
    </row>
    <row r="2624" spans="7:7" ht="16.2">
      <c r="G2624" s="1945"/>
    </row>
    <row r="2625" spans="7:7" ht="16.2">
      <c r="G2625" s="1945"/>
    </row>
    <row r="2626" spans="7:7" ht="16.2">
      <c r="G2626" s="1945"/>
    </row>
    <row r="2627" spans="7:7" ht="16.2">
      <c r="G2627" s="1945"/>
    </row>
    <row r="2628" spans="7:7" ht="16.2">
      <c r="G2628" s="1945"/>
    </row>
    <row r="2629" spans="7:7" ht="16.2">
      <c r="G2629" s="1945"/>
    </row>
    <row r="2630" spans="7:7" ht="16.2">
      <c r="G2630" s="1945"/>
    </row>
    <row r="2631" spans="7:7" ht="16.2">
      <c r="G2631" s="1945"/>
    </row>
    <row r="2632" spans="7:7" ht="16.2">
      <c r="G2632" s="1945"/>
    </row>
    <row r="2633" spans="7:7" ht="16.2">
      <c r="G2633" s="1945"/>
    </row>
    <row r="2634" spans="7:7" ht="16.2">
      <c r="G2634" s="1945"/>
    </row>
    <row r="2635" spans="7:7" ht="16.2">
      <c r="G2635" s="1945"/>
    </row>
    <row r="2636" spans="7:7" ht="16.2">
      <c r="G2636" s="1945"/>
    </row>
    <row r="2637" spans="7:7" ht="16.2">
      <c r="G2637" s="1945"/>
    </row>
    <row r="2638" spans="7:7" ht="16.2">
      <c r="G2638" s="1945"/>
    </row>
    <row r="2639" spans="7:7" ht="16.2">
      <c r="G2639" s="1945"/>
    </row>
    <row r="2640" spans="7:7" ht="16.2">
      <c r="G2640" s="1945"/>
    </row>
    <row r="2641" spans="7:7" ht="16.2">
      <c r="G2641" s="1945"/>
    </row>
    <row r="2642" spans="7:7" ht="16.2">
      <c r="G2642" s="1945"/>
    </row>
    <row r="2643" spans="7:7" ht="16.2">
      <c r="G2643" s="1945"/>
    </row>
    <row r="2644" spans="7:7" ht="16.2">
      <c r="G2644" s="1945"/>
    </row>
    <row r="2645" spans="7:7" ht="16.2">
      <c r="G2645" s="1945"/>
    </row>
    <row r="2646" spans="7:7" ht="16.2">
      <c r="G2646" s="1945"/>
    </row>
    <row r="2647" spans="7:7" ht="16.2">
      <c r="G2647" s="1945"/>
    </row>
    <row r="2648" spans="7:7" ht="16.2">
      <c r="G2648" s="1945"/>
    </row>
    <row r="2649" spans="7:7" ht="16.2">
      <c r="G2649" s="1945"/>
    </row>
    <row r="2650" spans="7:7" ht="16.2">
      <c r="G2650" s="1945"/>
    </row>
    <row r="2651" spans="7:7" ht="16.2">
      <c r="G2651" s="1945"/>
    </row>
    <row r="2652" spans="7:7" ht="16.2">
      <c r="G2652" s="1945"/>
    </row>
    <row r="2653" spans="7:7" ht="16.2">
      <c r="G2653" s="1945"/>
    </row>
    <row r="2654" spans="7:7" ht="16.2">
      <c r="G2654" s="1945"/>
    </row>
    <row r="2655" spans="7:7" ht="16.2">
      <c r="G2655" s="1945"/>
    </row>
    <row r="2656" spans="7:7" ht="16.2">
      <c r="G2656" s="1945"/>
    </row>
    <row r="2657" spans="7:7" ht="16.2">
      <c r="G2657" s="1945"/>
    </row>
    <row r="2658" spans="7:7" ht="16.2">
      <c r="G2658" s="1945"/>
    </row>
    <row r="2659" spans="7:7" ht="16.2">
      <c r="G2659" s="1945"/>
    </row>
    <row r="2660" spans="7:7" ht="16.2">
      <c r="G2660" s="1945"/>
    </row>
    <row r="2661" spans="7:7" ht="16.2">
      <c r="G2661" s="1945"/>
    </row>
    <row r="2662" spans="7:7" ht="16.2">
      <c r="G2662" s="1945"/>
    </row>
    <row r="2663" spans="7:7" ht="16.2">
      <c r="G2663" s="1945"/>
    </row>
    <row r="2664" spans="7:7" ht="16.2">
      <c r="G2664" s="1945"/>
    </row>
    <row r="2665" spans="7:7" ht="16.2">
      <c r="G2665" s="1945"/>
    </row>
    <row r="2666" spans="7:7" ht="16.2">
      <c r="G2666" s="1945"/>
    </row>
    <row r="2667" spans="7:7" ht="16.2">
      <c r="G2667" s="1945"/>
    </row>
    <row r="2668" spans="7:7" ht="16.2">
      <c r="G2668" s="1945"/>
    </row>
    <row r="2669" spans="7:7" ht="16.2">
      <c r="G2669" s="1945"/>
    </row>
    <row r="2670" spans="7:7" ht="16.2">
      <c r="G2670" s="1945"/>
    </row>
    <row r="2671" spans="7:7" ht="16.2">
      <c r="G2671" s="1945"/>
    </row>
    <row r="2672" spans="7:7" ht="16.2">
      <c r="G2672" s="1945"/>
    </row>
    <row r="2673" spans="7:7" ht="16.2">
      <c r="G2673" s="1945"/>
    </row>
    <row r="2674" spans="7:7" ht="16.2">
      <c r="G2674" s="1945"/>
    </row>
    <row r="2675" spans="7:7" ht="16.2">
      <c r="G2675" s="1945"/>
    </row>
    <row r="2676" spans="7:7" ht="16.2">
      <c r="G2676" s="1945"/>
    </row>
    <row r="2677" spans="7:7" ht="16.2">
      <c r="G2677" s="1945"/>
    </row>
    <row r="2678" spans="7:7" ht="16.2">
      <c r="G2678" s="1945"/>
    </row>
    <row r="2679" spans="7:7" ht="16.2">
      <c r="G2679" s="1945"/>
    </row>
    <row r="2680" spans="7:7" ht="16.2">
      <c r="G2680" s="1945"/>
    </row>
    <row r="2681" spans="7:7" ht="16.2">
      <c r="G2681" s="1945"/>
    </row>
    <row r="2682" spans="7:7" ht="16.2">
      <c r="G2682" s="1945"/>
    </row>
    <row r="2683" spans="7:7" ht="16.2">
      <c r="G2683" s="1945"/>
    </row>
    <row r="2684" spans="7:7" ht="16.2">
      <c r="G2684" s="1945"/>
    </row>
    <row r="2685" spans="7:7" ht="16.2">
      <c r="G2685" s="1945"/>
    </row>
    <row r="2686" spans="7:7" ht="16.2">
      <c r="G2686" s="1945"/>
    </row>
    <row r="2687" spans="7:7" ht="16.2">
      <c r="G2687" s="1945"/>
    </row>
    <row r="2688" spans="7:7" ht="16.2">
      <c r="G2688" s="1945"/>
    </row>
    <row r="2689" spans="7:7" ht="16.2">
      <c r="G2689" s="1945"/>
    </row>
    <row r="2690" spans="7:7" ht="16.2">
      <c r="G2690" s="1945"/>
    </row>
    <row r="2691" spans="7:7" ht="16.2">
      <c r="G2691" s="1945"/>
    </row>
    <row r="2692" spans="7:7" ht="16.2">
      <c r="G2692" s="1945"/>
    </row>
    <row r="2693" spans="7:7" ht="16.2">
      <c r="G2693" s="1945"/>
    </row>
    <row r="2694" spans="7:7" ht="16.2">
      <c r="G2694" s="1945"/>
    </row>
    <row r="2695" spans="7:7" ht="16.2">
      <c r="G2695" s="1945"/>
    </row>
    <row r="2696" spans="7:7" ht="16.2">
      <c r="G2696" s="1945"/>
    </row>
    <row r="2697" spans="7:7" ht="16.2">
      <c r="G2697" s="1945"/>
    </row>
    <row r="2698" spans="7:7" ht="16.2">
      <c r="G2698" s="1945"/>
    </row>
    <row r="2699" spans="7:7" ht="16.2">
      <c r="G2699" s="1945"/>
    </row>
    <row r="2700" spans="7:7" ht="16.2">
      <c r="G2700" s="1945"/>
    </row>
    <row r="2701" spans="7:7" ht="16.2">
      <c r="G2701" s="1945"/>
    </row>
    <row r="2702" spans="7:7" ht="16.2">
      <c r="G2702" s="1945"/>
    </row>
    <row r="2703" spans="7:7" ht="16.2">
      <c r="G2703" s="1945"/>
    </row>
    <row r="2704" spans="7:7" ht="16.2">
      <c r="G2704" s="1945"/>
    </row>
    <row r="2705" spans="7:7" ht="16.2">
      <c r="G2705" s="1945"/>
    </row>
    <row r="2706" spans="7:7" ht="16.2">
      <c r="G2706" s="1945"/>
    </row>
    <row r="2707" spans="7:7" ht="16.2">
      <c r="G2707" s="1945"/>
    </row>
    <row r="2708" spans="7:7" ht="16.2">
      <c r="G2708" s="1945"/>
    </row>
    <row r="2709" spans="7:7" ht="16.2">
      <c r="G2709" s="1945"/>
    </row>
    <row r="2710" spans="7:7" ht="16.2">
      <c r="G2710" s="1945"/>
    </row>
    <row r="2711" spans="7:7" ht="16.2">
      <c r="G2711" s="1945"/>
    </row>
    <row r="2712" spans="7:7" ht="16.2">
      <c r="G2712" s="1945"/>
    </row>
    <row r="2713" spans="7:7" ht="16.2">
      <c r="G2713" s="1945"/>
    </row>
    <row r="2714" spans="7:7" ht="16.2">
      <c r="G2714" s="1945"/>
    </row>
    <row r="2715" spans="7:7" ht="16.2">
      <c r="G2715" s="1945"/>
    </row>
    <row r="2716" spans="7:7" ht="16.2">
      <c r="G2716" s="1945"/>
    </row>
    <row r="2717" spans="7:7" ht="16.2">
      <c r="G2717" s="1945"/>
    </row>
    <row r="2718" spans="7:7" ht="16.2">
      <c r="G2718" s="1945"/>
    </row>
    <row r="2719" spans="7:7" ht="16.2">
      <c r="G2719" s="1945"/>
    </row>
    <row r="2720" spans="7:7" ht="16.2">
      <c r="G2720" s="1945"/>
    </row>
    <row r="2721" spans="7:7" ht="16.2">
      <c r="G2721" s="1945"/>
    </row>
    <row r="2722" spans="7:7" ht="16.2">
      <c r="G2722" s="1945"/>
    </row>
    <row r="2723" spans="7:7" ht="16.2">
      <c r="G2723" s="1945"/>
    </row>
    <row r="2724" spans="7:7" ht="16.2">
      <c r="G2724" s="1945"/>
    </row>
    <row r="2725" spans="7:7" ht="16.2">
      <c r="G2725" s="1945"/>
    </row>
    <row r="2726" spans="7:7" ht="16.2">
      <c r="G2726" s="1945"/>
    </row>
    <row r="2727" spans="7:7" ht="16.2">
      <c r="G2727" s="1945"/>
    </row>
    <row r="2728" spans="7:7" ht="16.2">
      <c r="G2728" s="1945"/>
    </row>
    <row r="2729" spans="7:7" ht="16.2">
      <c r="G2729" s="1945"/>
    </row>
    <row r="2730" spans="7:7" ht="16.2">
      <c r="G2730" s="1945"/>
    </row>
    <row r="2731" spans="7:7" ht="16.2">
      <c r="G2731" s="1945"/>
    </row>
    <row r="2732" spans="7:7" ht="16.2">
      <c r="G2732" s="1945"/>
    </row>
    <row r="2733" spans="7:7" ht="16.2">
      <c r="G2733" s="1945"/>
    </row>
    <row r="2734" spans="7:7" ht="16.2">
      <c r="G2734" s="1945"/>
    </row>
    <row r="2735" spans="7:7" ht="16.2">
      <c r="G2735" s="1945"/>
    </row>
    <row r="2736" spans="7:7" ht="16.2">
      <c r="G2736" s="1945"/>
    </row>
    <row r="2737" spans="7:7" ht="16.2">
      <c r="G2737" s="1945"/>
    </row>
    <row r="2738" spans="7:7" ht="16.2">
      <c r="G2738" s="1945"/>
    </row>
    <row r="2739" spans="7:7" ht="16.2">
      <c r="G2739" s="1945"/>
    </row>
    <row r="2740" spans="7:7" ht="16.2">
      <c r="G2740" s="1945"/>
    </row>
    <row r="2741" spans="7:7" ht="16.2">
      <c r="G2741" s="1945"/>
    </row>
    <row r="2742" spans="7:7" ht="16.2">
      <c r="G2742" s="1945"/>
    </row>
    <row r="2743" spans="7:7" ht="16.2">
      <c r="G2743" s="1945"/>
    </row>
    <row r="2744" spans="7:7" ht="16.2">
      <c r="G2744" s="1945"/>
    </row>
    <row r="2745" spans="7:7" ht="16.2">
      <c r="G2745" s="1945"/>
    </row>
    <row r="2746" spans="7:7" ht="16.2">
      <c r="G2746" s="1945"/>
    </row>
    <row r="2747" spans="7:7" ht="16.2">
      <c r="G2747" s="1945"/>
    </row>
    <row r="2748" spans="7:7" ht="16.2">
      <c r="G2748" s="1945"/>
    </row>
    <row r="2749" spans="7:7" ht="16.2">
      <c r="G2749" s="1945"/>
    </row>
    <row r="2750" spans="7:7" ht="16.2">
      <c r="G2750" s="1945"/>
    </row>
    <row r="2751" spans="7:7" ht="16.2">
      <c r="G2751" s="1945"/>
    </row>
    <row r="2752" spans="7:7" ht="16.2">
      <c r="G2752" s="1945"/>
    </row>
    <row r="2753" spans="7:7" ht="16.2">
      <c r="G2753" s="1945"/>
    </row>
    <row r="2754" spans="7:7" ht="16.2">
      <c r="G2754" s="1945"/>
    </row>
    <row r="2755" spans="7:7" ht="16.2">
      <c r="G2755" s="1945"/>
    </row>
    <row r="2756" spans="7:7" ht="16.2">
      <c r="G2756" s="1945"/>
    </row>
    <row r="2757" spans="7:7" ht="16.2">
      <c r="G2757" s="1945"/>
    </row>
    <row r="2758" spans="7:7" ht="16.2">
      <c r="G2758" s="1945"/>
    </row>
    <row r="2759" spans="7:7" ht="16.2">
      <c r="G2759" s="1945"/>
    </row>
    <row r="2760" spans="7:7" ht="16.2">
      <c r="G2760" s="1945"/>
    </row>
    <row r="2761" spans="7:7" ht="16.2">
      <c r="G2761" s="1945"/>
    </row>
    <row r="2762" spans="7:7" ht="16.2">
      <c r="G2762" s="1945"/>
    </row>
    <row r="2763" spans="7:7" ht="16.2">
      <c r="G2763" s="1945"/>
    </row>
    <row r="2764" spans="7:7" ht="16.2">
      <c r="G2764" s="1945"/>
    </row>
    <row r="2765" spans="7:7" ht="16.2">
      <c r="G2765" s="1945"/>
    </row>
    <row r="2766" spans="7:7" ht="16.2">
      <c r="G2766" s="1945"/>
    </row>
    <row r="2767" spans="7:7" ht="16.2">
      <c r="G2767" s="1945"/>
    </row>
    <row r="2768" spans="7:7" ht="16.2">
      <c r="G2768" s="1945"/>
    </row>
    <row r="2769" spans="7:7" ht="16.2">
      <c r="G2769" s="1945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7" priority="19" timePeriod="today">
      <formula>FLOOR(T1,1)=TODAY()</formula>
    </cfRule>
  </conditionalFormatting>
  <conditionalFormatting sqref="B2312 B77 B94 B176 B341 B375 B395 B430 B513 B533 B549">
    <cfRule type="duplicateValues" dxfId="66" priority="18"/>
  </conditionalFormatting>
  <conditionalFormatting sqref="T1978">
    <cfRule type="timePeriod" dxfId="65" priority="17" timePeriod="today">
      <formula>FLOOR(T1978,1)=TODAY()</formula>
    </cfRule>
  </conditionalFormatting>
  <conditionalFormatting sqref="T2016">
    <cfRule type="timePeriod" dxfId="64" priority="16" timePeriod="today">
      <formula>FLOOR(T2016,1)=TODAY()</formula>
    </cfRule>
  </conditionalFormatting>
  <conditionalFormatting sqref="T2243:T2244">
    <cfRule type="timePeriod" dxfId="63" priority="15" timePeriod="today">
      <formula>FLOOR(T2243,1)=TODAY()</formula>
    </cfRule>
  </conditionalFormatting>
  <conditionalFormatting sqref="T2057">
    <cfRule type="timePeriod" dxfId="62" priority="14" timePeriod="today">
      <formula>FLOOR(T2057,1)=TODAY()</formula>
    </cfRule>
  </conditionalFormatting>
  <conditionalFormatting sqref="T2059">
    <cfRule type="timePeriod" dxfId="61" priority="13" timePeriod="today">
      <formula>FLOOR(T2059,1)=TODAY()</formula>
    </cfRule>
  </conditionalFormatting>
  <conditionalFormatting sqref="T2061 T2064">
    <cfRule type="timePeriod" dxfId="60" priority="12" timePeriod="today">
      <formula>FLOOR(T2061,1)=TODAY()</formula>
    </cfRule>
  </conditionalFormatting>
  <conditionalFormatting sqref="T2062">
    <cfRule type="timePeriod" dxfId="59" priority="11" timePeriod="today">
      <formula>FLOOR(T2062,1)=TODAY()</formula>
    </cfRule>
  </conditionalFormatting>
  <conditionalFormatting sqref="B2064">
    <cfRule type="duplicateValues" dxfId="58" priority="10"/>
  </conditionalFormatting>
  <conditionalFormatting sqref="B2064">
    <cfRule type="duplicateValues" dxfId="57" priority="9"/>
  </conditionalFormatting>
  <conditionalFormatting sqref="T2063">
    <cfRule type="timePeriod" dxfId="56" priority="8" timePeriod="today">
      <formula>FLOOR(T2063,1)=TODAY()</formula>
    </cfRule>
  </conditionalFormatting>
  <conditionalFormatting sqref="B2063">
    <cfRule type="duplicateValues" dxfId="55" priority="7"/>
  </conditionalFormatting>
  <conditionalFormatting sqref="B2063">
    <cfRule type="duplicateValues" dxfId="54" priority="6"/>
  </conditionalFormatting>
  <conditionalFormatting sqref="W1:W9 W2227:W1048576 W11:W2225">
    <cfRule type="cellIs" dxfId="53" priority="5" operator="greaterThan">
      <formula>0</formula>
    </cfRule>
  </conditionalFormatting>
  <conditionalFormatting sqref="T2226">
    <cfRule type="timePeriod" dxfId="52" priority="4" timePeriod="today">
      <formula>FLOOR(T2226,1)=TODAY()</formula>
    </cfRule>
  </conditionalFormatting>
  <conditionalFormatting sqref="W2226">
    <cfRule type="cellIs" dxfId="51" priority="3" operator="greaterThan">
      <formula>0</formula>
    </cfRule>
  </conditionalFormatting>
  <conditionalFormatting sqref="W10">
    <cfRule type="timePeriod" dxfId="50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1445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H1369" sqref="H1369"/>
    </sheetView>
  </sheetViews>
  <sheetFormatPr defaultColWidth="8.90625" defaultRowHeight="13.2"/>
  <cols>
    <col min="1" max="1" width="15.36328125" style="1230" customWidth="1"/>
    <col min="2" max="2" width="9.81640625" style="110" customWidth="1"/>
    <col min="3" max="3" width="58.453125" style="1230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15" customFormat="1" ht="27.75" customHeight="1">
      <c r="A1" s="1218" t="s">
        <v>2668</v>
      </c>
      <c r="B1" s="1117" t="s">
        <v>2669</v>
      </c>
      <c r="C1" s="1218" t="s">
        <v>2670</v>
      </c>
      <c r="D1" s="1116" t="s">
        <v>2671</v>
      </c>
      <c r="E1" s="1114"/>
      <c r="F1" s="1115" t="s">
        <v>1761</v>
      </c>
      <c r="G1" s="1115" t="s">
        <v>4802</v>
      </c>
      <c r="H1" s="1115" t="s">
        <v>4306</v>
      </c>
    </row>
    <row r="2" spans="1:8" s="1115" customFormat="1" ht="21.75" customHeight="1">
      <c r="A2" s="1218"/>
      <c r="B2" s="1117">
        <v>2</v>
      </c>
      <c r="C2" s="1218">
        <v>3</v>
      </c>
      <c r="D2" s="1116">
        <v>4</v>
      </c>
      <c r="E2" s="1114"/>
      <c r="F2" s="1115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4794</v>
      </c>
      <c r="B33" s="113"/>
      <c r="C33" s="81" t="s">
        <v>4795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4535</v>
      </c>
      <c r="B34" s="113"/>
      <c r="C34" s="81" t="s">
        <v>4536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27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4526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28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28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28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28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28" t="s">
        <v>2324</v>
      </c>
      <c r="B180" s="126"/>
      <c r="C180" s="92" t="s">
        <v>4521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28" t="s">
        <v>1181</v>
      </c>
      <c r="B181" s="126"/>
      <c r="C181" s="92" t="s">
        <v>4753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28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28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4729</v>
      </c>
      <c r="B227" s="113"/>
      <c r="C227" s="81" t="s">
        <v>4730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4558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4559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29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29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29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29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29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29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29" t="s">
        <v>1189</v>
      </c>
      <c r="B255" s="118"/>
      <c r="C255" s="85" t="s">
        <v>4518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29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29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4771</v>
      </c>
      <c r="B261" s="121"/>
      <c r="C261" s="87" t="s">
        <v>4772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30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30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30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30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30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30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30" t="s">
        <v>1462</v>
      </c>
      <c r="B268" s="123"/>
      <c r="C268" s="83" t="s">
        <v>4519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30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30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31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31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29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29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29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29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29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29" t="s">
        <v>4483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4517</v>
      </c>
      <c r="B291" s="123"/>
      <c r="C291" s="83" t="s">
        <v>4516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4726</v>
      </c>
      <c r="B304" s="134" t="s">
        <v>1810</v>
      </c>
      <c r="C304" s="94" t="s">
        <v>4547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4769</v>
      </c>
      <c r="B306" s="134" t="s">
        <v>1810</v>
      </c>
      <c r="C306" s="94" t="s">
        <v>4770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4537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4997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4560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4561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4562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4563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4564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4565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9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9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9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9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4566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4567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4568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4569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4570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4571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4572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4573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4557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4574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4575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4576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4577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4578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4579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4580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4581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4582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4583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4584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20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20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20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20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20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20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21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20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20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4585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20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20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20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20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20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4529</v>
      </c>
      <c r="B441" s="116"/>
      <c r="C441" s="1220" t="s">
        <v>4530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4704</v>
      </c>
      <c r="B442" s="116"/>
      <c r="C442" s="1220" t="s">
        <v>4705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4840</v>
      </c>
      <c r="B443" s="116"/>
      <c r="C443" s="1220" t="s">
        <v>4841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4792</v>
      </c>
      <c r="B444" s="116"/>
      <c r="C444" s="1220" t="s">
        <v>4793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4842</v>
      </c>
      <c r="B445" s="116"/>
      <c r="C445" s="1220" t="s">
        <v>4843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20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20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95" t="s">
        <v>4665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4757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9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9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22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9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4636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23" t="s">
        <v>2668</v>
      </c>
      <c r="B511" s="80" t="s">
        <v>2669</v>
      </c>
      <c r="C511" s="1223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4479</v>
      </c>
    </row>
    <row r="512" spans="1:8">
      <c r="A512" s="1223">
        <v>1</v>
      </c>
      <c r="B512" s="80">
        <v>2</v>
      </c>
      <c r="C512" s="1223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4637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4533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4706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32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32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32" t="s">
        <v>881</v>
      </c>
      <c r="B707" s="125" t="s">
        <v>792</v>
      </c>
      <c r="C707" s="103" t="s">
        <v>4520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32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32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4538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4542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4541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4638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23" t="s">
        <v>2668</v>
      </c>
      <c r="B797" s="79" t="s">
        <v>2669</v>
      </c>
      <c r="C797" s="1223" t="s">
        <v>3122</v>
      </c>
      <c r="D797" s="79" t="s">
        <v>2671</v>
      </c>
      <c r="E797" s="111" t="str">
        <f t="shared" si="12"/>
        <v>Mã</v>
      </c>
      <c r="H797" s="53" t="s">
        <v>4479</v>
      </c>
    </row>
    <row r="798" spans="1:8">
      <c r="A798" s="1223">
        <v>1</v>
      </c>
      <c r="B798" s="79">
        <v>2</v>
      </c>
      <c r="C798" s="1223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4801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4977</v>
      </c>
      <c r="B862" s="158" t="s">
        <v>673</v>
      </c>
      <c r="C862" s="90" t="s">
        <v>5006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24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24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24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24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24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24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24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24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24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24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25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25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26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26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26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26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25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25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25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25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25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25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25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25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25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25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25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25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25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25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25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4928</v>
      </c>
      <c r="B930" s="159" t="s">
        <v>1565</v>
      </c>
      <c r="C930" s="92" t="s">
        <v>4929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4839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4707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4788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4790</v>
      </c>
      <c r="B972" s="160" t="s">
        <v>58</v>
      </c>
      <c r="C972" s="83" t="s">
        <v>4791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4886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22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22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22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22" t="s">
        <v>4639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22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22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22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22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22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27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27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27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27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27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27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27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27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27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27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27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28" t="s">
        <v>4640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28" t="s">
        <v>4641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28" t="s">
        <v>4642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28" t="s">
        <v>4643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4662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9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9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9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9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9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9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9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9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9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9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9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9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9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9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9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9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9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4727</v>
      </c>
      <c r="B1048" s="126"/>
      <c r="C1048" s="1229" t="s">
        <v>4728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22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22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22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22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22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22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22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22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22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20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20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20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22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27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27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27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27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27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27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27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27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28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28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28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28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28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28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28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28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28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28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28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28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28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20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20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20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20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20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20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20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20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20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20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20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20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20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20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20" t="s">
        <v>4702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20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4548</v>
      </c>
      <c r="B1099" s="164"/>
      <c r="C1099" s="1220" t="s">
        <v>4549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20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20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20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20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22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22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22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22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22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22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22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22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22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22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27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27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27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27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27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27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27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27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4955</v>
      </c>
      <c r="B1124" s="168" t="s">
        <v>1507</v>
      </c>
      <c r="C1124" s="1228" t="s">
        <v>5019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28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28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28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28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28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28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28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28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28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28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22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9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4708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4709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9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33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33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33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33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33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33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33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33" t="s">
        <v>4514</v>
      </c>
      <c r="B1165" s="159"/>
      <c r="C1165" s="92" t="s">
        <v>4515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33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33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33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34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34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34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34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33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34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33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33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33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34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34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35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35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35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35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35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35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35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30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31"/>
      <c r="B1204" s="1108"/>
      <c r="C1204" s="1231"/>
      <c r="D1204" s="1107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9" t="s">
        <v>1897</v>
      </c>
      <c r="B1205" s="1110" t="s">
        <v>291</v>
      </c>
      <c r="C1205" s="1109" t="s">
        <v>3743</v>
      </c>
      <c r="D1205" s="1111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4945</v>
      </c>
      <c r="B1230" s="114" t="s">
        <v>2006</v>
      </c>
      <c r="C1230" s="105" t="s">
        <v>4946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>
      <c r="A1233" s="1112" t="s">
        <v>4252</v>
      </c>
      <c r="B1233" s="113" t="s">
        <v>1807</v>
      </c>
      <c r="C1233" s="1232" t="s">
        <v>4251</v>
      </c>
      <c r="D1233" s="1113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>
      <c r="A1234" s="1112" t="s">
        <v>4550</v>
      </c>
      <c r="B1234" s="113"/>
      <c r="C1234" s="1232" t="s">
        <v>4551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>
      <c r="A1235" s="1112" t="s">
        <v>4544</v>
      </c>
      <c r="B1235" s="113"/>
      <c r="C1235" s="1232" t="s">
        <v>4543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>
      <c r="A1236" s="1112" t="s">
        <v>4552</v>
      </c>
      <c r="B1236" s="113"/>
      <c r="C1236" s="1232" t="s">
        <v>4553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>
      <c r="A1237" s="1112" t="s">
        <v>4834</v>
      </c>
      <c r="B1237" s="113"/>
      <c r="C1237" s="1232" t="s">
        <v>4835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>
      <c r="A1238" s="1112" t="s">
        <v>4482</v>
      </c>
      <c r="B1238" s="113"/>
      <c r="C1238" s="1232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>
      <c r="A1239" s="1112" t="s">
        <v>357</v>
      </c>
      <c r="B1239" s="112" t="s">
        <v>1163</v>
      </c>
      <c r="C1239" s="1219" t="s">
        <v>4539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>
      <c r="A1240" s="1112" t="s">
        <v>358</v>
      </c>
      <c r="B1240" s="112" t="s">
        <v>1227</v>
      </c>
      <c r="C1240" s="1219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>
      <c r="A1241" s="1112" t="s">
        <v>611</v>
      </c>
      <c r="B1241" s="112" t="s">
        <v>1744</v>
      </c>
      <c r="C1241" s="1219" t="s">
        <v>4540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>
      <c r="A1242" s="1112" t="s">
        <v>17</v>
      </c>
      <c r="B1242" s="112" t="s">
        <v>1239</v>
      </c>
      <c r="C1242" s="1219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>
      <c r="A1243" s="1112" t="s">
        <v>18</v>
      </c>
      <c r="B1243" s="112" t="s">
        <v>499</v>
      </c>
      <c r="C1243" s="1219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>
      <c r="A1244" s="1112" t="s">
        <v>4663</v>
      </c>
      <c r="B1244" s="112" t="s">
        <v>1147</v>
      </c>
      <c r="C1244" s="1219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>
      <c r="A1245" s="1112" t="s">
        <v>20</v>
      </c>
      <c r="B1245" s="112" t="s">
        <v>816</v>
      </c>
      <c r="C1245" s="1219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>
      <c r="A1246" s="1112" t="s">
        <v>4661</v>
      </c>
      <c r="B1246" s="112" t="s">
        <v>560</v>
      </c>
      <c r="C1246" s="1219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>
      <c r="A1247" s="1112" t="s">
        <v>1956</v>
      </c>
      <c r="B1247" s="112" t="s">
        <v>1239</v>
      </c>
      <c r="C1247" s="1219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>
      <c r="A1248" s="1112" t="s">
        <v>610</v>
      </c>
      <c r="B1248" s="112" t="s">
        <v>560</v>
      </c>
      <c r="C1248" s="1219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>
      <c r="A1249" s="1112" t="s">
        <v>4664</v>
      </c>
      <c r="B1249" s="112" t="s">
        <v>1163</v>
      </c>
      <c r="C1249" s="1219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>
      <c r="A1250" s="1112" t="s">
        <v>1229</v>
      </c>
      <c r="B1250" s="112" t="s">
        <v>2298</v>
      </c>
      <c r="C1250" s="1219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>
      <c r="A1251" s="1112" t="s">
        <v>2050</v>
      </c>
      <c r="B1251" s="112" t="s">
        <v>1659</v>
      </c>
      <c r="C1251" s="1219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>
      <c r="A1252" s="1112" t="s">
        <v>639</v>
      </c>
      <c r="B1252" s="112" t="s">
        <v>724</v>
      </c>
      <c r="C1252" s="1219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59" t="s">
        <v>87</v>
      </c>
      <c r="C1255" s="1230" t="s">
        <v>2390</v>
      </c>
      <c r="D1255" s="53" t="s">
        <v>2391</v>
      </c>
      <c r="F1255" s="53">
        <v>2000</v>
      </c>
      <c r="H1255" s="53" t="s">
        <v>5201</v>
      </c>
    </row>
    <row r="1256" spans="1:8">
      <c r="A1256" s="1859" t="s">
        <v>102</v>
      </c>
      <c r="C1256" s="1230" t="s">
        <v>2392</v>
      </c>
      <c r="D1256" s="53" t="s">
        <v>2391</v>
      </c>
      <c r="F1256" s="53">
        <v>2000</v>
      </c>
      <c r="H1256" s="53" t="s">
        <v>5201</v>
      </c>
    </row>
    <row r="1257" spans="1:8">
      <c r="A1257" s="1859" t="s">
        <v>770</v>
      </c>
      <c r="C1257" s="1230" t="s">
        <v>2393</v>
      </c>
      <c r="D1257" s="53" t="s">
        <v>2391</v>
      </c>
      <c r="F1257" s="53">
        <v>2000</v>
      </c>
      <c r="H1257" s="53" t="s">
        <v>5201</v>
      </c>
    </row>
    <row r="1258" spans="1:8">
      <c r="A1258" s="1859" t="s">
        <v>769</v>
      </c>
      <c r="C1258" s="1230" t="s">
        <v>2394</v>
      </c>
      <c r="D1258" s="53" t="s">
        <v>2391</v>
      </c>
      <c r="F1258" s="53">
        <v>2000</v>
      </c>
      <c r="H1258" s="53" t="s">
        <v>5201</v>
      </c>
    </row>
    <row r="1259" spans="1:8">
      <c r="A1259" s="1859" t="s">
        <v>446</v>
      </c>
      <c r="C1259" s="1230" t="s">
        <v>2395</v>
      </c>
      <c r="D1259" s="53" t="s">
        <v>2391</v>
      </c>
      <c r="F1259" s="53">
        <v>2000</v>
      </c>
      <c r="H1259" s="53" t="s">
        <v>5201</v>
      </c>
    </row>
    <row r="1260" spans="1:8">
      <c r="A1260" s="1859" t="s">
        <v>447</v>
      </c>
      <c r="C1260" s="1230" t="s">
        <v>2396</v>
      </c>
      <c r="D1260" s="53" t="s">
        <v>2391</v>
      </c>
      <c r="F1260" s="53">
        <v>2000</v>
      </c>
      <c r="H1260" s="53" t="s">
        <v>5201</v>
      </c>
    </row>
    <row r="1261" spans="1:8">
      <c r="A1261" s="1859" t="s">
        <v>988</v>
      </c>
      <c r="C1261" s="1230" t="s">
        <v>2397</v>
      </c>
      <c r="D1261" s="53" t="s">
        <v>2391</v>
      </c>
      <c r="F1261" s="53">
        <v>2000</v>
      </c>
      <c r="H1261" s="53" t="s">
        <v>5201</v>
      </c>
    </row>
    <row r="1262" spans="1:8">
      <c r="A1262" s="1859" t="s">
        <v>2238</v>
      </c>
      <c r="C1262" s="1230" t="s">
        <v>2398</v>
      </c>
      <c r="D1262" s="53" t="s">
        <v>2391</v>
      </c>
      <c r="F1262" s="53">
        <v>2000</v>
      </c>
      <c r="H1262" s="53" t="s">
        <v>5201</v>
      </c>
    </row>
    <row r="1263" spans="1:8">
      <c r="A1263" s="1859" t="s">
        <v>2378</v>
      </c>
      <c r="C1263" s="1861" t="s">
        <v>2399</v>
      </c>
      <c r="D1263" s="53" t="s">
        <v>2391</v>
      </c>
      <c r="F1263" s="53">
        <v>2000</v>
      </c>
      <c r="H1263" s="53" t="s">
        <v>5201</v>
      </c>
    </row>
    <row r="1264" spans="1:8">
      <c r="A1264" s="1859" t="s">
        <v>4241</v>
      </c>
      <c r="C1264" s="1861" t="s">
        <v>4481</v>
      </c>
      <c r="D1264" s="53" t="s">
        <v>2391</v>
      </c>
      <c r="F1264" s="53">
        <v>2000</v>
      </c>
      <c r="H1264" s="53" t="s">
        <v>5201</v>
      </c>
    </row>
    <row r="1265" spans="1:8">
      <c r="A1265" s="1859" t="s">
        <v>235</v>
      </c>
      <c r="C1265" s="1230" t="s">
        <v>2400</v>
      </c>
      <c r="D1265" s="53" t="s">
        <v>2391</v>
      </c>
      <c r="F1265" s="53">
        <v>2000</v>
      </c>
      <c r="H1265" s="53" t="s">
        <v>5201</v>
      </c>
    </row>
    <row r="1266" spans="1:8">
      <c r="A1266" s="1859" t="s">
        <v>2239</v>
      </c>
      <c r="C1266" s="1230" t="s">
        <v>2401</v>
      </c>
      <c r="D1266" s="53" t="s">
        <v>2391</v>
      </c>
      <c r="F1266" s="53">
        <v>2000</v>
      </c>
      <c r="H1266" s="53" t="s">
        <v>5201</v>
      </c>
    </row>
    <row r="1267" spans="1:8">
      <c r="A1267" s="1859" t="s">
        <v>949</v>
      </c>
      <c r="C1267" s="1230" t="s">
        <v>2402</v>
      </c>
      <c r="D1267" s="53" t="s">
        <v>2391</v>
      </c>
      <c r="F1267" s="53">
        <v>2000</v>
      </c>
      <c r="H1267" s="53" t="s">
        <v>5201</v>
      </c>
    </row>
    <row r="1268" spans="1:8">
      <c r="A1268" s="1859" t="s">
        <v>950</v>
      </c>
      <c r="C1268" s="1230" t="s">
        <v>2403</v>
      </c>
      <c r="D1268" s="53" t="s">
        <v>2391</v>
      </c>
      <c r="F1268" s="53">
        <v>2000</v>
      </c>
      <c r="H1268" s="53" t="s">
        <v>5201</v>
      </c>
    </row>
    <row r="1269" spans="1:8">
      <c r="A1269" s="1859" t="s">
        <v>2240</v>
      </c>
      <c r="C1269" s="1230" t="s">
        <v>2404</v>
      </c>
      <c r="D1269" s="53" t="s">
        <v>2391</v>
      </c>
      <c r="F1269" s="53">
        <v>2000</v>
      </c>
      <c r="H1269" s="53" t="s">
        <v>5201</v>
      </c>
    </row>
    <row r="1270" spans="1:8">
      <c r="A1270" s="1859" t="s">
        <v>12</v>
      </c>
      <c r="C1270" s="1230" t="s">
        <v>2405</v>
      </c>
      <c r="D1270" s="53" t="s">
        <v>2391</v>
      </c>
      <c r="F1270" s="53">
        <v>2000</v>
      </c>
      <c r="H1270" s="53" t="s">
        <v>5201</v>
      </c>
    </row>
    <row r="1271" spans="1:8">
      <c r="A1271" s="1859" t="s">
        <v>702</v>
      </c>
      <c r="C1271" s="1230" t="s">
        <v>2406</v>
      </c>
      <c r="D1271" s="53" t="s">
        <v>2391</v>
      </c>
      <c r="F1271" s="53">
        <v>2000</v>
      </c>
      <c r="H1271" s="53" t="s">
        <v>5201</v>
      </c>
    </row>
    <row r="1272" spans="1:8">
      <c r="A1272" s="1859" t="s">
        <v>1024</v>
      </c>
      <c r="C1272" s="1230" t="s">
        <v>2407</v>
      </c>
      <c r="D1272" s="53" t="s">
        <v>2391</v>
      </c>
      <c r="F1272" s="53">
        <v>2000</v>
      </c>
      <c r="H1272" s="53" t="s">
        <v>5201</v>
      </c>
    </row>
    <row r="1273" spans="1:8">
      <c r="A1273" s="1859" t="s">
        <v>2366</v>
      </c>
      <c r="C1273" s="1861" t="s">
        <v>2408</v>
      </c>
      <c r="D1273" s="53" t="s">
        <v>2391</v>
      </c>
      <c r="F1273" s="53">
        <v>2000</v>
      </c>
      <c r="H1273" s="53" t="s">
        <v>5201</v>
      </c>
    </row>
    <row r="1274" spans="1:8">
      <c r="A1274" s="1859" t="s">
        <v>100</v>
      </c>
      <c r="C1274" s="1230" t="s">
        <v>2409</v>
      </c>
      <c r="D1274" s="53" t="s">
        <v>2391</v>
      </c>
      <c r="F1274" s="53">
        <v>2000</v>
      </c>
      <c r="H1274" s="53" t="s">
        <v>5201</v>
      </c>
    </row>
    <row r="1275" spans="1:8">
      <c r="A1275" s="1859" t="s">
        <v>841</v>
      </c>
      <c r="C1275" s="1230" t="s">
        <v>2410</v>
      </c>
      <c r="D1275" s="53" t="s">
        <v>2391</v>
      </c>
      <c r="F1275" s="53">
        <v>2000</v>
      </c>
      <c r="H1275" s="53" t="s">
        <v>5201</v>
      </c>
    </row>
    <row r="1276" spans="1:8">
      <c r="A1276" s="1859" t="s">
        <v>842</v>
      </c>
      <c r="C1276" s="1230" t="s">
        <v>2411</v>
      </c>
      <c r="D1276" s="53" t="s">
        <v>2391</v>
      </c>
      <c r="F1276" s="53">
        <v>2000</v>
      </c>
      <c r="H1276" s="53" t="s">
        <v>5201</v>
      </c>
    </row>
    <row r="1277" spans="1:8">
      <c r="A1277" s="1859" t="s">
        <v>287</v>
      </c>
      <c r="C1277" s="1230" t="s">
        <v>2412</v>
      </c>
      <c r="D1277" s="53" t="s">
        <v>2391</v>
      </c>
      <c r="F1277" s="53">
        <v>2000</v>
      </c>
      <c r="H1277" s="53" t="s">
        <v>5201</v>
      </c>
    </row>
    <row r="1278" spans="1:8">
      <c r="A1278" s="1859" t="s">
        <v>840</v>
      </c>
      <c r="C1278" s="1230" t="s">
        <v>2413</v>
      </c>
      <c r="D1278" s="53" t="s">
        <v>2391</v>
      </c>
      <c r="F1278" s="53">
        <v>2000</v>
      </c>
      <c r="H1278" s="53" t="s">
        <v>5201</v>
      </c>
    </row>
    <row r="1279" spans="1:8">
      <c r="A1279" s="1859" t="s">
        <v>768</v>
      </c>
      <c r="C1279" s="1230" t="s">
        <v>2414</v>
      </c>
      <c r="D1279" s="53" t="s">
        <v>2391</v>
      </c>
      <c r="F1279" s="53">
        <v>2000</v>
      </c>
      <c r="H1279" s="53" t="s">
        <v>5201</v>
      </c>
    </row>
    <row r="1280" spans="1:8">
      <c r="A1280" s="1859" t="s">
        <v>220</v>
      </c>
      <c r="C1280" s="1230" t="s">
        <v>2415</v>
      </c>
      <c r="D1280" s="53" t="s">
        <v>2391</v>
      </c>
      <c r="F1280" s="53">
        <v>2000</v>
      </c>
      <c r="H1280" s="53" t="s">
        <v>5201</v>
      </c>
    </row>
    <row r="1281" spans="1:8">
      <c r="A1281" s="1859" t="s">
        <v>304</v>
      </c>
      <c r="C1281" s="1230" t="s">
        <v>2416</v>
      </c>
      <c r="D1281" s="53" t="s">
        <v>2391</v>
      </c>
      <c r="F1281" s="53">
        <v>2000</v>
      </c>
      <c r="H1281" s="53" t="s">
        <v>5201</v>
      </c>
    </row>
    <row r="1282" spans="1:8">
      <c r="A1282" s="1859" t="s">
        <v>2325</v>
      </c>
      <c r="C1282" s="1230" t="s">
        <v>2417</v>
      </c>
      <c r="D1282" s="53" t="s">
        <v>2391</v>
      </c>
      <c r="F1282" s="53">
        <v>2000</v>
      </c>
      <c r="H1282" s="53" t="s">
        <v>5201</v>
      </c>
    </row>
    <row r="1283" spans="1:8">
      <c r="A1283" s="1859" t="s">
        <v>305</v>
      </c>
      <c r="C1283" s="1230" t="s">
        <v>2418</v>
      </c>
      <c r="D1283" s="53" t="s">
        <v>2391</v>
      </c>
      <c r="F1283" s="53">
        <v>2000</v>
      </c>
      <c r="H1283" s="53" t="s">
        <v>5201</v>
      </c>
    </row>
    <row r="1284" spans="1:8">
      <c r="A1284" s="1859" t="s">
        <v>643</v>
      </c>
      <c r="C1284" s="1230" t="s">
        <v>2419</v>
      </c>
      <c r="D1284" s="53" t="s">
        <v>2391</v>
      </c>
      <c r="F1284" s="53">
        <v>2000</v>
      </c>
      <c r="H1284" s="53" t="s">
        <v>5201</v>
      </c>
    </row>
    <row r="1285" spans="1:8">
      <c r="A1285" s="1859" t="s">
        <v>652</v>
      </c>
      <c r="C1285" s="1230" t="s">
        <v>2420</v>
      </c>
      <c r="D1285" s="53" t="s">
        <v>2391</v>
      </c>
      <c r="F1285" s="53">
        <v>2000</v>
      </c>
      <c r="H1285" s="53" t="s">
        <v>5201</v>
      </c>
    </row>
    <row r="1286" spans="1:8">
      <c r="A1286" s="1859" t="s">
        <v>514</v>
      </c>
      <c r="C1286" s="1230" t="s">
        <v>2421</v>
      </c>
      <c r="D1286" s="53" t="s">
        <v>2391</v>
      </c>
      <c r="F1286" s="53">
        <v>2000</v>
      </c>
      <c r="H1286" s="53" t="s">
        <v>5201</v>
      </c>
    </row>
    <row r="1287" spans="1:8">
      <c r="A1287" s="1859" t="s">
        <v>651</v>
      </c>
      <c r="C1287" s="1230" t="s">
        <v>2422</v>
      </c>
      <c r="D1287" s="53" t="s">
        <v>2391</v>
      </c>
      <c r="F1287" s="53">
        <v>2000</v>
      </c>
      <c r="H1287" s="53" t="s">
        <v>5201</v>
      </c>
    </row>
    <row r="1288" spans="1:8">
      <c r="A1288" s="1859" t="s">
        <v>1954</v>
      </c>
      <c r="C1288" s="1230" t="s">
        <v>2423</v>
      </c>
      <c r="D1288" s="53" t="s">
        <v>2391</v>
      </c>
      <c r="F1288" s="53">
        <v>2000</v>
      </c>
      <c r="H1288" s="53" t="s">
        <v>5201</v>
      </c>
    </row>
    <row r="1289" spans="1:8">
      <c r="A1289" s="1859" t="s">
        <v>2242</v>
      </c>
      <c r="C1289" s="1230" t="s">
        <v>2424</v>
      </c>
      <c r="D1289" s="53" t="s">
        <v>2391</v>
      </c>
      <c r="F1289" s="53">
        <v>2000</v>
      </c>
      <c r="H1289" s="53" t="s">
        <v>5201</v>
      </c>
    </row>
    <row r="1290" spans="1:8">
      <c r="A1290" s="1859" t="s">
        <v>503</v>
      </c>
      <c r="C1290" s="1230" t="s">
        <v>2425</v>
      </c>
      <c r="D1290" s="53" t="s">
        <v>2391</v>
      </c>
      <c r="F1290" s="53">
        <v>2000</v>
      </c>
      <c r="H1290" s="53" t="s">
        <v>5201</v>
      </c>
    </row>
    <row r="1291" spans="1:8">
      <c r="A1291" s="1859" t="s">
        <v>2367</v>
      </c>
      <c r="C1291" s="1230" t="s">
        <v>2426</v>
      </c>
      <c r="D1291" s="53" t="s">
        <v>2391</v>
      </c>
      <c r="F1291" s="53">
        <v>2000</v>
      </c>
      <c r="H1291" s="53" t="s">
        <v>5201</v>
      </c>
    </row>
    <row r="1292" spans="1:8">
      <c r="A1292" s="1859" t="s">
        <v>2368</v>
      </c>
      <c r="C1292" s="1861" t="s">
        <v>2427</v>
      </c>
      <c r="D1292" s="53" t="s">
        <v>2391</v>
      </c>
      <c r="F1292" s="53">
        <v>2000</v>
      </c>
      <c r="H1292" s="53" t="s">
        <v>5201</v>
      </c>
    </row>
    <row r="1293" spans="1:8">
      <c r="A1293" s="1859" t="s">
        <v>2369</v>
      </c>
      <c r="C1293" s="1861" t="s">
        <v>2428</v>
      </c>
      <c r="D1293" s="53" t="s">
        <v>2391</v>
      </c>
      <c r="F1293" s="53">
        <v>2000</v>
      </c>
      <c r="H1293" s="53" t="s">
        <v>5201</v>
      </c>
    </row>
    <row r="1294" spans="1:8">
      <c r="A1294" s="1859" t="s">
        <v>752</v>
      </c>
      <c r="C1294" s="1230" t="s">
        <v>2429</v>
      </c>
      <c r="D1294" s="53" t="s">
        <v>2391</v>
      </c>
      <c r="F1294" s="53">
        <v>2000</v>
      </c>
      <c r="H1294" s="53" t="s">
        <v>5201</v>
      </c>
    </row>
    <row r="1295" spans="1:8">
      <c r="A1295" s="1859" t="s">
        <v>2326</v>
      </c>
      <c r="C1295" s="1861" t="s">
        <v>2431</v>
      </c>
      <c r="D1295" s="53" t="s">
        <v>2391</v>
      </c>
      <c r="F1295" s="53">
        <v>2000</v>
      </c>
      <c r="H1295" s="53" t="s">
        <v>5201</v>
      </c>
    </row>
    <row r="1296" spans="1:8">
      <c r="A1296" s="1859" t="s">
        <v>788</v>
      </c>
      <c r="C1296" s="1230" t="s">
        <v>2432</v>
      </c>
      <c r="D1296" s="53" t="s">
        <v>2391</v>
      </c>
      <c r="F1296" s="53">
        <v>2000</v>
      </c>
      <c r="H1296" s="53" t="s">
        <v>5201</v>
      </c>
    </row>
    <row r="1297" spans="1:8">
      <c r="A1297" s="1859" t="s">
        <v>653</v>
      </c>
      <c r="C1297" s="1230" t="s">
        <v>2433</v>
      </c>
      <c r="D1297" s="53" t="s">
        <v>2391</v>
      </c>
      <c r="F1297" s="53">
        <v>2000</v>
      </c>
      <c r="H1297" s="53" t="s">
        <v>5201</v>
      </c>
    </row>
    <row r="1298" spans="1:8">
      <c r="A1298" s="1859" t="s">
        <v>758</v>
      </c>
      <c r="C1298" s="1230" t="s">
        <v>2434</v>
      </c>
      <c r="D1298" s="53" t="s">
        <v>2391</v>
      </c>
      <c r="F1298" s="53">
        <v>2000</v>
      </c>
      <c r="H1298" s="53" t="s">
        <v>5201</v>
      </c>
    </row>
    <row r="1299" spans="1:8">
      <c r="A1299" s="1859" t="s">
        <v>2370</v>
      </c>
      <c r="C1299" s="1861" t="s">
        <v>2435</v>
      </c>
      <c r="D1299" s="53" t="s">
        <v>2391</v>
      </c>
      <c r="F1299" s="53">
        <v>2000</v>
      </c>
      <c r="H1299" s="53" t="s">
        <v>5201</v>
      </c>
    </row>
    <row r="1300" spans="1:8">
      <c r="A1300" s="1859" t="s">
        <v>654</v>
      </c>
      <c r="C1300" s="1230" t="s">
        <v>2436</v>
      </c>
      <c r="D1300" s="53" t="s">
        <v>2391</v>
      </c>
      <c r="F1300" s="53">
        <v>2000</v>
      </c>
      <c r="H1300" s="53" t="s">
        <v>5201</v>
      </c>
    </row>
    <row r="1301" spans="1:8">
      <c r="A1301" s="1859" t="s">
        <v>486</v>
      </c>
      <c r="C1301" s="1230" t="s">
        <v>2437</v>
      </c>
      <c r="D1301" s="53" t="s">
        <v>2391</v>
      </c>
      <c r="F1301" s="53">
        <v>2000</v>
      </c>
      <c r="H1301" s="53" t="s">
        <v>5201</v>
      </c>
    </row>
    <row r="1302" spans="1:8">
      <c r="A1302" s="1859" t="s">
        <v>487</v>
      </c>
      <c r="C1302" s="1230" t="s">
        <v>2438</v>
      </c>
      <c r="D1302" s="53" t="s">
        <v>2391</v>
      </c>
      <c r="F1302" s="53">
        <v>2000</v>
      </c>
      <c r="H1302" s="53" t="s">
        <v>5201</v>
      </c>
    </row>
    <row r="1303" spans="1:8">
      <c r="A1303" s="1859" t="s">
        <v>286</v>
      </c>
      <c r="C1303" s="1230" t="s">
        <v>2439</v>
      </c>
      <c r="D1303" s="53" t="s">
        <v>2391</v>
      </c>
      <c r="F1303" s="53">
        <v>2000</v>
      </c>
      <c r="H1303" s="53" t="s">
        <v>5201</v>
      </c>
    </row>
    <row r="1304" spans="1:8">
      <c r="A1304" s="1859" t="s">
        <v>655</v>
      </c>
      <c r="C1304" s="1230" t="s">
        <v>2440</v>
      </c>
      <c r="D1304" s="53" t="s">
        <v>2391</v>
      </c>
      <c r="F1304" s="53">
        <v>2000</v>
      </c>
      <c r="H1304" s="53" t="s">
        <v>5201</v>
      </c>
    </row>
    <row r="1305" spans="1:8">
      <c r="A1305" s="1859" t="s">
        <v>1694</v>
      </c>
      <c r="C1305" s="1230" t="s">
        <v>2441</v>
      </c>
      <c r="D1305" s="53" t="s">
        <v>2391</v>
      </c>
      <c r="F1305" s="53">
        <v>2000</v>
      </c>
      <c r="H1305" s="53" t="s">
        <v>5201</v>
      </c>
    </row>
    <row r="1306" spans="1:8">
      <c r="A1306" s="1859" t="s">
        <v>1017</v>
      </c>
      <c r="C1306" s="1230" t="s">
        <v>2442</v>
      </c>
      <c r="D1306" s="53" t="s">
        <v>2391</v>
      </c>
      <c r="F1306" s="53">
        <v>2000</v>
      </c>
      <c r="H1306" s="53" t="s">
        <v>5201</v>
      </c>
    </row>
    <row r="1307" spans="1:8">
      <c r="A1307" s="1859" t="s">
        <v>313</v>
      </c>
      <c r="C1307" s="1230" t="s">
        <v>2443</v>
      </c>
      <c r="D1307" s="53" t="s">
        <v>2391</v>
      </c>
      <c r="F1307" s="53">
        <v>2000</v>
      </c>
      <c r="H1307" s="53" t="s">
        <v>5201</v>
      </c>
    </row>
    <row r="1308" spans="1:8">
      <c r="A1308" s="1859" t="s">
        <v>908</v>
      </c>
      <c r="C1308" s="1230" t="s">
        <v>2444</v>
      </c>
      <c r="D1308" s="53" t="s">
        <v>2391</v>
      </c>
      <c r="F1308" s="53">
        <v>2000</v>
      </c>
      <c r="H1308" s="53" t="s">
        <v>5201</v>
      </c>
    </row>
    <row r="1309" spans="1:8">
      <c r="A1309" s="1859" t="s">
        <v>516</v>
      </c>
      <c r="C1309" s="1230" t="s">
        <v>2445</v>
      </c>
      <c r="D1309" s="53" t="s">
        <v>2446</v>
      </c>
      <c r="F1309" s="53">
        <v>2000</v>
      </c>
      <c r="H1309" s="53" t="s">
        <v>5201</v>
      </c>
    </row>
    <row r="1310" spans="1:8">
      <c r="A1310" s="1859" t="s">
        <v>553</v>
      </c>
      <c r="C1310" s="1230" t="s">
        <v>2447</v>
      </c>
      <c r="D1310" s="53" t="s">
        <v>2446</v>
      </c>
      <c r="F1310" s="53">
        <v>2000</v>
      </c>
      <c r="H1310" s="53" t="s">
        <v>5201</v>
      </c>
    </row>
    <row r="1311" spans="1:8">
      <c r="A1311" s="1861" t="s">
        <v>1614</v>
      </c>
      <c r="C1311" s="1230" t="s">
        <v>2448</v>
      </c>
      <c r="D1311" s="53" t="s">
        <v>2449</v>
      </c>
      <c r="F1311" s="53">
        <v>2000</v>
      </c>
      <c r="H1311" s="53" t="s">
        <v>5201</v>
      </c>
    </row>
    <row r="1312" spans="1:8">
      <c r="A1312" s="1861" t="s">
        <v>1615</v>
      </c>
      <c r="C1312" s="1230" t="s">
        <v>2451</v>
      </c>
      <c r="D1312" s="53" t="s">
        <v>2449</v>
      </c>
      <c r="F1312" s="53">
        <v>2000</v>
      </c>
      <c r="H1312" s="53" t="s">
        <v>5201</v>
      </c>
    </row>
    <row r="1313" spans="1:8">
      <c r="A1313" s="1861" t="s">
        <v>5</v>
      </c>
      <c r="C1313" s="1230" t="s">
        <v>4485</v>
      </c>
      <c r="D1313" s="53" t="s">
        <v>2449</v>
      </c>
      <c r="F1313" s="53">
        <v>2000</v>
      </c>
      <c r="H1313" s="53" t="s">
        <v>5201</v>
      </c>
    </row>
    <row r="1314" spans="1:8">
      <c r="A1314" s="1861" t="s">
        <v>518</v>
      </c>
      <c r="C1314" s="1230" t="s">
        <v>2453</v>
      </c>
      <c r="D1314" s="53" t="s">
        <v>2449</v>
      </c>
      <c r="F1314" s="53">
        <v>2000</v>
      </c>
      <c r="H1314" s="53" t="s">
        <v>5201</v>
      </c>
    </row>
    <row r="1315" spans="1:8">
      <c r="A1315" s="1861" t="s">
        <v>2204</v>
      </c>
      <c r="C1315" s="1230" t="s">
        <v>2454</v>
      </c>
      <c r="D1315" s="53" t="s">
        <v>2449</v>
      </c>
      <c r="F1315" s="53">
        <v>2000</v>
      </c>
      <c r="H1315" s="53" t="s">
        <v>5201</v>
      </c>
    </row>
    <row r="1316" spans="1:8">
      <c r="A1316" s="1861" t="s">
        <v>1689</v>
      </c>
      <c r="C1316" s="1230" t="s">
        <v>2455</v>
      </c>
      <c r="D1316" s="53" t="s">
        <v>2449</v>
      </c>
      <c r="F1316" s="53">
        <v>2000</v>
      </c>
      <c r="H1316" s="53" t="s">
        <v>5201</v>
      </c>
    </row>
    <row r="1317" spans="1:8">
      <c r="A1317" s="1861" t="s">
        <v>2297</v>
      </c>
      <c r="C1317" s="1230" t="s">
        <v>2456</v>
      </c>
      <c r="D1317" s="53" t="s">
        <v>2449</v>
      </c>
      <c r="F1317" s="53">
        <v>2000</v>
      </c>
      <c r="H1317" s="53" t="s">
        <v>5201</v>
      </c>
    </row>
    <row r="1318" spans="1:8">
      <c r="A1318" s="1861" t="s">
        <v>2103</v>
      </c>
      <c r="C1318" s="1230" t="s">
        <v>2457</v>
      </c>
      <c r="D1318" s="53" t="s">
        <v>2449</v>
      </c>
      <c r="F1318" s="53">
        <v>2000</v>
      </c>
      <c r="H1318" s="53" t="s">
        <v>5201</v>
      </c>
    </row>
    <row r="1319" spans="1:8">
      <c r="A1319" s="1861" t="s">
        <v>1690</v>
      </c>
      <c r="C1319" s="1230" t="s">
        <v>2458</v>
      </c>
      <c r="D1319" s="53" t="s">
        <v>2449</v>
      </c>
      <c r="F1319" s="53">
        <v>2000</v>
      </c>
      <c r="H1319" s="53" t="s">
        <v>5201</v>
      </c>
    </row>
    <row r="1320" spans="1:8">
      <c r="A1320" s="1861" t="s">
        <v>2037</v>
      </c>
      <c r="C1320" s="1230" t="s">
        <v>2459</v>
      </c>
      <c r="D1320" s="53" t="s">
        <v>2449</v>
      </c>
      <c r="F1320" s="53">
        <v>2000</v>
      </c>
      <c r="H1320" s="53" t="s">
        <v>5201</v>
      </c>
    </row>
    <row r="1321" spans="1:8">
      <c r="A1321" s="1861" t="s">
        <v>551</v>
      </c>
      <c r="C1321" s="1230" t="s">
        <v>2460</v>
      </c>
      <c r="D1321" s="53" t="s">
        <v>2449</v>
      </c>
      <c r="F1321" s="53">
        <v>2000</v>
      </c>
      <c r="H1321" s="53" t="s">
        <v>5201</v>
      </c>
    </row>
    <row r="1322" spans="1:8">
      <c r="A1322" s="1861" t="s">
        <v>1084</v>
      </c>
      <c r="C1322" s="1230" t="s">
        <v>2461</v>
      </c>
      <c r="D1322" s="53" t="s">
        <v>2449</v>
      </c>
      <c r="F1322" s="53">
        <v>2000</v>
      </c>
      <c r="H1322" s="53" t="s">
        <v>5201</v>
      </c>
    </row>
    <row r="1323" spans="1:8">
      <c r="A1323" s="1230" t="s">
        <v>984</v>
      </c>
      <c r="C1323" s="1230" t="s">
        <v>2462</v>
      </c>
      <c r="D1323" s="53" t="s">
        <v>2340</v>
      </c>
      <c r="F1323" s="53">
        <v>2000</v>
      </c>
      <c r="H1323" s="53" t="s">
        <v>5201</v>
      </c>
    </row>
    <row r="1324" spans="1:8">
      <c r="A1324" s="1230" t="s">
        <v>234</v>
      </c>
      <c r="C1324" s="1230" t="s">
        <v>2463</v>
      </c>
      <c r="D1324" s="53" t="s">
        <v>2340</v>
      </c>
      <c r="F1324" s="53">
        <v>2000</v>
      </c>
      <c r="H1324" s="53" t="s">
        <v>5201</v>
      </c>
    </row>
    <row r="1325" spans="1:8">
      <c r="A1325" s="1230" t="s">
        <v>233</v>
      </c>
      <c r="C1325" s="1230" t="s">
        <v>4870</v>
      </c>
      <c r="D1325" s="53" t="s">
        <v>2340</v>
      </c>
      <c r="F1325" s="53">
        <v>2000</v>
      </c>
      <c r="H1325" s="53" t="s">
        <v>5201</v>
      </c>
    </row>
    <row r="1326" spans="1:8">
      <c r="A1326" s="1230" t="s">
        <v>4871</v>
      </c>
      <c r="C1326" s="1230" t="s">
        <v>2464</v>
      </c>
      <c r="D1326" s="53" t="s">
        <v>2340</v>
      </c>
      <c r="F1326" s="53">
        <v>2000</v>
      </c>
      <c r="H1326" s="53" t="s">
        <v>5201</v>
      </c>
    </row>
    <row r="1327" spans="1:8">
      <c r="A1327" s="1230" t="s">
        <v>186</v>
      </c>
      <c r="C1327" s="1230" t="s">
        <v>2465</v>
      </c>
      <c r="D1327" s="53" t="s">
        <v>2340</v>
      </c>
      <c r="F1327" s="53">
        <v>2000</v>
      </c>
      <c r="H1327" s="53" t="s">
        <v>5201</v>
      </c>
    </row>
    <row r="1328" spans="1:8">
      <c r="A1328" s="1230" t="s">
        <v>1682</v>
      </c>
      <c r="C1328" s="1230" t="s">
        <v>2466</v>
      </c>
      <c r="D1328" s="53" t="s">
        <v>2340</v>
      </c>
      <c r="F1328" s="53">
        <v>2000</v>
      </c>
      <c r="H1328" s="53" t="s">
        <v>5201</v>
      </c>
    </row>
    <row r="1329" spans="1:8">
      <c r="A1329" s="1230" t="s">
        <v>513</v>
      </c>
      <c r="C1329" s="1230" t="s">
        <v>2469</v>
      </c>
      <c r="D1329" s="53" t="s">
        <v>2340</v>
      </c>
      <c r="F1329" s="53">
        <v>2000</v>
      </c>
      <c r="H1329" s="53" t="s">
        <v>5201</v>
      </c>
    </row>
    <row r="1330" spans="1:8">
      <c r="A1330" s="1230" t="s">
        <v>301</v>
      </c>
      <c r="C1330" s="1230" t="s">
        <v>2470</v>
      </c>
      <c r="D1330" s="53" t="s">
        <v>2340</v>
      </c>
      <c r="F1330" s="53">
        <v>2000</v>
      </c>
      <c r="H1330" s="53" t="s">
        <v>5201</v>
      </c>
    </row>
    <row r="1331" spans="1:8">
      <c r="A1331" s="1230" t="s">
        <v>371</v>
      </c>
      <c r="C1331" s="1230" t="s">
        <v>2471</v>
      </c>
      <c r="D1331" s="53" t="s">
        <v>2340</v>
      </c>
      <c r="F1331" s="53">
        <v>2000</v>
      </c>
      <c r="H1331" s="53" t="s">
        <v>5201</v>
      </c>
    </row>
    <row r="1332" spans="1:8">
      <c r="A1332" s="1230" t="s">
        <v>1216</v>
      </c>
      <c r="C1332" s="1230" t="s">
        <v>2473</v>
      </c>
      <c r="D1332" s="53" t="s">
        <v>2340</v>
      </c>
      <c r="F1332" s="53">
        <v>2000</v>
      </c>
      <c r="H1332" s="53" t="s">
        <v>5201</v>
      </c>
    </row>
    <row r="1333" spans="1:8">
      <c r="A1333" s="1230" t="s">
        <v>707</v>
      </c>
      <c r="C1333" s="1230" t="s">
        <v>2474</v>
      </c>
      <c r="D1333" s="53" t="s">
        <v>2340</v>
      </c>
      <c r="F1333" s="53">
        <v>2000</v>
      </c>
      <c r="H1333" s="53" t="s">
        <v>5201</v>
      </c>
    </row>
    <row r="1334" spans="1:8">
      <c r="A1334" s="1230" t="s">
        <v>2371</v>
      </c>
      <c r="C1334" s="1230" t="s">
        <v>2475</v>
      </c>
      <c r="D1334" s="53" t="s">
        <v>2340</v>
      </c>
      <c r="F1334" s="53">
        <v>2000</v>
      </c>
      <c r="H1334" s="53" t="s">
        <v>5201</v>
      </c>
    </row>
    <row r="1335" spans="1:8">
      <c r="A1335" s="1230" t="s">
        <v>303</v>
      </c>
      <c r="C1335" s="1230" t="s">
        <v>2477</v>
      </c>
      <c r="D1335" s="53" t="s">
        <v>2340</v>
      </c>
      <c r="F1335" s="53">
        <v>2000</v>
      </c>
      <c r="H1335" s="53" t="s">
        <v>5201</v>
      </c>
    </row>
    <row r="1336" spans="1:8">
      <c r="A1336" s="1230" t="s">
        <v>767</v>
      </c>
      <c r="C1336" s="1230" t="s">
        <v>2478</v>
      </c>
      <c r="D1336" s="53" t="s">
        <v>2340</v>
      </c>
      <c r="F1336" s="53">
        <v>2000</v>
      </c>
      <c r="H1336" s="53" t="s">
        <v>5201</v>
      </c>
    </row>
    <row r="1337" spans="1:8">
      <c r="A1337" s="1860" t="s">
        <v>362</v>
      </c>
      <c r="C1337" s="1230" t="s">
        <v>2517</v>
      </c>
      <c r="D1337" s="53" t="s">
        <v>2449</v>
      </c>
      <c r="F1337" s="53">
        <v>2000</v>
      </c>
      <c r="H1337" s="53" t="s">
        <v>5201</v>
      </c>
    </row>
    <row r="1338" spans="1:8">
      <c r="A1338" s="1860" t="s">
        <v>2372</v>
      </c>
      <c r="C1338" s="1230" t="s">
        <v>2479</v>
      </c>
      <c r="D1338" s="53" t="s">
        <v>2449</v>
      </c>
      <c r="F1338" s="53">
        <v>2000</v>
      </c>
      <c r="H1338" s="53" t="s">
        <v>5201</v>
      </c>
    </row>
    <row r="1339" spans="1:8">
      <c r="A1339" s="1860" t="s">
        <v>1324</v>
      </c>
      <c r="C1339" s="1230" t="s">
        <v>2480</v>
      </c>
      <c r="D1339" s="53" t="s">
        <v>2449</v>
      </c>
      <c r="F1339" s="53">
        <v>2000</v>
      </c>
      <c r="H1339" s="53" t="s">
        <v>5201</v>
      </c>
    </row>
    <row r="1340" spans="1:8">
      <c r="A1340" s="1860" t="s">
        <v>5321</v>
      </c>
      <c r="C1340" s="1230" t="s">
        <v>4528</v>
      </c>
      <c r="D1340" s="53" t="s">
        <v>2449</v>
      </c>
      <c r="F1340" s="53">
        <v>2000</v>
      </c>
      <c r="H1340" s="53" t="s">
        <v>5201</v>
      </c>
    </row>
    <row r="1341" spans="1:8">
      <c r="A1341" s="1860" t="s">
        <v>2358</v>
      </c>
      <c r="C1341" s="1230" t="s">
        <v>4528</v>
      </c>
      <c r="D1341" s="53" t="s">
        <v>2449</v>
      </c>
      <c r="F1341" s="53">
        <v>2000</v>
      </c>
      <c r="H1341" s="53" t="s">
        <v>5201</v>
      </c>
    </row>
    <row r="1342" spans="1:8">
      <c r="A1342" s="1860" t="s">
        <v>2354</v>
      </c>
      <c r="C1342" s="1230" t="s">
        <v>2481</v>
      </c>
      <c r="D1342" s="53" t="s">
        <v>2449</v>
      </c>
      <c r="F1342" s="53">
        <v>2000</v>
      </c>
      <c r="H1342" s="53" t="s">
        <v>5201</v>
      </c>
    </row>
    <row r="1343" spans="1:8">
      <c r="A1343" s="1860" t="s">
        <v>926</v>
      </c>
      <c r="C1343" s="1230" t="s">
        <v>2482</v>
      </c>
      <c r="D1343" s="53" t="s">
        <v>2449</v>
      </c>
      <c r="F1343" s="53">
        <v>2000</v>
      </c>
      <c r="H1343" s="53" t="s">
        <v>5201</v>
      </c>
    </row>
    <row r="1344" spans="1:8">
      <c r="A1344" s="1860" t="s">
        <v>2357</v>
      </c>
      <c r="C1344" s="1230" t="s">
        <v>2483</v>
      </c>
      <c r="D1344" s="53" t="s">
        <v>2449</v>
      </c>
      <c r="F1344" s="53">
        <v>2000</v>
      </c>
      <c r="H1344" s="53" t="s">
        <v>5201</v>
      </c>
    </row>
    <row r="1345" spans="1:8">
      <c r="A1345" s="1860" t="s">
        <v>5315</v>
      </c>
      <c r="C1345" s="1230" t="s">
        <v>2483</v>
      </c>
      <c r="D1345" s="53" t="s">
        <v>2449</v>
      </c>
      <c r="F1345" s="53">
        <v>2000</v>
      </c>
      <c r="H1345" s="53" t="s">
        <v>5201</v>
      </c>
    </row>
    <row r="1346" spans="1:8">
      <c r="A1346" s="1860" t="s">
        <v>2373</v>
      </c>
      <c r="C1346" s="1230" t="s">
        <v>2485</v>
      </c>
      <c r="D1346" s="53" t="s">
        <v>2449</v>
      </c>
      <c r="F1346" s="53">
        <v>2000</v>
      </c>
      <c r="H1346" s="53" t="s">
        <v>5201</v>
      </c>
    </row>
    <row r="1347" spans="1:8">
      <c r="A1347" s="1860" t="s">
        <v>1112</v>
      </c>
      <c r="C1347" s="1230" t="s">
        <v>2486</v>
      </c>
      <c r="D1347" s="53" t="s">
        <v>2449</v>
      </c>
      <c r="F1347" s="53">
        <v>2000</v>
      </c>
      <c r="H1347" s="53" t="s">
        <v>5201</v>
      </c>
    </row>
    <row r="1348" spans="1:8">
      <c r="A1348" s="1860" t="s">
        <v>536</v>
      </c>
      <c r="C1348" s="1230" t="s">
        <v>2487</v>
      </c>
      <c r="D1348" s="53" t="s">
        <v>2449</v>
      </c>
      <c r="F1348" s="53">
        <v>2000</v>
      </c>
      <c r="H1348" s="53" t="s">
        <v>5201</v>
      </c>
    </row>
    <row r="1349" spans="1:8">
      <c r="A1349" s="1860" t="s">
        <v>1142</v>
      </c>
      <c r="C1349" s="1230" t="s">
        <v>2488</v>
      </c>
      <c r="D1349" s="53" t="s">
        <v>2449</v>
      </c>
      <c r="F1349" s="53">
        <v>2000</v>
      </c>
      <c r="H1349" s="53" t="s">
        <v>5201</v>
      </c>
    </row>
    <row r="1350" spans="1:8">
      <c r="A1350" s="1860" t="s">
        <v>2359</v>
      </c>
      <c r="C1350" s="1230" t="s">
        <v>2489</v>
      </c>
      <c r="D1350" s="53" t="s">
        <v>2449</v>
      </c>
      <c r="F1350" s="53">
        <v>2000</v>
      </c>
      <c r="H1350" s="53" t="s">
        <v>5201</v>
      </c>
    </row>
    <row r="1351" spans="1:8">
      <c r="A1351" s="1860" t="s">
        <v>927</v>
      </c>
      <c r="C1351" s="1230" t="s">
        <v>2490</v>
      </c>
      <c r="D1351" s="53" t="s">
        <v>2449</v>
      </c>
      <c r="F1351" s="53">
        <v>2000</v>
      </c>
      <c r="H1351" s="53" t="s">
        <v>5201</v>
      </c>
    </row>
    <row r="1352" spans="1:8">
      <c r="A1352" s="1860" t="s">
        <v>721</v>
      </c>
      <c r="C1352" s="1230" t="s">
        <v>2491</v>
      </c>
      <c r="D1352" s="53" t="s">
        <v>2449</v>
      </c>
      <c r="F1352" s="53">
        <v>2000</v>
      </c>
      <c r="H1352" s="53" t="s">
        <v>5201</v>
      </c>
    </row>
    <row r="1353" spans="1:8">
      <c r="A1353" s="1860" t="s">
        <v>2360</v>
      </c>
      <c r="C1353" s="1230" t="s">
        <v>2492</v>
      </c>
      <c r="D1353" s="53" t="s">
        <v>2449</v>
      </c>
      <c r="F1353" s="53">
        <v>2000</v>
      </c>
      <c r="H1353" s="53" t="s">
        <v>5201</v>
      </c>
    </row>
    <row r="1354" spans="1:8">
      <c r="A1354" s="1860" t="s">
        <v>345</v>
      </c>
      <c r="C1354" s="1230" t="s">
        <v>2493</v>
      </c>
      <c r="D1354" s="53" t="s">
        <v>2449</v>
      </c>
      <c r="F1354" s="53">
        <v>2000</v>
      </c>
      <c r="H1354" s="53" t="s">
        <v>5201</v>
      </c>
    </row>
    <row r="1355" spans="1:8">
      <c r="A1355" s="1860" t="s">
        <v>2355</v>
      </c>
      <c r="C1355" s="1230" t="s">
        <v>2494</v>
      </c>
      <c r="D1355" s="53" t="s">
        <v>2449</v>
      </c>
      <c r="F1355" s="53">
        <v>2000</v>
      </c>
      <c r="H1355" s="53" t="s">
        <v>5201</v>
      </c>
    </row>
    <row r="1356" spans="1:8">
      <c r="A1356" s="1860" t="s">
        <v>910</v>
      </c>
      <c r="C1356" s="1230" t="s">
        <v>2495</v>
      </c>
      <c r="D1356" s="53" t="s">
        <v>2449</v>
      </c>
      <c r="F1356" s="53">
        <v>2000</v>
      </c>
      <c r="H1356" s="53" t="s">
        <v>5201</v>
      </c>
    </row>
    <row r="1357" spans="1:8">
      <c r="A1357" s="1860" t="s">
        <v>2356</v>
      </c>
      <c r="C1357" s="1230" t="s">
        <v>2496</v>
      </c>
      <c r="D1357" s="53" t="s">
        <v>2449</v>
      </c>
      <c r="F1357" s="53">
        <v>2000</v>
      </c>
      <c r="H1357" s="53" t="s">
        <v>5201</v>
      </c>
    </row>
    <row r="1358" spans="1:8">
      <c r="A1358" s="1860" t="s">
        <v>2181</v>
      </c>
      <c r="C1358" s="1230" t="s">
        <v>2497</v>
      </c>
      <c r="D1358" s="53" t="s">
        <v>2449</v>
      </c>
      <c r="F1358" s="53">
        <v>2000</v>
      </c>
      <c r="H1358" s="53" t="s">
        <v>5201</v>
      </c>
    </row>
    <row r="1359" spans="1:8">
      <c r="A1359" s="1860" t="s">
        <v>2361</v>
      </c>
      <c r="C1359" s="1230" t="s">
        <v>2498</v>
      </c>
      <c r="D1359" s="53" t="s">
        <v>2449</v>
      </c>
      <c r="F1359" s="53">
        <v>2000</v>
      </c>
      <c r="H1359" s="53" t="s">
        <v>5201</v>
      </c>
    </row>
    <row r="1360" spans="1:8">
      <c r="A1360" s="1860" t="s">
        <v>214</v>
      </c>
      <c r="C1360" s="1230" t="s">
        <v>2499</v>
      </c>
      <c r="D1360" s="53" t="s">
        <v>2449</v>
      </c>
      <c r="F1360" s="53">
        <v>2000</v>
      </c>
      <c r="H1360" s="53" t="s">
        <v>5201</v>
      </c>
    </row>
    <row r="1361" spans="1:8">
      <c r="A1361" s="1860" t="s">
        <v>2374</v>
      </c>
      <c r="C1361" s="1230" t="s">
        <v>2500</v>
      </c>
      <c r="D1361" s="53" t="s">
        <v>2449</v>
      </c>
      <c r="F1361" s="53">
        <v>2000</v>
      </c>
      <c r="H1361" s="53" t="s">
        <v>5201</v>
      </c>
    </row>
    <row r="1362" spans="1:8">
      <c r="A1362" s="1860" t="s">
        <v>1553</v>
      </c>
      <c r="C1362" s="1230" t="s">
        <v>2509</v>
      </c>
      <c r="D1362" s="53" t="s">
        <v>2449</v>
      </c>
      <c r="F1362" s="53">
        <v>2000</v>
      </c>
      <c r="H1362" s="53" t="s">
        <v>5201</v>
      </c>
    </row>
    <row r="1363" spans="1:8">
      <c r="A1363" s="1860" t="s">
        <v>1626</v>
      </c>
      <c r="C1363" s="1230" t="s">
        <v>2511</v>
      </c>
      <c r="D1363" s="53" t="s">
        <v>2449</v>
      </c>
      <c r="F1363" s="53">
        <v>2000</v>
      </c>
      <c r="H1363" s="53" t="s">
        <v>5201</v>
      </c>
    </row>
    <row r="1364" spans="1:8">
      <c r="A1364" s="1860" t="s">
        <v>105</v>
      </c>
      <c r="C1364" s="1230" t="s">
        <v>2513</v>
      </c>
      <c r="D1364" s="53" t="s">
        <v>2449</v>
      </c>
      <c r="F1364" s="53">
        <v>2000</v>
      </c>
      <c r="H1364" s="53" t="s">
        <v>5201</v>
      </c>
    </row>
    <row r="1365" spans="1:8">
      <c r="A1365" s="1860" t="s">
        <v>2362</v>
      </c>
      <c r="C1365" s="1230" t="s">
        <v>2514</v>
      </c>
      <c r="D1365" s="53" t="s">
        <v>2449</v>
      </c>
      <c r="F1365" s="53">
        <v>2000</v>
      </c>
      <c r="H1365" s="53" t="s">
        <v>5201</v>
      </c>
    </row>
    <row r="1366" spans="1:8">
      <c r="A1366" s="1860" t="s">
        <v>815</v>
      </c>
      <c r="C1366" s="1230" t="s">
        <v>2515</v>
      </c>
      <c r="D1366" s="53" t="s">
        <v>2449</v>
      </c>
      <c r="F1366" s="53">
        <v>2000</v>
      </c>
      <c r="H1366" s="53" t="s">
        <v>5201</v>
      </c>
    </row>
    <row r="1367" spans="1:8">
      <c r="A1367" s="1860" t="s">
        <v>1921</v>
      </c>
      <c r="C1367" s="1230" t="s">
        <v>2516</v>
      </c>
      <c r="D1367" s="53" t="s">
        <v>2449</v>
      </c>
      <c r="F1367" s="53">
        <v>2000</v>
      </c>
      <c r="H1367" s="53" t="s">
        <v>5201</v>
      </c>
    </row>
    <row r="1368" spans="1:8">
      <c r="A1368" s="1860" t="s">
        <v>814</v>
      </c>
      <c r="C1368" s="1230" t="s">
        <v>2518</v>
      </c>
      <c r="D1368" s="53" t="s">
        <v>2449</v>
      </c>
      <c r="F1368" s="53">
        <v>2000</v>
      </c>
      <c r="H1368" s="53" t="s">
        <v>5201</v>
      </c>
    </row>
    <row r="1369" spans="1:8">
      <c r="A1369" s="1860" t="s">
        <v>813</v>
      </c>
      <c r="C1369" s="1230" t="s">
        <v>2519</v>
      </c>
      <c r="D1369" s="53" t="s">
        <v>2449</v>
      </c>
      <c r="F1369" s="53">
        <v>2000</v>
      </c>
      <c r="H1369" s="53" t="s">
        <v>5201</v>
      </c>
    </row>
    <row r="1370" spans="1:8">
      <c r="A1370" s="1860" t="s">
        <v>1618</v>
      </c>
      <c r="C1370" s="1230" t="s">
        <v>2520</v>
      </c>
      <c r="D1370" s="53" t="s">
        <v>2449</v>
      </c>
      <c r="F1370" s="53">
        <v>2000</v>
      </c>
      <c r="H1370" s="53" t="s">
        <v>5201</v>
      </c>
    </row>
    <row r="1371" spans="1:8">
      <c r="A1371" s="1861" t="s">
        <v>1225</v>
      </c>
      <c r="C1371" s="1230" t="s">
        <v>2521</v>
      </c>
      <c r="D1371" s="53" t="s">
        <v>2449</v>
      </c>
      <c r="F1371" s="53">
        <v>2000</v>
      </c>
      <c r="H1371" s="53" t="s">
        <v>5201</v>
      </c>
    </row>
    <row r="1372" spans="1:8">
      <c r="A1372" s="1861" t="s">
        <v>638</v>
      </c>
      <c r="C1372" s="1230" t="s">
        <v>2522</v>
      </c>
      <c r="D1372" s="53" t="s">
        <v>2449</v>
      </c>
      <c r="F1372" s="53">
        <v>2000</v>
      </c>
      <c r="H1372" s="53" t="s">
        <v>5201</v>
      </c>
    </row>
    <row r="1373" spans="1:8">
      <c r="A1373" s="1861" t="s">
        <v>206</v>
      </c>
      <c r="C1373" s="1230" t="s">
        <v>2523</v>
      </c>
      <c r="D1373" s="53" t="s">
        <v>2449</v>
      </c>
      <c r="F1373" s="53">
        <v>2000</v>
      </c>
      <c r="H1373" s="53" t="s">
        <v>5201</v>
      </c>
    </row>
    <row r="1374" spans="1:8">
      <c r="A1374" s="1861" t="s">
        <v>637</v>
      </c>
      <c r="C1374" s="1230" t="s">
        <v>2526</v>
      </c>
      <c r="D1374" s="53" t="s">
        <v>2449</v>
      </c>
      <c r="F1374" s="53">
        <v>2000</v>
      </c>
      <c r="H1374" s="53" t="s">
        <v>5201</v>
      </c>
    </row>
    <row r="1375" spans="1:8">
      <c r="A1375" s="1861" t="s">
        <v>843</v>
      </c>
      <c r="C1375" s="1230" t="s">
        <v>2527</v>
      </c>
      <c r="D1375" s="53" t="s">
        <v>2449</v>
      </c>
      <c r="F1375" s="53">
        <v>2000</v>
      </c>
      <c r="H1375" s="53" t="s">
        <v>5201</v>
      </c>
    </row>
    <row r="1376" spans="1:8">
      <c r="A1376" s="1861" t="s">
        <v>844</v>
      </c>
      <c r="C1376" s="1230" t="s">
        <v>2528</v>
      </c>
      <c r="D1376" s="53" t="s">
        <v>2449</v>
      </c>
      <c r="F1376" s="53">
        <v>2000</v>
      </c>
      <c r="H1376" s="53" t="s">
        <v>5201</v>
      </c>
    </row>
    <row r="1377" spans="1:8">
      <c r="A1377" s="1861" t="s">
        <v>845</v>
      </c>
      <c r="C1377" s="1230" t="s">
        <v>2529</v>
      </c>
      <c r="D1377" s="53" t="s">
        <v>2449</v>
      </c>
      <c r="F1377" s="53">
        <v>2000</v>
      </c>
      <c r="H1377" s="53" t="s">
        <v>5201</v>
      </c>
    </row>
    <row r="1378" spans="1:8">
      <c r="A1378" s="1861" t="s">
        <v>1303</v>
      </c>
      <c r="C1378" s="1230" t="s">
        <v>2530</v>
      </c>
      <c r="D1378" s="53" t="s">
        <v>2449</v>
      </c>
      <c r="F1378" s="53">
        <v>2000</v>
      </c>
      <c r="H1378" s="53" t="s">
        <v>5201</v>
      </c>
    </row>
    <row r="1379" spans="1:8">
      <c r="A1379" s="1861" t="s">
        <v>668</v>
      </c>
      <c r="C1379" s="1230" t="s">
        <v>2531</v>
      </c>
      <c r="D1379" s="53" t="s">
        <v>2449</v>
      </c>
      <c r="F1379" s="53">
        <v>2000</v>
      </c>
      <c r="H1379" s="53" t="s">
        <v>5201</v>
      </c>
    </row>
    <row r="1380" spans="1:8">
      <c r="A1380" s="1861" t="s">
        <v>196</v>
      </c>
      <c r="C1380" s="1230" t="s">
        <v>2533</v>
      </c>
      <c r="D1380" s="53" t="s">
        <v>2449</v>
      </c>
      <c r="F1380" s="53">
        <v>2000</v>
      </c>
      <c r="H1380" s="53" t="s">
        <v>5201</v>
      </c>
    </row>
    <row r="1381" spans="1:8">
      <c r="A1381" s="1861" t="s">
        <v>669</v>
      </c>
      <c r="C1381" s="1230" t="s">
        <v>2534</v>
      </c>
      <c r="D1381" s="53" t="s">
        <v>2449</v>
      </c>
      <c r="F1381" s="53">
        <v>2000</v>
      </c>
      <c r="H1381" s="53" t="s">
        <v>5201</v>
      </c>
    </row>
    <row r="1382" spans="1:8">
      <c r="A1382" s="1861" t="s">
        <v>670</v>
      </c>
      <c r="C1382" s="1230" t="s">
        <v>2535</v>
      </c>
      <c r="D1382" s="53" t="s">
        <v>2449</v>
      </c>
      <c r="F1382" s="53">
        <v>2000</v>
      </c>
      <c r="H1382" s="53" t="s">
        <v>5201</v>
      </c>
    </row>
    <row r="1383" spans="1:8">
      <c r="A1383" s="1861" t="s">
        <v>671</v>
      </c>
      <c r="C1383" s="1230" t="s">
        <v>2536</v>
      </c>
      <c r="D1383" s="53" t="s">
        <v>2449</v>
      </c>
      <c r="F1383" s="53">
        <v>2000</v>
      </c>
      <c r="H1383" s="53" t="s">
        <v>5201</v>
      </c>
    </row>
    <row r="1384" spans="1:8">
      <c r="A1384" s="1861" t="s">
        <v>929</v>
      </c>
      <c r="C1384" s="1230" t="s">
        <v>2537</v>
      </c>
      <c r="D1384" s="53" t="s">
        <v>2449</v>
      </c>
      <c r="F1384" s="53">
        <v>2000</v>
      </c>
      <c r="H1384" s="53" t="s">
        <v>5201</v>
      </c>
    </row>
    <row r="1385" spans="1:8">
      <c r="A1385" s="1861" t="s">
        <v>930</v>
      </c>
      <c r="C1385" s="1230" t="s">
        <v>2538</v>
      </c>
      <c r="D1385" s="53" t="s">
        <v>2449</v>
      </c>
      <c r="F1385" s="53">
        <v>2000</v>
      </c>
      <c r="H1385" s="53" t="s">
        <v>5201</v>
      </c>
    </row>
    <row r="1386" spans="1:8">
      <c r="A1386" s="1861" t="s">
        <v>757</v>
      </c>
      <c r="C1386" s="1230" t="s">
        <v>2539</v>
      </c>
      <c r="D1386" s="53" t="s">
        <v>2449</v>
      </c>
      <c r="F1386" s="53">
        <v>2000</v>
      </c>
      <c r="H1386" s="53" t="s">
        <v>5201</v>
      </c>
    </row>
    <row r="1387" spans="1:8">
      <c r="A1387" s="1861" t="s">
        <v>756</v>
      </c>
      <c r="C1387" s="1230" t="s">
        <v>2540</v>
      </c>
      <c r="D1387" s="53" t="s">
        <v>2449</v>
      </c>
      <c r="F1387" s="53">
        <v>2000</v>
      </c>
      <c r="H1387" s="53" t="s">
        <v>5201</v>
      </c>
    </row>
    <row r="1388" spans="1:8">
      <c r="A1388" s="1861" t="s">
        <v>346</v>
      </c>
      <c r="C1388" s="1230" t="s">
        <v>2541</v>
      </c>
      <c r="D1388" s="53" t="s">
        <v>2449</v>
      </c>
      <c r="F1388" s="53">
        <v>2000</v>
      </c>
      <c r="H1388" s="53" t="s">
        <v>5201</v>
      </c>
    </row>
    <row r="1389" spans="1:8">
      <c r="A1389" s="1861" t="s">
        <v>1114</v>
      </c>
      <c r="C1389" s="1230" t="s">
        <v>2542</v>
      </c>
      <c r="D1389" s="53" t="s">
        <v>2449</v>
      </c>
      <c r="F1389" s="53">
        <v>2000</v>
      </c>
      <c r="H1389" s="53" t="s">
        <v>5201</v>
      </c>
    </row>
    <row r="1390" spans="1:8">
      <c r="A1390" s="1861" t="s">
        <v>1115</v>
      </c>
      <c r="C1390" s="1230" t="s">
        <v>2543</v>
      </c>
      <c r="D1390" s="53" t="s">
        <v>2449</v>
      </c>
      <c r="F1390" s="53">
        <v>2000</v>
      </c>
      <c r="H1390" s="53" t="s">
        <v>5201</v>
      </c>
    </row>
    <row r="1391" spans="1:8">
      <c r="A1391" s="1861" t="s">
        <v>1116</v>
      </c>
      <c r="C1391" s="1230" t="s">
        <v>2544</v>
      </c>
      <c r="D1391" s="53" t="s">
        <v>2449</v>
      </c>
      <c r="F1391" s="53">
        <v>2000</v>
      </c>
      <c r="H1391" s="53" t="s">
        <v>5201</v>
      </c>
    </row>
    <row r="1392" spans="1:8">
      <c r="A1392" s="1861" t="s">
        <v>1117</v>
      </c>
      <c r="C1392" s="1230" t="s">
        <v>2545</v>
      </c>
      <c r="D1392" s="53" t="s">
        <v>2449</v>
      </c>
      <c r="F1392" s="53">
        <v>2000</v>
      </c>
      <c r="H1392" s="53" t="s">
        <v>5201</v>
      </c>
    </row>
    <row r="1393" spans="1:8">
      <c r="A1393" s="1861" t="s">
        <v>1118</v>
      </c>
      <c r="C1393" s="1230" t="s">
        <v>2546</v>
      </c>
      <c r="D1393" s="53" t="s">
        <v>2449</v>
      </c>
      <c r="F1393" s="53">
        <v>2000</v>
      </c>
      <c r="H1393" s="53" t="s">
        <v>5201</v>
      </c>
    </row>
    <row r="1394" spans="1:8">
      <c r="A1394" s="1861" t="s">
        <v>1862</v>
      </c>
      <c r="C1394" s="1230" t="s">
        <v>2547</v>
      </c>
      <c r="D1394" s="53" t="s">
        <v>2449</v>
      </c>
      <c r="F1394" s="53">
        <v>2000</v>
      </c>
      <c r="H1394" s="53" t="s">
        <v>5201</v>
      </c>
    </row>
    <row r="1395" spans="1:8">
      <c r="A1395" s="1861" t="s">
        <v>340</v>
      </c>
      <c r="C1395" s="1230" t="s">
        <v>2548</v>
      </c>
      <c r="D1395" s="53" t="s">
        <v>2449</v>
      </c>
      <c r="F1395" s="53">
        <v>2000</v>
      </c>
      <c r="H1395" s="53" t="s">
        <v>5201</v>
      </c>
    </row>
    <row r="1396" spans="1:8">
      <c r="A1396" s="1861" t="s">
        <v>1273</v>
      </c>
      <c r="C1396" s="1230" t="s">
        <v>2549</v>
      </c>
      <c r="D1396" s="53" t="s">
        <v>2449</v>
      </c>
      <c r="F1396" s="53">
        <v>2000</v>
      </c>
      <c r="H1396" s="53" t="s">
        <v>5201</v>
      </c>
    </row>
    <row r="1397" spans="1:8">
      <c r="A1397" s="1861" t="s">
        <v>820</v>
      </c>
      <c r="C1397" s="1230" t="s">
        <v>2550</v>
      </c>
      <c r="D1397" s="53" t="s">
        <v>2449</v>
      </c>
      <c r="F1397" s="53">
        <v>2000</v>
      </c>
      <c r="H1397" s="53" t="s">
        <v>5201</v>
      </c>
    </row>
    <row r="1398" spans="1:8">
      <c r="A1398" s="1861" t="s">
        <v>1119</v>
      </c>
      <c r="C1398" s="1230" t="s">
        <v>2551</v>
      </c>
      <c r="D1398" s="53" t="s">
        <v>2449</v>
      </c>
      <c r="F1398" s="53">
        <v>2000</v>
      </c>
      <c r="H1398" s="53" t="s">
        <v>5201</v>
      </c>
    </row>
    <row r="1399" spans="1:8">
      <c r="A1399" s="1861" t="s">
        <v>1120</v>
      </c>
      <c r="C1399" s="1230" t="s">
        <v>2552</v>
      </c>
      <c r="D1399" s="53" t="s">
        <v>2449</v>
      </c>
      <c r="F1399" s="53">
        <v>2000</v>
      </c>
      <c r="H1399" s="53" t="s">
        <v>5201</v>
      </c>
    </row>
    <row r="1400" spans="1:8">
      <c r="A1400" s="1861" t="s">
        <v>1544</v>
      </c>
      <c r="C1400" s="1230" t="s">
        <v>2553</v>
      </c>
      <c r="D1400" s="53" t="s">
        <v>2449</v>
      </c>
      <c r="F1400" s="53">
        <v>2000</v>
      </c>
      <c r="H1400" s="53" t="s">
        <v>5201</v>
      </c>
    </row>
    <row r="1401" spans="1:8">
      <c r="A1401" s="1861" t="s">
        <v>1545</v>
      </c>
      <c r="C1401" s="1230" t="s">
        <v>2554</v>
      </c>
      <c r="D1401" s="53" t="s">
        <v>2449</v>
      </c>
      <c r="F1401" s="53">
        <v>2000</v>
      </c>
      <c r="H1401" s="53" t="s">
        <v>5201</v>
      </c>
    </row>
    <row r="1402" spans="1:8">
      <c r="A1402" s="1861" t="s">
        <v>1624</v>
      </c>
      <c r="C1402" s="1230" t="s">
        <v>2555</v>
      </c>
      <c r="D1402" s="53" t="s">
        <v>2449</v>
      </c>
      <c r="F1402" s="53">
        <v>2000</v>
      </c>
      <c r="H1402" s="53" t="s">
        <v>5201</v>
      </c>
    </row>
    <row r="1403" spans="1:8">
      <c r="A1403" s="1861" t="s">
        <v>1121</v>
      </c>
      <c r="C1403" s="1230" t="s">
        <v>2556</v>
      </c>
      <c r="D1403" s="53" t="s">
        <v>2449</v>
      </c>
      <c r="F1403" s="53">
        <v>2000</v>
      </c>
      <c r="H1403" s="53" t="s">
        <v>5201</v>
      </c>
    </row>
    <row r="1404" spans="1:8">
      <c r="A1404" s="1861" t="s">
        <v>2208</v>
      </c>
      <c r="C1404" s="1230" t="s">
        <v>2557</v>
      </c>
      <c r="D1404" s="53" t="s">
        <v>2449</v>
      </c>
      <c r="F1404" s="53">
        <v>2000</v>
      </c>
      <c r="H1404" s="53" t="s">
        <v>5201</v>
      </c>
    </row>
    <row r="1405" spans="1:8">
      <c r="A1405" s="1861" t="s">
        <v>1122</v>
      </c>
      <c r="C1405" s="1230" t="s">
        <v>2558</v>
      </c>
      <c r="D1405" s="53" t="s">
        <v>2449</v>
      </c>
      <c r="F1405" s="53">
        <v>2000</v>
      </c>
      <c r="H1405" s="53" t="s">
        <v>5201</v>
      </c>
    </row>
    <row r="1406" spans="1:8">
      <c r="A1406" s="1861" t="s">
        <v>2209</v>
      </c>
      <c r="C1406" s="1230" t="s">
        <v>2559</v>
      </c>
      <c r="D1406" s="53" t="s">
        <v>2449</v>
      </c>
      <c r="F1406" s="53">
        <v>2000</v>
      </c>
      <c r="H1406" s="53" t="s">
        <v>5201</v>
      </c>
    </row>
    <row r="1407" spans="1:8">
      <c r="A1407" s="1861" t="s">
        <v>1123</v>
      </c>
      <c r="C1407" s="1230" t="s">
        <v>2560</v>
      </c>
      <c r="D1407" s="53" t="s">
        <v>2449</v>
      </c>
      <c r="F1407" s="53">
        <v>2000</v>
      </c>
      <c r="H1407" s="53" t="s">
        <v>5201</v>
      </c>
    </row>
    <row r="1408" spans="1:8">
      <c r="A1408" s="1861" t="s">
        <v>2099</v>
      </c>
      <c r="C1408" s="1230" t="s">
        <v>2561</v>
      </c>
      <c r="D1408" s="53" t="s">
        <v>2449</v>
      </c>
      <c r="F1408" s="53">
        <v>2000</v>
      </c>
      <c r="H1408" s="53" t="s">
        <v>5201</v>
      </c>
    </row>
    <row r="1409" spans="1:8">
      <c r="A1409" s="1861" t="s">
        <v>1124</v>
      </c>
      <c r="C1409" s="1230" t="s">
        <v>2562</v>
      </c>
      <c r="D1409" s="53" t="s">
        <v>2449</v>
      </c>
      <c r="F1409" s="53">
        <v>2000</v>
      </c>
      <c r="H1409" s="53" t="s">
        <v>5201</v>
      </c>
    </row>
    <row r="1410" spans="1:8">
      <c r="A1410" s="1230" t="s">
        <v>28</v>
      </c>
      <c r="C1410" s="1230" t="s">
        <v>4653</v>
      </c>
      <c r="D1410" s="53" t="s">
        <v>2364</v>
      </c>
      <c r="F1410" s="53">
        <v>2000</v>
      </c>
      <c r="H1410" s="53" t="s">
        <v>5201</v>
      </c>
    </row>
    <row r="1411" spans="1:8">
      <c r="A1411" s="1230" t="s">
        <v>750</v>
      </c>
      <c r="C1411" s="1230" t="s">
        <v>2591</v>
      </c>
      <c r="D1411" s="53" t="s">
        <v>2364</v>
      </c>
      <c r="F1411" s="53">
        <v>2000</v>
      </c>
      <c r="H1411" s="53" t="s">
        <v>5201</v>
      </c>
    </row>
    <row r="1412" spans="1:8">
      <c r="A1412" s="1230" t="s">
        <v>1972</v>
      </c>
      <c r="C1412" s="1230" t="s">
        <v>4734</v>
      </c>
      <c r="D1412" s="53" t="s">
        <v>2364</v>
      </c>
      <c r="F1412" s="53">
        <v>2000</v>
      </c>
      <c r="H1412" s="53" t="s">
        <v>5201</v>
      </c>
    </row>
    <row r="1413" spans="1:8">
      <c r="A1413" s="1230" t="s">
        <v>2031</v>
      </c>
      <c r="C1413" s="1230" t="s">
        <v>2620</v>
      </c>
      <c r="D1413" s="53" t="s">
        <v>2364</v>
      </c>
      <c r="F1413" s="53">
        <v>2000</v>
      </c>
      <c r="H1413" s="53" t="s">
        <v>5201</v>
      </c>
    </row>
    <row r="1414" spans="1:8">
      <c r="A1414" s="1230" t="s">
        <v>285</v>
      </c>
      <c r="C1414" s="1230" t="s">
        <v>2625</v>
      </c>
      <c r="D1414" s="53" t="s">
        <v>2364</v>
      </c>
      <c r="F1414" s="53">
        <v>2000</v>
      </c>
      <c r="H1414" s="53" t="s">
        <v>5201</v>
      </c>
    </row>
    <row r="1415" spans="1:8">
      <c r="A1415" s="1230" t="s">
        <v>31</v>
      </c>
      <c r="C1415" s="1230" t="s">
        <v>2629</v>
      </c>
      <c r="D1415" s="53" t="s">
        <v>2364</v>
      </c>
      <c r="F1415" s="53">
        <v>2000</v>
      </c>
      <c r="H1415" s="53" t="s">
        <v>5201</v>
      </c>
    </row>
    <row r="1416" spans="1:8">
      <c r="A1416" s="1230" t="s">
        <v>163</v>
      </c>
      <c r="C1416" s="1230" t="s">
        <v>2630</v>
      </c>
      <c r="D1416" s="53" t="s">
        <v>2364</v>
      </c>
      <c r="F1416" s="53">
        <v>2000</v>
      </c>
      <c r="H1416" s="53" t="s">
        <v>5201</v>
      </c>
    </row>
    <row r="1417" spans="1:8">
      <c r="A1417" s="1230" t="s">
        <v>1550</v>
      </c>
      <c r="C1417" s="1230" t="s">
        <v>2631</v>
      </c>
      <c r="F1417" s="53">
        <v>2000</v>
      </c>
      <c r="H1417" s="53" t="s">
        <v>5201</v>
      </c>
    </row>
    <row r="1418" spans="1:8">
      <c r="A1418" s="1230" t="s">
        <v>594</v>
      </c>
      <c r="C1418" s="1230" t="s">
        <v>2632</v>
      </c>
      <c r="F1418" s="53">
        <v>2000</v>
      </c>
      <c r="H1418" s="53" t="s">
        <v>5201</v>
      </c>
    </row>
    <row r="1419" spans="1:8">
      <c r="A1419" s="1230" t="s">
        <v>1975</v>
      </c>
      <c r="C1419" s="1230" t="s">
        <v>2633</v>
      </c>
      <c r="F1419" s="53">
        <v>2000</v>
      </c>
      <c r="H1419" s="53" t="s">
        <v>5201</v>
      </c>
    </row>
    <row r="1420" spans="1:8">
      <c r="A1420" s="1230" t="s">
        <v>1169</v>
      </c>
      <c r="C1420" s="1230" t="s">
        <v>2634</v>
      </c>
      <c r="F1420" s="53">
        <v>2000</v>
      </c>
      <c r="H1420" s="53" t="s">
        <v>5201</v>
      </c>
    </row>
    <row r="1421" spans="1:8">
      <c r="A1421" s="1230" t="s">
        <v>2375</v>
      </c>
      <c r="C1421" s="1230" t="s">
        <v>2635</v>
      </c>
      <c r="F1421" s="53">
        <v>2000</v>
      </c>
      <c r="H1421" s="53" t="s">
        <v>5201</v>
      </c>
    </row>
    <row r="1422" spans="1:8">
      <c r="A1422" s="1230" t="s">
        <v>1952</v>
      </c>
      <c r="C1422" s="1230" t="s">
        <v>2636</v>
      </c>
      <c r="F1422" s="53">
        <v>2000</v>
      </c>
      <c r="H1422" s="53" t="s">
        <v>5201</v>
      </c>
    </row>
    <row r="1423" spans="1:8">
      <c r="A1423" s="1230" t="s">
        <v>976</v>
      </c>
      <c r="C1423" s="1230" t="s">
        <v>2637</v>
      </c>
      <c r="F1423" s="53">
        <v>2000</v>
      </c>
      <c r="H1423" s="53" t="s">
        <v>5201</v>
      </c>
    </row>
    <row r="1424" spans="1:8">
      <c r="A1424" s="1230" t="s">
        <v>1074</v>
      </c>
      <c r="C1424" s="1230" t="s">
        <v>2638</v>
      </c>
      <c r="F1424" s="53">
        <v>2000</v>
      </c>
      <c r="H1424" s="53" t="s">
        <v>5201</v>
      </c>
    </row>
    <row r="1425" spans="1:8">
      <c r="A1425" s="1230" t="s">
        <v>1075</v>
      </c>
      <c r="C1425" s="1230" t="s">
        <v>2639</v>
      </c>
      <c r="D1425" s="53" t="s">
        <v>2640</v>
      </c>
      <c r="F1425" s="53">
        <v>2000</v>
      </c>
      <c r="H1425" s="53" t="s">
        <v>5201</v>
      </c>
    </row>
    <row r="1426" spans="1:8">
      <c r="A1426" s="1230" t="s">
        <v>1076</v>
      </c>
      <c r="C1426" s="1230" t="s">
        <v>2641</v>
      </c>
      <c r="D1426" s="53" t="s">
        <v>2642</v>
      </c>
      <c r="F1426" s="53">
        <v>2000</v>
      </c>
      <c r="H1426" s="53" t="s">
        <v>5201</v>
      </c>
    </row>
    <row r="1427" spans="1:8">
      <c r="A1427" s="1230" t="s">
        <v>1077</v>
      </c>
      <c r="C1427" s="1230" t="s">
        <v>2643</v>
      </c>
      <c r="D1427" s="53" t="s">
        <v>2391</v>
      </c>
      <c r="F1427" s="53">
        <v>2000</v>
      </c>
      <c r="H1427" s="53" t="s">
        <v>5201</v>
      </c>
    </row>
    <row r="1428" spans="1:8" ht="16.8">
      <c r="A1428" s="1743" t="s">
        <v>2563</v>
      </c>
      <c r="C1428" s="1230" t="s">
        <v>2564</v>
      </c>
      <c r="D1428" s="53" t="s">
        <v>2503</v>
      </c>
      <c r="F1428" s="53">
        <v>2000</v>
      </c>
      <c r="H1428" s="53" t="s">
        <v>5201</v>
      </c>
    </row>
    <row r="1429" spans="1:8" ht="16.8">
      <c r="A1429" s="1743" t="s">
        <v>1673</v>
      </c>
      <c r="C1429" s="1230" t="s">
        <v>2565</v>
      </c>
      <c r="D1429" s="53" t="s">
        <v>2503</v>
      </c>
      <c r="F1429" s="53">
        <v>2000</v>
      </c>
      <c r="H1429" s="53" t="s">
        <v>5201</v>
      </c>
    </row>
    <row r="1430" spans="1:8" ht="16.8">
      <c r="A1430" s="1743" t="s">
        <v>1674</v>
      </c>
      <c r="C1430" s="1230" t="s">
        <v>2566</v>
      </c>
      <c r="D1430" s="53" t="s">
        <v>2503</v>
      </c>
      <c r="F1430" s="53">
        <v>2000</v>
      </c>
      <c r="H1430" s="53" t="s">
        <v>5201</v>
      </c>
    </row>
    <row r="1431" spans="1:8" ht="16.8">
      <c r="A1431" s="1743" t="s">
        <v>2222</v>
      </c>
      <c r="C1431" s="1230" t="s">
        <v>2567</v>
      </c>
      <c r="D1431" s="53" t="s">
        <v>2503</v>
      </c>
      <c r="F1431" s="53">
        <v>2000</v>
      </c>
      <c r="H1431" s="53" t="s">
        <v>5201</v>
      </c>
    </row>
    <row r="1432" spans="1:8" ht="16.8">
      <c r="A1432" s="1743" t="s">
        <v>2568</v>
      </c>
      <c r="C1432" s="1230" t="s">
        <v>2569</v>
      </c>
      <c r="D1432" s="53" t="s">
        <v>2503</v>
      </c>
      <c r="F1432" s="53">
        <v>2000</v>
      </c>
      <c r="H1432" s="53" t="s">
        <v>5201</v>
      </c>
    </row>
    <row r="1433" spans="1:8" ht="16.8">
      <c r="A1433" s="1743" t="s">
        <v>2570</v>
      </c>
      <c r="C1433" s="1230" t="s">
        <v>2571</v>
      </c>
      <c r="D1433" s="53" t="s">
        <v>2503</v>
      </c>
      <c r="F1433" s="53">
        <v>2000</v>
      </c>
      <c r="H1433" s="53" t="s">
        <v>5201</v>
      </c>
    </row>
    <row r="1434" spans="1:8" ht="16.8">
      <c r="A1434" s="1743" t="s">
        <v>2572</v>
      </c>
      <c r="C1434" s="1230" t="s">
        <v>2573</v>
      </c>
      <c r="D1434" s="53" t="s">
        <v>2503</v>
      </c>
      <c r="F1434" s="53">
        <v>2000</v>
      </c>
      <c r="H1434" s="53" t="s">
        <v>5201</v>
      </c>
    </row>
    <row r="1435" spans="1:8" ht="16.8">
      <c r="A1435" s="1743" t="s">
        <v>2574</v>
      </c>
      <c r="C1435" s="1230" t="s">
        <v>2575</v>
      </c>
      <c r="D1435" s="53" t="s">
        <v>2503</v>
      </c>
      <c r="F1435" s="53">
        <v>2000</v>
      </c>
      <c r="H1435" s="53" t="s">
        <v>5201</v>
      </c>
    </row>
    <row r="1436" spans="1:8" ht="16.8">
      <c r="A1436" s="1743" t="s">
        <v>2577</v>
      </c>
      <c r="C1436" s="1230" t="s">
        <v>2578</v>
      </c>
      <c r="D1436" s="53" t="s">
        <v>2503</v>
      </c>
      <c r="F1436" s="53">
        <v>2000</v>
      </c>
      <c r="H1436" s="53" t="s">
        <v>5201</v>
      </c>
    </row>
    <row r="1437" spans="1:8" ht="16.8">
      <c r="A1437" s="1743" t="s">
        <v>2579</v>
      </c>
      <c r="C1437" s="1230" t="s">
        <v>2580</v>
      </c>
      <c r="D1437" s="53" t="s">
        <v>2503</v>
      </c>
      <c r="F1437" s="53">
        <v>2000</v>
      </c>
      <c r="H1437" s="53" t="s">
        <v>5201</v>
      </c>
    </row>
    <row r="1438" spans="1:8" ht="16.8">
      <c r="A1438" s="1743" t="s">
        <v>2593</v>
      </c>
      <c r="C1438" s="1230" t="s">
        <v>2594</v>
      </c>
      <c r="D1438" s="53" t="s">
        <v>2503</v>
      </c>
      <c r="F1438" s="53">
        <v>2000</v>
      </c>
      <c r="H1438" s="53" t="s">
        <v>5201</v>
      </c>
    </row>
    <row r="1439" spans="1:8" ht="16.8">
      <c r="A1439" s="1743" t="s">
        <v>2598</v>
      </c>
      <c r="C1439" s="1230" t="s">
        <v>2599</v>
      </c>
      <c r="D1439" s="53" t="s">
        <v>2503</v>
      </c>
      <c r="F1439" s="53">
        <v>2000</v>
      </c>
      <c r="H1439" s="53" t="s">
        <v>5201</v>
      </c>
    </row>
    <row r="1440" spans="1:8" ht="16.8">
      <c r="A1440" s="1743" t="s">
        <v>2600</v>
      </c>
      <c r="C1440" s="1230" t="s">
        <v>2601</v>
      </c>
      <c r="D1440" s="53" t="s">
        <v>2503</v>
      </c>
      <c r="F1440" s="53">
        <v>2000</v>
      </c>
      <c r="H1440" s="53" t="s">
        <v>5201</v>
      </c>
    </row>
    <row r="1441" spans="1:8" ht="16.8">
      <c r="A1441" s="1743" t="s">
        <v>537</v>
      </c>
      <c r="C1441" s="1230" t="s">
        <v>2602</v>
      </c>
      <c r="D1441" s="53" t="s">
        <v>2503</v>
      </c>
      <c r="F1441" s="53">
        <v>2000</v>
      </c>
      <c r="H1441" s="53" t="s">
        <v>5201</v>
      </c>
    </row>
    <row r="1442" spans="1:8" ht="16.8">
      <c r="A1442" s="1743" t="s">
        <v>2606</v>
      </c>
      <c r="C1442" s="1230" t="s">
        <v>2580</v>
      </c>
      <c r="D1442" s="53" t="s">
        <v>2503</v>
      </c>
      <c r="F1442" s="53">
        <v>2000</v>
      </c>
      <c r="H1442" s="53" t="s">
        <v>5201</v>
      </c>
    </row>
    <row r="1443" spans="1:8" ht="16.8">
      <c r="A1443" s="1743" t="s">
        <v>2607</v>
      </c>
      <c r="C1443" s="1230" t="s">
        <v>2608</v>
      </c>
      <c r="D1443" s="53" t="s">
        <v>2503</v>
      </c>
      <c r="F1443" s="53">
        <v>2000</v>
      </c>
      <c r="H1443" s="53" t="s">
        <v>5201</v>
      </c>
    </row>
    <row r="1448" spans="1:8">
      <c r="A1448" s="1230" t="s">
        <v>4948</v>
      </c>
      <c r="C1448" s="1230" t="s">
        <v>5204</v>
      </c>
      <c r="D1448" s="53" t="s">
        <v>873</v>
      </c>
      <c r="F1448" s="53">
        <v>2000</v>
      </c>
      <c r="H1448" s="53">
        <v>0.87</v>
      </c>
    </row>
    <row r="1449" spans="1:8">
      <c r="A1449" s="1230" t="s">
        <v>4949</v>
      </c>
      <c r="C1449" s="1230" t="s">
        <v>5011</v>
      </c>
      <c r="D1449" s="53" t="s">
        <v>873</v>
      </c>
      <c r="F1449" s="53">
        <v>1999</v>
      </c>
      <c r="H1449" s="53">
        <v>1.5100000000000001E-2</v>
      </c>
    </row>
    <row r="1450" spans="1:8">
      <c r="A1450" s="1230" t="s">
        <v>4950</v>
      </c>
      <c r="C1450" s="1230" t="s">
        <v>5012</v>
      </c>
      <c r="D1450" s="53" t="s">
        <v>873</v>
      </c>
      <c r="F1450" s="53">
        <v>1999</v>
      </c>
      <c r="H1450" s="53">
        <v>9.4999999999999998E-3</v>
      </c>
    </row>
    <row r="1451" spans="1:8">
      <c r="A1451" s="1230" t="s">
        <v>4951</v>
      </c>
      <c r="C1451" s="1230" t="s">
        <v>5013</v>
      </c>
      <c r="D1451" s="53" t="s">
        <v>873</v>
      </c>
      <c r="F1451" s="53">
        <v>1999</v>
      </c>
      <c r="H1451" s="53">
        <v>3.56E-2</v>
      </c>
    </row>
    <row r="1452" spans="1:8">
      <c r="A1452" s="1230" t="s">
        <v>4952</v>
      </c>
      <c r="C1452" s="1230" t="s">
        <v>5014</v>
      </c>
      <c r="D1452" s="53" t="s">
        <v>873</v>
      </c>
      <c r="F1452" s="53">
        <v>2000</v>
      </c>
      <c r="H1452" s="53">
        <v>1.93</v>
      </c>
    </row>
    <row r="1453" spans="1:8">
      <c r="A1453" s="1230" t="s">
        <v>4953</v>
      </c>
      <c r="C1453" s="1230" t="s">
        <v>5015</v>
      </c>
      <c r="D1453" s="53" t="s">
        <v>2503</v>
      </c>
      <c r="F1453" s="53">
        <v>50</v>
      </c>
      <c r="H1453" s="53">
        <v>1</v>
      </c>
    </row>
    <row r="1454" spans="1:8">
      <c r="A1454" s="1230" t="s">
        <v>4954</v>
      </c>
      <c r="C1454" s="1230" t="s">
        <v>5016</v>
      </c>
      <c r="D1454" s="53" t="s">
        <v>4984</v>
      </c>
      <c r="F1454" s="53">
        <v>997</v>
      </c>
      <c r="H1454" s="53">
        <v>4.4999999999999998E-2</v>
      </c>
    </row>
    <row r="1455" spans="1:8">
      <c r="A1455" s="1230" t="s">
        <v>4956</v>
      </c>
      <c r="C1455" s="1230" t="s">
        <v>5026</v>
      </c>
      <c r="D1455" s="53" t="s">
        <v>2897</v>
      </c>
      <c r="F1455" s="53">
        <v>2</v>
      </c>
      <c r="H1455" s="53">
        <v>1</v>
      </c>
    </row>
    <row r="1456" spans="1:8">
      <c r="A1456" s="1230" t="s">
        <v>4957</v>
      </c>
      <c r="C1456" s="1230" t="s">
        <v>5030</v>
      </c>
      <c r="D1456" s="53" t="s">
        <v>4991</v>
      </c>
      <c r="F1456" s="53">
        <v>50</v>
      </c>
      <c r="H1456" s="53">
        <v>2</v>
      </c>
    </row>
    <row r="1457" spans="1:8">
      <c r="A1457" s="1230" t="s">
        <v>4958</v>
      </c>
      <c r="C1457" s="1230" t="s">
        <v>5031</v>
      </c>
      <c r="D1457" s="53" t="s">
        <v>4991</v>
      </c>
      <c r="F1457" s="53">
        <v>50</v>
      </c>
      <c r="H1457" s="53">
        <v>4</v>
      </c>
    </row>
    <row r="1458" spans="1:8">
      <c r="A1458" s="1230" t="s">
        <v>4959</v>
      </c>
      <c r="C1458" s="1230" t="s">
        <v>5034</v>
      </c>
      <c r="D1458" s="53" t="s">
        <v>4991</v>
      </c>
      <c r="F1458" s="53">
        <v>50</v>
      </c>
      <c r="H1458" s="53">
        <v>1</v>
      </c>
    </row>
    <row r="1459" spans="1:8">
      <c r="A1459" s="1230" t="s">
        <v>4960</v>
      </c>
      <c r="C1459" s="1230" t="s">
        <v>5035</v>
      </c>
      <c r="D1459" s="53" t="s">
        <v>4991</v>
      </c>
      <c r="F1459" s="53">
        <v>50</v>
      </c>
      <c r="H1459" s="53">
        <v>1</v>
      </c>
    </row>
    <row r="1460" spans="1:8">
      <c r="A1460" s="1230" t="s">
        <v>4961</v>
      </c>
      <c r="C1460" s="1230" t="s">
        <v>5036</v>
      </c>
      <c r="D1460" s="53" t="s">
        <v>2503</v>
      </c>
      <c r="F1460" s="53">
        <v>55</v>
      </c>
      <c r="H1460" s="53">
        <v>1</v>
      </c>
    </row>
    <row r="1461" spans="1:8">
      <c r="A1461" s="1230" t="s">
        <v>4962</v>
      </c>
      <c r="C1461" s="1230" t="s">
        <v>5037</v>
      </c>
      <c r="D1461" s="53" t="s">
        <v>2503</v>
      </c>
      <c r="F1461" s="53">
        <v>50</v>
      </c>
      <c r="H1461" s="53">
        <v>1</v>
      </c>
    </row>
    <row r="1462" spans="1:8">
      <c r="A1462" s="1230" t="s">
        <v>4963</v>
      </c>
      <c r="C1462" s="1230" t="s">
        <v>5041</v>
      </c>
      <c r="D1462" s="53" t="s">
        <v>2621</v>
      </c>
      <c r="F1462" s="53">
        <v>50</v>
      </c>
      <c r="H1462" s="53">
        <v>1</v>
      </c>
    </row>
    <row r="1463" spans="1:8">
      <c r="A1463" s="1230" t="s">
        <v>4964</v>
      </c>
      <c r="C1463" s="1230" t="s">
        <v>5047</v>
      </c>
      <c r="D1463" s="53" t="s">
        <v>2596</v>
      </c>
      <c r="F1463" s="53">
        <v>50</v>
      </c>
      <c r="H1463" s="53">
        <v>162</v>
      </c>
    </row>
    <row r="1464" spans="1:8">
      <c r="A1464" s="1230" t="s">
        <v>4965</v>
      </c>
      <c r="C1464" s="1230" t="s">
        <v>5053</v>
      </c>
      <c r="D1464" s="53" t="s">
        <v>2621</v>
      </c>
      <c r="F1464" s="53">
        <v>50</v>
      </c>
      <c r="H1464" s="53">
        <v>96</v>
      </c>
    </row>
    <row r="1465" spans="1:8">
      <c r="A1465" s="1230" t="s">
        <v>4966</v>
      </c>
      <c r="C1465" s="1230" t="s">
        <v>5054</v>
      </c>
      <c r="D1465" s="53" t="s">
        <v>2621</v>
      </c>
      <c r="F1465" s="53">
        <v>50</v>
      </c>
      <c r="H1465" s="53">
        <v>19</v>
      </c>
    </row>
    <row r="1466" spans="1:8">
      <c r="A1466" s="1230" t="s">
        <v>4967</v>
      </c>
      <c r="C1466" s="1230" t="s">
        <v>5055</v>
      </c>
      <c r="D1466" s="53" t="s">
        <v>2621</v>
      </c>
      <c r="F1466" s="53">
        <v>50</v>
      </c>
      <c r="H1466" s="53">
        <v>10</v>
      </c>
    </row>
    <row r="1467" spans="1:8">
      <c r="A1467" s="1230" t="s">
        <v>4969</v>
      </c>
      <c r="C1467" s="1230" t="s">
        <v>5056</v>
      </c>
      <c r="D1467" s="53" t="s">
        <v>2621</v>
      </c>
      <c r="F1467" s="53">
        <v>50</v>
      </c>
      <c r="H1467" s="53">
        <v>70</v>
      </c>
    </row>
    <row r="1468" spans="1:8">
      <c r="A1468" s="1230" t="s">
        <v>4970</v>
      </c>
      <c r="C1468" s="1230" t="s">
        <v>5057</v>
      </c>
      <c r="D1468" s="53" t="s">
        <v>2621</v>
      </c>
      <c r="F1468" s="53">
        <v>50</v>
      </c>
      <c r="H1468" s="53">
        <v>100</v>
      </c>
    </row>
    <row r="1469" spans="1:8">
      <c r="A1469" s="1230" t="s">
        <v>4971</v>
      </c>
      <c r="C1469" s="1230" t="s">
        <v>5061</v>
      </c>
      <c r="D1469" s="53" t="s">
        <v>1876</v>
      </c>
      <c r="F1469" s="53">
        <v>50</v>
      </c>
      <c r="H1469" s="53">
        <v>15</v>
      </c>
    </row>
    <row r="1470" spans="1:8">
      <c r="A1470" s="1230" t="s">
        <v>4972</v>
      </c>
      <c r="C1470" s="1230" t="s">
        <v>5064</v>
      </c>
      <c r="D1470" s="53" t="s">
        <v>2503</v>
      </c>
      <c r="F1470" s="53">
        <v>50</v>
      </c>
      <c r="H1470" s="53">
        <v>56</v>
      </c>
    </row>
    <row r="1471" spans="1:8">
      <c r="A1471" s="1230" t="s">
        <v>4973</v>
      </c>
      <c r="C1471" s="1230" t="s">
        <v>5065</v>
      </c>
      <c r="D1471" s="53" t="s">
        <v>2449</v>
      </c>
      <c r="F1471" s="53">
        <v>50</v>
      </c>
      <c r="H1471" s="53">
        <v>74</v>
      </c>
    </row>
    <row r="1472" spans="1:8">
      <c r="A1472" s="1230" t="s">
        <v>4974</v>
      </c>
      <c r="C1472" s="1230" t="s">
        <v>5066</v>
      </c>
      <c r="D1472" s="53" t="s">
        <v>2621</v>
      </c>
      <c r="F1472" s="53">
        <v>50</v>
      </c>
      <c r="H1472" s="53">
        <v>543</v>
      </c>
    </row>
    <row r="1473" spans="1:8">
      <c r="A1473" s="1230" t="s">
        <v>4975</v>
      </c>
      <c r="C1473" s="1230" t="s">
        <v>5067</v>
      </c>
      <c r="D1473" s="53" t="s">
        <v>2621</v>
      </c>
      <c r="F1473" s="53">
        <v>50</v>
      </c>
      <c r="H1473" s="53">
        <v>48</v>
      </c>
    </row>
    <row r="1474" spans="1:8">
      <c r="A1474" s="1230" t="s">
        <v>4976</v>
      </c>
      <c r="C1474" s="1230" t="s">
        <v>5070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9" priority="32"/>
  </conditionalFormatting>
  <conditionalFormatting sqref="A1097">
    <cfRule type="duplicateValues" dxfId="48" priority="31"/>
  </conditionalFormatting>
  <conditionalFormatting sqref="A442">
    <cfRule type="duplicateValues" dxfId="47" priority="30"/>
  </conditionalFormatting>
  <conditionalFormatting sqref="A303">
    <cfRule type="duplicateValues" dxfId="46" priority="29"/>
  </conditionalFormatting>
  <conditionalFormatting sqref="A1047">
    <cfRule type="duplicateValues" dxfId="45" priority="28"/>
  </conditionalFormatting>
  <conditionalFormatting sqref="A226">
    <cfRule type="duplicateValues" dxfId="44" priority="27"/>
  </conditionalFormatting>
  <conditionalFormatting sqref="A181">
    <cfRule type="duplicateValues" dxfId="43" priority="26"/>
  </conditionalFormatting>
  <conditionalFormatting sqref="A306">
    <cfRule type="duplicateValues" dxfId="42" priority="25"/>
  </conditionalFormatting>
  <conditionalFormatting sqref="A260">
    <cfRule type="duplicateValues" dxfId="41" priority="24"/>
  </conditionalFormatting>
  <conditionalFormatting sqref="A972">
    <cfRule type="duplicateValues" dxfId="40" priority="23"/>
  </conditionalFormatting>
  <conditionalFormatting sqref="A443">
    <cfRule type="duplicateValues" dxfId="39" priority="22"/>
  </conditionalFormatting>
  <conditionalFormatting sqref="A33">
    <cfRule type="duplicateValues" dxfId="38" priority="21"/>
  </conditionalFormatting>
  <conditionalFormatting sqref="A1428:A1443">
    <cfRule type="duplicateValues" dxfId="37" priority="20"/>
  </conditionalFormatting>
  <conditionalFormatting sqref="A1237">
    <cfRule type="duplicateValues" dxfId="36" priority="18"/>
  </conditionalFormatting>
  <conditionalFormatting sqref="A444">
    <cfRule type="duplicateValues" dxfId="35" priority="17"/>
  </conditionalFormatting>
  <conditionalFormatting sqref="A445">
    <cfRule type="duplicateValues" dxfId="34" priority="16"/>
  </conditionalFormatting>
  <conditionalFormatting sqref="A1325">
    <cfRule type="duplicateValues" dxfId="33" priority="15"/>
  </conditionalFormatting>
  <conditionalFormatting sqref="A1231:A1339 A1:A860 A931:A1123 A1125:A1229 A862:A929 A1341:A1343 A1345:A1048576">
    <cfRule type="duplicateValues" dxfId="32" priority="13"/>
  </conditionalFormatting>
  <conditionalFormatting sqref="A930">
    <cfRule type="duplicateValues" dxfId="31" priority="12"/>
  </conditionalFormatting>
  <conditionalFormatting sqref="A930">
    <cfRule type="duplicateValues" dxfId="30" priority="11"/>
  </conditionalFormatting>
  <conditionalFormatting sqref="A1230">
    <cfRule type="duplicateValues" dxfId="29" priority="10"/>
  </conditionalFormatting>
  <conditionalFormatting sqref="A1230">
    <cfRule type="duplicateValues" dxfId="28" priority="9"/>
  </conditionalFormatting>
  <conditionalFormatting sqref="A1124">
    <cfRule type="duplicateValues" dxfId="27" priority="8"/>
  </conditionalFormatting>
  <conditionalFormatting sqref="A1124">
    <cfRule type="duplicateValues" dxfId="26" priority="7"/>
  </conditionalFormatting>
  <conditionalFormatting sqref="A861">
    <cfRule type="duplicateValues" dxfId="25" priority="6"/>
  </conditionalFormatting>
  <conditionalFormatting sqref="A861">
    <cfRule type="duplicateValues" dxfId="24" priority="5"/>
  </conditionalFormatting>
  <conditionalFormatting sqref="A1340">
    <cfRule type="duplicateValues" dxfId="23" priority="4"/>
  </conditionalFormatting>
  <conditionalFormatting sqref="A1340">
    <cfRule type="duplicateValues" dxfId="22" priority="3"/>
  </conditionalFormatting>
  <conditionalFormatting sqref="A1344">
    <cfRule type="duplicateValues" dxfId="21" priority="2"/>
  </conditionalFormatting>
  <conditionalFormatting sqref="A1344">
    <cfRule type="duplicateValues" dxfId="20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421" t="s">
        <v>1761</v>
      </c>
      <c r="C4" s="2421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422"/>
      <c r="C5" s="2422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3.8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3.8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3.8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3.8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3.8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3.8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3.8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3.8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3.8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3.8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3.8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3.8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3.8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3.8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3.8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3.8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3.8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3.8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3.8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3.8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3.8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3.8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3.8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3.8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3.8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3.8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3.8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3.8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3.8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3.8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3.8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3.8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3.8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3.8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3.8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3.8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3.8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3.8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4.4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3.8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3.8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3.8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4.4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3.8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3.8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3.8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3.8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4.4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3.8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3.8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3.8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4.4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3.8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3.8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3.8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4.4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3.8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3.8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3.8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3.8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3.8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4.4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3.8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3.8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3.8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3.8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3.8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3.8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3.8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3.8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3.8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3.8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3.8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3.8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3.8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3.8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3.8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3.8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3.8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3.8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3.8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3.8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3.8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3.8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3.8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3.8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3.8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3.8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3.8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3.8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3.8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3.8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3.8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3.8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3.8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3.8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3.8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3.8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3.8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3.8">
      <c r="A197" s="13" t="s">
        <v>796</v>
      </c>
      <c r="B197" s="18" t="str">
        <f>IF(E197=0,"",COUNTIF($B$196:$B196,"&gt;0")+1)</f>
        <v/>
      </c>
      <c r="C197" s="16" t="e">
        <f>VLOOKUP($A197,dongia1,DG!$C$2,)</f>
        <v>#NAME?</v>
      </c>
      <c r="D197" s="19" t="e">
        <f>VLOOKUP($A197,dongia1,DG!$D$2,)</f>
        <v>#NAME?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3.8">
      <c r="A198" s="13" t="s">
        <v>680</v>
      </c>
      <c r="B198" s="18" t="str">
        <f>IF(E198=0,"",COUNTIF($B$196:$B197,"&gt;0")+1)</f>
        <v/>
      </c>
      <c r="C198" s="16" t="e">
        <f>VLOOKUP($A198,dongia1,DG!$C$2,)</f>
        <v>#NAME?</v>
      </c>
      <c r="D198" s="19" t="e">
        <f>VLOOKUP($A198,dongia1,DG!$D$2,)</f>
        <v>#NAME?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3.8">
      <c r="A199" s="13" t="s">
        <v>1951</v>
      </c>
      <c r="B199" s="18" t="str">
        <f>IF(E199=0,"",COUNTIF($B$196:$B198,"&gt;0")+1)</f>
        <v/>
      </c>
      <c r="C199" s="16" t="e">
        <f>VLOOKUP($A199,dongia1,DG!$C$2,)</f>
        <v>#NAME?</v>
      </c>
      <c r="D199" s="19" t="e">
        <f>VLOOKUP($A199,dongia1,DG!$D$2,)</f>
        <v>#NAME?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3.8">
      <c r="A200" s="13" t="s">
        <v>449</v>
      </c>
      <c r="B200" s="18" t="str">
        <f>IF(E200=0,"",COUNTIF($B$196:$B199,"&gt;0")+1)</f>
        <v/>
      </c>
      <c r="C200" s="16" t="e">
        <f>VLOOKUP($A200,dongia1,DG!$C$2,)</f>
        <v>#NAME?</v>
      </c>
      <c r="D200" s="19" t="e">
        <f>VLOOKUP($A200,dongia1,DG!$D$2,)</f>
        <v>#NAME?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3.8">
      <c r="A201" s="13" t="s">
        <v>1974</v>
      </c>
      <c r="B201" s="18" t="str">
        <f>IF(E201=0,"",COUNTIF($B$196:$B200,"&gt;0")+1)</f>
        <v/>
      </c>
      <c r="C201" s="16" t="e">
        <f>VLOOKUP($A201,dongia1,DG!$C$2,)</f>
        <v>#NAME?</v>
      </c>
      <c r="D201" s="19" t="e">
        <f>VLOOKUP($A201,dongia1,DG!$D$2,)</f>
        <v>#NAME?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3.8">
      <c r="A202" s="13" t="s">
        <v>397</v>
      </c>
      <c r="B202" s="18" t="str">
        <f>IF(E202=0,"",COUNTIF($B$196:$B201,"&gt;0")+1)</f>
        <v/>
      </c>
      <c r="C202" s="16" t="e">
        <f>VLOOKUP($A202,dongia1,DG!$C$2,)</f>
        <v>#NAME?</v>
      </c>
      <c r="D202" s="19" t="e">
        <f>VLOOKUP($A202,dongia1,DG!$D$2,)</f>
        <v>#NAME?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3.8">
      <c r="A203" s="13" t="s">
        <v>1965</v>
      </c>
      <c r="B203" s="18" t="str">
        <f>IF(E203=0,"",COUNTIF($B$196:$B202,"&gt;0")+1)</f>
        <v/>
      </c>
      <c r="C203" s="16" t="e">
        <f>VLOOKUP($A203,dongia1,DG!$C$2,)</f>
        <v>#NAME?</v>
      </c>
      <c r="D203" s="19" t="e">
        <f>VLOOKUP($A203,dongia1,DG!$D$2,)</f>
        <v>#NAME?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3.8">
      <c r="A204" s="6" t="s">
        <v>396</v>
      </c>
      <c r="B204" s="18"/>
      <c r="C204" s="16" t="e">
        <f>VLOOKUP($A204,dongia1,DG!$C$2,)</f>
        <v>#NAME?</v>
      </c>
      <c r="D204" s="19" t="e">
        <f>VLOOKUP($A204,dongia1,DG!$D$2,)</f>
        <v>#NAME?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3.8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3.8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3.8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3.8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3.8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3.8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3.8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3.8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3.8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3.8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3.8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3.8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3.8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3.8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3.8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3.8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3.8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3.8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3.8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3.8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3.8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3.8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43" t="str">
        <f>"Công trình: "&amp;WORD!W2</f>
        <v>Công trình: Nâng cấp đường dây trung thế từ recloser Xuân Bắc đến LBS khí Chế Biến tuyến 480 Xuân Bắc</v>
      </c>
      <c r="C3" s="1144"/>
      <c r="D3" s="258"/>
      <c r="E3" s="258"/>
      <c r="F3" s="258"/>
      <c r="G3" s="258"/>
      <c r="H3" s="258"/>
      <c r="I3" s="258"/>
      <c r="J3" s="234"/>
      <c r="K3" s="234"/>
      <c r="L3" s="234"/>
      <c r="M3" s="1145"/>
      <c r="N3" s="234"/>
      <c r="O3" s="234"/>
      <c r="P3" s="234"/>
      <c r="Q3" s="234"/>
      <c r="R3" s="234"/>
      <c r="S3" s="234"/>
      <c r="T3" s="234"/>
      <c r="U3" s="1146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46"/>
      <c r="BI3" s="234"/>
      <c r="BJ3" s="234"/>
      <c r="BK3" s="234"/>
      <c r="BL3" s="234"/>
      <c r="BM3" s="234"/>
      <c r="BN3" s="234"/>
      <c r="BO3" s="234"/>
      <c r="BP3" s="234"/>
      <c r="BQ3" s="234"/>
      <c r="BR3" s="1146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46"/>
      <c r="CK3" s="1146"/>
      <c r="CL3" s="1146"/>
      <c r="CM3" s="234"/>
      <c r="CN3" s="234"/>
      <c r="CO3" s="234"/>
      <c r="CP3" s="234"/>
      <c r="CQ3" s="234"/>
      <c r="CR3" s="234"/>
      <c r="CS3" s="234"/>
      <c r="CT3" s="1146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46"/>
      <c r="DI3" s="234"/>
      <c r="DJ3" s="1146"/>
      <c r="DK3" s="234"/>
      <c r="DL3" s="234"/>
      <c r="DM3" s="234"/>
      <c r="DN3" s="234"/>
      <c r="DO3" s="234"/>
      <c r="DP3" s="1146"/>
      <c r="DQ3" s="1146"/>
      <c r="DR3" s="1146"/>
      <c r="DS3" s="1146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46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46"/>
      <c r="FE3" s="234"/>
      <c r="FF3" s="234"/>
      <c r="FG3" s="234"/>
      <c r="FH3" s="234"/>
      <c r="FI3" s="234"/>
      <c r="FJ3" s="234"/>
      <c r="FK3" s="234"/>
      <c r="FL3" s="1146"/>
      <c r="FM3" s="234"/>
      <c r="FN3" s="234"/>
      <c r="FO3" s="1146"/>
      <c r="FP3" s="234"/>
      <c r="FQ3" s="234"/>
      <c r="FR3" s="234"/>
      <c r="FS3" s="1146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46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469" t="s">
        <v>3865</v>
      </c>
      <c r="B4" s="2433" t="s">
        <v>3866</v>
      </c>
      <c r="C4" s="2433" t="s">
        <v>4635</v>
      </c>
      <c r="D4" s="2433" t="s">
        <v>3867</v>
      </c>
      <c r="E4" s="2433" t="s">
        <v>3868</v>
      </c>
      <c r="F4" s="2433" t="s">
        <v>3869</v>
      </c>
      <c r="G4" s="2433" t="s">
        <v>3870</v>
      </c>
      <c r="H4" s="2433" t="s">
        <v>3871</v>
      </c>
      <c r="I4" s="2433" t="s">
        <v>3872</v>
      </c>
      <c r="J4" s="2463" t="s">
        <v>3873</v>
      </c>
      <c r="K4" s="2463" t="s">
        <v>3874</v>
      </c>
      <c r="L4" s="2463" t="s">
        <v>3875</v>
      </c>
      <c r="M4" s="2466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456" t="s">
        <v>3879</v>
      </c>
      <c r="BR4" s="2457"/>
      <c r="BS4" s="2457"/>
      <c r="BT4" s="2457"/>
      <c r="BU4" s="2457"/>
      <c r="BV4" s="2457"/>
      <c r="BW4" s="2457"/>
      <c r="BX4" s="2457"/>
      <c r="BY4" s="2457"/>
      <c r="BZ4" s="2457"/>
      <c r="CA4" s="2457"/>
      <c r="CB4" s="2458"/>
      <c r="CC4" s="2437" t="s">
        <v>2451</v>
      </c>
      <c r="CD4" s="2437" t="s">
        <v>2454</v>
      </c>
      <c r="CE4" s="2437" t="s">
        <v>2457</v>
      </c>
      <c r="CF4" s="2437" t="s">
        <v>2456</v>
      </c>
      <c r="CG4" s="2437" t="s">
        <v>2458</v>
      </c>
      <c r="CH4" s="2437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454" t="s">
        <v>3881</v>
      </c>
      <c r="DG4" s="2454" t="s">
        <v>3882</v>
      </c>
      <c r="DH4" s="2427" t="s">
        <v>3883</v>
      </c>
      <c r="DI4" s="2427" t="s">
        <v>3884</v>
      </c>
      <c r="DJ4" s="2427" t="s">
        <v>3885</v>
      </c>
      <c r="DK4" s="2427" t="s">
        <v>3886</v>
      </c>
      <c r="DL4" s="2427" t="s">
        <v>3887</v>
      </c>
      <c r="DM4" s="2427" t="s">
        <v>3888</v>
      </c>
      <c r="DN4" s="2427" t="s">
        <v>3889</v>
      </c>
      <c r="DO4" s="2427" t="s">
        <v>3890</v>
      </c>
      <c r="DP4" s="2427" t="s">
        <v>3891</v>
      </c>
      <c r="DQ4" s="2425" t="s">
        <v>1786</v>
      </c>
      <c r="DR4" s="2427" t="s">
        <v>3892</v>
      </c>
      <c r="DS4" s="2425" t="s">
        <v>4195</v>
      </c>
      <c r="DT4" s="2425" t="s">
        <v>3894</v>
      </c>
      <c r="DU4" s="2425" t="s">
        <v>3895</v>
      </c>
      <c r="DV4" s="2425" t="s">
        <v>3896</v>
      </c>
      <c r="DW4" s="2425" t="s">
        <v>3897</v>
      </c>
      <c r="DX4" s="2425" t="s">
        <v>3898</v>
      </c>
      <c r="DY4" s="2425" t="s">
        <v>3899</v>
      </c>
      <c r="DZ4" s="2425" t="s">
        <v>3900</v>
      </c>
      <c r="EA4" s="2425" t="s">
        <v>3901</v>
      </c>
      <c r="EB4" s="2425" t="s">
        <v>3902</v>
      </c>
      <c r="EC4" s="2425" t="s">
        <v>3903</v>
      </c>
      <c r="ED4" s="2429" t="s">
        <v>796</v>
      </c>
      <c r="EE4" s="2431" t="s">
        <v>1438</v>
      </c>
      <c r="EF4" s="2431" t="s">
        <v>1408</v>
      </c>
      <c r="EG4" s="2435" t="s">
        <v>680</v>
      </c>
      <c r="EH4" s="2435" t="s">
        <v>1951</v>
      </c>
      <c r="EI4" s="2435" t="s">
        <v>1159</v>
      </c>
      <c r="EJ4" s="2435" t="s">
        <v>1974</v>
      </c>
      <c r="EK4" s="2435" t="s">
        <v>397</v>
      </c>
      <c r="EL4" s="2435" t="s">
        <v>1965</v>
      </c>
      <c r="EM4" s="2435" t="s">
        <v>635</v>
      </c>
      <c r="EN4" s="2435" t="s">
        <v>634</v>
      </c>
      <c r="EO4" s="2435" t="s">
        <v>636</v>
      </c>
      <c r="EP4" s="2423" t="s">
        <v>3904</v>
      </c>
      <c r="EQ4" s="2423" t="s">
        <v>3905</v>
      </c>
      <c r="ER4" s="2423" t="s">
        <v>3906</v>
      </c>
      <c r="ES4" s="2423" t="s">
        <v>3907</v>
      </c>
      <c r="ET4" s="2437" t="s">
        <v>3908</v>
      </c>
      <c r="EU4" s="2437" t="s">
        <v>3909</v>
      </c>
      <c r="EV4" s="2437" t="s">
        <v>3910</v>
      </c>
      <c r="EW4" s="2437" t="s">
        <v>3911</v>
      </c>
      <c r="EX4" s="2437" t="s">
        <v>3912</v>
      </c>
      <c r="EY4" s="2437" t="s">
        <v>3913</v>
      </c>
      <c r="EZ4" s="2437" t="s">
        <v>3914</v>
      </c>
      <c r="FA4" s="2437" t="s">
        <v>3915</v>
      </c>
      <c r="FB4" s="2423" t="s">
        <v>3916</v>
      </c>
      <c r="FC4" s="2423" t="s">
        <v>3917</v>
      </c>
      <c r="FD4" s="2423" t="s">
        <v>3918</v>
      </c>
      <c r="FE4" s="2423" t="s">
        <v>3919</v>
      </c>
      <c r="FF4" s="2423" t="s">
        <v>3920</v>
      </c>
      <c r="FG4" s="2423" t="s">
        <v>3921</v>
      </c>
      <c r="FH4" s="2423" t="s">
        <v>3922</v>
      </c>
      <c r="FI4" s="2423" t="s">
        <v>3923</v>
      </c>
      <c r="FJ4" s="2423" t="s">
        <v>3924</v>
      </c>
      <c r="FK4" s="2423" t="s">
        <v>3925</v>
      </c>
      <c r="FL4" s="2423" t="s">
        <v>4531</v>
      </c>
      <c r="FM4" s="2423" t="s">
        <v>3926</v>
      </c>
      <c r="FN4" s="2423" t="s">
        <v>3927</v>
      </c>
      <c r="FO4" s="2423" t="s">
        <v>3928</v>
      </c>
      <c r="FP4" s="2423" t="s">
        <v>3929</v>
      </c>
      <c r="FQ4" s="2423" t="s">
        <v>3930</v>
      </c>
      <c r="FR4" s="2437" t="s">
        <v>3931</v>
      </c>
      <c r="FS4" s="2437" t="s">
        <v>3932</v>
      </c>
      <c r="FT4" s="2437" t="s">
        <v>3933</v>
      </c>
      <c r="FU4" s="2441" t="s">
        <v>3934</v>
      </c>
      <c r="FV4" s="2441" t="s">
        <v>3935</v>
      </c>
      <c r="FW4" s="2441" t="s">
        <v>3936</v>
      </c>
      <c r="FX4" s="2441" t="s">
        <v>3937</v>
      </c>
      <c r="FY4" s="2441" t="s">
        <v>3938</v>
      </c>
      <c r="FZ4" s="2441" t="s">
        <v>3939</v>
      </c>
      <c r="GA4" s="2441" t="s">
        <v>3940</v>
      </c>
      <c r="GB4" s="2441" t="s">
        <v>3941</v>
      </c>
      <c r="GC4" s="2441" t="s">
        <v>3942</v>
      </c>
      <c r="GD4" s="2441" t="s">
        <v>3943</v>
      </c>
      <c r="GE4" s="2441" t="s">
        <v>3944</v>
      </c>
      <c r="GF4" s="2441" t="s">
        <v>3945</v>
      </c>
      <c r="GG4" s="2441" t="s">
        <v>3946</v>
      </c>
      <c r="GH4" s="2443" t="s">
        <v>3947</v>
      </c>
      <c r="GI4" s="2443" t="s">
        <v>3948</v>
      </c>
      <c r="GJ4" s="2451" t="s">
        <v>3949</v>
      </c>
      <c r="GK4" s="2451" t="s">
        <v>3950</v>
      </c>
      <c r="GL4" s="2443" t="s">
        <v>3951</v>
      </c>
      <c r="GM4" s="2451" t="s">
        <v>3952</v>
      </c>
      <c r="GN4" s="2451" t="s">
        <v>3953</v>
      </c>
      <c r="GO4" s="2443" t="s">
        <v>3954</v>
      </c>
      <c r="GP4" s="2443" t="s">
        <v>3955</v>
      </c>
      <c r="GQ4" s="2443" t="s">
        <v>3956</v>
      </c>
      <c r="GR4" s="2441" t="s">
        <v>3957</v>
      </c>
      <c r="GS4" s="2441" t="s">
        <v>3770</v>
      </c>
      <c r="GT4" s="2449" t="s">
        <v>3958</v>
      </c>
      <c r="GU4" s="2447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470"/>
      <c r="B5" s="2434"/>
      <c r="C5" s="2434"/>
      <c r="D5" s="2434"/>
      <c r="E5" s="2434"/>
      <c r="F5" s="2434"/>
      <c r="G5" s="2434"/>
      <c r="H5" s="2434"/>
      <c r="I5" s="2434"/>
      <c r="J5" s="2464"/>
      <c r="K5" s="2465"/>
      <c r="L5" s="2465"/>
      <c r="M5" s="2455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102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438"/>
      <c r="CD5" s="2438"/>
      <c r="CE5" s="2438"/>
      <c r="CF5" s="2438"/>
      <c r="CG5" s="2438"/>
      <c r="CH5" s="2438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455"/>
      <c r="DG5" s="2455"/>
      <c r="DH5" s="2428"/>
      <c r="DI5" s="2428"/>
      <c r="DJ5" s="2428"/>
      <c r="DK5" s="2428"/>
      <c r="DL5" s="2428"/>
      <c r="DM5" s="2428"/>
      <c r="DN5" s="2428"/>
      <c r="DO5" s="2428"/>
      <c r="DP5" s="2428"/>
      <c r="DQ5" s="2426"/>
      <c r="DR5" s="2428"/>
      <c r="DS5" s="2426"/>
      <c r="DT5" s="2426"/>
      <c r="DU5" s="2426"/>
      <c r="DV5" s="2426"/>
      <c r="DW5" s="2426"/>
      <c r="DX5" s="2426"/>
      <c r="DY5" s="2426"/>
      <c r="DZ5" s="2426"/>
      <c r="EA5" s="2426"/>
      <c r="EB5" s="2426"/>
      <c r="EC5" s="2426"/>
      <c r="ED5" s="2430"/>
      <c r="EE5" s="2432"/>
      <c r="EF5" s="2432"/>
      <c r="EG5" s="2436"/>
      <c r="EH5" s="2436"/>
      <c r="EI5" s="2436"/>
      <c r="EJ5" s="2436"/>
      <c r="EK5" s="2436"/>
      <c r="EL5" s="2436"/>
      <c r="EM5" s="2436"/>
      <c r="EN5" s="2436"/>
      <c r="EO5" s="2436"/>
      <c r="EP5" s="2424"/>
      <c r="EQ5" s="2424"/>
      <c r="ER5" s="2424"/>
      <c r="ES5" s="2424"/>
      <c r="ET5" s="2438"/>
      <c r="EU5" s="2438"/>
      <c r="EV5" s="2438"/>
      <c r="EW5" s="2438"/>
      <c r="EX5" s="2438"/>
      <c r="EY5" s="2438"/>
      <c r="EZ5" s="2438"/>
      <c r="FA5" s="2438"/>
      <c r="FB5" s="2424"/>
      <c r="FC5" s="2424"/>
      <c r="FD5" s="2424"/>
      <c r="FE5" s="2424"/>
      <c r="FF5" s="2424"/>
      <c r="FG5" s="2424"/>
      <c r="FH5" s="2424"/>
      <c r="FI5" s="2424"/>
      <c r="FJ5" s="2424"/>
      <c r="FK5" s="2424"/>
      <c r="FL5" s="2424"/>
      <c r="FM5" s="2424"/>
      <c r="FN5" s="2424"/>
      <c r="FO5" s="2424"/>
      <c r="FP5" s="2424"/>
      <c r="FQ5" s="2424"/>
      <c r="FR5" s="2438"/>
      <c r="FS5" s="2438"/>
      <c r="FT5" s="2438"/>
      <c r="FU5" s="2442"/>
      <c r="FV5" s="2442"/>
      <c r="FW5" s="2442"/>
      <c r="FX5" s="2442"/>
      <c r="FY5" s="2442"/>
      <c r="FZ5" s="2442"/>
      <c r="GA5" s="2442"/>
      <c r="GB5" s="2442"/>
      <c r="GC5" s="2442"/>
      <c r="GD5" s="2442"/>
      <c r="GE5" s="2442"/>
      <c r="GF5" s="2442"/>
      <c r="GG5" s="2442"/>
      <c r="GH5" s="2444"/>
      <c r="GI5" s="2444"/>
      <c r="GJ5" s="2452"/>
      <c r="GK5" s="2452"/>
      <c r="GL5" s="2444"/>
      <c r="GM5" s="2452"/>
      <c r="GN5" s="2452"/>
      <c r="GO5" s="2444"/>
      <c r="GP5" s="2444"/>
      <c r="GQ5" s="2444"/>
      <c r="GR5" s="2442"/>
      <c r="GS5" s="2442"/>
      <c r="GT5" s="2450"/>
      <c r="GU5" s="2448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603"/>
      <c r="B9" s="1604"/>
      <c r="C9" s="1605"/>
      <c r="D9" s="273"/>
      <c r="E9" s="273"/>
      <c r="F9" s="273"/>
      <c r="G9" s="273"/>
      <c r="H9" s="273"/>
      <c r="I9" s="273"/>
      <c r="J9" s="274"/>
      <c r="K9" s="275"/>
      <c r="L9" s="276"/>
      <c r="M9" s="1608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10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603"/>
      <c r="B10" s="1606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609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103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603"/>
      <c r="B11" s="1606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609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103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603"/>
      <c r="B12" s="1607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609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103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603"/>
      <c r="B13" s="1607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609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103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603"/>
      <c r="B14" s="1607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609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103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603"/>
      <c r="B15" s="1607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609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103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603"/>
      <c r="B16" s="1607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609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103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603"/>
      <c r="B17" s="1607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609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103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603"/>
      <c r="B18" s="1607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609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103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603"/>
      <c r="B19" s="1607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609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103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603"/>
      <c r="B20" s="1607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609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103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45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445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460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446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461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439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462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440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467" t="s">
        <v>2657</v>
      </c>
      <c r="B184" s="2468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453">
        <f>1.02*D186</f>
        <v>0</v>
      </c>
      <c r="W186" s="2453"/>
      <c r="X186" s="2453"/>
      <c r="Y186" s="2453"/>
      <c r="Z186" s="2453"/>
      <c r="AA186" s="2453"/>
      <c r="AB186" s="2453"/>
      <c r="AC186" s="2453"/>
      <c r="AD186" s="2453"/>
      <c r="AE186" s="2453"/>
      <c r="AF186" s="2453"/>
      <c r="AG186" s="2453"/>
      <c r="AH186" s="2453"/>
      <c r="AI186" s="2453"/>
      <c r="AJ186" s="2453"/>
      <c r="AK186" s="2453"/>
      <c r="AL186" s="2453"/>
      <c r="AM186" s="2453"/>
      <c r="AN186" s="2453"/>
      <c r="AO186" s="2453"/>
      <c r="AP186" s="2453"/>
      <c r="AQ186" s="2453"/>
      <c r="AR186" s="2453"/>
      <c r="AS186" s="2453"/>
      <c r="AT186" s="2453"/>
      <c r="AU186" s="2453"/>
      <c r="AV186" s="2453"/>
      <c r="AW186" s="2453"/>
      <c r="AX186" s="2453"/>
      <c r="AY186" s="2453"/>
      <c r="AZ186" s="2453"/>
      <c r="BA186" s="2453"/>
      <c r="BB186" s="2453"/>
      <c r="BC186" s="2453"/>
      <c r="BD186" s="2453"/>
      <c r="BE186" s="2453"/>
      <c r="BF186" s="2453"/>
      <c r="BG186" s="2453"/>
      <c r="BH186" s="2453"/>
      <c r="BI186" s="2453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453">
        <f>1.02*D187</f>
        <v>0</v>
      </c>
      <c r="W187" s="2453"/>
      <c r="X187" s="2453"/>
      <c r="Y187" s="2453"/>
      <c r="Z187" s="2453"/>
      <c r="AA187" s="2453"/>
      <c r="AB187" s="2453"/>
      <c r="AC187" s="2453"/>
      <c r="AD187" s="2453"/>
      <c r="AE187" s="2453"/>
      <c r="AF187" s="2453"/>
      <c r="AG187" s="2453"/>
      <c r="AH187" s="2453"/>
      <c r="AI187" s="2453"/>
      <c r="AJ187" s="2453"/>
      <c r="AK187" s="2453"/>
      <c r="AL187" s="2453"/>
      <c r="AM187" s="2453"/>
      <c r="AN187" s="2453"/>
      <c r="AO187" s="2453"/>
      <c r="AP187" s="2453"/>
      <c r="AQ187" s="2453"/>
      <c r="AR187" s="2453"/>
      <c r="AS187" s="2453"/>
      <c r="AT187" s="2453"/>
      <c r="AU187" s="2453"/>
      <c r="AV187" s="2453"/>
      <c r="AW187" s="2453"/>
      <c r="AX187" s="2453"/>
      <c r="AY187" s="2453"/>
      <c r="AZ187" s="2453"/>
      <c r="BA187" s="2453"/>
      <c r="BB187" s="2453"/>
      <c r="BC187" s="2453"/>
      <c r="BD187" s="2453"/>
      <c r="BE187" s="2453"/>
      <c r="BF187" s="2453"/>
      <c r="BG187" s="2453"/>
      <c r="BH187" s="2453"/>
      <c r="BI187" s="2453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453">
        <f>1.02*D188</f>
        <v>0</v>
      </c>
      <c r="W188" s="2453"/>
      <c r="X188" s="2453"/>
      <c r="Y188" s="2453"/>
      <c r="Z188" s="2453"/>
      <c r="AA188" s="2453"/>
      <c r="AB188" s="2453"/>
      <c r="AC188" s="2453"/>
      <c r="AD188" s="2453"/>
      <c r="AE188" s="2453"/>
      <c r="AF188" s="2453"/>
      <c r="AG188" s="2453"/>
      <c r="AH188" s="2453"/>
      <c r="AI188" s="2453"/>
      <c r="AJ188" s="2453"/>
      <c r="AK188" s="2453"/>
      <c r="AL188" s="2453"/>
      <c r="AM188" s="2453"/>
      <c r="AN188" s="2453"/>
      <c r="AO188" s="2453"/>
      <c r="AP188" s="2453"/>
      <c r="AQ188" s="2453"/>
      <c r="AR188" s="2453"/>
      <c r="AS188" s="2453"/>
      <c r="AT188" s="2453"/>
      <c r="AU188" s="2453"/>
      <c r="AV188" s="2453"/>
      <c r="AW188" s="2453"/>
      <c r="AX188" s="2453"/>
      <c r="AY188" s="2453"/>
      <c r="AZ188" s="2453"/>
      <c r="BA188" s="2453"/>
      <c r="BB188" s="2453"/>
      <c r="BC188" s="2453"/>
      <c r="BD188" s="2453"/>
      <c r="BE188" s="2453"/>
      <c r="BF188" s="2453"/>
      <c r="BG188" s="2453"/>
      <c r="BH188" s="2453"/>
      <c r="BI188" s="2453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4527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486" t="e">
        <f>#REF!&amp;", "&amp;#REF!</f>
        <v>#REF!</v>
      </c>
      <c r="B4" s="2486"/>
      <c r="C4" s="2486"/>
      <c r="D4" s="2486"/>
      <c r="E4" s="2486"/>
      <c r="F4" s="2486"/>
      <c r="G4" s="2486"/>
      <c r="H4" s="2486"/>
      <c r="I4" s="2486"/>
      <c r="J4" s="2486"/>
      <c r="K4" s="2486"/>
      <c r="L4" s="2486"/>
      <c r="M4" s="2486"/>
      <c r="N4" s="2486"/>
      <c r="O4" s="2486"/>
      <c r="P4" s="2486"/>
      <c r="Q4" s="2486"/>
      <c r="R4" s="2486"/>
      <c r="S4" s="2486"/>
      <c r="T4" s="2486"/>
      <c r="U4" s="2486"/>
      <c r="V4" s="2486"/>
      <c r="W4" s="2486"/>
      <c r="X4" s="2486"/>
      <c r="Y4" s="2486"/>
      <c r="Z4" s="2486"/>
      <c r="AA4" s="2486"/>
      <c r="AB4" s="2486"/>
      <c r="AC4" s="2486"/>
      <c r="AD4" s="2486"/>
      <c r="AE4" s="2486"/>
      <c r="AF4" s="2486"/>
      <c r="AG4" s="2486"/>
      <c r="AH4" s="2486"/>
      <c r="AI4" s="2486"/>
      <c r="AJ4" s="2486"/>
      <c r="AK4" s="2486"/>
      <c r="AL4" s="2486"/>
      <c r="AM4" s="2486"/>
      <c r="AN4" s="2486"/>
      <c r="AO4" s="2486"/>
      <c r="AP4" s="2486"/>
      <c r="AQ4" s="2486"/>
      <c r="AR4" s="2486"/>
      <c r="AS4" s="2486"/>
      <c r="AT4" s="2486"/>
      <c r="AU4" s="2486"/>
      <c r="AV4" s="2486"/>
      <c r="AW4" s="2486"/>
      <c r="AX4" s="2486"/>
      <c r="AY4" s="2486"/>
      <c r="AZ4" s="2486"/>
      <c r="BA4" s="2486"/>
      <c r="BB4" s="2486"/>
      <c r="BC4" s="2486"/>
      <c r="BD4" s="2486"/>
      <c r="BE4" s="2486"/>
      <c r="BF4" s="2486"/>
      <c r="BG4" s="2486"/>
      <c r="BH4" s="2486"/>
      <c r="BI4" s="2486"/>
      <c r="BJ4" s="2486"/>
      <c r="BK4" s="2486"/>
      <c r="BL4" s="2486"/>
      <c r="BM4" s="2486"/>
      <c r="BN4" s="2486"/>
      <c r="BO4" s="2486"/>
      <c r="BP4" s="2486"/>
      <c r="BQ4" s="2486"/>
      <c r="BR4" s="2486"/>
      <c r="BS4" s="2486"/>
      <c r="BT4" s="2486"/>
      <c r="BU4" s="2486"/>
      <c r="BV4" s="2486"/>
      <c r="BW4" s="2486"/>
      <c r="BX4" s="2486"/>
      <c r="BY4" s="2486"/>
      <c r="BZ4" s="2486"/>
      <c r="CA4" s="2486"/>
      <c r="CB4" s="2486"/>
      <c r="CC4" s="2486"/>
      <c r="CD4" s="2486"/>
      <c r="CE4" s="2486"/>
      <c r="CF4" s="2486"/>
      <c r="CG4" s="2486"/>
      <c r="CH4" s="2486"/>
      <c r="CI4" s="2486"/>
      <c r="CJ4" s="2486"/>
      <c r="CK4" s="2486"/>
      <c r="CL4" s="2486"/>
      <c r="CM4" s="2486"/>
      <c r="CN4" s="2486"/>
      <c r="CO4" s="2486"/>
      <c r="CP4" s="2486"/>
      <c r="CQ4" s="2486"/>
      <c r="CR4" s="2486"/>
      <c r="CS4" s="2486"/>
      <c r="CT4" s="2486"/>
      <c r="CU4" s="2486"/>
      <c r="CV4" s="2486"/>
      <c r="CW4" s="2486"/>
      <c r="CX4" s="2486"/>
      <c r="CY4" s="2486"/>
      <c r="CZ4" s="2486"/>
      <c r="DA4" s="2486"/>
      <c r="DB4" s="2486"/>
      <c r="DC4" s="2486"/>
      <c r="DD4" s="2486"/>
      <c r="DE4" s="2486"/>
      <c r="DF4" s="2486"/>
      <c r="DG4" s="2486"/>
      <c r="DH4" s="2486"/>
      <c r="DI4" s="2486"/>
      <c r="DJ4" s="2486"/>
      <c r="DK4" s="2486"/>
      <c r="DL4" s="2486"/>
      <c r="DM4" s="2486"/>
      <c r="DN4" s="2486"/>
      <c r="DO4" s="2486"/>
      <c r="DP4" s="2486"/>
      <c r="DQ4" s="2486"/>
      <c r="DR4" s="2486"/>
      <c r="DS4" s="2486"/>
      <c r="DT4" s="2486"/>
      <c r="DU4" s="2486"/>
      <c r="DV4" s="2486"/>
      <c r="DW4" s="2486"/>
      <c r="DX4" s="2486"/>
      <c r="DY4" s="2486"/>
      <c r="DZ4" s="2486"/>
      <c r="EA4" s="2486"/>
      <c r="EB4" s="2486"/>
      <c r="EC4" s="2486"/>
    </row>
    <row r="5" spans="1:153" ht="34.5" customHeight="1" thickTop="1" thickBot="1">
      <c r="A5" s="2490" t="s">
        <v>3865</v>
      </c>
      <c r="B5" s="2492" t="s">
        <v>3866</v>
      </c>
      <c r="C5" s="2488" t="s">
        <v>3976</v>
      </c>
      <c r="D5" s="2488" t="s">
        <v>3977</v>
      </c>
      <c r="E5" s="2488" t="s">
        <v>3873</v>
      </c>
      <c r="F5" s="2480" t="s">
        <v>3874</v>
      </c>
      <c r="G5" s="2480" t="s">
        <v>3875</v>
      </c>
      <c r="H5" s="2480" t="s">
        <v>3876</v>
      </c>
      <c r="I5" s="2494" t="s">
        <v>2340</v>
      </c>
      <c r="J5" s="2495"/>
      <c r="K5" s="2496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473" t="s">
        <v>2455</v>
      </c>
      <c r="BP5" s="2473" t="s">
        <v>2458</v>
      </c>
      <c r="BQ5" s="2473" t="s">
        <v>2458</v>
      </c>
      <c r="BR5" s="2473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479" t="s">
        <v>3983</v>
      </c>
      <c r="CO5" s="2479" t="s">
        <v>3984</v>
      </c>
      <c r="CP5" s="2479" t="s">
        <v>3985</v>
      </c>
      <c r="CQ5" s="2475" t="str">
        <f>"Chuoãi "&amp;EF6&amp;" laép vaøo xaø  CÑX "&amp;EF6 &amp; "-X"</f>
        <v>Chuoãi Polymer laép vaøo xaø  CÑX Polymer-X</v>
      </c>
      <c r="CR5" s="2484" t="s">
        <v>3885</v>
      </c>
      <c r="CS5" s="2482" t="s">
        <v>3986</v>
      </c>
      <c r="CT5" s="2482" t="s">
        <v>3987</v>
      </c>
      <c r="CU5" s="2479" t="s">
        <v>3886</v>
      </c>
      <c r="CV5" s="2479" t="s">
        <v>3887</v>
      </c>
      <c r="CW5" s="2479" t="s">
        <v>3888</v>
      </c>
      <c r="CX5" s="2479" t="s">
        <v>3889</v>
      </c>
      <c r="CY5" s="2477" t="s">
        <v>3988</v>
      </c>
      <c r="CZ5" s="2477" t="s">
        <v>3989</v>
      </c>
      <c r="DA5" s="2477" t="s">
        <v>3990</v>
      </c>
      <c r="DB5" s="2482" t="s">
        <v>3991</v>
      </c>
      <c r="DC5" s="2477" t="s">
        <v>3992</v>
      </c>
      <c r="DD5" s="2482" t="s">
        <v>3896</v>
      </c>
      <c r="DE5" s="2477" t="s">
        <v>3993</v>
      </c>
      <c r="DF5" s="2473" t="s">
        <v>3897</v>
      </c>
      <c r="DG5" s="2473" t="s">
        <v>3898</v>
      </c>
      <c r="DH5" s="2473" t="s">
        <v>3899</v>
      </c>
      <c r="DI5" s="2473" t="s">
        <v>3900</v>
      </c>
      <c r="DJ5" s="2473" t="s">
        <v>3901</v>
      </c>
      <c r="DK5" s="2473" t="s">
        <v>3903</v>
      </c>
      <c r="DL5" s="2473" t="s">
        <v>3903</v>
      </c>
      <c r="DM5" s="2473" t="s">
        <v>796</v>
      </c>
      <c r="DN5" s="2473" t="s">
        <v>680</v>
      </c>
      <c r="DO5" s="2473" t="s">
        <v>1951</v>
      </c>
      <c r="DP5" s="2473" t="s">
        <v>1159</v>
      </c>
      <c r="DQ5" s="2473" t="s">
        <v>1974</v>
      </c>
      <c r="DR5" s="2473" t="s">
        <v>397</v>
      </c>
      <c r="DS5" s="2473" t="s">
        <v>1965</v>
      </c>
      <c r="DT5" s="2473" t="s">
        <v>1223</v>
      </c>
      <c r="DU5" s="2473" t="s">
        <v>1224</v>
      </c>
      <c r="DV5" s="513"/>
      <c r="DW5" s="513"/>
      <c r="DX5" s="513"/>
      <c r="DY5" s="513"/>
      <c r="DZ5" s="513"/>
      <c r="EA5" s="493"/>
      <c r="EB5" s="2482" t="s">
        <v>3994</v>
      </c>
      <c r="EC5" s="2471" t="s">
        <v>2664</v>
      </c>
    </row>
    <row r="6" spans="1:153" s="519" customFormat="1" ht="99.75" customHeight="1" thickTop="1">
      <c r="A6" s="2491"/>
      <c r="B6" s="2493"/>
      <c r="C6" s="2489"/>
      <c r="D6" s="2489"/>
      <c r="E6" s="2489"/>
      <c r="F6" s="2481"/>
      <c r="G6" s="2481"/>
      <c r="H6" s="2481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497"/>
      <c r="BP6" s="2497"/>
      <c r="BQ6" s="2497"/>
      <c r="BR6" s="2497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476"/>
      <c r="CO6" s="2476"/>
      <c r="CP6" s="2476"/>
      <c r="CQ6" s="2476"/>
      <c r="CR6" s="2485"/>
      <c r="CS6" s="2483"/>
      <c r="CT6" s="2483"/>
      <c r="CU6" s="2476"/>
      <c r="CV6" s="2476"/>
      <c r="CW6" s="2476"/>
      <c r="CX6" s="2476"/>
      <c r="CY6" s="2478"/>
      <c r="CZ6" s="2478"/>
      <c r="DA6" s="2478"/>
      <c r="DB6" s="2483"/>
      <c r="DC6" s="2478"/>
      <c r="DD6" s="2483"/>
      <c r="DE6" s="2478"/>
      <c r="DF6" s="2474"/>
      <c r="DG6" s="2474"/>
      <c r="DH6" s="2474"/>
      <c r="DI6" s="2474"/>
      <c r="DJ6" s="2474"/>
      <c r="DK6" s="2474"/>
      <c r="DL6" s="2474"/>
      <c r="DM6" s="2474"/>
      <c r="DN6" s="2474"/>
      <c r="DO6" s="2474"/>
      <c r="DP6" s="2474"/>
      <c r="DQ6" s="2474"/>
      <c r="DR6" s="2474"/>
      <c r="DS6" s="2474"/>
      <c r="DT6" s="2474"/>
      <c r="DU6" s="2474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483"/>
      <c r="EC6" s="2472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487" t="s">
        <v>1688</v>
      </c>
      <c r="B99" s="2487"/>
      <c r="C99" s="2487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2010" customWidth="1"/>
    <col min="2" max="2" width="6.81640625" style="2010" customWidth="1"/>
    <col min="3" max="3" width="6.90625" style="2010" customWidth="1"/>
    <col min="4" max="4" width="6" style="2010" customWidth="1"/>
    <col min="5" max="6" width="3.90625" style="2010" hidden="1" customWidth="1"/>
    <col min="7" max="7" width="4.6328125" style="2011" hidden="1" customWidth="1"/>
    <col min="8" max="8" width="7.453125" style="2010" customWidth="1"/>
    <col min="9" max="11" width="4.81640625" style="2010" hidden="1" customWidth="1"/>
    <col min="12" max="12" width="4.81640625" style="2010" customWidth="1"/>
    <col min="13" max="18" width="4.81640625" style="2010" hidden="1" customWidth="1"/>
    <col min="19" max="20" width="8.81640625" style="2010" hidden="1" customWidth="1"/>
    <col min="21" max="21" width="4.81640625" style="2010" hidden="1" customWidth="1"/>
    <col min="22" max="22" width="4.81640625" style="2010" customWidth="1"/>
    <col min="23" max="39" width="4.81640625" style="2010" hidden="1" customWidth="1"/>
    <col min="40" max="41" width="4.81640625" style="2010" customWidth="1"/>
    <col min="42" max="47" width="8.81640625" style="2010" hidden="1" customWidth="1"/>
    <col min="48" max="48" width="4.81640625" style="2010" hidden="1" customWidth="1"/>
    <col min="49" max="50" width="4.81640625" style="2010" customWidth="1"/>
    <col min="51" max="54" width="4.81640625" style="2010" hidden="1" customWidth="1"/>
    <col min="55" max="57" width="4.81640625" style="2012" hidden="1" customWidth="1"/>
    <col min="58" max="64" width="4.81640625" style="2010" hidden="1" customWidth="1"/>
    <col min="65" max="65" width="8.81640625" style="2010" hidden="1" customWidth="1"/>
    <col min="66" max="70" width="4.81640625" style="2010" hidden="1" customWidth="1"/>
    <col min="71" max="71" width="3.90625" style="2010" hidden="1" customWidth="1"/>
    <col min="72" max="72" width="4.81640625" style="2010" customWidth="1"/>
    <col min="73" max="76" width="4.81640625" style="2010" hidden="1" customWidth="1"/>
    <col min="77" max="79" width="4.81640625" style="2010" customWidth="1"/>
    <col min="80" max="91" width="4.36328125" style="2010" hidden="1" customWidth="1"/>
    <col min="92" max="92" width="4.36328125" style="2010" customWidth="1"/>
    <col min="93" max="93" width="4.36328125" style="2010" hidden="1" customWidth="1"/>
    <col min="94" max="94" width="4.36328125" style="2010" customWidth="1"/>
    <col min="95" max="95" width="4.36328125" style="2010" hidden="1" customWidth="1"/>
    <col min="96" max="96" width="14.6328125" style="2013" customWidth="1"/>
    <col min="97" max="16384" width="8.90625" style="2010"/>
  </cols>
  <sheetData>
    <row r="1" spans="1:256" s="2052" customFormat="1" ht="13.8">
      <c r="A1" s="2052" t="str">
        <f>IF(A5=0,A4,A5)</f>
        <v>Số trụ</v>
      </c>
      <c r="B1" s="2052" t="str">
        <f t="shared" ref="B1:BM1" si="0">IF(B5=0,B4,B5)</f>
        <v>Kh.cách</v>
      </c>
      <c r="C1" s="2052" t="str">
        <f t="shared" si="0"/>
        <v>Cộng dồn AC50+AC50</v>
      </c>
      <c r="D1" s="2052" t="str">
        <f t="shared" si="0"/>
        <v>Cộng dồn ACXV50+AC50</v>
      </c>
      <c r="E1" s="2010" t="str">
        <f t="shared" si="0"/>
        <v>Khoảng néo</v>
      </c>
      <c r="F1" s="2010" t="str">
        <f t="shared" si="0"/>
        <v>Hướng</v>
      </c>
      <c r="G1" s="2010" t="str">
        <f t="shared" si="0"/>
        <v>Góc</v>
      </c>
      <c r="H1" s="2052" t="str">
        <f t="shared" si="0"/>
        <v>Hình thức trụ</v>
      </c>
      <c r="I1" s="2010" t="str">
        <f t="shared" si="0"/>
        <v>BTLT 10.5</v>
      </c>
      <c r="J1" s="2010" t="str">
        <f t="shared" si="0"/>
        <v>BTLT 12 HH</v>
      </c>
      <c r="K1" s="2010" t="str">
        <f t="shared" si="0"/>
        <v>BTLT 12 TĐ</v>
      </c>
      <c r="L1" s="2052" t="str">
        <f t="shared" si="0"/>
        <v xml:space="preserve">BTLT 12 </v>
      </c>
      <c r="M1" s="2010" t="str">
        <f t="shared" si="0"/>
        <v>BTLT 14</v>
      </c>
      <c r="N1" s="2010" t="str">
        <f t="shared" si="0"/>
        <v>M10a</v>
      </c>
      <c r="O1" s="2010" t="str">
        <f t="shared" si="0"/>
        <v>M10b</v>
      </c>
      <c r="P1" s="2010" t="str">
        <f t="shared" si="0"/>
        <v>M10aa</v>
      </c>
      <c r="Q1" s="2010" t="str">
        <f t="shared" si="0"/>
        <v>M10ba</v>
      </c>
      <c r="R1" s="2010" t="str">
        <f t="shared" si="0"/>
        <v>M10bb</v>
      </c>
      <c r="S1" s="2010" t="str">
        <f t="shared" si="0"/>
        <v>M10-2a</v>
      </c>
      <c r="T1" s="2010" t="str">
        <f t="shared" si="0"/>
        <v>M10-2b</v>
      </c>
      <c r="U1" s="2010" t="str">
        <f t="shared" si="0"/>
        <v>M12a</v>
      </c>
      <c r="V1" s="2052" t="str">
        <f t="shared" si="0"/>
        <v>M12BT ĐƠN</v>
      </c>
      <c r="W1" s="2010" t="str">
        <f t="shared" si="0"/>
        <v>M12BT ĐÔI</v>
      </c>
      <c r="X1" s="2010" t="str">
        <f t="shared" si="0"/>
        <v>M12b</v>
      </c>
      <c r="Y1" s="2010" t="str">
        <f t="shared" si="0"/>
        <v>M12aa</v>
      </c>
      <c r="Z1" s="2010" t="str">
        <f t="shared" si="0"/>
        <v>M12ba</v>
      </c>
      <c r="AA1" s="2010" t="str">
        <f t="shared" si="0"/>
        <v>M12bb</v>
      </c>
      <c r="AB1" s="2010" t="str">
        <f t="shared" si="0"/>
        <v>M12-2a</v>
      </c>
      <c r="AC1" s="2010" t="str">
        <f t="shared" si="0"/>
        <v>M12-2b</v>
      </c>
      <c r="AD1" s="2010" t="str">
        <f t="shared" si="0"/>
        <v>M14a</v>
      </c>
      <c r="AE1" s="2010" t="str">
        <f t="shared" si="0"/>
        <v>M14b</v>
      </c>
      <c r="AF1" s="2010" t="str">
        <f t="shared" si="0"/>
        <v>M14aa</v>
      </c>
      <c r="AG1" s="2010" t="str">
        <f t="shared" si="0"/>
        <v>M14ba</v>
      </c>
      <c r="AH1" s="2010" t="str">
        <f t="shared" si="0"/>
        <v>M14bb</v>
      </c>
      <c r="AI1" s="2010" t="str">
        <f t="shared" si="0"/>
        <v>M14-2a</v>
      </c>
      <c r="AJ1" s="2010" t="str">
        <f t="shared" si="0"/>
        <v>M14-2b</v>
      </c>
      <c r="AK1" s="2010" t="str">
        <f t="shared" si="0"/>
        <v>CX10-B</v>
      </c>
      <c r="AL1" s="2010" t="str">
        <f t="shared" si="0"/>
        <v>CL10-B</v>
      </c>
      <c r="AM1" s="2010" t="str">
        <f t="shared" si="0"/>
        <v>CXX10-B</v>
      </c>
      <c r="AN1" s="2052" t="str">
        <f t="shared" si="0"/>
        <v>CX12-B</v>
      </c>
      <c r="AO1" s="2052" t="str">
        <f t="shared" si="0"/>
        <v>CL12-B</v>
      </c>
      <c r="AP1" s="2010" t="str">
        <f t="shared" si="0"/>
        <v>CXX12-B</v>
      </c>
      <c r="AQ1" s="2010" t="str">
        <f t="shared" si="0"/>
        <v>CX14-B</v>
      </c>
      <c r="AR1" s="2010" t="str">
        <f t="shared" si="0"/>
        <v>CL14-B</v>
      </c>
      <c r="AS1" s="2010" t="str">
        <f t="shared" si="0"/>
        <v>CXX14-B</v>
      </c>
      <c r="AT1" s="2010" t="str">
        <f t="shared" si="0"/>
        <v>CK-B</v>
      </c>
      <c r="AU1" s="2010" t="str">
        <f t="shared" si="0"/>
        <v>CKK-B</v>
      </c>
      <c r="AV1" s="2010" t="str">
        <f t="shared" si="0"/>
        <v>Khoảng cách</v>
      </c>
      <c r="AW1" s="2052" t="str">
        <f t="shared" si="0"/>
        <v>NXX</v>
      </c>
      <c r="AX1" s="2052" t="str">
        <f t="shared" si="0"/>
        <v>NXL</v>
      </c>
      <c r="AY1" s="2010" t="str">
        <f t="shared" si="0"/>
        <v xml:space="preserve">MNX12-2 </v>
      </c>
      <c r="AZ1" s="2010" t="str">
        <f t="shared" si="0"/>
        <v>MNL12-2</v>
      </c>
      <c r="BA1" s="2010" t="str">
        <f t="shared" si="0"/>
        <v xml:space="preserve">MNX12-4 </v>
      </c>
      <c r="BB1" s="2010" t="str">
        <f t="shared" si="0"/>
        <v xml:space="preserve">MNL12-4 </v>
      </c>
      <c r="BC1" s="2010" t="str">
        <f t="shared" si="0"/>
        <v>Tiếp địa lặp lại (trụ 10.5m)</v>
      </c>
      <c r="BD1" s="2010" t="str">
        <f t="shared" si="0"/>
        <v>Tiếp địa lặp lại trụ 12m</v>
      </c>
      <c r="BE1" s="2010" t="str">
        <f t="shared" si="0"/>
        <v>Tiếp địa lặp lại (trụ 14m)</v>
      </c>
      <c r="BF1" s="2010" t="str">
        <f t="shared" si="0"/>
        <v>X-20Đ</v>
      </c>
      <c r="BG1" s="2010" t="str">
        <f t="shared" si="0"/>
        <v>X-20K</v>
      </c>
      <c r="BH1" s="2010" t="str">
        <f t="shared" si="0"/>
        <v>X-24Đ</v>
      </c>
      <c r="BI1" s="2010" t="str">
        <f t="shared" si="0"/>
        <v>X-24K</v>
      </c>
      <c r="BJ1" s="2010" t="str">
        <f t="shared" si="0"/>
        <v>X-20ĐL2/3</v>
      </c>
      <c r="BK1" s="2010" t="str">
        <f t="shared" si="0"/>
        <v>X-20KL2/3</v>
      </c>
      <c r="BL1" s="2010" t="str">
        <f t="shared" si="0"/>
        <v>X-8ĐL</v>
      </c>
      <c r="BM1" s="2010" t="str">
        <f t="shared" si="0"/>
        <v>X-8KL</v>
      </c>
      <c r="BN1" s="2010" t="str">
        <f t="shared" ref="BN1:CQ1" si="1">IF(BN5=0,BN4,BN5)</f>
        <v>Bộ sứ đỉnh đỡ thẳng SĐI</v>
      </c>
      <c r="BO1" s="2010" t="str">
        <f t="shared" si="1"/>
        <v>Bộ sứ đỉnh đỡ góc SĐG</v>
      </c>
      <c r="BP1" s="2010" t="str">
        <f t="shared" si="1"/>
        <v>Bộ sứ đỉnh đỡ thẳng SĐI sử dụng lại</v>
      </c>
      <c r="BQ1" s="2010" t="str">
        <f t="shared" si="1"/>
        <v>Bộ sứ đỉnh đỡ góc SĐG sử dụng lại</v>
      </c>
      <c r="BR1" s="2010" t="str">
        <f t="shared" si="1"/>
        <v>Bộ sứ đứng SĐU</v>
      </c>
      <c r="BS1" s="2010" t="str">
        <f t="shared" si="1"/>
        <v>Chuỗi sứ treo polyme bắt vào xà</v>
      </c>
      <c r="BT1" s="2052" t="str">
        <f t="shared" si="1"/>
        <v>Chuỗi sứ treo polyme bắt vào trụ</v>
      </c>
      <c r="BU1" s="2010" t="str">
        <f t="shared" si="1"/>
        <v xml:space="preserve"> Chuỗi treo 2 bát lắp vào trụ</v>
      </c>
      <c r="BV1" s="2010" t="str">
        <f t="shared" si="1"/>
        <v xml:space="preserve"> Chuỗi đỡ 2 bát lắp vào trụ - CĐT</v>
      </c>
      <c r="BW1" s="2010" t="str">
        <f t="shared" si="1"/>
        <v>Bộ đỡ dây T.H : Đth-U</v>
      </c>
      <c r="BX1" s="2010" t="str">
        <f t="shared" si="1"/>
        <v>Bộ néo dây T.H : Nth-U</v>
      </c>
      <c r="BY1" s="2052" t="str">
        <f t="shared" si="1"/>
        <v>Bộ khóa néo TH : Nth-T</v>
      </c>
      <c r="BZ1" s="2052" t="str">
        <f t="shared" si="1"/>
        <v>Kẹp quai và hotline 2/0</v>
      </c>
      <c r="CA1" s="2052" t="str">
        <f t="shared" si="1"/>
        <v>Kẹp ép WR cỡ dây 50mm2</v>
      </c>
      <c r="CB1" s="2010" t="str">
        <f t="shared" si="1"/>
        <v>Kẹp ép WR cỡ dây 70mm2</v>
      </c>
      <c r="CC1" s="2010" t="str">
        <f t="shared" si="1"/>
        <v>Kẹp ép WR cỡ dây 95mm2</v>
      </c>
      <c r="CD1" s="2010" t="str">
        <f t="shared" si="1"/>
        <v>Kẹp ép WR cỡ dây 120mm2</v>
      </c>
      <c r="CE1" s="2010" t="str">
        <f t="shared" si="1"/>
        <v>Kẹp ép WR cỡ dây 150mm2</v>
      </c>
      <c r="CF1" s="2010" t="str">
        <f t="shared" si="1"/>
        <v>Kẹp ép WR cỡ dây 185mm2</v>
      </c>
      <c r="CG1" s="2010" t="str">
        <f t="shared" si="1"/>
        <v>Kẹp ép WR cỡ dây 240mm2</v>
      </c>
      <c r="CH1" s="2010" t="str">
        <f t="shared" si="1"/>
        <v>Đầu cốt ép cỡ dây 70mm2</v>
      </c>
      <c r="CI1" s="2010" t="str">
        <f t="shared" si="1"/>
        <v>Đầu cốt ép cỡ dây 95mm2</v>
      </c>
      <c r="CJ1" s="2010" t="str">
        <f t="shared" si="1"/>
        <v>Đầu cốt ép cỡ dây 120mm2</v>
      </c>
      <c r="CK1" s="2010" t="str">
        <f t="shared" si="1"/>
        <v>Đầu cốt ép cỡ dây 150mm2</v>
      </c>
      <c r="CL1" s="2010" t="str">
        <f t="shared" si="1"/>
        <v>Đầu cốt ép cỡ dây 185mm2</v>
      </c>
      <c r="CM1" s="2010" t="str">
        <f t="shared" si="1"/>
        <v>Đầu cốt ép cỡ dây 240mm2</v>
      </c>
      <c r="CN1" s="2052" t="str">
        <f t="shared" si="1"/>
        <v>Đà composit 0,8m</v>
      </c>
      <c r="CO1" s="2010" t="str">
        <f t="shared" si="1"/>
        <v>Giá T lắp FCO sử dụng lại</v>
      </c>
      <c r="CP1" s="2052" t="str">
        <f t="shared" si="1"/>
        <v>FCO 24kV 100A</v>
      </c>
      <c r="CQ1" s="2010" t="str">
        <f t="shared" si="1"/>
        <v>Vị trí vượt đường</v>
      </c>
    </row>
    <row r="2" spans="1:256" s="2015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2014"/>
    </row>
    <row r="3" spans="1:256" s="2015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512" t="s">
        <v>3865</v>
      </c>
      <c r="B4" s="2507" t="s">
        <v>3866</v>
      </c>
      <c r="C4" s="2507" t="s">
        <v>4005</v>
      </c>
      <c r="D4" s="2507" t="s">
        <v>4006</v>
      </c>
      <c r="E4" s="2507" t="s">
        <v>3873</v>
      </c>
      <c r="F4" s="2499" t="s">
        <v>3874</v>
      </c>
      <c r="G4" s="2514" t="s">
        <v>4007</v>
      </c>
      <c r="H4" s="2507" t="s">
        <v>3876</v>
      </c>
      <c r="I4" s="2509" t="s">
        <v>2340</v>
      </c>
      <c r="J4" s="2510"/>
      <c r="K4" s="2510"/>
      <c r="L4" s="2510"/>
      <c r="M4" s="2511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499" t="s">
        <v>2454</v>
      </c>
      <c r="BD4" s="2499" t="s">
        <v>2456</v>
      </c>
      <c r="BE4" s="2499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02" t="s">
        <v>3881</v>
      </c>
      <c r="BO4" s="2502" t="s">
        <v>3882</v>
      </c>
      <c r="BP4" s="2503" t="s">
        <v>4009</v>
      </c>
      <c r="BQ4" s="2503" t="s">
        <v>4010</v>
      </c>
      <c r="BR4" s="2502" t="s">
        <v>3985</v>
      </c>
      <c r="BS4" s="2499" t="s">
        <v>4011</v>
      </c>
      <c r="BT4" s="2499" t="s">
        <v>4012</v>
      </c>
      <c r="BU4" s="2499" t="s">
        <v>4013</v>
      </c>
      <c r="BV4" s="2499" t="s">
        <v>4014</v>
      </c>
      <c r="BW4" s="2499" t="s">
        <v>3886</v>
      </c>
      <c r="BX4" s="2499" t="s">
        <v>3888</v>
      </c>
      <c r="BY4" s="2499" t="s">
        <v>4015</v>
      </c>
      <c r="BZ4" s="2499" t="s">
        <v>4832</v>
      </c>
      <c r="CA4" s="2499" t="s">
        <v>2948</v>
      </c>
      <c r="CB4" s="2499" t="s">
        <v>2949</v>
      </c>
      <c r="CC4" s="2499" t="s">
        <v>2950</v>
      </c>
      <c r="CD4" s="2499" t="s">
        <v>2951</v>
      </c>
      <c r="CE4" s="2499" t="s">
        <v>2952</v>
      </c>
      <c r="CF4" s="2499" t="s">
        <v>2953</v>
      </c>
      <c r="CG4" s="2499" t="s">
        <v>2954</v>
      </c>
      <c r="CH4" s="2499" t="s">
        <v>3898</v>
      </c>
      <c r="CI4" s="2499" t="s">
        <v>3899</v>
      </c>
      <c r="CJ4" s="2499" t="s">
        <v>3900</v>
      </c>
      <c r="CK4" s="2499" t="s">
        <v>3901</v>
      </c>
      <c r="CL4" s="2499" t="s">
        <v>3902</v>
      </c>
      <c r="CM4" s="2499" t="s">
        <v>3903</v>
      </c>
      <c r="CN4" s="2499" t="s">
        <v>4833</v>
      </c>
      <c r="CO4" s="2499" t="s">
        <v>4016</v>
      </c>
      <c r="CP4" s="2499" t="s">
        <v>424</v>
      </c>
      <c r="CQ4" s="2499" t="s">
        <v>4017</v>
      </c>
      <c r="CR4" s="2505" t="s">
        <v>2664</v>
      </c>
    </row>
    <row r="5" spans="1:256" s="629" customFormat="1" ht="124.5" customHeight="1">
      <c r="A5" s="2513"/>
      <c r="B5" s="2508"/>
      <c r="C5" s="2508"/>
      <c r="D5" s="2508"/>
      <c r="E5" s="2508"/>
      <c r="F5" s="2501"/>
      <c r="G5" s="2515"/>
      <c r="H5" s="2508"/>
      <c r="I5" s="2008" t="s">
        <v>301</v>
      </c>
      <c r="J5" s="2008" t="s">
        <v>319</v>
      </c>
      <c r="K5" s="611" t="s">
        <v>2371</v>
      </c>
      <c r="L5" s="2008" t="s">
        <v>707</v>
      </c>
      <c r="M5" s="2008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53" t="s">
        <v>2368</v>
      </c>
      <c r="W5" s="2008" t="s">
        <v>2369</v>
      </c>
      <c r="X5" s="612" t="s">
        <v>2325</v>
      </c>
      <c r="Y5" s="2008" t="s">
        <v>305</v>
      </c>
      <c r="Z5" s="612" t="s">
        <v>643</v>
      </c>
      <c r="AA5" s="612" t="s">
        <v>652</v>
      </c>
      <c r="AB5" s="2008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2008" t="s">
        <v>1544</v>
      </c>
      <c r="AX5" s="2008" t="s">
        <v>1545</v>
      </c>
      <c r="AY5" s="2008" t="s">
        <v>1624</v>
      </c>
      <c r="AZ5" s="2008" t="s">
        <v>1121</v>
      </c>
      <c r="BA5" s="2008" t="s">
        <v>2208</v>
      </c>
      <c r="BB5" s="2008" t="s">
        <v>1122</v>
      </c>
      <c r="BC5" s="2501"/>
      <c r="BD5" s="2501"/>
      <c r="BE5" s="2501"/>
      <c r="BF5" s="2008" t="s">
        <v>2354</v>
      </c>
      <c r="BG5" s="2008" t="s">
        <v>926</v>
      </c>
      <c r="BH5" s="2008" t="s">
        <v>2359</v>
      </c>
      <c r="BI5" s="2008" t="s">
        <v>927</v>
      </c>
      <c r="BJ5" s="2008" t="s">
        <v>2356</v>
      </c>
      <c r="BK5" s="2008" t="s">
        <v>2181</v>
      </c>
      <c r="BL5" s="2008" t="s">
        <v>2360</v>
      </c>
      <c r="BM5" s="2008" t="s">
        <v>345</v>
      </c>
      <c r="BN5" s="2500"/>
      <c r="BO5" s="2500"/>
      <c r="BP5" s="2504"/>
      <c r="BQ5" s="2504"/>
      <c r="BR5" s="2500"/>
      <c r="BS5" s="2500"/>
      <c r="BT5" s="2500"/>
      <c r="BU5" s="2500"/>
      <c r="BV5" s="2500"/>
      <c r="BW5" s="2500"/>
      <c r="BX5" s="2500"/>
      <c r="BY5" s="2500"/>
      <c r="BZ5" s="2500"/>
      <c r="CA5" s="2500"/>
      <c r="CB5" s="2500"/>
      <c r="CC5" s="2500"/>
      <c r="CD5" s="2500"/>
      <c r="CE5" s="2500"/>
      <c r="CF5" s="2500"/>
      <c r="CG5" s="2500"/>
      <c r="CH5" s="2500"/>
      <c r="CI5" s="2500"/>
      <c r="CJ5" s="2500"/>
      <c r="CK5" s="2500"/>
      <c r="CL5" s="2500"/>
      <c r="CM5" s="2500"/>
      <c r="CN5" s="2500"/>
      <c r="CO5" s="2500"/>
      <c r="CP5" s="2500"/>
      <c r="CQ5" s="2500"/>
      <c r="CR5" s="2506"/>
    </row>
    <row r="6" spans="1:256" s="2063" customFormat="1" ht="18" hidden="1" customHeight="1">
      <c r="A6" s="2061" t="str">
        <f>IF(A5=0,A4,A5)</f>
        <v>Số trụ</v>
      </c>
      <c r="B6" s="2061" t="str">
        <f t="shared" ref="B6:BM6" si="2">IF(B5=0,B4,B5)</f>
        <v>Kh.cách</v>
      </c>
      <c r="C6" s="2061" t="str">
        <f t="shared" si="2"/>
        <v>Cộng dồn AC50+AC50</v>
      </c>
      <c r="D6" s="2061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61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61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61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61" t="str">
        <f t="shared" si="2"/>
        <v>CX12-B</v>
      </c>
      <c r="AO6" s="2061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61" t="str">
        <f t="shared" si="2"/>
        <v>NXX</v>
      </c>
      <c r="AX6" s="2061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61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61" t="str">
        <f t="shared" si="3"/>
        <v>Bộ khóa néo TH : Nth-T</v>
      </c>
      <c r="BZ6" s="2061" t="str">
        <f t="shared" si="3"/>
        <v>Kẹp quai và hotline 2/0</v>
      </c>
      <c r="CA6" s="2061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61" t="str">
        <f t="shared" si="3"/>
        <v>Đà composit 0,8m</v>
      </c>
      <c r="CO6" s="615" t="str">
        <f t="shared" si="3"/>
        <v>Giá T lắp FCO sử dụng lại</v>
      </c>
      <c r="CP6" s="2061" t="str">
        <f t="shared" si="3"/>
        <v>FCO 24kV 100A</v>
      </c>
      <c r="CQ6" s="615" t="str">
        <f t="shared" si="3"/>
        <v>Vị trí vượt đường</v>
      </c>
      <c r="CR6" s="2061" t="str">
        <f t="shared" si="3"/>
        <v>GHI CHÚ</v>
      </c>
      <c r="CS6" s="2062"/>
      <c r="CT6" s="2062"/>
      <c r="CU6" s="2062"/>
      <c r="CV6" s="2062"/>
      <c r="CW6" s="2062"/>
      <c r="CX6" s="2062"/>
      <c r="CY6" s="2062"/>
      <c r="CZ6" s="2062"/>
      <c r="DA6" s="2062"/>
      <c r="DB6" s="2062"/>
      <c r="DC6" s="2062"/>
      <c r="DD6" s="2062"/>
      <c r="DE6" s="2062"/>
      <c r="DF6" s="2062"/>
      <c r="DG6" s="2062"/>
      <c r="DH6" s="2062"/>
      <c r="DI6" s="2062"/>
      <c r="DJ6" s="2062"/>
      <c r="DK6" s="2062"/>
      <c r="DL6" s="2062"/>
      <c r="DM6" s="2062"/>
      <c r="DN6" s="2062"/>
      <c r="DO6" s="2062"/>
      <c r="DP6" s="2062"/>
      <c r="DQ6" s="2062"/>
      <c r="DR6" s="2062"/>
      <c r="DS6" s="2062"/>
      <c r="DT6" s="2062"/>
      <c r="DU6" s="2062"/>
      <c r="DV6" s="2062"/>
      <c r="DW6" s="2062"/>
      <c r="DX6" s="2062"/>
      <c r="DY6" s="2062"/>
      <c r="DZ6" s="2062"/>
      <c r="EA6" s="2062"/>
      <c r="EB6" s="2062"/>
      <c r="EC6" s="2062"/>
      <c r="ED6" s="2062"/>
      <c r="EE6" s="2062"/>
      <c r="EF6" s="2062"/>
      <c r="EG6" s="2062"/>
      <c r="EH6" s="2062"/>
      <c r="EI6" s="2062"/>
      <c r="EJ6" s="2062"/>
      <c r="EK6" s="2062"/>
      <c r="EL6" s="2062"/>
      <c r="EM6" s="2062"/>
      <c r="EN6" s="2062"/>
      <c r="EO6" s="2062"/>
      <c r="EP6" s="2062"/>
      <c r="EQ6" s="2062"/>
      <c r="ER6" s="2062"/>
      <c r="ES6" s="2062"/>
      <c r="ET6" s="2062"/>
      <c r="EU6" s="2062"/>
      <c r="EV6" s="2062"/>
      <c r="EW6" s="2062"/>
      <c r="EX6" s="2062"/>
      <c r="EY6" s="2062"/>
      <c r="EZ6" s="2062"/>
      <c r="FA6" s="2062"/>
      <c r="FB6" s="2062"/>
      <c r="FC6" s="2062"/>
      <c r="FD6" s="2062"/>
      <c r="FE6" s="2062"/>
      <c r="FF6" s="2062"/>
      <c r="FG6" s="2062"/>
      <c r="FH6" s="2062"/>
      <c r="FI6" s="2062"/>
      <c r="FJ6" s="2062"/>
      <c r="FK6" s="2062"/>
      <c r="FL6" s="2062"/>
      <c r="FM6" s="2062"/>
      <c r="FN6" s="2062"/>
      <c r="FO6" s="2062"/>
      <c r="FP6" s="2062"/>
      <c r="FQ6" s="2062"/>
      <c r="FR6" s="2062"/>
      <c r="FS6" s="2062"/>
      <c r="FT6" s="2062"/>
      <c r="FU6" s="2062"/>
      <c r="FV6" s="2062"/>
      <c r="FW6" s="2062"/>
      <c r="FX6" s="2062"/>
      <c r="FY6" s="2062"/>
      <c r="FZ6" s="2062"/>
      <c r="GA6" s="2062"/>
      <c r="GB6" s="2062"/>
      <c r="GC6" s="2062"/>
      <c r="GD6" s="2062"/>
      <c r="GE6" s="2062"/>
      <c r="GF6" s="2062"/>
      <c r="GG6" s="2062"/>
      <c r="GH6" s="2062"/>
      <c r="GI6" s="2062"/>
      <c r="GJ6" s="2062"/>
      <c r="GK6" s="2062"/>
      <c r="GL6" s="2062"/>
      <c r="GM6" s="2062"/>
      <c r="GN6" s="2062"/>
      <c r="GO6" s="2062"/>
      <c r="GP6" s="2062"/>
      <c r="GQ6" s="2062"/>
      <c r="GR6" s="2062"/>
      <c r="GS6" s="2062"/>
      <c r="GT6" s="2062"/>
      <c r="GU6" s="2062"/>
      <c r="GV6" s="2062"/>
      <c r="GW6" s="2062"/>
      <c r="GX6" s="2062"/>
      <c r="GY6" s="2062"/>
      <c r="GZ6" s="2062"/>
      <c r="HA6" s="2062"/>
      <c r="HB6" s="2062"/>
      <c r="HC6" s="2062"/>
      <c r="HD6" s="2062"/>
      <c r="HE6" s="2062"/>
      <c r="HF6" s="2062"/>
      <c r="HG6" s="2062"/>
      <c r="HH6" s="2062"/>
      <c r="HI6" s="2062"/>
      <c r="HJ6" s="2062"/>
      <c r="HK6" s="2062"/>
      <c r="HL6" s="2062"/>
      <c r="HM6" s="2062"/>
      <c r="HN6" s="2062"/>
      <c r="HO6" s="2062"/>
      <c r="HP6" s="2062"/>
      <c r="HQ6" s="2062"/>
      <c r="HR6" s="2062"/>
      <c r="HS6" s="2062"/>
      <c r="HT6" s="2062"/>
      <c r="HU6" s="2062"/>
      <c r="HV6" s="2062"/>
      <c r="HW6" s="2062"/>
      <c r="HX6" s="2062"/>
      <c r="HY6" s="2062"/>
      <c r="HZ6" s="2062"/>
      <c r="IA6" s="2062"/>
      <c r="IB6" s="2062"/>
      <c r="IC6" s="2062"/>
      <c r="ID6" s="2062"/>
      <c r="IE6" s="2062"/>
      <c r="IF6" s="2062"/>
      <c r="IG6" s="2062"/>
      <c r="IH6" s="2062"/>
      <c r="II6" s="2062"/>
      <c r="IJ6" s="2062"/>
      <c r="IK6" s="2062"/>
      <c r="IL6" s="2062"/>
      <c r="IM6" s="2062"/>
      <c r="IN6" s="2062"/>
      <c r="IO6" s="2062"/>
      <c r="IP6" s="2062"/>
      <c r="IQ6" s="2062"/>
      <c r="IR6" s="2062"/>
      <c r="IS6" s="2062"/>
      <c r="IT6" s="2062"/>
      <c r="IU6" s="2062"/>
      <c r="IV6" s="2062"/>
    </row>
    <row r="7" spans="1:256" ht="20.25" customHeight="1">
      <c r="A7" s="1826"/>
      <c r="B7" s="633"/>
      <c r="C7" s="2016"/>
      <c r="D7" s="2016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2017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43"/>
      <c r="B8" s="1600"/>
      <c r="C8" s="1653"/>
      <c r="D8" s="1653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43"/>
      <c r="B9" s="1600"/>
      <c r="C9" s="1657"/>
      <c r="D9" s="1653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43"/>
      <c r="B10" s="1600"/>
      <c r="C10" s="1657"/>
      <c r="D10" s="1653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43"/>
      <c r="B11" s="1600"/>
      <c r="C11" s="1657"/>
      <c r="D11" s="1653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43"/>
      <c r="B12" s="1600"/>
      <c r="C12" s="1657"/>
      <c r="D12" s="1653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43"/>
      <c r="B13" s="1600"/>
      <c r="C13" s="1657"/>
      <c r="D13" s="1653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43"/>
      <c r="B14" s="1600"/>
      <c r="C14" s="1657"/>
      <c r="D14" s="1653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43"/>
      <c r="B15" s="1600"/>
      <c r="C15" s="1657"/>
      <c r="D15" s="1653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43"/>
      <c r="B16" s="1600"/>
      <c r="C16" s="1657"/>
      <c r="D16" s="1653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43"/>
      <c r="B17" s="1600"/>
      <c r="C17" s="1657"/>
      <c r="D17" s="1653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43"/>
      <c r="B18" s="1600"/>
      <c r="C18" s="1657"/>
      <c r="D18" s="1653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2018" customFormat="1" ht="13.8" hidden="1">
      <c r="A19" s="1827"/>
      <c r="B19" s="1828"/>
      <c r="C19" s="1829"/>
      <c r="D19" s="1828"/>
      <c r="E19" s="1647"/>
      <c r="F19" s="1647"/>
      <c r="G19" s="1214"/>
      <c r="H19" s="1647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30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31"/>
      <c r="B20" s="1832"/>
      <c r="C20" s="1199"/>
      <c r="D20" s="1199"/>
      <c r="E20" s="1832"/>
      <c r="F20" s="1832"/>
      <c r="G20" s="1833"/>
      <c r="H20" s="1832"/>
      <c r="I20" s="1832"/>
      <c r="J20" s="1832"/>
      <c r="K20" s="1832"/>
      <c r="L20" s="1832"/>
      <c r="M20" s="1832"/>
      <c r="N20" s="1832"/>
      <c r="O20" s="1832"/>
      <c r="P20" s="1832"/>
      <c r="Q20" s="1832"/>
      <c r="R20" s="1832"/>
      <c r="S20" s="1832"/>
      <c r="T20" s="1832"/>
      <c r="U20" s="1832"/>
      <c r="V20" s="1832"/>
      <c r="W20" s="1832"/>
      <c r="X20" s="1832"/>
      <c r="Y20" s="1832"/>
      <c r="Z20" s="1832"/>
      <c r="AA20" s="1832"/>
      <c r="AB20" s="1832"/>
      <c r="AC20" s="1832"/>
      <c r="AD20" s="1832"/>
      <c r="AE20" s="1832"/>
      <c r="AF20" s="1832"/>
      <c r="AG20" s="1832"/>
      <c r="AH20" s="1832"/>
      <c r="AI20" s="1832"/>
      <c r="AJ20" s="1832"/>
      <c r="AK20" s="1832"/>
      <c r="AL20" s="1832"/>
      <c r="AM20" s="1832"/>
      <c r="AN20" s="1832"/>
      <c r="AO20" s="1832"/>
      <c r="AP20" s="1832"/>
      <c r="AQ20" s="1832"/>
      <c r="AR20" s="1832"/>
      <c r="AS20" s="1832"/>
      <c r="AT20" s="1832"/>
      <c r="AU20" s="1832"/>
      <c r="AV20" s="1832"/>
      <c r="AW20" s="1832"/>
      <c r="AX20" s="1832"/>
      <c r="AY20" s="1832"/>
      <c r="AZ20" s="1832"/>
      <c r="BA20" s="1832"/>
      <c r="BB20" s="1832"/>
      <c r="BC20" s="1832"/>
      <c r="BD20" s="1832"/>
      <c r="BE20" s="1832"/>
      <c r="BF20" s="1832"/>
      <c r="BG20" s="1832"/>
      <c r="BH20" s="1832"/>
      <c r="BI20" s="1832"/>
      <c r="BJ20" s="1832"/>
      <c r="BK20" s="1832"/>
      <c r="BL20" s="1832"/>
      <c r="BM20" s="1832"/>
      <c r="BN20" s="1832"/>
      <c r="BO20" s="1832"/>
      <c r="BP20" s="1832"/>
      <c r="BQ20" s="1832"/>
      <c r="BR20" s="1832"/>
      <c r="BS20" s="1832"/>
      <c r="BT20" s="1832"/>
      <c r="BU20" s="1832"/>
      <c r="BV20" s="1832"/>
      <c r="BW20" s="1832"/>
      <c r="BX20" s="1832"/>
      <c r="BY20" s="1832"/>
      <c r="BZ20" s="1832"/>
      <c r="CA20" s="1832"/>
      <c r="CB20" s="1832"/>
      <c r="CC20" s="1832"/>
      <c r="CD20" s="1832"/>
      <c r="CE20" s="1832"/>
      <c r="CF20" s="1832"/>
      <c r="CG20" s="1832"/>
      <c r="CH20" s="1832"/>
      <c r="CI20" s="1832"/>
      <c r="CJ20" s="1832"/>
      <c r="CK20" s="1832"/>
      <c r="CL20" s="1832"/>
      <c r="CM20" s="1832"/>
      <c r="CN20" s="1832"/>
      <c r="CO20" s="1832"/>
      <c r="CP20" s="1832"/>
      <c r="CQ20" s="1832"/>
      <c r="CR20" s="1834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35"/>
      <c r="B21" s="1600"/>
      <c r="C21" s="638"/>
      <c r="D21" s="1600"/>
      <c r="E21" s="638"/>
      <c r="F21" s="525"/>
      <c r="G21" s="526"/>
      <c r="H21" s="525"/>
      <c r="I21" s="1655"/>
      <c r="J21" s="1655"/>
      <c r="K21" s="1655"/>
      <c r="L21" s="1655"/>
      <c r="M21" s="1655"/>
      <c r="N21" s="1655"/>
      <c r="O21" s="1655"/>
      <c r="P21" s="1655"/>
      <c r="Q21" s="1655"/>
      <c r="R21" s="1655"/>
      <c r="S21" s="1655"/>
      <c r="T21" s="1655"/>
      <c r="U21" s="1655"/>
      <c r="V21" s="1655"/>
      <c r="W21" s="1655"/>
      <c r="X21" s="1655"/>
      <c r="Y21" s="1655"/>
      <c r="Z21" s="1655"/>
      <c r="AA21" s="1655"/>
      <c r="AB21" s="1655"/>
      <c r="AC21" s="1655"/>
      <c r="AD21" s="1655"/>
      <c r="AE21" s="1655"/>
      <c r="AF21" s="1655"/>
      <c r="AG21" s="1655"/>
      <c r="AH21" s="1655"/>
      <c r="AI21" s="1655"/>
      <c r="AJ21" s="1655"/>
      <c r="AK21" s="1655"/>
      <c r="AL21" s="1655"/>
      <c r="AM21" s="1655"/>
      <c r="AN21" s="1655"/>
      <c r="AO21" s="1655"/>
      <c r="AP21" s="1655"/>
      <c r="AQ21" s="1655"/>
      <c r="AR21" s="1655"/>
      <c r="AS21" s="1655"/>
      <c r="AT21" s="1655"/>
      <c r="AU21" s="1655"/>
      <c r="AV21" s="1655"/>
      <c r="AW21" s="1655"/>
      <c r="AX21" s="1655"/>
      <c r="AY21" s="1655"/>
      <c r="AZ21" s="1655"/>
      <c r="BA21" s="1655"/>
      <c r="BB21" s="1655"/>
      <c r="BC21" s="1655"/>
      <c r="BD21" s="1655"/>
      <c r="BE21" s="1655"/>
      <c r="BF21" s="1655"/>
      <c r="BG21" s="1655"/>
      <c r="BH21" s="1655"/>
      <c r="BI21" s="1655"/>
      <c r="BJ21" s="1655"/>
      <c r="BK21" s="1655"/>
      <c r="BL21" s="1655"/>
      <c r="BM21" s="1655"/>
      <c r="BN21" s="1655"/>
      <c r="BO21" s="1655"/>
      <c r="BP21" s="1655"/>
      <c r="BQ21" s="1655"/>
      <c r="BR21" s="1655"/>
      <c r="BS21" s="1655"/>
      <c r="BT21" s="1655"/>
      <c r="BU21" s="1655"/>
      <c r="BV21" s="1655"/>
      <c r="BW21" s="1655"/>
      <c r="BX21" s="1655"/>
      <c r="BY21" s="1655"/>
      <c r="BZ21" s="1655"/>
      <c r="CA21" s="1655"/>
      <c r="CB21" s="1655"/>
      <c r="CC21" s="1655"/>
      <c r="CD21" s="1655"/>
      <c r="CE21" s="1655"/>
      <c r="CF21" s="1655"/>
      <c r="CG21" s="1655"/>
      <c r="CH21" s="1655"/>
      <c r="CI21" s="1655"/>
      <c r="CJ21" s="1655"/>
      <c r="CK21" s="1655"/>
      <c r="CL21" s="1655"/>
      <c r="CM21" s="1655"/>
      <c r="CN21" s="1655"/>
      <c r="CO21" s="1655"/>
      <c r="CP21" s="1655"/>
      <c r="CQ21" s="1655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35"/>
      <c r="B22" s="638"/>
      <c r="C22" s="638"/>
      <c r="D22" s="1600"/>
      <c r="E22" s="638"/>
      <c r="F22" s="525"/>
      <c r="G22" s="526"/>
      <c r="H22" s="525"/>
      <c r="I22" s="1655"/>
      <c r="J22" s="1655"/>
      <c r="K22" s="1655"/>
      <c r="L22" s="1655"/>
      <c r="M22" s="1655"/>
      <c r="N22" s="1655"/>
      <c r="O22" s="1655"/>
      <c r="P22" s="1655"/>
      <c r="Q22" s="1655"/>
      <c r="R22" s="1655"/>
      <c r="S22" s="1655"/>
      <c r="T22" s="1655"/>
      <c r="U22" s="1655"/>
      <c r="V22" s="1655"/>
      <c r="W22" s="1655"/>
      <c r="X22" s="1655"/>
      <c r="Y22" s="1655"/>
      <c r="Z22" s="1655"/>
      <c r="AA22" s="1655"/>
      <c r="AB22" s="1655"/>
      <c r="AC22" s="1655"/>
      <c r="AD22" s="1655"/>
      <c r="AE22" s="1655"/>
      <c r="AF22" s="1655"/>
      <c r="AG22" s="1655"/>
      <c r="AH22" s="1655"/>
      <c r="AI22" s="1655"/>
      <c r="AJ22" s="1655"/>
      <c r="AK22" s="1655"/>
      <c r="AL22" s="1655"/>
      <c r="AM22" s="1655"/>
      <c r="AN22" s="1655"/>
      <c r="AO22" s="1655"/>
      <c r="AP22" s="1655"/>
      <c r="AQ22" s="1655"/>
      <c r="AR22" s="1655"/>
      <c r="AS22" s="1655"/>
      <c r="AT22" s="1655"/>
      <c r="AU22" s="1655"/>
      <c r="AV22" s="1655"/>
      <c r="AW22" s="1655"/>
      <c r="AX22" s="1655"/>
      <c r="AY22" s="1655"/>
      <c r="AZ22" s="1655"/>
      <c r="BA22" s="1655"/>
      <c r="BB22" s="1655"/>
      <c r="BC22" s="1655"/>
      <c r="BD22" s="1655"/>
      <c r="BE22" s="1655"/>
      <c r="BF22" s="1655"/>
      <c r="BG22" s="1655"/>
      <c r="BH22" s="1655"/>
      <c r="BI22" s="1655"/>
      <c r="BJ22" s="1655"/>
      <c r="BK22" s="1655"/>
      <c r="BL22" s="1655"/>
      <c r="BM22" s="1655"/>
      <c r="BN22" s="1655"/>
      <c r="BO22" s="1655"/>
      <c r="BP22" s="1655"/>
      <c r="BQ22" s="1655"/>
      <c r="BR22" s="1655"/>
      <c r="BS22" s="1655"/>
      <c r="BT22" s="1655"/>
      <c r="BU22" s="1655"/>
      <c r="BV22" s="1655"/>
      <c r="BW22" s="1655"/>
      <c r="BX22" s="1655"/>
      <c r="BY22" s="1655"/>
      <c r="BZ22" s="1655"/>
      <c r="CA22" s="1655"/>
      <c r="CB22" s="1655"/>
      <c r="CC22" s="1655"/>
      <c r="CD22" s="1655"/>
      <c r="CE22" s="1655"/>
      <c r="CF22" s="1655"/>
      <c r="CG22" s="1655"/>
      <c r="CH22" s="1655"/>
      <c r="CI22" s="1655"/>
      <c r="CJ22" s="1655"/>
      <c r="CK22" s="1655"/>
      <c r="CL22" s="1655"/>
      <c r="CM22" s="1655"/>
      <c r="CN22" s="1655"/>
      <c r="CO22" s="1655"/>
      <c r="CP22" s="1655"/>
      <c r="CQ22" s="1655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35"/>
      <c r="B23" s="638"/>
      <c r="C23" s="638"/>
      <c r="D23" s="1600"/>
      <c r="E23" s="638"/>
      <c r="F23" s="525"/>
      <c r="G23" s="526"/>
      <c r="H23" s="525"/>
      <c r="I23" s="1655"/>
      <c r="J23" s="1655"/>
      <c r="K23" s="1655"/>
      <c r="L23" s="1655"/>
      <c r="M23" s="1655"/>
      <c r="N23" s="1655"/>
      <c r="O23" s="1655"/>
      <c r="P23" s="1655"/>
      <c r="Q23" s="1655"/>
      <c r="R23" s="1655"/>
      <c r="S23" s="1655"/>
      <c r="T23" s="1655"/>
      <c r="U23" s="1655"/>
      <c r="V23" s="1655"/>
      <c r="W23" s="1655"/>
      <c r="X23" s="1655"/>
      <c r="Y23" s="1655"/>
      <c r="Z23" s="1655"/>
      <c r="AA23" s="1655"/>
      <c r="AB23" s="1655"/>
      <c r="AC23" s="1655"/>
      <c r="AD23" s="1655"/>
      <c r="AE23" s="1655"/>
      <c r="AF23" s="1655"/>
      <c r="AG23" s="1655"/>
      <c r="AH23" s="1655"/>
      <c r="AI23" s="1655"/>
      <c r="AJ23" s="1655"/>
      <c r="AK23" s="1655"/>
      <c r="AL23" s="1655"/>
      <c r="AM23" s="1655"/>
      <c r="AN23" s="1655"/>
      <c r="AO23" s="1655"/>
      <c r="AP23" s="1655"/>
      <c r="AQ23" s="1655"/>
      <c r="AR23" s="1655"/>
      <c r="AS23" s="1655"/>
      <c r="AT23" s="1655"/>
      <c r="AU23" s="1655"/>
      <c r="AV23" s="1655"/>
      <c r="AW23" s="1655"/>
      <c r="AX23" s="1655"/>
      <c r="AY23" s="1655"/>
      <c r="AZ23" s="1655"/>
      <c r="BA23" s="1655"/>
      <c r="BB23" s="1655"/>
      <c r="BC23" s="1655"/>
      <c r="BD23" s="1655"/>
      <c r="BE23" s="1655"/>
      <c r="BF23" s="1655"/>
      <c r="BG23" s="1655"/>
      <c r="BH23" s="1655"/>
      <c r="BI23" s="1655"/>
      <c r="BJ23" s="1655"/>
      <c r="BK23" s="1655"/>
      <c r="BL23" s="1655"/>
      <c r="BM23" s="1655"/>
      <c r="BN23" s="1655"/>
      <c r="BO23" s="1655"/>
      <c r="BP23" s="1655"/>
      <c r="BQ23" s="1655"/>
      <c r="BR23" s="1655"/>
      <c r="BS23" s="1655"/>
      <c r="BT23" s="1655"/>
      <c r="BU23" s="1655"/>
      <c r="BV23" s="1655"/>
      <c r="BW23" s="1655"/>
      <c r="BX23" s="1655"/>
      <c r="BY23" s="1655"/>
      <c r="BZ23" s="1655"/>
      <c r="CA23" s="1655"/>
      <c r="CB23" s="1655"/>
      <c r="CC23" s="1655"/>
      <c r="CD23" s="1655"/>
      <c r="CE23" s="1655"/>
      <c r="CF23" s="1655"/>
      <c r="CG23" s="1655"/>
      <c r="CH23" s="1655"/>
      <c r="CI23" s="1655"/>
      <c r="CJ23" s="1655"/>
      <c r="CK23" s="1655"/>
      <c r="CL23" s="1655"/>
      <c r="CM23" s="1655"/>
      <c r="CN23" s="1655"/>
      <c r="CO23" s="1655"/>
      <c r="CP23" s="1655"/>
      <c r="CQ23" s="1655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35"/>
      <c r="B24" s="638"/>
      <c r="C24" s="638"/>
      <c r="D24" s="1600"/>
      <c r="E24" s="638"/>
      <c r="F24" s="525"/>
      <c r="G24" s="526"/>
      <c r="H24" s="525"/>
      <c r="I24" s="1655"/>
      <c r="J24" s="1655"/>
      <c r="K24" s="1655"/>
      <c r="L24" s="1655"/>
      <c r="M24" s="1655"/>
      <c r="N24" s="1655"/>
      <c r="O24" s="1655"/>
      <c r="P24" s="1655"/>
      <c r="Q24" s="1655"/>
      <c r="R24" s="1655"/>
      <c r="S24" s="1655"/>
      <c r="T24" s="1655"/>
      <c r="U24" s="1655"/>
      <c r="V24" s="1655"/>
      <c r="W24" s="1655"/>
      <c r="X24" s="1655"/>
      <c r="Y24" s="1655"/>
      <c r="Z24" s="1655"/>
      <c r="AA24" s="1655"/>
      <c r="AB24" s="1655"/>
      <c r="AC24" s="1655"/>
      <c r="AD24" s="1655"/>
      <c r="AE24" s="1655"/>
      <c r="AF24" s="1655"/>
      <c r="AG24" s="1655"/>
      <c r="AH24" s="1655"/>
      <c r="AI24" s="1655"/>
      <c r="AJ24" s="1655"/>
      <c r="AK24" s="1655"/>
      <c r="AL24" s="1655"/>
      <c r="AM24" s="1655"/>
      <c r="AN24" s="1655"/>
      <c r="AO24" s="1655"/>
      <c r="AP24" s="1655"/>
      <c r="AQ24" s="1655"/>
      <c r="AR24" s="1655"/>
      <c r="AS24" s="1655"/>
      <c r="AT24" s="1655"/>
      <c r="AU24" s="1655"/>
      <c r="AV24" s="1655"/>
      <c r="AW24" s="1655"/>
      <c r="AX24" s="1655"/>
      <c r="AY24" s="1655"/>
      <c r="AZ24" s="1655"/>
      <c r="BA24" s="1655"/>
      <c r="BB24" s="1655"/>
      <c r="BC24" s="1655"/>
      <c r="BD24" s="1655"/>
      <c r="BE24" s="1655"/>
      <c r="BF24" s="1655"/>
      <c r="BG24" s="1655"/>
      <c r="BH24" s="1655"/>
      <c r="BI24" s="1655"/>
      <c r="BJ24" s="1655"/>
      <c r="BK24" s="1655"/>
      <c r="BL24" s="1655"/>
      <c r="BM24" s="1655"/>
      <c r="BN24" s="1655"/>
      <c r="BO24" s="1655"/>
      <c r="BP24" s="1655"/>
      <c r="BQ24" s="1655"/>
      <c r="BR24" s="1655"/>
      <c r="BS24" s="1655"/>
      <c r="BT24" s="1655"/>
      <c r="BU24" s="1655"/>
      <c r="BV24" s="1655"/>
      <c r="BW24" s="1655"/>
      <c r="BX24" s="1655"/>
      <c r="BY24" s="1655"/>
      <c r="BZ24" s="1655"/>
      <c r="CA24" s="1655"/>
      <c r="CB24" s="1655"/>
      <c r="CC24" s="1655"/>
      <c r="CD24" s="1655"/>
      <c r="CE24" s="1655"/>
      <c r="CF24" s="1655"/>
      <c r="CG24" s="1655"/>
      <c r="CH24" s="1655"/>
      <c r="CI24" s="1655"/>
      <c r="CJ24" s="1655"/>
      <c r="CK24" s="1655"/>
      <c r="CL24" s="1655"/>
      <c r="CM24" s="1655"/>
      <c r="CN24" s="1655"/>
      <c r="CO24" s="1655"/>
      <c r="CP24" s="1655"/>
      <c r="CQ24" s="1655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35"/>
      <c r="B25" s="638"/>
      <c r="C25" s="638"/>
      <c r="D25" s="1600"/>
      <c r="E25" s="638"/>
      <c r="F25" s="525"/>
      <c r="G25" s="526"/>
      <c r="H25" s="525"/>
      <c r="I25" s="1655"/>
      <c r="J25" s="1655"/>
      <c r="K25" s="1655"/>
      <c r="L25" s="1655"/>
      <c r="M25" s="1655"/>
      <c r="N25" s="1655"/>
      <c r="O25" s="1655"/>
      <c r="P25" s="1655"/>
      <c r="Q25" s="1655"/>
      <c r="R25" s="1655"/>
      <c r="S25" s="1655"/>
      <c r="T25" s="1655"/>
      <c r="U25" s="1655"/>
      <c r="V25" s="1655"/>
      <c r="W25" s="1655"/>
      <c r="X25" s="1655"/>
      <c r="Y25" s="1655"/>
      <c r="Z25" s="1655"/>
      <c r="AA25" s="1655"/>
      <c r="AB25" s="1655"/>
      <c r="AC25" s="1655"/>
      <c r="AD25" s="1655"/>
      <c r="AE25" s="1655"/>
      <c r="AF25" s="1655"/>
      <c r="AG25" s="1655"/>
      <c r="AH25" s="1655"/>
      <c r="AI25" s="1655"/>
      <c r="AJ25" s="1655"/>
      <c r="AK25" s="1655"/>
      <c r="AL25" s="1655"/>
      <c r="AM25" s="1655"/>
      <c r="AN25" s="1655"/>
      <c r="AO25" s="1655"/>
      <c r="AP25" s="1655"/>
      <c r="AQ25" s="1655"/>
      <c r="AR25" s="1655"/>
      <c r="AS25" s="1655"/>
      <c r="AT25" s="1655"/>
      <c r="AU25" s="1655"/>
      <c r="AV25" s="1655"/>
      <c r="AW25" s="1655"/>
      <c r="AX25" s="1655"/>
      <c r="AY25" s="1655"/>
      <c r="AZ25" s="1655"/>
      <c r="BA25" s="1655"/>
      <c r="BB25" s="1655"/>
      <c r="BC25" s="1655"/>
      <c r="BD25" s="1655"/>
      <c r="BE25" s="1655"/>
      <c r="BF25" s="1655"/>
      <c r="BG25" s="1655"/>
      <c r="BH25" s="1655"/>
      <c r="BI25" s="1655"/>
      <c r="BJ25" s="1655"/>
      <c r="BK25" s="1655"/>
      <c r="BL25" s="1655"/>
      <c r="BM25" s="1655"/>
      <c r="BN25" s="1655"/>
      <c r="BO25" s="1655"/>
      <c r="BP25" s="1655"/>
      <c r="BQ25" s="1655"/>
      <c r="BR25" s="1655"/>
      <c r="BS25" s="1655"/>
      <c r="BT25" s="1655"/>
      <c r="BU25" s="1655"/>
      <c r="BV25" s="1655"/>
      <c r="BW25" s="1655"/>
      <c r="BX25" s="1655"/>
      <c r="BY25" s="1655"/>
      <c r="BZ25" s="1655"/>
      <c r="CA25" s="1655"/>
      <c r="CB25" s="1655"/>
      <c r="CC25" s="1655"/>
      <c r="CD25" s="1655"/>
      <c r="CE25" s="1655"/>
      <c r="CF25" s="1655"/>
      <c r="CG25" s="1655"/>
      <c r="CH25" s="1655"/>
      <c r="CI25" s="1655"/>
      <c r="CJ25" s="1655"/>
      <c r="CK25" s="1655"/>
      <c r="CL25" s="1655"/>
      <c r="CM25" s="1655"/>
      <c r="CN25" s="1655"/>
      <c r="CO25" s="1655"/>
      <c r="CP25" s="1655"/>
      <c r="CQ25" s="1655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35"/>
      <c r="B26" s="638"/>
      <c r="C26" s="638"/>
      <c r="D26" s="1600"/>
      <c r="E26" s="638"/>
      <c r="F26" s="525"/>
      <c r="G26" s="526"/>
      <c r="H26" s="525"/>
      <c r="I26" s="1655"/>
      <c r="J26" s="1655"/>
      <c r="K26" s="1655"/>
      <c r="L26" s="1655"/>
      <c r="M26" s="1655"/>
      <c r="N26" s="1655"/>
      <c r="O26" s="1655"/>
      <c r="P26" s="1655"/>
      <c r="Q26" s="1655"/>
      <c r="R26" s="1655"/>
      <c r="S26" s="1655"/>
      <c r="T26" s="1655"/>
      <c r="U26" s="1655"/>
      <c r="V26" s="1655"/>
      <c r="W26" s="1655"/>
      <c r="X26" s="1655"/>
      <c r="Y26" s="1655"/>
      <c r="Z26" s="1655"/>
      <c r="AA26" s="1655"/>
      <c r="AB26" s="1655"/>
      <c r="AC26" s="1655"/>
      <c r="AD26" s="1655"/>
      <c r="AE26" s="1655"/>
      <c r="AF26" s="1655"/>
      <c r="AG26" s="1655"/>
      <c r="AH26" s="1655"/>
      <c r="AI26" s="1655"/>
      <c r="AJ26" s="1655"/>
      <c r="AK26" s="1655"/>
      <c r="AL26" s="1655"/>
      <c r="AM26" s="1655"/>
      <c r="AN26" s="1655"/>
      <c r="AO26" s="1655"/>
      <c r="AP26" s="1655"/>
      <c r="AQ26" s="1655"/>
      <c r="AR26" s="1655"/>
      <c r="AS26" s="1655"/>
      <c r="AT26" s="1655"/>
      <c r="AU26" s="1655"/>
      <c r="AV26" s="1655"/>
      <c r="AW26" s="1655"/>
      <c r="AX26" s="1655"/>
      <c r="AY26" s="1655"/>
      <c r="AZ26" s="1655"/>
      <c r="BA26" s="1655"/>
      <c r="BB26" s="1655"/>
      <c r="BC26" s="1655"/>
      <c r="BD26" s="1655"/>
      <c r="BE26" s="1655"/>
      <c r="BF26" s="1655"/>
      <c r="BG26" s="1655"/>
      <c r="BH26" s="1655"/>
      <c r="BI26" s="1655"/>
      <c r="BJ26" s="1655"/>
      <c r="BK26" s="1655"/>
      <c r="BL26" s="1655"/>
      <c r="BM26" s="1655"/>
      <c r="BN26" s="1655"/>
      <c r="BO26" s="1655"/>
      <c r="BP26" s="1655"/>
      <c r="BQ26" s="1655"/>
      <c r="BR26" s="1655"/>
      <c r="BS26" s="1655"/>
      <c r="BT26" s="1655"/>
      <c r="BU26" s="1655"/>
      <c r="BV26" s="1655"/>
      <c r="BW26" s="1655"/>
      <c r="BX26" s="1655"/>
      <c r="BY26" s="1655"/>
      <c r="BZ26" s="1655"/>
      <c r="CA26" s="1655"/>
      <c r="CB26" s="1655"/>
      <c r="CC26" s="1655"/>
      <c r="CD26" s="1655"/>
      <c r="CE26" s="1655"/>
      <c r="CF26" s="1655"/>
      <c r="CG26" s="1655"/>
      <c r="CH26" s="1655"/>
      <c r="CI26" s="1655"/>
      <c r="CJ26" s="1655"/>
      <c r="CK26" s="1655"/>
      <c r="CL26" s="1655"/>
      <c r="CM26" s="1655"/>
      <c r="CN26" s="1655"/>
      <c r="CO26" s="1655"/>
      <c r="CP26" s="1655"/>
      <c r="CQ26" s="1655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35"/>
      <c r="B27" s="638"/>
      <c r="C27" s="638"/>
      <c r="D27" s="1600"/>
      <c r="E27" s="638"/>
      <c r="F27" s="525"/>
      <c r="G27" s="526"/>
      <c r="H27" s="525"/>
      <c r="I27" s="1655"/>
      <c r="J27" s="1655"/>
      <c r="K27" s="1655"/>
      <c r="L27" s="1655"/>
      <c r="M27" s="1655"/>
      <c r="N27" s="1655"/>
      <c r="O27" s="1655"/>
      <c r="P27" s="1655"/>
      <c r="Q27" s="1655"/>
      <c r="R27" s="1655"/>
      <c r="S27" s="1655"/>
      <c r="T27" s="1655"/>
      <c r="U27" s="1655"/>
      <c r="V27" s="1655"/>
      <c r="W27" s="1655"/>
      <c r="X27" s="1655"/>
      <c r="Y27" s="1655"/>
      <c r="Z27" s="1655"/>
      <c r="AA27" s="1655"/>
      <c r="AB27" s="1655"/>
      <c r="AC27" s="1655"/>
      <c r="AD27" s="1655"/>
      <c r="AE27" s="1655"/>
      <c r="AF27" s="1655"/>
      <c r="AG27" s="1655"/>
      <c r="AH27" s="1655"/>
      <c r="AI27" s="1655"/>
      <c r="AJ27" s="1655"/>
      <c r="AK27" s="1655"/>
      <c r="AL27" s="1655"/>
      <c r="AM27" s="1655"/>
      <c r="AN27" s="1655"/>
      <c r="AO27" s="1655"/>
      <c r="AP27" s="1655"/>
      <c r="AQ27" s="1655"/>
      <c r="AR27" s="1655"/>
      <c r="AS27" s="1655"/>
      <c r="AT27" s="1655"/>
      <c r="AU27" s="1655"/>
      <c r="AV27" s="1655"/>
      <c r="AW27" s="1655"/>
      <c r="AX27" s="1655"/>
      <c r="AY27" s="1655"/>
      <c r="AZ27" s="1655"/>
      <c r="BA27" s="1655"/>
      <c r="BB27" s="1655"/>
      <c r="BC27" s="1655"/>
      <c r="BD27" s="1655"/>
      <c r="BE27" s="1655"/>
      <c r="BF27" s="1655"/>
      <c r="BG27" s="1655"/>
      <c r="BH27" s="1655"/>
      <c r="BI27" s="1655"/>
      <c r="BJ27" s="1655"/>
      <c r="BK27" s="1655"/>
      <c r="BL27" s="1655"/>
      <c r="BM27" s="1655"/>
      <c r="BN27" s="1655"/>
      <c r="BO27" s="1655"/>
      <c r="BP27" s="1655"/>
      <c r="BQ27" s="1655"/>
      <c r="BR27" s="1655"/>
      <c r="BS27" s="1655"/>
      <c r="BT27" s="1655"/>
      <c r="BU27" s="1655"/>
      <c r="BV27" s="1655"/>
      <c r="BW27" s="1655"/>
      <c r="BX27" s="1655"/>
      <c r="BY27" s="1655"/>
      <c r="BZ27" s="1655"/>
      <c r="CA27" s="1655"/>
      <c r="CB27" s="1655"/>
      <c r="CC27" s="1655"/>
      <c r="CD27" s="1655"/>
      <c r="CE27" s="1655"/>
      <c r="CF27" s="1655"/>
      <c r="CG27" s="1655"/>
      <c r="CH27" s="1655"/>
      <c r="CI27" s="1655"/>
      <c r="CJ27" s="1655"/>
      <c r="CK27" s="1655"/>
      <c r="CL27" s="1655"/>
      <c r="CM27" s="1655"/>
      <c r="CN27" s="1655"/>
      <c r="CO27" s="1655"/>
      <c r="CP27" s="1655"/>
      <c r="CQ27" s="1655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35"/>
      <c r="B28" s="638"/>
      <c r="C28" s="638"/>
      <c r="D28" s="1600"/>
      <c r="E28" s="638"/>
      <c r="F28" s="525"/>
      <c r="G28" s="526"/>
      <c r="H28" s="525"/>
      <c r="I28" s="1655"/>
      <c r="J28" s="1655"/>
      <c r="K28" s="1655"/>
      <c r="L28" s="1655"/>
      <c r="M28" s="1655"/>
      <c r="N28" s="1655"/>
      <c r="O28" s="1655"/>
      <c r="P28" s="1655"/>
      <c r="Q28" s="1655"/>
      <c r="R28" s="1655"/>
      <c r="S28" s="1655"/>
      <c r="T28" s="1655"/>
      <c r="U28" s="1655"/>
      <c r="V28" s="1655"/>
      <c r="W28" s="1655"/>
      <c r="X28" s="1655"/>
      <c r="Y28" s="1655"/>
      <c r="Z28" s="1655"/>
      <c r="AA28" s="1655"/>
      <c r="AB28" s="1655"/>
      <c r="AC28" s="1655"/>
      <c r="AD28" s="1655"/>
      <c r="AE28" s="1655"/>
      <c r="AF28" s="1655"/>
      <c r="AG28" s="1655"/>
      <c r="AH28" s="1655"/>
      <c r="AI28" s="1655"/>
      <c r="AJ28" s="1655"/>
      <c r="AK28" s="1655"/>
      <c r="AL28" s="1655"/>
      <c r="AM28" s="1655"/>
      <c r="AN28" s="1655"/>
      <c r="AO28" s="1655"/>
      <c r="AP28" s="1655"/>
      <c r="AQ28" s="1655"/>
      <c r="AR28" s="1655"/>
      <c r="AS28" s="1655"/>
      <c r="AT28" s="1655"/>
      <c r="AU28" s="1655"/>
      <c r="AV28" s="1655"/>
      <c r="AW28" s="1655"/>
      <c r="AX28" s="1655"/>
      <c r="AY28" s="1655"/>
      <c r="AZ28" s="1655"/>
      <c r="BA28" s="1655"/>
      <c r="BB28" s="1655"/>
      <c r="BC28" s="1655"/>
      <c r="BD28" s="1655"/>
      <c r="BE28" s="1655"/>
      <c r="BF28" s="1655"/>
      <c r="BG28" s="1655"/>
      <c r="BH28" s="1655"/>
      <c r="BI28" s="1655"/>
      <c r="BJ28" s="1655"/>
      <c r="BK28" s="1655"/>
      <c r="BL28" s="1655"/>
      <c r="BM28" s="1655"/>
      <c r="BN28" s="1655"/>
      <c r="BO28" s="1655"/>
      <c r="BP28" s="1655"/>
      <c r="BQ28" s="1655"/>
      <c r="BR28" s="1655"/>
      <c r="BS28" s="1655"/>
      <c r="BT28" s="1655"/>
      <c r="BU28" s="1655"/>
      <c r="BV28" s="1655"/>
      <c r="BW28" s="1655"/>
      <c r="BX28" s="1655"/>
      <c r="BY28" s="1655"/>
      <c r="BZ28" s="1655"/>
      <c r="CA28" s="1655"/>
      <c r="CB28" s="1655"/>
      <c r="CC28" s="1655"/>
      <c r="CD28" s="1655"/>
      <c r="CE28" s="1655"/>
      <c r="CF28" s="1655"/>
      <c r="CG28" s="1655"/>
      <c r="CH28" s="1655"/>
      <c r="CI28" s="1655"/>
      <c r="CJ28" s="1655"/>
      <c r="CK28" s="1655"/>
      <c r="CL28" s="1655"/>
      <c r="CM28" s="1655"/>
      <c r="CN28" s="1655"/>
      <c r="CO28" s="1655"/>
      <c r="CP28" s="1655"/>
      <c r="CQ28" s="1655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35"/>
      <c r="B29" s="638"/>
      <c r="C29" s="638"/>
      <c r="D29" s="1600"/>
      <c r="E29" s="638"/>
      <c r="F29" s="525"/>
      <c r="G29" s="526"/>
      <c r="H29" s="525"/>
      <c r="I29" s="1655"/>
      <c r="J29" s="1655"/>
      <c r="K29" s="1655"/>
      <c r="L29" s="1655"/>
      <c r="M29" s="1655"/>
      <c r="N29" s="1655"/>
      <c r="O29" s="1655"/>
      <c r="P29" s="1655"/>
      <c r="Q29" s="1655"/>
      <c r="R29" s="1655"/>
      <c r="S29" s="1655"/>
      <c r="T29" s="1655"/>
      <c r="U29" s="1655"/>
      <c r="V29" s="1655"/>
      <c r="W29" s="1655"/>
      <c r="X29" s="1655"/>
      <c r="Y29" s="1655"/>
      <c r="Z29" s="1655"/>
      <c r="AA29" s="1655"/>
      <c r="AB29" s="1655"/>
      <c r="AC29" s="1655"/>
      <c r="AD29" s="1655"/>
      <c r="AE29" s="1655"/>
      <c r="AF29" s="1655"/>
      <c r="AG29" s="1655"/>
      <c r="AH29" s="1655"/>
      <c r="AI29" s="1655"/>
      <c r="AJ29" s="1655"/>
      <c r="AK29" s="1655"/>
      <c r="AL29" s="1655"/>
      <c r="AM29" s="1655"/>
      <c r="AN29" s="1655"/>
      <c r="AO29" s="1655"/>
      <c r="AP29" s="1655"/>
      <c r="AQ29" s="1655"/>
      <c r="AR29" s="1655"/>
      <c r="AS29" s="1655"/>
      <c r="AT29" s="1655"/>
      <c r="AU29" s="1655"/>
      <c r="AV29" s="1655"/>
      <c r="AW29" s="1655"/>
      <c r="AX29" s="1655"/>
      <c r="AY29" s="1655"/>
      <c r="AZ29" s="1655"/>
      <c r="BA29" s="1655"/>
      <c r="BB29" s="1655"/>
      <c r="BC29" s="1655"/>
      <c r="BD29" s="1655"/>
      <c r="BE29" s="1655"/>
      <c r="BF29" s="1655"/>
      <c r="BG29" s="1655"/>
      <c r="BH29" s="1655"/>
      <c r="BI29" s="1655"/>
      <c r="BJ29" s="1655"/>
      <c r="BK29" s="1655"/>
      <c r="BL29" s="1655"/>
      <c r="BM29" s="1655"/>
      <c r="BN29" s="1655"/>
      <c r="BO29" s="1655"/>
      <c r="BP29" s="1655"/>
      <c r="BQ29" s="1655"/>
      <c r="BR29" s="1655"/>
      <c r="BS29" s="1655"/>
      <c r="BT29" s="1655"/>
      <c r="BU29" s="1655"/>
      <c r="BV29" s="1655"/>
      <c r="BW29" s="1655"/>
      <c r="BX29" s="1655"/>
      <c r="BY29" s="1655"/>
      <c r="BZ29" s="1655"/>
      <c r="CA29" s="1655"/>
      <c r="CB29" s="1655"/>
      <c r="CC29" s="1655"/>
      <c r="CD29" s="1655"/>
      <c r="CE29" s="1655"/>
      <c r="CF29" s="1655"/>
      <c r="CG29" s="1655"/>
      <c r="CH29" s="1655"/>
      <c r="CI29" s="1655"/>
      <c r="CJ29" s="1655"/>
      <c r="CK29" s="1655"/>
      <c r="CL29" s="1655"/>
      <c r="CM29" s="1655"/>
      <c r="CN29" s="1655"/>
      <c r="CO29" s="1655"/>
      <c r="CP29" s="1655"/>
      <c r="CQ29" s="1655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35"/>
      <c r="B30" s="638"/>
      <c r="C30" s="638"/>
      <c r="D30" s="1600"/>
      <c r="E30" s="638"/>
      <c r="F30" s="525"/>
      <c r="G30" s="526"/>
      <c r="H30" s="525"/>
      <c r="I30" s="1655"/>
      <c r="J30" s="1655"/>
      <c r="K30" s="1655"/>
      <c r="L30" s="1655"/>
      <c r="M30" s="1655"/>
      <c r="N30" s="1655"/>
      <c r="O30" s="1655"/>
      <c r="P30" s="1655"/>
      <c r="Q30" s="1655"/>
      <c r="R30" s="1655"/>
      <c r="S30" s="1655"/>
      <c r="T30" s="1655"/>
      <c r="U30" s="1655"/>
      <c r="V30" s="1655"/>
      <c r="W30" s="1655"/>
      <c r="X30" s="1655"/>
      <c r="Y30" s="1655"/>
      <c r="Z30" s="1655"/>
      <c r="AA30" s="1655"/>
      <c r="AB30" s="1655"/>
      <c r="AC30" s="1655"/>
      <c r="AD30" s="1655"/>
      <c r="AE30" s="1655"/>
      <c r="AF30" s="1655"/>
      <c r="AG30" s="1655"/>
      <c r="AH30" s="1655"/>
      <c r="AI30" s="1655"/>
      <c r="AJ30" s="1655"/>
      <c r="AK30" s="1655"/>
      <c r="AL30" s="1655"/>
      <c r="AM30" s="1655"/>
      <c r="AN30" s="1655"/>
      <c r="AO30" s="1655"/>
      <c r="AP30" s="1655"/>
      <c r="AQ30" s="1655"/>
      <c r="AR30" s="1655"/>
      <c r="AS30" s="1655"/>
      <c r="AT30" s="1655"/>
      <c r="AU30" s="1655"/>
      <c r="AV30" s="1655"/>
      <c r="AW30" s="1655"/>
      <c r="AX30" s="1655"/>
      <c r="AY30" s="1655"/>
      <c r="AZ30" s="1655"/>
      <c r="BA30" s="1655"/>
      <c r="BB30" s="1655"/>
      <c r="BC30" s="1655"/>
      <c r="BD30" s="1655"/>
      <c r="BE30" s="1655"/>
      <c r="BF30" s="1655"/>
      <c r="BG30" s="1655"/>
      <c r="BH30" s="1655"/>
      <c r="BI30" s="1655"/>
      <c r="BJ30" s="1655"/>
      <c r="BK30" s="1655"/>
      <c r="BL30" s="1655"/>
      <c r="BM30" s="1655"/>
      <c r="BN30" s="1655"/>
      <c r="BO30" s="1655"/>
      <c r="BP30" s="1655"/>
      <c r="BQ30" s="1655"/>
      <c r="BR30" s="1655"/>
      <c r="BS30" s="1655"/>
      <c r="BT30" s="1655"/>
      <c r="BU30" s="1655"/>
      <c r="BV30" s="1655"/>
      <c r="BW30" s="1655"/>
      <c r="BX30" s="1655"/>
      <c r="BY30" s="1655"/>
      <c r="BZ30" s="1655"/>
      <c r="CA30" s="1655"/>
      <c r="CB30" s="1655"/>
      <c r="CC30" s="1655"/>
      <c r="CD30" s="1655"/>
      <c r="CE30" s="1655"/>
      <c r="CF30" s="1655"/>
      <c r="CG30" s="1655"/>
      <c r="CH30" s="1655"/>
      <c r="CI30" s="1655"/>
      <c r="CJ30" s="1655"/>
      <c r="CK30" s="1655"/>
      <c r="CL30" s="1655"/>
      <c r="CM30" s="1655"/>
      <c r="CN30" s="1655"/>
      <c r="CO30" s="1655"/>
      <c r="CP30" s="1655"/>
      <c r="CQ30" s="1655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35"/>
      <c r="B31" s="638"/>
      <c r="C31" s="638"/>
      <c r="D31" s="1600"/>
      <c r="E31" s="638"/>
      <c r="F31" s="525"/>
      <c r="G31" s="526"/>
      <c r="H31" s="525"/>
      <c r="I31" s="1655"/>
      <c r="J31" s="1655"/>
      <c r="K31" s="1655"/>
      <c r="L31" s="1655"/>
      <c r="M31" s="1655"/>
      <c r="N31" s="1655"/>
      <c r="O31" s="1655"/>
      <c r="P31" s="1655"/>
      <c r="Q31" s="1655"/>
      <c r="R31" s="1655"/>
      <c r="S31" s="1655"/>
      <c r="T31" s="1655"/>
      <c r="U31" s="1655"/>
      <c r="V31" s="1655"/>
      <c r="W31" s="1655"/>
      <c r="X31" s="1655"/>
      <c r="Y31" s="1655"/>
      <c r="Z31" s="1655"/>
      <c r="AA31" s="1655"/>
      <c r="AB31" s="1655"/>
      <c r="AC31" s="1655"/>
      <c r="AD31" s="1655"/>
      <c r="AE31" s="1655"/>
      <c r="AF31" s="1655"/>
      <c r="AG31" s="1655"/>
      <c r="AH31" s="1655"/>
      <c r="AI31" s="1655"/>
      <c r="AJ31" s="1655"/>
      <c r="AK31" s="1655"/>
      <c r="AL31" s="1655"/>
      <c r="AM31" s="1655"/>
      <c r="AN31" s="1655"/>
      <c r="AO31" s="1655"/>
      <c r="AP31" s="1655"/>
      <c r="AQ31" s="1655"/>
      <c r="AR31" s="1655"/>
      <c r="AS31" s="1655"/>
      <c r="AT31" s="1655"/>
      <c r="AU31" s="1655"/>
      <c r="AV31" s="1655"/>
      <c r="AW31" s="1655"/>
      <c r="AX31" s="1655"/>
      <c r="AY31" s="1655"/>
      <c r="AZ31" s="1655"/>
      <c r="BA31" s="1655"/>
      <c r="BB31" s="1655"/>
      <c r="BC31" s="1655"/>
      <c r="BD31" s="1655"/>
      <c r="BE31" s="1655"/>
      <c r="BF31" s="1655"/>
      <c r="BG31" s="1655"/>
      <c r="BH31" s="1655"/>
      <c r="BI31" s="1655"/>
      <c r="BJ31" s="1655"/>
      <c r="BK31" s="1655"/>
      <c r="BL31" s="1655"/>
      <c r="BM31" s="1655"/>
      <c r="BN31" s="1655"/>
      <c r="BO31" s="1655"/>
      <c r="BP31" s="1655"/>
      <c r="BQ31" s="1655"/>
      <c r="BR31" s="1655"/>
      <c r="BS31" s="1655"/>
      <c r="BT31" s="1655"/>
      <c r="BU31" s="1655"/>
      <c r="BV31" s="1655"/>
      <c r="BW31" s="1655"/>
      <c r="BX31" s="1655"/>
      <c r="BY31" s="1655"/>
      <c r="BZ31" s="1655"/>
      <c r="CA31" s="1655"/>
      <c r="CB31" s="1655"/>
      <c r="CC31" s="1655"/>
      <c r="CD31" s="1655"/>
      <c r="CE31" s="1655"/>
      <c r="CF31" s="1655"/>
      <c r="CG31" s="1655"/>
      <c r="CH31" s="1655"/>
      <c r="CI31" s="1655"/>
      <c r="CJ31" s="1655"/>
      <c r="CK31" s="1655"/>
      <c r="CL31" s="1655"/>
      <c r="CM31" s="1655"/>
      <c r="CN31" s="1655"/>
      <c r="CO31" s="1655"/>
      <c r="CP31" s="1655"/>
      <c r="CQ31" s="1655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35"/>
      <c r="B32" s="638"/>
      <c r="C32" s="638"/>
      <c r="D32" s="1600"/>
      <c r="E32" s="638"/>
      <c r="F32" s="525"/>
      <c r="G32" s="526"/>
      <c r="H32" s="525"/>
      <c r="I32" s="1655"/>
      <c r="J32" s="1655"/>
      <c r="K32" s="1655"/>
      <c r="L32" s="1655"/>
      <c r="M32" s="1655"/>
      <c r="N32" s="1655"/>
      <c r="O32" s="1655"/>
      <c r="P32" s="1655"/>
      <c r="Q32" s="1655"/>
      <c r="R32" s="1655"/>
      <c r="S32" s="1655"/>
      <c r="T32" s="1655"/>
      <c r="U32" s="1655"/>
      <c r="V32" s="1655"/>
      <c r="W32" s="1655"/>
      <c r="X32" s="1655"/>
      <c r="Y32" s="1655"/>
      <c r="Z32" s="1655"/>
      <c r="AA32" s="1655"/>
      <c r="AB32" s="1655"/>
      <c r="AC32" s="1655"/>
      <c r="AD32" s="1655"/>
      <c r="AE32" s="1655"/>
      <c r="AF32" s="1655"/>
      <c r="AG32" s="1655"/>
      <c r="AH32" s="1655"/>
      <c r="AI32" s="1655"/>
      <c r="AJ32" s="1655"/>
      <c r="AK32" s="1655"/>
      <c r="AL32" s="1655"/>
      <c r="AM32" s="1655"/>
      <c r="AN32" s="1655"/>
      <c r="AO32" s="1655"/>
      <c r="AP32" s="1655"/>
      <c r="AQ32" s="1655"/>
      <c r="AR32" s="1655"/>
      <c r="AS32" s="1655"/>
      <c r="AT32" s="1655"/>
      <c r="AU32" s="1655"/>
      <c r="AV32" s="1655"/>
      <c r="AW32" s="1655"/>
      <c r="AX32" s="1655"/>
      <c r="AY32" s="1655"/>
      <c r="AZ32" s="1655"/>
      <c r="BA32" s="1655"/>
      <c r="BB32" s="1655"/>
      <c r="BC32" s="1655"/>
      <c r="BD32" s="1655"/>
      <c r="BE32" s="1655"/>
      <c r="BF32" s="1655"/>
      <c r="BG32" s="1655"/>
      <c r="BH32" s="1655"/>
      <c r="BI32" s="1655"/>
      <c r="BJ32" s="1655"/>
      <c r="BK32" s="1655"/>
      <c r="BL32" s="1655"/>
      <c r="BM32" s="1655"/>
      <c r="BN32" s="1655"/>
      <c r="BO32" s="1655"/>
      <c r="BP32" s="1655"/>
      <c r="BQ32" s="1655"/>
      <c r="BR32" s="1655"/>
      <c r="BS32" s="1655"/>
      <c r="BT32" s="1655"/>
      <c r="BU32" s="1655"/>
      <c r="BV32" s="1655"/>
      <c r="BW32" s="1655"/>
      <c r="BX32" s="1655"/>
      <c r="BY32" s="1655"/>
      <c r="BZ32" s="1655"/>
      <c r="CA32" s="1655"/>
      <c r="CB32" s="1655"/>
      <c r="CC32" s="1655"/>
      <c r="CD32" s="1655"/>
      <c r="CE32" s="1655"/>
      <c r="CF32" s="1655"/>
      <c r="CG32" s="1655"/>
      <c r="CH32" s="1655"/>
      <c r="CI32" s="1655"/>
      <c r="CJ32" s="1655"/>
      <c r="CK32" s="1655"/>
      <c r="CL32" s="1655"/>
      <c r="CM32" s="1655"/>
      <c r="CN32" s="1655"/>
      <c r="CO32" s="1655"/>
      <c r="CP32" s="1655"/>
      <c r="CQ32" s="1655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35"/>
      <c r="B33" s="638"/>
      <c r="C33" s="638"/>
      <c r="D33" s="1600"/>
      <c r="E33" s="638"/>
      <c r="F33" s="525"/>
      <c r="G33" s="526"/>
      <c r="H33" s="525"/>
      <c r="I33" s="1655"/>
      <c r="J33" s="1655"/>
      <c r="K33" s="1655"/>
      <c r="L33" s="1655"/>
      <c r="M33" s="1655"/>
      <c r="N33" s="1655"/>
      <c r="O33" s="1655"/>
      <c r="P33" s="1655"/>
      <c r="Q33" s="1655"/>
      <c r="R33" s="1655"/>
      <c r="S33" s="1655"/>
      <c r="T33" s="1655"/>
      <c r="U33" s="1655"/>
      <c r="V33" s="1655"/>
      <c r="W33" s="1655"/>
      <c r="X33" s="1655"/>
      <c r="Y33" s="1655"/>
      <c r="Z33" s="1655"/>
      <c r="AA33" s="1655"/>
      <c r="AB33" s="1655"/>
      <c r="AC33" s="1655"/>
      <c r="AD33" s="1655"/>
      <c r="AE33" s="1655"/>
      <c r="AF33" s="1655"/>
      <c r="AG33" s="1655"/>
      <c r="AH33" s="1655"/>
      <c r="AI33" s="1655"/>
      <c r="AJ33" s="1655"/>
      <c r="AK33" s="1655"/>
      <c r="AL33" s="1655"/>
      <c r="AM33" s="1655"/>
      <c r="AN33" s="1655"/>
      <c r="AO33" s="1655"/>
      <c r="AP33" s="1655"/>
      <c r="AQ33" s="1655"/>
      <c r="AR33" s="1655"/>
      <c r="AS33" s="1655"/>
      <c r="AT33" s="1655"/>
      <c r="AU33" s="1655"/>
      <c r="AV33" s="1655"/>
      <c r="AW33" s="1655"/>
      <c r="AX33" s="1655"/>
      <c r="AY33" s="1655"/>
      <c r="AZ33" s="1655"/>
      <c r="BA33" s="1655"/>
      <c r="BB33" s="1655"/>
      <c r="BC33" s="1655"/>
      <c r="BD33" s="1655"/>
      <c r="BE33" s="1655"/>
      <c r="BF33" s="1655"/>
      <c r="BG33" s="1655"/>
      <c r="BH33" s="1655"/>
      <c r="BI33" s="1655"/>
      <c r="BJ33" s="1655"/>
      <c r="BK33" s="1655"/>
      <c r="BL33" s="1655"/>
      <c r="BM33" s="1655"/>
      <c r="BN33" s="1655"/>
      <c r="BO33" s="1655"/>
      <c r="BP33" s="1655"/>
      <c r="BQ33" s="1655"/>
      <c r="BR33" s="1655"/>
      <c r="BS33" s="1655"/>
      <c r="BT33" s="1655"/>
      <c r="BU33" s="1655"/>
      <c r="BV33" s="1655"/>
      <c r="BW33" s="1655"/>
      <c r="BX33" s="1655"/>
      <c r="BY33" s="1655"/>
      <c r="BZ33" s="1655"/>
      <c r="CA33" s="1655"/>
      <c r="CB33" s="1655"/>
      <c r="CC33" s="1655"/>
      <c r="CD33" s="1655"/>
      <c r="CE33" s="1655"/>
      <c r="CF33" s="1655"/>
      <c r="CG33" s="1655"/>
      <c r="CH33" s="1655"/>
      <c r="CI33" s="1655"/>
      <c r="CJ33" s="1655"/>
      <c r="CK33" s="1655"/>
      <c r="CL33" s="1655"/>
      <c r="CM33" s="1655"/>
      <c r="CN33" s="1655"/>
      <c r="CO33" s="1655"/>
      <c r="CP33" s="1655"/>
      <c r="CQ33" s="1655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35"/>
      <c r="B34" s="638"/>
      <c r="C34" s="638"/>
      <c r="D34" s="1600"/>
      <c r="E34" s="638"/>
      <c r="F34" s="525"/>
      <c r="G34" s="526"/>
      <c r="H34" s="525"/>
      <c r="I34" s="1655"/>
      <c r="J34" s="1655"/>
      <c r="K34" s="1655"/>
      <c r="L34" s="1655"/>
      <c r="M34" s="1655"/>
      <c r="N34" s="1655"/>
      <c r="O34" s="1655"/>
      <c r="P34" s="1655"/>
      <c r="Q34" s="1655"/>
      <c r="R34" s="1655"/>
      <c r="S34" s="1655"/>
      <c r="T34" s="1655"/>
      <c r="U34" s="1655"/>
      <c r="V34" s="1655"/>
      <c r="W34" s="1655"/>
      <c r="X34" s="1655"/>
      <c r="Y34" s="1655"/>
      <c r="Z34" s="1655"/>
      <c r="AA34" s="1655"/>
      <c r="AB34" s="1655"/>
      <c r="AC34" s="1655"/>
      <c r="AD34" s="1655"/>
      <c r="AE34" s="1655"/>
      <c r="AF34" s="1655"/>
      <c r="AG34" s="1655"/>
      <c r="AH34" s="1655"/>
      <c r="AI34" s="1655"/>
      <c r="AJ34" s="1655"/>
      <c r="AK34" s="1655"/>
      <c r="AL34" s="1655"/>
      <c r="AM34" s="1655"/>
      <c r="AN34" s="1655"/>
      <c r="AO34" s="1655"/>
      <c r="AP34" s="1655"/>
      <c r="AQ34" s="1655"/>
      <c r="AR34" s="1655"/>
      <c r="AS34" s="1655"/>
      <c r="AT34" s="1655"/>
      <c r="AU34" s="1655"/>
      <c r="AV34" s="1655"/>
      <c r="AW34" s="1655"/>
      <c r="AX34" s="1655"/>
      <c r="AY34" s="1655"/>
      <c r="AZ34" s="1655"/>
      <c r="BA34" s="1655"/>
      <c r="BB34" s="1655"/>
      <c r="BC34" s="1655"/>
      <c r="BD34" s="1655"/>
      <c r="BE34" s="1655"/>
      <c r="BF34" s="1655"/>
      <c r="BG34" s="1655"/>
      <c r="BH34" s="1655"/>
      <c r="BI34" s="1655"/>
      <c r="BJ34" s="1655"/>
      <c r="BK34" s="1655"/>
      <c r="BL34" s="1655"/>
      <c r="BM34" s="1655"/>
      <c r="BN34" s="1655"/>
      <c r="BO34" s="1655"/>
      <c r="BP34" s="1655"/>
      <c r="BQ34" s="1655"/>
      <c r="BR34" s="1655"/>
      <c r="BS34" s="1655"/>
      <c r="BT34" s="1655"/>
      <c r="BU34" s="1655"/>
      <c r="BV34" s="1655"/>
      <c r="BW34" s="1655"/>
      <c r="BX34" s="1655"/>
      <c r="BY34" s="1655"/>
      <c r="BZ34" s="1655"/>
      <c r="CA34" s="1655"/>
      <c r="CB34" s="1655"/>
      <c r="CC34" s="1655"/>
      <c r="CD34" s="1655"/>
      <c r="CE34" s="1655"/>
      <c r="CF34" s="1655"/>
      <c r="CG34" s="1655"/>
      <c r="CH34" s="1655"/>
      <c r="CI34" s="1655"/>
      <c r="CJ34" s="1655"/>
      <c r="CK34" s="1655"/>
      <c r="CL34" s="1655"/>
      <c r="CM34" s="1655"/>
      <c r="CN34" s="1655"/>
      <c r="CO34" s="1655"/>
      <c r="CP34" s="1655"/>
      <c r="CQ34" s="1655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35"/>
      <c r="B35" s="638"/>
      <c r="C35" s="638"/>
      <c r="D35" s="1600"/>
      <c r="E35" s="638"/>
      <c r="F35" s="525"/>
      <c r="G35" s="526"/>
      <c r="H35" s="525"/>
      <c r="I35" s="1655"/>
      <c r="J35" s="1655"/>
      <c r="K35" s="1655"/>
      <c r="L35" s="1655"/>
      <c r="M35" s="1655"/>
      <c r="N35" s="1655"/>
      <c r="O35" s="1655"/>
      <c r="P35" s="1655"/>
      <c r="Q35" s="1655"/>
      <c r="R35" s="1655"/>
      <c r="S35" s="1655"/>
      <c r="T35" s="1655"/>
      <c r="U35" s="1655"/>
      <c r="V35" s="1655"/>
      <c r="W35" s="1655"/>
      <c r="X35" s="1655"/>
      <c r="Y35" s="1655"/>
      <c r="Z35" s="1655"/>
      <c r="AA35" s="1655"/>
      <c r="AB35" s="1655"/>
      <c r="AC35" s="1655"/>
      <c r="AD35" s="1655"/>
      <c r="AE35" s="1655"/>
      <c r="AF35" s="1655"/>
      <c r="AG35" s="1655"/>
      <c r="AH35" s="1655"/>
      <c r="AI35" s="1655"/>
      <c r="AJ35" s="1655"/>
      <c r="AK35" s="1655"/>
      <c r="AL35" s="1655"/>
      <c r="AM35" s="1655"/>
      <c r="AN35" s="1655"/>
      <c r="AO35" s="1655"/>
      <c r="AP35" s="1655"/>
      <c r="AQ35" s="1655"/>
      <c r="AR35" s="1655"/>
      <c r="AS35" s="1655"/>
      <c r="AT35" s="1655"/>
      <c r="AU35" s="1655"/>
      <c r="AV35" s="1655"/>
      <c r="AW35" s="1655"/>
      <c r="AX35" s="1655"/>
      <c r="AY35" s="1655"/>
      <c r="AZ35" s="1655"/>
      <c r="BA35" s="1655"/>
      <c r="BB35" s="1655"/>
      <c r="BC35" s="1655"/>
      <c r="BD35" s="1655"/>
      <c r="BE35" s="1655"/>
      <c r="BF35" s="1655"/>
      <c r="BG35" s="1655"/>
      <c r="BH35" s="1655"/>
      <c r="BI35" s="1655"/>
      <c r="BJ35" s="1655"/>
      <c r="BK35" s="1655"/>
      <c r="BL35" s="1655"/>
      <c r="BM35" s="1655"/>
      <c r="BN35" s="1655"/>
      <c r="BO35" s="1655"/>
      <c r="BP35" s="1655"/>
      <c r="BQ35" s="1655"/>
      <c r="BR35" s="1655"/>
      <c r="BS35" s="1655"/>
      <c r="BT35" s="1655"/>
      <c r="BU35" s="1655"/>
      <c r="BV35" s="1655"/>
      <c r="BW35" s="1655"/>
      <c r="BX35" s="1655"/>
      <c r="BY35" s="1655"/>
      <c r="BZ35" s="1655"/>
      <c r="CA35" s="1655"/>
      <c r="CB35" s="1655"/>
      <c r="CC35" s="1655"/>
      <c r="CD35" s="1655"/>
      <c r="CE35" s="1655"/>
      <c r="CF35" s="1655"/>
      <c r="CG35" s="1655"/>
      <c r="CH35" s="1655"/>
      <c r="CI35" s="1655"/>
      <c r="CJ35" s="1655"/>
      <c r="CK35" s="1655"/>
      <c r="CL35" s="1655"/>
      <c r="CM35" s="1655"/>
      <c r="CN35" s="1655"/>
      <c r="CO35" s="1655"/>
      <c r="CP35" s="1655"/>
      <c r="CQ35" s="1655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35"/>
      <c r="B36" s="638"/>
      <c r="C36" s="638"/>
      <c r="D36" s="1600"/>
      <c r="E36" s="638"/>
      <c r="F36" s="525"/>
      <c r="G36" s="526"/>
      <c r="H36" s="525"/>
      <c r="I36" s="1655"/>
      <c r="J36" s="1655"/>
      <c r="K36" s="1655"/>
      <c r="L36" s="1655"/>
      <c r="M36" s="1655"/>
      <c r="N36" s="1655"/>
      <c r="O36" s="1655"/>
      <c r="P36" s="1655"/>
      <c r="Q36" s="1655"/>
      <c r="R36" s="1655"/>
      <c r="S36" s="1655"/>
      <c r="T36" s="1655"/>
      <c r="U36" s="1655"/>
      <c r="V36" s="1655"/>
      <c r="W36" s="1655"/>
      <c r="X36" s="1655"/>
      <c r="Y36" s="1655"/>
      <c r="Z36" s="1655"/>
      <c r="AA36" s="1655"/>
      <c r="AB36" s="1655"/>
      <c r="AC36" s="1655"/>
      <c r="AD36" s="1655"/>
      <c r="AE36" s="1655"/>
      <c r="AF36" s="1655"/>
      <c r="AG36" s="1655"/>
      <c r="AH36" s="1655"/>
      <c r="AI36" s="1655"/>
      <c r="AJ36" s="1655"/>
      <c r="AK36" s="1655"/>
      <c r="AL36" s="1655"/>
      <c r="AM36" s="1655"/>
      <c r="AN36" s="1655"/>
      <c r="AO36" s="1655"/>
      <c r="AP36" s="1655"/>
      <c r="AQ36" s="1655"/>
      <c r="AR36" s="1655"/>
      <c r="AS36" s="1655"/>
      <c r="AT36" s="1655"/>
      <c r="AU36" s="1655"/>
      <c r="AV36" s="1655"/>
      <c r="AW36" s="1655"/>
      <c r="AX36" s="1655"/>
      <c r="AY36" s="1655"/>
      <c r="AZ36" s="1655"/>
      <c r="BA36" s="1655"/>
      <c r="BB36" s="1655"/>
      <c r="BC36" s="1655"/>
      <c r="BD36" s="1655"/>
      <c r="BE36" s="1655"/>
      <c r="BF36" s="1655"/>
      <c r="BG36" s="1655"/>
      <c r="BH36" s="1655"/>
      <c r="BI36" s="1655"/>
      <c r="BJ36" s="1655"/>
      <c r="BK36" s="1655"/>
      <c r="BL36" s="1655"/>
      <c r="BM36" s="1655"/>
      <c r="BN36" s="1655"/>
      <c r="BO36" s="1655"/>
      <c r="BP36" s="1655"/>
      <c r="BQ36" s="1655"/>
      <c r="BR36" s="1655"/>
      <c r="BS36" s="1655"/>
      <c r="BT36" s="1655"/>
      <c r="BU36" s="1655"/>
      <c r="BV36" s="1655"/>
      <c r="BW36" s="1655"/>
      <c r="BX36" s="1655"/>
      <c r="BY36" s="1655"/>
      <c r="BZ36" s="1655"/>
      <c r="CA36" s="1655"/>
      <c r="CB36" s="1655"/>
      <c r="CC36" s="1655"/>
      <c r="CD36" s="1655"/>
      <c r="CE36" s="1655"/>
      <c r="CF36" s="1655"/>
      <c r="CG36" s="1655"/>
      <c r="CH36" s="1655"/>
      <c r="CI36" s="1655"/>
      <c r="CJ36" s="1655"/>
      <c r="CK36" s="1655"/>
      <c r="CL36" s="1655"/>
      <c r="CM36" s="1655"/>
      <c r="CN36" s="1655"/>
      <c r="CO36" s="1655"/>
      <c r="CP36" s="1655"/>
      <c r="CQ36" s="1655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35"/>
      <c r="B37" s="638"/>
      <c r="C37" s="638"/>
      <c r="D37" s="1600"/>
      <c r="E37" s="638"/>
      <c r="F37" s="525"/>
      <c r="G37" s="526"/>
      <c r="H37" s="525"/>
      <c r="I37" s="1655"/>
      <c r="J37" s="1655"/>
      <c r="K37" s="1655"/>
      <c r="L37" s="1655"/>
      <c r="M37" s="1655"/>
      <c r="N37" s="1655"/>
      <c r="O37" s="1655"/>
      <c r="P37" s="1655"/>
      <c r="Q37" s="1655"/>
      <c r="R37" s="1655"/>
      <c r="S37" s="1655"/>
      <c r="T37" s="1655"/>
      <c r="U37" s="1655"/>
      <c r="V37" s="1655"/>
      <c r="W37" s="1655"/>
      <c r="X37" s="1655"/>
      <c r="Y37" s="1655"/>
      <c r="Z37" s="1655"/>
      <c r="AA37" s="1655"/>
      <c r="AB37" s="1655"/>
      <c r="AC37" s="1655"/>
      <c r="AD37" s="1655"/>
      <c r="AE37" s="1655"/>
      <c r="AF37" s="1655"/>
      <c r="AG37" s="1655"/>
      <c r="AH37" s="1655"/>
      <c r="AI37" s="1655"/>
      <c r="AJ37" s="1655"/>
      <c r="AK37" s="1655"/>
      <c r="AL37" s="1655"/>
      <c r="AM37" s="1655"/>
      <c r="AN37" s="1655"/>
      <c r="AO37" s="1655"/>
      <c r="AP37" s="1655"/>
      <c r="AQ37" s="1655"/>
      <c r="AR37" s="1655"/>
      <c r="AS37" s="1655"/>
      <c r="AT37" s="1655"/>
      <c r="AU37" s="1655"/>
      <c r="AV37" s="1655"/>
      <c r="AW37" s="1655"/>
      <c r="AX37" s="1655"/>
      <c r="AY37" s="1655"/>
      <c r="AZ37" s="1655"/>
      <c r="BA37" s="1655"/>
      <c r="BB37" s="1655"/>
      <c r="BC37" s="1655"/>
      <c r="BD37" s="1655"/>
      <c r="BE37" s="1655"/>
      <c r="BF37" s="1655"/>
      <c r="BG37" s="1655"/>
      <c r="BH37" s="1655"/>
      <c r="BI37" s="1655"/>
      <c r="BJ37" s="1655"/>
      <c r="BK37" s="1655"/>
      <c r="BL37" s="1655"/>
      <c r="BM37" s="1655"/>
      <c r="BN37" s="1655"/>
      <c r="BO37" s="1655"/>
      <c r="BP37" s="1655"/>
      <c r="BQ37" s="1655"/>
      <c r="BR37" s="1655"/>
      <c r="BS37" s="1655"/>
      <c r="BT37" s="1655"/>
      <c r="BU37" s="1655"/>
      <c r="BV37" s="1655"/>
      <c r="BW37" s="1655"/>
      <c r="BX37" s="1655"/>
      <c r="BY37" s="1655"/>
      <c r="BZ37" s="1655"/>
      <c r="CA37" s="1655"/>
      <c r="CB37" s="1655"/>
      <c r="CC37" s="1655"/>
      <c r="CD37" s="1655"/>
      <c r="CE37" s="1655"/>
      <c r="CF37" s="1655"/>
      <c r="CG37" s="1655"/>
      <c r="CH37" s="1655"/>
      <c r="CI37" s="1655"/>
      <c r="CJ37" s="1655"/>
      <c r="CK37" s="1655"/>
      <c r="CL37" s="1655"/>
      <c r="CM37" s="1655"/>
      <c r="CN37" s="1655"/>
      <c r="CO37" s="1655"/>
      <c r="CP37" s="1655"/>
      <c r="CQ37" s="1655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35"/>
      <c r="B38" s="638"/>
      <c r="C38" s="638"/>
      <c r="D38" s="1600"/>
      <c r="E38" s="638"/>
      <c r="F38" s="525"/>
      <c r="G38" s="526"/>
      <c r="H38" s="525"/>
      <c r="I38" s="1655"/>
      <c r="J38" s="1655"/>
      <c r="K38" s="1655"/>
      <c r="L38" s="1655"/>
      <c r="M38" s="1655"/>
      <c r="N38" s="1655"/>
      <c r="O38" s="1655"/>
      <c r="P38" s="1655"/>
      <c r="Q38" s="1655"/>
      <c r="R38" s="1655"/>
      <c r="S38" s="1655"/>
      <c r="T38" s="1655"/>
      <c r="U38" s="1655"/>
      <c r="V38" s="1655"/>
      <c r="W38" s="1655"/>
      <c r="X38" s="1655"/>
      <c r="Y38" s="1655"/>
      <c r="Z38" s="1655"/>
      <c r="AA38" s="1655"/>
      <c r="AB38" s="1655"/>
      <c r="AC38" s="1655"/>
      <c r="AD38" s="1655"/>
      <c r="AE38" s="1655"/>
      <c r="AF38" s="1655"/>
      <c r="AG38" s="1655"/>
      <c r="AH38" s="1655"/>
      <c r="AI38" s="1655"/>
      <c r="AJ38" s="1655"/>
      <c r="AK38" s="1655"/>
      <c r="AL38" s="1655"/>
      <c r="AM38" s="1655"/>
      <c r="AN38" s="1655"/>
      <c r="AO38" s="1655"/>
      <c r="AP38" s="1655"/>
      <c r="AQ38" s="1655"/>
      <c r="AR38" s="1655"/>
      <c r="AS38" s="1655"/>
      <c r="AT38" s="1655"/>
      <c r="AU38" s="1655"/>
      <c r="AV38" s="1655"/>
      <c r="AW38" s="1655"/>
      <c r="AX38" s="1655"/>
      <c r="AY38" s="1655"/>
      <c r="AZ38" s="1655"/>
      <c r="BA38" s="1655"/>
      <c r="BB38" s="1655"/>
      <c r="BC38" s="1655"/>
      <c r="BD38" s="1655"/>
      <c r="BE38" s="1655"/>
      <c r="BF38" s="1655"/>
      <c r="BG38" s="1655"/>
      <c r="BH38" s="1655"/>
      <c r="BI38" s="1655"/>
      <c r="BJ38" s="1655"/>
      <c r="BK38" s="1655"/>
      <c r="BL38" s="1655"/>
      <c r="BM38" s="1655"/>
      <c r="BN38" s="1655"/>
      <c r="BO38" s="1655"/>
      <c r="BP38" s="1655"/>
      <c r="BQ38" s="1655"/>
      <c r="BR38" s="1655"/>
      <c r="BS38" s="1655"/>
      <c r="BT38" s="1655"/>
      <c r="BU38" s="1655"/>
      <c r="BV38" s="1655"/>
      <c r="BW38" s="1655"/>
      <c r="BX38" s="1655"/>
      <c r="BY38" s="1655"/>
      <c r="BZ38" s="1655"/>
      <c r="CA38" s="1655"/>
      <c r="CB38" s="1655"/>
      <c r="CC38" s="1655"/>
      <c r="CD38" s="1655"/>
      <c r="CE38" s="1655"/>
      <c r="CF38" s="1655"/>
      <c r="CG38" s="1655"/>
      <c r="CH38" s="1655"/>
      <c r="CI38" s="1655"/>
      <c r="CJ38" s="1655"/>
      <c r="CK38" s="1655"/>
      <c r="CL38" s="1655"/>
      <c r="CM38" s="1655"/>
      <c r="CN38" s="1655"/>
      <c r="CO38" s="1655"/>
      <c r="CP38" s="1655"/>
      <c r="CQ38" s="1655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35"/>
      <c r="B39" s="638"/>
      <c r="C39" s="638"/>
      <c r="D39" s="1600"/>
      <c r="E39" s="638"/>
      <c r="F39" s="525"/>
      <c r="G39" s="526"/>
      <c r="H39" s="525"/>
      <c r="I39" s="1655"/>
      <c r="J39" s="1655"/>
      <c r="K39" s="1655"/>
      <c r="L39" s="1655"/>
      <c r="M39" s="1655"/>
      <c r="N39" s="1655"/>
      <c r="O39" s="1655"/>
      <c r="P39" s="1655"/>
      <c r="Q39" s="1655"/>
      <c r="R39" s="1655"/>
      <c r="S39" s="1655"/>
      <c r="T39" s="1655"/>
      <c r="U39" s="1655"/>
      <c r="V39" s="1655"/>
      <c r="W39" s="1655"/>
      <c r="X39" s="1655"/>
      <c r="Y39" s="1655"/>
      <c r="Z39" s="1655"/>
      <c r="AA39" s="1655"/>
      <c r="AB39" s="1655"/>
      <c r="AC39" s="1655"/>
      <c r="AD39" s="1655"/>
      <c r="AE39" s="1655"/>
      <c r="AF39" s="1655"/>
      <c r="AG39" s="1655"/>
      <c r="AH39" s="1655"/>
      <c r="AI39" s="1655"/>
      <c r="AJ39" s="1655"/>
      <c r="AK39" s="1655"/>
      <c r="AL39" s="1655"/>
      <c r="AM39" s="1655"/>
      <c r="AN39" s="1655"/>
      <c r="AO39" s="1655"/>
      <c r="AP39" s="1655"/>
      <c r="AQ39" s="1655"/>
      <c r="AR39" s="1655"/>
      <c r="AS39" s="1655"/>
      <c r="AT39" s="1655"/>
      <c r="AU39" s="1655"/>
      <c r="AV39" s="1655"/>
      <c r="AW39" s="1655"/>
      <c r="AX39" s="1655"/>
      <c r="AY39" s="1655"/>
      <c r="AZ39" s="1655"/>
      <c r="BA39" s="1655"/>
      <c r="BB39" s="1655"/>
      <c r="BC39" s="1655"/>
      <c r="BD39" s="1655"/>
      <c r="BE39" s="1655"/>
      <c r="BF39" s="1655"/>
      <c r="BG39" s="1655"/>
      <c r="BH39" s="1655"/>
      <c r="BI39" s="1655"/>
      <c r="BJ39" s="1655"/>
      <c r="BK39" s="1655"/>
      <c r="BL39" s="1655"/>
      <c r="BM39" s="1655"/>
      <c r="BN39" s="1655"/>
      <c r="BO39" s="1655"/>
      <c r="BP39" s="1655"/>
      <c r="BQ39" s="1655"/>
      <c r="BR39" s="1655"/>
      <c r="BS39" s="1655"/>
      <c r="BT39" s="1655"/>
      <c r="BU39" s="1655"/>
      <c r="BV39" s="1655"/>
      <c r="BW39" s="1655"/>
      <c r="BX39" s="1655"/>
      <c r="BY39" s="1655"/>
      <c r="BZ39" s="1655"/>
      <c r="CA39" s="1655"/>
      <c r="CB39" s="1655"/>
      <c r="CC39" s="1655"/>
      <c r="CD39" s="1655"/>
      <c r="CE39" s="1655"/>
      <c r="CF39" s="1655"/>
      <c r="CG39" s="1655"/>
      <c r="CH39" s="1655"/>
      <c r="CI39" s="1655"/>
      <c r="CJ39" s="1655"/>
      <c r="CK39" s="1655"/>
      <c r="CL39" s="1655"/>
      <c r="CM39" s="1655"/>
      <c r="CN39" s="1655"/>
      <c r="CO39" s="1655"/>
      <c r="CP39" s="1655"/>
      <c r="CQ39" s="1655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35"/>
      <c r="B40" s="638"/>
      <c r="C40" s="638"/>
      <c r="D40" s="1600"/>
      <c r="E40" s="638"/>
      <c r="F40" s="525"/>
      <c r="G40" s="526"/>
      <c r="H40" s="525"/>
      <c r="I40" s="1655"/>
      <c r="J40" s="1655"/>
      <c r="K40" s="1655"/>
      <c r="L40" s="1655"/>
      <c r="M40" s="1655"/>
      <c r="N40" s="1655"/>
      <c r="O40" s="1655"/>
      <c r="P40" s="1655"/>
      <c r="Q40" s="1655"/>
      <c r="R40" s="1655"/>
      <c r="S40" s="1655"/>
      <c r="T40" s="1655"/>
      <c r="U40" s="1655"/>
      <c r="V40" s="1655"/>
      <c r="W40" s="1655"/>
      <c r="X40" s="1655"/>
      <c r="Y40" s="1655"/>
      <c r="Z40" s="1655"/>
      <c r="AA40" s="1655"/>
      <c r="AB40" s="1655"/>
      <c r="AC40" s="1655"/>
      <c r="AD40" s="1655"/>
      <c r="AE40" s="1655"/>
      <c r="AF40" s="1655"/>
      <c r="AG40" s="1655"/>
      <c r="AH40" s="1655"/>
      <c r="AI40" s="1655"/>
      <c r="AJ40" s="1655"/>
      <c r="AK40" s="1655"/>
      <c r="AL40" s="1655"/>
      <c r="AM40" s="1655"/>
      <c r="AN40" s="1655"/>
      <c r="AO40" s="1655"/>
      <c r="AP40" s="1655"/>
      <c r="AQ40" s="1655"/>
      <c r="AR40" s="1655"/>
      <c r="AS40" s="1655"/>
      <c r="AT40" s="1655"/>
      <c r="AU40" s="1655"/>
      <c r="AV40" s="1655"/>
      <c r="AW40" s="1655"/>
      <c r="AX40" s="1655"/>
      <c r="AY40" s="1655"/>
      <c r="AZ40" s="1655"/>
      <c r="BA40" s="1655"/>
      <c r="BB40" s="1655"/>
      <c r="BC40" s="1655"/>
      <c r="BD40" s="1655"/>
      <c r="BE40" s="1655"/>
      <c r="BF40" s="1655"/>
      <c r="BG40" s="1655"/>
      <c r="BH40" s="1655"/>
      <c r="BI40" s="1655"/>
      <c r="BJ40" s="1655"/>
      <c r="BK40" s="1655"/>
      <c r="BL40" s="1655"/>
      <c r="BM40" s="1655"/>
      <c r="BN40" s="1655"/>
      <c r="BO40" s="1655"/>
      <c r="BP40" s="1655"/>
      <c r="BQ40" s="1655"/>
      <c r="BR40" s="1655"/>
      <c r="BS40" s="1655"/>
      <c r="BT40" s="1655"/>
      <c r="BU40" s="1655"/>
      <c r="BV40" s="1655"/>
      <c r="BW40" s="1655"/>
      <c r="BX40" s="1655"/>
      <c r="BY40" s="1655"/>
      <c r="BZ40" s="1655"/>
      <c r="CA40" s="1655"/>
      <c r="CB40" s="1655"/>
      <c r="CC40" s="1655"/>
      <c r="CD40" s="1655"/>
      <c r="CE40" s="1655"/>
      <c r="CF40" s="1655"/>
      <c r="CG40" s="1655"/>
      <c r="CH40" s="1655"/>
      <c r="CI40" s="1655"/>
      <c r="CJ40" s="1655"/>
      <c r="CK40" s="1655"/>
      <c r="CL40" s="1655"/>
      <c r="CM40" s="1655"/>
      <c r="CN40" s="1655"/>
      <c r="CO40" s="1655"/>
      <c r="CP40" s="1655"/>
      <c r="CQ40" s="1655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35"/>
      <c r="B41" s="638"/>
      <c r="C41" s="638"/>
      <c r="D41" s="1600"/>
      <c r="E41" s="638"/>
      <c r="F41" s="525"/>
      <c r="G41" s="526"/>
      <c r="H41" s="525"/>
      <c r="I41" s="1655"/>
      <c r="J41" s="1655"/>
      <c r="K41" s="1655"/>
      <c r="L41" s="1655"/>
      <c r="M41" s="1655"/>
      <c r="N41" s="1655"/>
      <c r="O41" s="1655"/>
      <c r="P41" s="1655"/>
      <c r="Q41" s="1655"/>
      <c r="R41" s="1655"/>
      <c r="S41" s="1655"/>
      <c r="T41" s="1655"/>
      <c r="U41" s="1655"/>
      <c r="V41" s="1655"/>
      <c r="W41" s="1655"/>
      <c r="X41" s="1655"/>
      <c r="Y41" s="1655"/>
      <c r="Z41" s="1655"/>
      <c r="AA41" s="1655"/>
      <c r="AB41" s="1655"/>
      <c r="AC41" s="1655"/>
      <c r="AD41" s="1655"/>
      <c r="AE41" s="1655"/>
      <c r="AF41" s="1655"/>
      <c r="AG41" s="1655"/>
      <c r="AH41" s="1655"/>
      <c r="AI41" s="1655"/>
      <c r="AJ41" s="1655"/>
      <c r="AK41" s="1655"/>
      <c r="AL41" s="1655"/>
      <c r="AM41" s="1655"/>
      <c r="AN41" s="1655"/>
      <c r="AO41" s="1655"/>
      <c r="AP41" s="1655"/>
      <c r="AQ41" s="1655"/>
      <c r="AR41" s="1655"/>
      <c r="AS41" s="1655"/>
      <c r="AT41" s="1655"/>
      <c r="AU41" s="1655"/>
      <c r="AV41" s="1655"/>
      <c r="AW41" s="1655"/>
      <c r="AX41" s="1655"/>
      <c r="AY41" s="1655"/>
      <c r="AZ41" s="1655"/>
      <c r="BA41" s="1655"/>
      <c r="BB41" s="1655"/>
      <c r="BC41" s="1655"/>
      <c r="BD41" s="1655"/>
      <c r="BE41" s="1655"/>
      <c r="BF41" s="1655"/>
      <c r="BG41" s="1655"/>
      <c r="BH41" s="1655"/>
      <c r="BI41" s="1655"/>
      <c r="BJ41" s="1655"/>
      <c r="BK41" s="1655"/>
      <c r="BL41" s="1655"/>
      <c r="BM41" s="1655"/>
      <c r="BN41" s="1655"/>
      <c r="BO41" s="1655"/>
      <c r="BP41" s="1655"/>
      <c r="BQ41" s="1655"/>
      <c r="BR41" s="1655"/>
      <c r="BS41" s="1655"/>
      <c r="BT41" s="1655"/>
      <c r="BU41" s="1655"/>
      <c r="BV41" s="1655"/>
      <c r="BW41" s="1655"/>
      <c r="BX41" s="1655"/>
      <c r="BY41" s="1655"/>
      <c r="BZ41" s="1655"/>
      <c r="CA41" s="1655"/>
      <c r="CB41" s="1655"/>
      <c r="CC41" s="1655"/>
      <c r="CD41" s="1655"/>
      <c r="CE41" s="1655"/>
      <c r="CF41" s="1655"/>
      <c r="CG41" s="1655"/>
      <c r="CH41" s="1655"/>
      <c r="CI41" s="1655"/>
      <c r="CJ41" s="1655"/>
      <c r="CK41" s="1655"/>
      <c r="CL41" s="1655"/>
      <c r="CM41" s="1655"/>
      <c r="CN41" s="1655"/>
      <c r="CO41" s="1655"/>
      <c r="CP41" s="1655"/>
      <c r="CQ41" s="1655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35"/>
      <c r="B42" s="638"/>
      <c r="C42" s="638"/>
      <c r="D42" s="1600"/>
      <c r="E42" s="638"/>
      <c r="F42" s="525"/>
      <c r="G42" s="526"/>
      <c r="H42" s="525"/>
      <c r="I42" s="1655"/>
      <c r="J42" s="1655"/>
      <c r="K42" s="1655"/>
      <c r="L42" s="1655"/>
      <c r="M42" s="1655"/>
      <c r="N42" s="1655"/>
      <c r="O42" s="1655"/>
      <c r="P42" s="1655"/>
      <c r="Q42" s="1655"/>
      <c r="R42" s="1655"/>
      <c r="S42" s="1655"/>
      <c r="T42" s="1655"/>
      <c r="U42" s="1655"/>
      <c r="V42" s="1655"/>
      <c r="W42" s="1655"/>
      <c r="X42" s="1655"/>
      <c r="Y42" s="1655"/>
      <c r="Z42" s="1655"/>
      <c r="AA42" s="1655"/>
      <c r="AB42" s="1655"/>
      <c r="AC42" s="1655"/>
      <c r="AD42" s="1655"/>
      <c r="AE42" s="1655"/>
      <c r="AF42" s="1655"/>
      <c r="AG42" s="1655"/>
      <c r="AH42" s="1655"/>
      <c r="AI42" s="1655"/>
      <c r="AJ42" s="1655"/>
      <c r="AK42" s="1655"/>
      <c r="AL42" s="1655"/>
      <c r="AM42" s="1655"/>
      <c r="AN42" s="1655"/>
      <c r="AO42" s="1655"/>
      <c r="AP42" s="1655"/>
      <c r="AQ42" s="1655"/>
      <c r="AR42" s="1655"/>
      <c r="AS42" s="1655"/>
      <c r="AT42" s="1655"/>
      <c r="AU42" s="1655"/>
      <c r="AV42" s="1655"/>
      <c r="AW42" s="1655"/>
      <c r="AX42" s="1655"/>
      <c r="AY42" s="1655"/>
      <c r="AZ42" s="1655"/>
      <c r="BA42" s="1655"/>
      <c r="BB42" s="1655"/>
      <c r="BC42" s="1655"/>
      <c r="BD42" s="1655"/>
      <c r="BE42" s="1655"/>
      <c r="BF42" s="1655"/>
      <c r="BG42" s="1655"/>
      <c r="BH42" s="1655"/>
      <c r="BI42" s="1655"/>
      <c r="BJ42" s="1655"/>
      <c r="BK42" s="1655"/>
      <c r="BL42" s="1655"/>
      <c r="BM42" s="1655"/>
      <c r="BN42" s="1655"/>
      <c r="BO42" s="1655"/>
      <c r="BP42" s="1655"/>
      <c r="BQ42" s="1655"/>
      <c r="BR42" s="1655"/>
      <c r="BS42" s="1655"/>
      <c r="BT42" s="1655"/>
      <c r="BU42" s="1655"/>
      <c r="BV42" s="1655"/>
      <c r="BW42" s="1655"/>
      <c r="BX42" s="1655"/>
      <c r="BY42" s="1655"/>
      <c r="BZ42" s="1655"/>
      <c r="CA42" s="1655"/>
      <c r="CB42" s="1655"/>
      <c r="CC42" s="1655"/>
      <c r="CD42" s="1655"/>
      <c r="CE42" s="1655"/>
      <c r="CF42" s="1655"/>
      <c r="CG42" s="1655"/>
      <c r="CH42" s="1655"/>
      <c r="CI42" s="1655"/>
      <c r="CJ42" s="1655"/>
      <c r="CK42" s="1655"/>
      <c r="CL42" s="1655"/>
      <c r="CM42" s="1655"/>
      <c r="CN42" s="1655"/>
      <c r="CO42" s="1655"/>
      <c r="CP42" s="1655"/>
      <c r="CQ42" s="1655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35"/>
      <c r="B43" s="638"/>
      <c r="C43" s="638"/>
      <c r="D43" s="1600"/>
      <c r="E43" s="638"/>
      <c r="F43" s="525"/>
      <c r="G43" s="526"/>
      <c r="H43" s="525"/>
      <c r="I43" s="1655"/>
      <c r="J43" s="1655"/>
      <c r="K43" s="1655"/>
      <c r="L43" s="1655"/>
      <c r="M43" s="1655"/>
      <c r="N43" s="1655"/>
      <c r="O43" s="1655"/>
      <c r="P43" s="1655"/>
      <c r="Q43" s="1655"/>
      <c r="R43" s="1655"/>
      <c r="S43" s="1655"/>
      <c r="T43" s="1655"/>
      <c r="U43" s="1655"/>
      <c r="V43" s="1655"/>
      <c r="W43" s="1655"/>
      <c r="X43" s="1655"/>
      <c r="Y43" s="1655"/>
      <c r="Z43" s="1655"/>
      <c r="AA43" s="1655"/>
      <c r="AB43" s="1655"/>
      <c r="AC43" s="1655"/>
      <c r="AD43" s="1655"/>
      <c r="AE43" s="1655"/>
      <c r="AF43" s="1655"/>
      <c r="AG43" s="1655"/>
      <c r="AH43" s="1655"/>
      <c r="AI43" s="1655"/>
      <c r="AJ43" s="1655"/>
      <c r="AK43" s="1655"/>
      <c r="AL43" s="1655"/>
      <c r="AM43" s="1655"/>
      <c r="AN43" s="1655"/>
      <c r="AO43" s="1655"/>
      <c r="AP43" s="1655"/>
      <c r="AQ43" s="1655"/>
      <c r="AR43" s="1655"/>
      <c r="AS43" s="1655"/>
      <c r="AT43" s="1655"/>
      <c r="AU43" s="1655"/>
      <c r="AV43" s="1655"/>
      <c r="AW43" s="1655"/>
      <c r="AX43" s="1655"/>
      <c r="AY43" s="1655"/>
      <c r="AZ43" s="1655"/>
      <c r="BA43" s="1655"/>
      <c r="BB43" s="1655"/>
      <c r="BC43" s="1655"/>
      <c r="BD43" s="1655"/>
      <c r="BE43" s="1655"/>
      <c r="BF43" s="1655"/>
      <c r="BG43" s="1655"/>
      <c r="BH43" s="1655"/>
      <c r="BI43" s="1655"/>
      <c r="BJ43" s="1655"/>
      <c r="BK43" s="1655"/>
      <c r="BL43" s="1655"/>
      <c r="BM43" s="1655"/>
      <c r="BN43" s="1655"/>
      <c r="BO43" s="1655"/>
      <c r="BP43" s="1655"/>
      <c r="BQ43" s="1655"/>
      <c r="BR43" s="1655"/>
      <c r="BS43" s="1655"/>
      <c r="BT43" s="1655"/>
      <c r="BU43" s="1655"/>
      <c r="BV43" s="1655"/>
      <c r="BW43" s="1655"/>
      <c r="BX43" s="1655"/>
      <c r="BY43" s="1655"/>
      <c r="BZ43" s="1655"/>
      <c r="CA43" s="1655"/>
      <c r="CB43" s="1655"/>
      <c r="CC43" s="1655"/>
      <c r="CD43" s="1655"/>
      <c r="CE43" s="1655"/>
      <c r="CF43" s="1655"/>
      <c r="CG43" s="1655"/>
      <c r="CH43" s="1655"/>
      <c r="CI43" s="1655"/>
      <c r="CJ43" s="1655"/>
      <c r="CK43" s="1655"/>
      <c r="CL43" s="1655"/>
      <c r="CM43" s="1655"/>
      <c r="CN43" s="1655"/>
      <c r="CO43" s="1655"/>
      <c r="CP43" s="1655"/>
      <c r="CQ43" s="1655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35"/>
      <c r="B44" s="638"/>
      <c r="C44" s="638"/>
      <c r="D44" s="1600"/>
      <c r="E44" s="638"/>
      <c r="F44" s="525"/>
      <c r="G44" s="526"/>
      <c r="H44" s="525"/>
      <c r="I44" s="1655"/>
      <c r="J44" s="1655"/>
      <c r="K44" s="1655"/>
      <c r="L44" s="1655"/>
      <c r="M44" s="1655"/>
      <c r="N44" s="1655"/>
      <c r="O44" s="1655"/>
      <c r="P44" s="1655"/>
      <c r="Q44" s="1655"/>
      <c r="R44" s="1655"/>
      <c r="S44" s="1655"/>
      <c r="T44" s="1655"/>
      <c r="U44" s="1655"/>
      <c r="V44" s="1655"/>
      <c r="W44" s="1655"/>
      <c r="X44" s="1655"/>
      <c r="Y44" s="1655"/>
      <c r="Z44" s="1655"/>
      <c r="AA44" s="1655"/>
      <c r="AB44" s="1655"/>
      <c r="AC44" s="1655"/>
      <c r="AD44" s="1655"/>
      <c r="AE44" s="1655"/>
      <c r="AF44" s="1655"/>
      <c r="AG44" s="1655"/>
      <c r="AH44" s="1655"/>
      <c r="AI44" s="1655"/>
      <c r="AJ44" s="1655"/>
      <c r="AK44" s="1655"/>
      <c r="AL44" s="1655"/>
      <c r="AM44" s="1655"/>
      <c r="AN44" s="1655"/>
      <c r="AO44" s="1655"/>
      <c r="AP44" s="1655"/>
      <c r="AQ44" s="1655"/>
      <c r="AR44" s="1655"/>
      <c r="AS44" s="1655"/>
      <c r="AT44" s="1655"/>
      <c r="AU44" s="1655"/>
      <c r="AV44" s="1655"/>
      <c r="AW44" s="1655"/>
      <c r="AX44" s="1655"/>
      <c r="AY44" s="1655"/>
      <c r="AZ44" s="1655"/>
      <c r="BA44" s="1655"/>
      <c r="BB44" s="1655"/>
      <c r="BC44" s="1655"/>
      <c r="BD44" s="1655"/>
      <c r="BE44" s="1655"/>
      <c r="BF44" s="1655"/>
      <c r="BG44" s="1655"/>
      <c r="BH44" s="1655"/>
      <c r="BI44" s="1655"/>
      <c r="BJ44" s="1655"/>
      <c r="BK44" s="1655"/>
      <c r="BL44" s="1655"/>
      <c r="BM44" s="1655"/>
      <c r="BN44" s="1655"/>
      <c r="BO44" s="1655"/>
      <c r="BP44" s="1655"/>
      <c r="BQ44" s="1655"/>
      <c r="BR44" s="1655"/>
      <c r="BS44" s="1655"/>
      <c r="BT44" s="1655"/>
      <c r="BU44" s="1655"/>
      <c r="BV44" s="1655"/>
      <c r="BW44" s="1655"/>
      <c r="BX44" s="1655"/>
      <c r="BY44" s="1655"/>
      <c r="BZ44" s="1655"/>
      <c r="CA44" s="1655"/>
      <c r="CB44" s="1655"/>
      <c r="CC44" s="1655"/>
      <c r="CD44" s="1655"/>
      <c r="CE44" s="1655"/>
      <c r="CF44" s="1655"/>
      <c r="CG44" s="1655"/>
      <c r="CH44" s="1655"/>
      <c r="CI44" s="1655"/>
      <c r="CJ44" s="1655"/>
      <c r="CK44" s="1655"/>
      <c r="CL44" s="1655"/>
      <c r="CM44" s="1655"/>
      <c r="CN44" s="1655"/>
      <c r="CO44" s="1655"/>
      <c r="CP44" s="1655"/>
      <c r="CQ44" s="1655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35"/>
      <c r="B45" s="638"/>
      <c r="C45" s="638"/>
      <c r="D45" s="1600"/>
      <c r="E45" s="638"/>
      <c r="F45" s="525"/>
      <c r="G45" s="526"/>
      <c r="H45" s="525"/>
      <c r="I45" s="1655"/>
      <c r="J45" s="1655"/>
      <c r="K45" s="1655"/>
      <c r="L45" s="1655"/>
      <c r="M45" s="1655"/>
      <c r="N45" s="1655"/>
      <c r="O45" s="1655"/>
      <c r="P45" s="1655"/>
      <c r="Q45" s="1655"/>
      <c r="R45" s="1655"/>
      <c r="S45" s="1655"/>
      <c r="T45" s="1655"/>
      <c r="U45" s="1655"/>
      <c r="V45" s="1655"/>
      <c r="W45" s="1655"/>
      <c r="X45" s="1655"/>
      <c r="Y45" s="1655"/>
      <c r="Z45" s="1655"/>
      <c r="AA45" s="1655"/>
      <c r="AB45" s="1655"/>
      <c r="AC45" s="1655"/>
      <c r="AD45" s="1655"/>
      <c r="AE45" s="1655"/>
      <c r="AF45" s="1655"/>
      <c r="AG45" s="1655"/>
      <c r="AH45" s="1655"/>
      <c r="AI45" s="1655"/>
      <c r="AJ45" s="1655"/>
      <c r="AK45" s="1655"/>
      <c r="AL45" s="1655"/>
      <c r="AM45" s="1655"/>
      <c r="AN45" s="1655"/>
      <c r="AO45" s="1655"/>
      <c r="AP45" s="1655"/>
      <c r="AQ45" s="1655"/>
      <c r="AR45" s="1655"/>
      <c r="AS45" s="1655"/>
      <c r="AT45" s="1655"/>
      <c r="AU45" s="1655"/>
      <c r="AV45" s="1655"/>
      <c r="AW45" s="1655"/>
      <c r="AX45" s="1655"/>
      <c r="AY45" s="1655"/>
      <c r="AZ45" s="1655"/>
      <c r="BA45" s="1655"/>
      <c r="BB45" s="1655"/>
      <c r="BC45" s="1655"/>
      <c r="BD45" s="1655"/>
      <c r="BE45" s="1655"/>
      <c r="BF45" s="1655"/>
      <c r="BG45" s="1655"/>
      <c r="BH45" s="1655"/>
      <c r="BI45" s="1655"/>
      <c r="BJ45" s="1655"/>
      <c r="BK45" s="1655"/>
      <c r="BL45" s="1655"/>
      <c r="BM45" s="1655"/>
      <c r="BN45" s="1655"/>
      <c r="BO45" s="1655"/>
      <c r="BP45" s="1655"/>
      <c r="BQ45" s="1655"/>
      <c r="BR45" s="1655"/>
      <c r="BS45" s="1655"/>
      <c r="BT45" s="1655"/>
      <c r="BU45" s="1655"/>
      <c r="BV45" s="1655"/>
      <c r="BW45" s="1655"/>
      <c r="BX45" s="1655"/>
      <c r="BY45" s="1655"/>
      <c r="BZ45" s="1655"/>
      <c r="CA45" s="1655"/>
      <c r="CB45" s="1655"/>
      <c r="CC45" s="1655"/>
      <c r="CD45" s="1655"/>
      <c r="CE45" s="1655"/>
      <c r="CF45" s="1655"/>
      <c r="CG45" s="1655"/>
      <c r="CH45" s="1655"/>
      <c r="CI45" s="1655"/>
      <c r="CJ45" s="1655"/>
      <c r="CK45" s="1655"/>
      <c r="CL45" s="1655"/>
      <c r="CM45" s="1655"/>
      <c r="CN45" s="1655"/>
      <c r="CO45" s="1655"/>
      <c r="CP45" s="1655"/>
      <c r="CQ45" s="1655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35"/>
      <c r="B46" s="638"/>
      <c r="C46" s="638"/>
      <c r="D46" s="1600"/>
      <c r="E46" s="638"/>
      <c r="F46" s="525"/>
      <c r="G46" s="526"/>
      <c r="H46" s="525"/>
      <c r="I46" s="1655"/>
      <c r="J46" s="1655"/>
      <c r="K46" s="1655"/>
      <c r="L46" s="1655"/>
      <c r="M46" s="1655"/>
      <c r="N46" s="1655"/>
      <c r="O46" s="1655"/>
      <c r="P46" s="1655"/>
      <c r="Q46" s="1655"/>
      <c r="R46" s="1655"/>
      <c r="S46" s="1655"/>
      <c r="T46" s="1655"/>
      <c r="U46" s="1655"/>
      <c r="V46" s="1655"/>
      <c r="W46" s="1655"/>
      <c r="X46" s="1655"/>
      <c r="Y46" s="1655"/>
      <c r="Z46" s="1655"/>
      <c r="AA46" s="1655"/>
      <c r="AB46" s="1655"/>
      <c r="AC46" s="1655"/>
      <c r="AD46" s="1655"/>
      <c r="AE46" s="1655"/>
      <c r="AF46" s="1655"/>
      <c r="AG46" s="1655"/>
      <c r="AH46" s="1655"/>
      <c r="AI46" s="1655"/>
      <c r="AJ46" s="1655"/>
      <c r="AK46" s="1655"/>
      <c r="AL46" s="1655"/>
      <c r="AM46" s="1655"/>
      <c r="AN46" s="1655"/>
      <c r="AO46" s="1655"/>
      <c r="AP46" s="1655"/>
      <c r="AQ46" s="1655"/>
      <c r="AR46" s="1655"/>
      <c r="AS46" s="1655"/>
      <c r="AT46" s="1655"/>
      <c r="AU46" s="1655"/>
      <c r="AV46" s="1655"/>
      <c r="AW46" s="1655"/>
      <c r="AX46" s="1655"/>
      <c r="AY46" s="1655"/>
      <c r="AZ46" s="1655"/>
      <c r="BA46" s="1655"/>
      <c r="BB46" s="1655"/>
      <c r="BC46" s="1655"/>
      <c r="BD46" s="1655"/>
      <c r="BE46" s="1655"/>
      <c r="BF46" s="1655"/>
      <c r="BG46" s="1655"/>
      <c r="BH46" s="1655"/>
      <c r="BI46" s="1655"/>
      <c r="BJ46" s="1655"/>
      <c r="BK46" s="1655"/>
      <c r="BL46" s="1655"/>
      <c r="BM46" s="1655"/>
      <c r="BN46" s="1655"/>
      <c r="BO46" s="1655"/>
      <c r="BP46" s="1655"/>
      <c r="BQ46" s="1655"/>
      <c r="BR46" s="1655"/>
      <c r="BS46" s="1655"/>
      <c r="BT46" s="1655"/>
      <c r="BU46" s="1655"/>
      <c r="BV46" s="1655"/>
      <c r="BW46" s="1655"/>
      <c r="BX46" s="1655"/>
      <c r="BY46" s="1655"/>
      <c r="BZ46" s="1655"/>
      <c r="CA46" s="1655"/>
      <c r="CB46" s="1655"/>
      <c r="CC46" s="1655"/>
      <c r="CD46" s="1655"/>
      <c r="CE46" s="1655"/>
      <c r="CF46" s="1655"/>
      <c r="CG46" s="1655"/>
      <c r="CH46" s="1655"/>
      <c r="CI46" s="1655"/>
      <c r="CJ46" s="1655"/>
      <c r="CK46" s="1655"/>
      <c r="CL46" s="1655"/>
      <c r="CM46" s="1655"/>
      <c r="CN46" s="1655"/>
      <c r="CO46" s="1655"/>
      <c r="CP46" s="1655"/>
      <c r="CQ46" s="1655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35"/>
      <c r="B47" s="638"/>
      <c r="C47" s="638"/>
      <c r="D47" s="1600"/>
      <c r="E47" s="638"/>
      <c r="F47" s="525"/>
      <c r="G47" s="526"/>
      <c r="H47" s="525"/>
      <c r="I47" s="1655"/>
      <c r="J47" s="1655"/>
      <c r="K47" s="1655"/>
      <c r="L47" s="1655"/>
      <c r="M47" s="1655"/>
      <c r="N47" s="1655"/>
      <c r="O47" s="1655"/>
      <c r="P47" s="1655"/>
      <c r="Q47" s="1655"/>
      <c r="R47" s="1655"/>
      <c r="S47" s="1655"/>
      <c r="T47" s="1655"/>
      <c r="U47" s="1655"/>
      <c r="V47" s="1655"/>
      <c r="W47" s="1655"/>
      <c r="X47" s="1655"/>
      <c r="Y47" s="1655"/>
      <c r="Z47" s="1655"/>
      <c r="AA47" s="1655"/>
      <c r="AB47" s="1655"/>
      <c r="AC47" s="1655"/>
      <c r="AD47" s="1655"/>
      <c r="AE47" s="1655"/>
      <c r="AF47" s="1655"/>
      <c r="AG47" s="1655"/>
      <c r="AH47" s="1655"/>
      <c r="AI47" s="1655"/>
      <c r="AJ47" s="1655"/>
      <c r="AK47" s="1655"/>
      <c r="AL47" s="1655"/>
      <c r="AM47" s="1655"/>
      <c r="AN47" s="1655"/>
      <c r="AO47" s="1655"/>
      <c r="AP47" s="1655"/>
      <c r="AQ47" s="1655"/>
      <c r="AR47" s="1655"/>
      <c r="AS47" s="1655"/>
      <c r="AT47" s="1655"/>
      <c r="AU47" s="1655"/>
      <c r="AV47" s="1655"/>
      <c r="AW47" s="1655"/>
      <c r="AX47" s="1655"/>
      <c r="AY47" s="1655"/>
      <c r="AZ47" s="1655"/>
      <c r="BA47" s="1655"/>
      <c r="BB47" s="1655"/>
      <c r="BC47" s="1655"/>
      <c r="BD47" s="1655"/>
      <c r="BE47" s="1655"/>
      <c r="BF47" s="1655"/>
      <c r="BG47" s="1655"/>
      <c r="BH47" s="1655"/>
      <c r="BI47" s="1655"/>
      <c r="BJ47" s="1655"/>
      <c r="BK47" s="1655"/>
      <c r="BL47" s="1655"/>
      <c r="BM47" s="1655"/>
      <c r="BN47" s="1655"/>
      <c r="BO47" s="1655"/>
      <c r="BP47" s="1655"/>
      <c r="BQ47" s="1655"/>
      <c r="BR47" s="1655"/>
      <c r="BS47" s="1655"/>
      <c r="BT47" s="1655"/>
      <c r="BU47" s="1655"/>
      <c r="BV47" s="1655"/>
      <c r="BW47" s="1655"/>
      <c r="BX47" s="1655"/>
      <c r="BY47" s="1655"/>
      <c r="BZ47" s="1655"/>
      <c r="CA47" s="1655"/>
      <c r="CB47" s="1655"/>
      <c r="CC47" s="1655"/>
      <c r="CD47" s="1655"/>
      <c r="CE47" s="1655"/>
      <c r="CF47" s="1655"/>
      <c r="CG47" s="1655"/>
      <c r="CH47" s="1655"/>
      <c r="CI47" s="1655"/>
      <c r="CJ47" s="1655"/>
      <c r="CK47" s="1655"/>
      <c r="CL47" s="1655"/>
      <c r="CM47" s="1655"/>
      <c r="CN47" s="1655"/>
      <c r="CO47" s="1655"/>
      <c r="CP47" s="1655"/>
      <c r="CQ47" s="1655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35"/>
      <c r="B48" s="638"/>
      <c r="C48" s="638"/>
      <c r="D48" s="1600"/>
      <c r="E48" s="638"/>
      <c r="F48" s="525"/>
      <c r="G48" s="526"/>
      <c r="H48" s="525"/>
      <c r="I48" s="1655"/>
      <c r="J48" s="1655"/>
      <c r="K48" s="1655"/>
      <c r="L48" s="1655"/>
      <c r="M48" s="1655"/>
      <c r="N48" s="1655"/>
      <c r="O48" s="1655"/>
      <c r="P48" s="1655"/>
      <c r="Q48" s="1655"/>
      <c r="R48" s="1655"/>
      <c r="S48" s="1655"/>
      <c r="T48" s="1655"/>
      <c r="U48" s="1655"/>
      <c r="V48" s="1655"/>
      <c r="W48" s="1655"/>
      <c r="X48" s="1655"/>
      <c r="Y48" s="1655"/>
      <c r="Z48" s="1655"/>
      <c r="AA48" s="1655"/>
      <c r="AB48" s="1655"/>
      <c r="AC48" s="1655"/>
      <c r="AD48" s="1655"/>
      <c r="AE48" s="1655"/>
      <c r="AF48" s="1655"/>
      <c r="AG48" s="1655"/>
      <c r="AH48" s="1655"/>
      <c r="AI48" s="1655"/>
      <c r="AJ48" s="1655"/>
      <c r="AK48" s="1655"/>
      <c r="AL48" s="1655"/>
      <c r="AM48" s="1655"/>
      <c r="AN48" s="1655"/>
      <c r="AO48" s="1655"/>
      <c r="AP48" s="1655"/>
      <c r="AQ48" s="1655"/>
      <c r="AR48" s="1655"/>
      <c r="AS48" s="1655"/>
      <c r="AT48" s="1655"/>
      <c r="AU48" s="1655"/>
      <c r="AV48" s="1655"/>
      <c r="AW48" s="1655"/>
      <c r="AX48" s="1655"/>
      <c r="AY48" s="1655"/>
      <c r="AZ48" s="1655"/>
      <c r="BA48" s="1655"/>
      <c r="BB48" s="1655"/>
      <c r="BC48" s="1655"/>
      <c r="BD48" s="1655"/>
      <c r="BE48" s="1655"/>
      <c r="BF48" s="1655"/>
      <c r="BG48" s="1655"/>
      <c r="BH48" s="1655"/>
      <c r="BI48" s="1655"/>
      <c r="BJ48" s="1655"/>
      <c r="BK48" s="1655"/>
      <c r="BL48" s="1655"/>
      <c r="BM48" s="1655"/>
      <c r="BN48" s="1655"/>
      <c r="BO48" s="1655"/>
      <c r="BP48" s="1655"/>
      <c r="BQ48" s="1655"/>
      <c r="BR48" s="1655"/>
      <c r="BS48" s="1655"/>
      <c r="BT48" s="1655"/>
      <c r="BU48" s="1655"/>
      <c r="BV48" s="1655"/>
      <c r="BW48" s="1655"/>
      <c r="BX48" s="1655"/>
      <c r="BY48" s="1655"/>
      <c r="BZ48" s="1655"/>
      <c r="CA48" s="1655"/>
      <c r="CB48" s="1655"/>
      <c r="CC48" s="1655"/>
      <c r="CD48" s="1655"/>
      <c r="CE48" s="1655"/>
      <c r="CF48" s="1655"/>
      <c r="CG48" s="1655"/>
      <c r="CH48" s="1655"/>
      <c r="CI48" s="1655"/>
      <c r="CJ48" s="1655"/>
      <c r="CK48" s="1655"/>
      <c r="CL48" s="1655"/>
      <c r="CM48" s="1655"/>
      <c r="CN48" s="1655"/>
      <c r="CO48" s="1655"/>
      <c r="CP48" s="1655"/>
      <c r="CQ48" s="1655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35"/>
      <c r="B49" s="638"/>
      <c r="C49" s="638"/>
      <c r="D49" s="1600"/>
      <c r="E49" s="638"/>
      <c r="F49" s="525"/>
      <c r="G49" s="526"/>
      <c r="H49" s="525"/>
      <c r="I49" s="1655"/>
      <c r="J49" s="1655"/>
      <c r="K49" s="1655"/>
      <c r="L49" s="1655"/>
      <c r="M49" s="1655"/>
      <c r="N49" s="1655"/>
      <c r="O49" s="1655"/>
      <c r="P49" s="1655"/>
      <c r="Q49" s="1655"/>
      <c r="R49" s="1655"/>
      <c r="S49" s="1655"/>
      <c r="T49" s="1655"/>
      <c r="U49" s="1655"/>
      <c r="V49" s="1655"/>
      <c r="W49" s="1655"/>
      <c r="X49" s="1655"/>
      <c r="Y49" s="1655"/>
      <c r="Z49" s="1655"/>
      <c r="AA49" s="1655"/>
      <c r="AB49" s="1655"/>
      <c r="AC49" s="1655"/>
      <c r="AD49" s="1655"/>
      <c r="AE49" s="1655"/>
      <c r="AF49" s="1655"/>
      <c r="AG49" s="1655"/>
      <c r="AH49" s="1655"/>
      <c r="AI49" s="1655"/>
      <c r="AJ49" s="1655"/>
      <c r="AK49" s="1655"/>
      <c r="AL49" s="1655"/>
      <c r="AM49" s="1655"/>
      <c r="AN49" s="1655"/>
      <c r="AO49" s="1655"/>
      <c r="AP49" s="1655"/>
      <c r="AQ49" s="1655"/>
      <c r="AR49" s="1655"/>
      <c r="AS49" s="1655"/>
      <c r="AT49" s="1655"/>
      <c r="AU49" s="1655"/>
      <c r="AV49" s="1655"/>
      <c r="AW49" s="1655"/>
      <c r="AX49" s="1655"/>
      <c r="AY49" s="1655"/>
      <c r="AZ49" s="1655"/>
      <c r="BA49" s="1655"/>
      <c r="BB49" s="1655"/>
      <c r="BC49" s="1655"/>
      <c r="BD49" s="1655"/>
      <c r="BE49" s="1655"/>
      <c r="BF49" s="1655"/>
      <c r="BG49" s="1655"/>
      <c r="BH49" s="1655"/>
      <c r="BI49" s="1655"/>
      <c r="BJ49" s="1655"/>
      <c r="BK49" s="1655"/>
      <c r="BL49" s="1655"/>
      <c r="BM49" s="1655"/>
      <c r="BN49" s="1655"/>
      <c r="BO49" s="1655"/>
      <c r="BP49" s="1655"/>
      <c r="BQ49" s="1655"/>
      <c r="BR49" s="1655"/>
      <c r="BS49" s="1655"/>
      <c r="BT49" s="1655"/>
      <c r="BU49" s="1655"/>
      <c r="BV49" s="1655"/>
      <c r="BW49" s="1655"/>
      <c r="BX49" s="1655"/>
      <c r="BY49" s="1655"/>
      <c r="BZ49" s="1655"/>
      <c r="CA49" s="1655"/>
      <c r="CB49" s="1655"/>
      <c r="CC49" s="1655"/>
      <c r="CD49" s="1655"/>
      <c r="CE49" s="1655"/>
      <c r="CF49" s="1655"/>
      <c r="CG49" s="1655"/>
      <c r="CH49" s="1655"/>
      <c r="CI49" s="1655"/>
      <c r="CJ49" s="1655"/>
      <c r="CK49" s="1655"/>
      <c r="CL49" s="1655"/>
      <c r="CM49" s="1655"/>
      <c r="CN49" s="1655"/>
      <c r="CO49" s="1655"/>
      <c r="CP49" s="1655"/>
      <c r="CQ49" s="1655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35"/>
      <c r="B50" s="638"/>
      <c r="C50" s="638"/>
      <c r="D50" s="1600"/>
      <c r="E50" s="638"/>
      <c r="F50" s="525"/>
      <c r="G50" s="526"/>
      <c r="H50" s="525"/>
      <c r="I50" s="1655"/>
      <c r="J50" s="1655"/>
      <c r="K50" s="1655"/>
      <c r="L50" s="1655"/>
      <c r="M50" s="1655"/>
      <c r="N50" s="1655"/>
      <c r="O50" s="1655"/>
      <c r="P50" s="1655"/>
      <c r="Q50" s="1655"/>
      <c r="R50" s="1655"/>
      <c r="S50" s="1655"/>
      <c r="T50" s="1655"/>
      <c r="U50" s="1655"/>
      <c r="V50" s="1655"/>
      <c r="W50" s="1655"/>
      <c r="X50" s="1655"/>
      <c r="Y50" s="1655"/>
      <c r="Z50" s="1655"/>
      <c r="AA50" s="1655"/>
      <c r="AB50" s="1655"/>
      <c r="AC50" s="1655"/>
      <c r="AD50" s="1655"/>
      <c r="AE50" s="1655"/>
      <c r="AF50" s="1655"/>
      <c r="AG50" s="1655"/>
      <c r="AH50" s="1655"/>
      <c r="AI50" s="1655"/>
      <c r="AJ50" s="1655"/>
      <c r="AK50" s="1655"/>
      <c r="AL50" s="1655"/>
      <c r="AM50" s="1655"/>
      <c r="AN50" s="1655"/>
      <c r="AO50" s="1655"/>
      <c r="AP50" s="1655"/>
      <c r="AQ50" s="1655"/>
      <c r="AR50" s="1655"/>
      <c r="AS50" s="1655"/>
      <c r="AT50" s="1655"/>
      <c r="AU50" s="1655"/>
      <c r="AV50" s="1655"/>
      <c r="AW50" s="1655"/>
      <c r="AX50" s="1655"/>
      <c r="AY50" s="1655"/>
      <c r="AZ50" s="1655"/>
      <c r="BA50" s="1655"/>
      <c r="BB50" s="1655"/>
      <c r="BC50" s="1655"/>
      <c r="BD50" s="1655"/>
      <c r="BE50" s="1655"/>
      <c r="BF50" s="1655"/>
      <c r="BG50" s="1655"/>
      <c r="BH50" s="1655"/>
      <c r="BI50" s="1655"/>
      <c r="BJ50" s="1655"/>
      <c r="BK50" s="1655"/>
      <c r="BL50" s="1655"/>
      <c r="BM50" s="1655"/>
      <c r="BN50" s="1655"/>
      <c r="BO50" s="1655"/>
      <c r="BP50" s="1655"/>
      <c r="BQ50" s="1655"/>
      <c r="BR50" s="1655"/>
      <c r="BS50" s="1655"/>
      <c r="BT50" s="1655"/>
      <c r="BU50" s="1655"/>
      <c r="BV50" s="1655"/>
      <c r="BW50" s="1655"/>
      <c r="BX50" s="1655"/>
      <c r="BY50" s="1655"/>
      <c r="BZ50" s="1655"/>
      <c r="CA50" s="1655"/>
      <c r="CB50" s="1655"/>
      <c r="CC50" s="1655"/>
      <c r="CD50" s="1655"/>
      <c r="CE50" s="1655"/>
      <c r="CF50" s="1655"/>
      <c r="CG50" s="1655"/>
      <c r="CH50" s="1655"/>
      <c r="CI50" s="1655"/>
      <c r="CJ50" s="1655"/>
      <c r="CK50" s="1655"/>
      <c r="CL50" s="1655"/>
      <c r="CM50" s="1655"/>
      <c r="CN50" s="1655"/>
      <c r="CO50" s="1655"/>
      <c r="CP50" s="1655"/>
      <c r="CQ50" s="1655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35"/>
      <c r="B51" s="638"/>
      <c r="C51" s="638"/>
      <c r="D51" s="1600"/>
      <c r="E51" s="638"/>
      <c r="F51" s="525"/>
      <c r="G51" s="526"/>
      <c r="H51" s="525"/>
      <c r="I51" s="1655"/>
      <c r="J51" s="1655"/>
      <c r="K51" s="1655"/>
      <c r="L51" s="1655"/>
      <c r="M51" s="1655"/>
      <c r="N51" s="1655"/>
      <c r="O51" s="1655"/>
      <c r="P51" s="1655"/>
      <c r="Q51" s="1655"/>
      <c r="R51" s="1655"/>
      <c r="S51" s="1655"/>
      <c r="T51" s="1655"/>
      <c r="U51" s="1655"/>
      <c r="V51" s="1655"/>
      <c r="W51" s="1655"/>
      <c r="X51" s="1655"/>
      <c r="Y51" s="1655"/>
      <c r="Z51" s="1655"/>
      <c r="AA51" s="1655"/>
      <c r="AB51" s="1655"/>
      <c r="AC51" s="1655"/>
      <c r="AD51" s="1655"/>
      <c r="AE51" s="1655"/>
      <c r="AF51" s="1655"/>
      <c r="AG51" s="1655"/>
      <c r="AH51" s="1655"/>
      <c r="AI51" s="1655"/>
      <c r="AJ51" s="1655"/>
      <c r="AK51" s="1655"/>
      <c r="AL51" s="1655"/>
      <c r="AM51" s="1655"/>
      <c r="AN51" s="1655"/>
      <c r="AO51" s="1655"/>
      <c r="AP51" s="1655"/>
      <c r="AQ51" s="1655"/>
      <c r="AR51" s="1655"/>
      <c r="AS51" s="1655"/>
      <c r="AT51" s="1655"/>
      <c r="AU51" s="1655"/>
      <c r="AV51" s="1655"/>
      <c r="AW51" s="1655"/>
      <c r="AX51" s="1655"/>
      <c r="AY51" s="1655"/>
      <c r="AZ51" s="1655"/>
      <c r="BA51" s="1655"/>
      <c r="BB51" s="1655"/>
      <c r="BC51" s="1655"/>
      <c r="BD51" s="1655"/>
      <c r="BE51" s="1655"/>
      <c r="BF51" s="1655"/>
      <c r="BG51" s="1655"/>
      <c r="BH51" s="1655"/>
      <c r="BI51" s="1655"/>
      <c r="BJ51" s="1655"/>
      <c r="BK51" s="1655"/>
      <c r="BL51" s="1655"/>
      <c r="BM51" s="1655"/>
      <c r="BN51" s="1655"/>
      <c r="BO51" s="1655"/>
      <c r="BP51" s="1655"/>
      <c r="BQ51" s="1655"/>
      <c r="BR51" s="1655"/>
      <c r="BS51" s="1655"/>
      <c r="BT51" s="1655"/>
      <c r="BU51" s="1655"/>
      <c r="BV51" s="1655"/>
      <c r="BW51" s="1655"/>
      <c r="BX51" s="1655"/>
      <c r="BY51" s="1655"/>
      <c r="BZ51" s="1655"/>
      <c r="CA51" s="1655"/>
      <c r="CB51" s="1655"/>
      <c r="CC51" s="1655"/>
      <c r="CD51" s="1655"/>
      <c r="CE51" s="1655"/>
      <c r="CF51" s="1655"/>
      <c r="CG51" s="1655"/>
      <c r="CH51" s="1655"/>
      <c r="CI51" s="1655"/>
      <c r="CJ51" s="1655"/>
      <c r="CK51" s="1655"/>
      <c r="CL51" s="1655"/>
      <c r="CM51" s="1655"/>
      <c r="CN51" s="1655"/>
      <c r="CO51" s="1655"/>
      <c r="CP51" s="1655"/>
      <c r="CQ51" s="1655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35"/>
      <c r="B52" s="638"/>
      <c r="C52" s="638"/>
      <c r="D52" s="1600"/>
      <c r="E52" s="638"/>
      <c r="F52" s="525"/>
      <c r="G52" s="526"/>
      <c r="H52" s="525"/>
      <c r="I52" s="1655"/>
      <c r="J52" s="1655"/>
      <c r="K52" s="1655"/>
      <c r="L52" s="1655"/>
      <c r="M52" s="1655"/>
      <c r="N52" s="1655"/>
      <c r="O52" s="1655"/>
      <c r="P52" s="1655"/>
      <c r="Q52" s="1655"/>
      <c r="R52" s="1655"/>
      <c r="S52" s="1655"/>
      <c r="T52" s="1655"/>
      <c r="U52" s="1655"/>
      <c r="V52" s="1655"/>
      <c r="W52" s="1655"/>
      <c r="X52" s="1655"/>
      <c r="Y52" s="1655"/>
      <c r="Z52" s="1655"/>
      <c r="AA52" s="1655"/>
      <c r="AB52" s="1655"/>
      <c r="AC52" s="1655"/>
      <c r="AD52" s="1655"/>
      <c r="AE52" s="1655"/>
      <c r="AF52" s="1655"/>
      <c r="AG52" s="1655"/>
      <c r="AH52" s="1655"/>
      <c r="AI52" s="1655"/>
      <c r="AJ52" s="1655"/>
      <c r="AK52" s="1655"/>
      <c r="AL52" s="1655"/>
      <c r="AM52" s="1655"/>
      <c r="AN52" s="1655"/>
      <c r="AO52" s="1655"/>
      <c r="AP52" s="1655"/>
      <c r="AQ52" s="1655"/>
      <c r="AR52" s="1655"/>
      <c r="AS52" s="1655"/>
      <c r="AT52" s="1655"/>
      <c r="AU52" s="1655"/>
      <c r="AV52" s="1655"/>
      <c r="AW52" s="1655"/>
      <c r="AX52" s="1655"/>
      <c r="AY52" s="1655"/>
      <c r="AZ52" s="1655"/>
      <c r="BA52" s="1655"/>
      <c r="BB52" s="1655"/>
      <c r="BC52" s="1655"/>
      <c r="BD52" s="1655"/>
      <c r="BE52" s="1655"/>
      <c r="BF52" s="1655"/>
      <c r="BG52" s="1655"/>
      <c r="BH52" s="1655"/>
      <c r="BI52" s="1655"/>
      <c r="BJ52" s="1655"/>
      <c r="BK52" s="1655"/>
      <c r="BL52" s="1655"/>
      <c r="BM52" s="1655"/>
      <c r="BN52" s="1655"/>
      <c r="BO52" s="1655"/>
      <c r="BP52" s="1655"/>
      <c r="BQ52" s="1655"/>
      <c r="BR52" s="1655"/>
      <c r="BS52" s="1655"/>
      <c r="BT52" s="1655"/>
      <c r="BU52" s="1655"/>
      <c r="BV52" s="1655"/>
      <c r="BW52" s="1655"/>
      <c r="BX52" s="1655"/>
      <c r="BY52" s="1655"/>
      <c r="BZ52" s="1655"/>
      <c r="CA52" s="1655"/>
      <c r="CB52" s="1655"/>
      <c r="CC52" s="1655"/>
      <c r="CD52" s="1655"/>
      <c r="CE52" s="1655"/>
      <c r="CF52" s="1655"/>
      <c r="CG52" s="1655"/>
      <c r="CH52" s="1655"/>
      <c r="CI52" s="1655"/>
      <c r="CJ52" s="1655"/>
      <c r="CK52" s="1655"/>
      <c r="CL52" s="1655"/>
      <c r="CM52" s="1655"/>
      <c r="CN52" s="1655"/>
      <c r="CO52" s="1655"/>
      <c r="CP52" s="1655"/>
      <c r="CQ52" s="1655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35"/>
      <c r="B53" s="638"/>
      <c r="C53" s="638"/>
      <c r="D53" s="1600"/>
      <c r="E53" s="638"/>
      <c r="F53" s="525"/>
      <c r="G53" s="526"/>
      <c r="H53" s="525"/>
      <c r="I53" s="1655"/>
      <c r="J53" s="1655"/>
      <c r="K53" s="1655"/>
      <c r="L53" s="1655"/>
      <c r="M53" s="1655"/>
      <c r="N53" s="1655"/>
      <c r="O53" s="1655"/>
      <c r="P53" s="1655"/>
      <c r="Q53" s="1655"/>
      <c r="R53" s="1655"/>
      <c r="S53" s="1655"/>
      <c r="T53" s="1655"/>
      <c r="U53" s="1655"/>
      <c r="V53" s="1655"/>
      <c r="W53" s="1655"/>
      <c r="X53" s="1655"/>
      <c r="Y53" s="1655"/>
      <c r="Z53" s="1655"/>
      <c r="AA53" s="1655"/>
      <c r="AB53" s="1655"/>
      <c r="AC53" s="1655"/>
      <c r="AD53" s="1655"/>
      <c r="AE53" s="1655"/>
      <c r="AF53" s="1655"/>
      <c r="AG53" s="1655"/>
      <c r="AH53" s="1655"/>
      <c r="AI53" s="1655"/>
      <c r="AJ53" s="1655"/>
      <c r="AK53" s="1655"/>
      <c r="AL53" s="1655"/>
      <c r="AM53" s="1655"/>
      <c r="AN53" s="1655"/>
      <c r="AO53" s="1655"/>
      <c r="AP53" s="1655"/>
      <c r="AQ53" s="1655"/>
      <c r="AR53" s="1655"/>
      <c r="AS53" s="1655"/>
      <c r="AT53" s="1655"/>
      <c r="AU53" s="1655"/>
      <c r="AV53" s="1655"/>
      <c r="AW53" s="1655"/>
      <c r="AX53" s="1655"/>
      <c r="AY53" s="1655"/>
      <c r="AZ53" s="1655"/>
      <c r="BA53" s="1655"/>
      <c r="BB53" s="1655"/>
      <c r="BC53" s="1655"/>
      <c r="BD53" s="1655"/>
      <c r="BE53" s="1655"/>
      <c r="BF53" s="1655"/>
      <c r="BG53" s="1655"/>
      <c r="BH53" s="1655"/>
      <c r="BI53" s="1655"/>
      <c r="BJ53" s="1655"/>
      <c r="BK53" s="1655"/>
      <c r="BL53" s="1655"/>
      <c r="BM53" s="1655"/>
      <c r="BN53" s="1655"/>
      <c r="BO53" s="1655"/>
      <c r="BP53" s="1655"/>
      <c r="BQ53" s="1655"/>
      <c r="BR53" s="1655"/>
      <c r="BS53" s="1655"/>
      <c r="BT53" s="1655"/>
      <c r="BU53" s="1655"/>
      <c r="BV53" s="1655"/>
      <c r="BW53" s="1655"/>
      <c r="BX53" s="1655"/>
      <c r="BY53" s="1655"/>
      <c r="BZ53" s="1655"/>
      <c r="CA53" s="1655"/>
      <c r="CB53" s="1655"/>
      <c r="CC53" s="1655"/>
      <c r="CD53" s="1655"/>
      <c r="CE53" s="1655"/>
      <c r="CF53" s="1655"/>
      <c r="CG53" s="1655"/>
      <c r="CH53" s="1655"/>
      <c r="CI53" s="1655"/>
      <c r="CJ53" s="1655"/>
      <c r="CK53" s="1655"/>
      <c r="CL53" s="1655"/>
      <c r="CM53" s="1655"/>
      <c r="CN53" s="1655"/>
      <c r="CO53" s="1655"/>
      <c r="CP53" s="1655"/>
      <c r="CQ53" s="1655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35"/>
      <c r="B54" s="638"/>
      <c r="C54" s="638"/>
      <c r="D54" s="1600"/>
      <c r="E54" s="638"/>
      <c r="F54" s="525"/>
      <c r="G54" s="526"/>
      <c r="H54" s="525"/>
      <c r="I54" s="1655"/>
      <c r="J54" s="1655"/>
      <c r="K54" s="1655"/>
      <c r="L54" s="1655"/>
      <c r="M54" s="1655"/>
      <c r="N54" s="1655"/>
      <c r="O54" s="1655"/>
      <c r="P54" s="1655"/>
      <c r="Q54" s="1655"/>
      <c r="R54" s="1655"/>
      <c r="S54" s="1655"/>
      <c r="T54" s="1655"/>
      <c r="U54" s="1655"/>
      <c r="V54" s="1655"/>
      <c r="W54" s="1655"/>
      <c r="X54" s="1655"/>
      <c r="Y54" s="1655"/>
      <c r="Z54" s="1655"/>
      <c r="AA54" s="1655"/>
      <c r="AB54" s="1655"/>
      <c r="AC54" s="1655"/>
      <c r="AD54" s="1655"/>
      <c r="AE54" s="1655"/>
      <c r="AF54" s="1655"/>
      <c r="AG54" s="1655"/>
      <c r="AH54" s="1655"/>
      <c r="AI54" s="1655"/>
      <c r="AJ54" s="1655"/>
      <c r="AK54" s="1655"/>
      <c r="AL54" s="1655"/>
      <c r="AM54" s="1655"/>
      <c r="AN54" s="1655"/>
      <c r="AO54" s="1655"/>
      <c r="AP54" s="1655"/>
      <c r="AQ54" s="1655"/>
      <c r="AR54" s="1655"/>
      <c r="AS54" s="1655"/>
      <c r="AT54" s="1655"/>
      <c r="AU54" s="1655"/>
      <c r="AV54" s="1655"/>
      <c r="AW54" s="1655"/>
      <c r="AX54" s="1655"/>
      <c r="AY54" s="1655"/>
      <c r="AZ54" s="1655"/>
      <c r="BA54" s="1655"/>
      <c r="BB54" s="1655"/>
      <c r="BC54" s="1655"/>
      <c r="BD54" s="1655"/>
      <c r="BE54" s="1655"/>
      <c r="BF54" s="1655"/>
      <c r="BG54" s="1655"/>
      <c r="BH54" s="1655"/>
      <c r="BI54" s="1655"/>
      <c r="BJ54" s="1655"/>
      <c r="BK54" s="1655"/>
      <c r="BL54" s="1655"/>
      <c r="BM54" s="1655"/>
      <c r="BN54" s="1655"/>
      <c r="BO54" s="1655"/>
      <c r="BP54" s="1655"/>
      <c r="BQ54" s="1655"/>
      <c r="BR54" s="1655"/>
      <c r="BS54" s="1655"/>
      <c r="BT54" s="1655"/>
      <c r="BU54" s="1655"/>
      <c r="BV54" s="1655"/>
      <c r="BW54" s="1655"/>
      <c r="BX54" s="1655"/>
      <c r="BY54" s="1655"/>
      <c r="BZ54" s="1655"/>
      <c r="CA54" s="1655"/>
      <c r="CB54" s="1655"/>
      <c r="CC54" s="1655"/>
      <c r="CD54" s="1655"/>
      <c r="CE54" s="1655"/>
      <c r="CF54" s="1655"/>
      <c r="CG54" s="1655"/>
      <c r="CH54" s="1655"/>
      <c r="CI54" s="1655"/>
      <c r="CJ54" s="1655"/>
      <c r="CK54" s="1655"/>
      <c r="CL54" s="1655"/>
      <c r="CM54" s="1655"/>
      <c r="CN54" s="1655"/>
      <c r="CO54" s="1655"/>
      <c r="CP54" s="1655"/>
      <c r="CQ54" s="1655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35"/>
      <c r="B55" s="638"/>
      <c r="C55" s="638"/>
      <c r="D55" s="1600"/>
      <c r="E55" s="638"/>
      <c r="F55" s="525"/>
      <c r="G55" s="526"/>
      <c r="H55" s="525"/>
      <c r="I55" s="1655"/>
      <c r="J55" s="1655"/>
      <c r="K55" s="1655"/>
      <c r="L55" s="1655"/>
      <c r="M55" s="1655"/>
      <c r="N55" s="1655"/>
      <c r="O55" s="1655"/>
      <c r="P55" s="1655"/>
      <c r="Q55" s="1655"/>
      <c r="R55" s="1655"/>
      <c r="S55" s="1655"/>
      <c r="T55" s="1655"/>
      <c r="U55" s="1655"/>
      <c r="V55" s="1655"/>
      <c r="W55" s="1655"/>
      <c r="X55" s="1655"/>
      <c r="Y55" s="1655"/>
      <c r="Z55" s="1655"/>
      <c r="AA55" s="1655"/>
      <c r="AB55" s="1655"/>
      <c r="AC55" s="1655"/>
      <c r="AD55" s="1655"/>
      <c r="AE55" s="1655"/>
      <c r="AF55" s="1655"/>
      <c r="AG55" s="1655"/>
      <c r="AH55" s="1655"/>
      <c r="AI55" s="1655"/>
      <c r="AJ55" s="1655"/>
      <c r="AK55" s="1655"/>
      <c r="AL55" s="1655"/>
      <c r="AM55" s="1655"/>
      <c r="AN55" s="1655"/>
      <c r="AO55" s="1655"/>
      <c r="AP55" s="1655"/>
      <c r="AQ55" s="1655"/>
      <c r="AR55" s="1655"/>
      <c r="AS55" s="1655"/>
      <c r="AT55" s="1655"/>
      <c r="AU55" s="1655"/>
      <c r="AV55" s="1655"/>
      <c r="AW55" s="1655"/>
      <c r="AX55" s="1655"/>
      <c r="AY55" s="1655"/>
      <c r="AZ55" s="1655"/>
      <c r="BA55" s="1655"/>
      <c r="BB55" s="1655"/>
      <c r="BC55" s="1655"/>
      <c r="BD55" s="1655"/>
      <c r="BE55" s="1655"/>
      <c r="BF55" s="1655"/>
      <c r="BG55" s="1655"/>
      <c r="BH55" s="1655"/>
      <c r="BI55" s="1655"/>
      <c r="BJ55" s="1655"/>
      <c r="BK55" s="1655"/>
      <c r="BL55" s="1655"/>
      <c r="BM55" s="1655"/>
      <c r="BN55" s="1655"/>
      <c r="BO55" s="1655"/>
      <c r="BP55" s="1655"/>
      <c r="BQ55" s="1655"/>
      <c r="BR55" s="1655"/>
      <c r="BS55" s="1655"/>
      <c r="BT55" s="1655"/>
      <c r="BU55" s="1655"/>
      <c r="BV55" s="1655"/>
      <c r="BW55" s="1655"/>
      <c r="BX55" s="1655"/>
      <c r="BY55" s="1655"/>
      <c r="BZ55" s="1655"/>
      <c r="CA55" s="1655"/>
      <c r="CB55" s="1655"/>
      <c r="CC55" s="1655"/>
      <c r="CD55" s="1655"/>
      <c r="CE55" s="1655"/>
      <c r="CF55" s="1655"/>
      <c r="CG55" s="1655"/>
      <c r="CH55" s="1655"/>
      <c r="CI55" s="1655"/>
      <c r="CJ55" s="1655"/>
      <c r="CK55" s="1655"/>
      <c r="CL55" s="1655"/>
      <c r="CM55" s="1655"/>
      <c r="CN55" s="1655"/>
      <c r="CO55" s="1655"/>
      <c r="CP55" s="1655"/>
      <c r="CQ55" s="1655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35"/>
      <c r="B56" s="638"/>
      <c r="C56" s="638"/>
      <c r="D56" s="1600"/>
      <c r="E56" s="638"/>
      <c r="F56" s="525"/>
      <c r="G56" s="526"/>
      <c r="H56" s="525"/>
      <c r="I56" s="1655"/>
      <c r="J56" s="1655"/>
      <c r="K56" s="1655"/>
      <c r="L56" s="1655"/>
      <c r="M56" s="1655"/>
      <c r="N56" s="1655"/>
      <c r="O56" s="1655"/>
      <c r="P56" s="1655"/>
      <c r="Q56" s="1655"/>
      <c r="R56" s="1655"/>
      <c r="S56" s="1655"/>
      <c r="T56" s="1655"/>
      <c r="U56" s="1655"/>
      <c r="V56" s="1655"/>
      <c r="W56" s="1655"/>
      <c r="X56" s="1655"/>
      <c r="Y56" s="1655"/>
      <c r="Z56" s="1655"/>
      <c r="AA56" s="1655"/>
      <c r="AB56" s="1655"/>
      <c r="AC56" s="1655"/>
      <c r="AD56" s="1655"/>
      <c r="AE56" s="1655"/>
      <c r="AF56" s="1655"/>
      <c r="AG56" s="1655"/>
      <c r="AH56" s="1655"/>
      <c r="AI56" s="1655"/>
      <c r="AJ56" s="1655"/>
      <c r="AK56" s="1655"/>
      <c r="AL56" s="1655"/>
      <c r="AM56" s="1655"/>
      <c r="AN56" s="1655"/>
      <c r="AO56" s="1655"/>
      <c r="AP56" s="1655"/>
      <c r="AQ56" s="1655"/>
      <c r="AR56" s="1655"/>
      <c r="AS56" s="1655"/>
      <c r="AT56" s="1655"/>
      <c r="AU56" s="1655"/>
      <c r="AV56" s="1655"/>
      <c r="AW56" s="1655"/>
      <c r="AX56" s="1655"/>
      <c r="AY56" s="1655"/>
      <c r="AZ56" s="1655"/>
      <c r="BA56" s="1655"/>
      <c r="BB56" s="1655"/>
      <c r="BC56" s="1655"/>
      <c r="BD56" s="1655"/>
      <c r="BE56" s="1655"/>
      <c r="BF56" s="1655"/>
      <c r="BG56" s="1655"/>
      <c r="BH56" s="1655"/>
      <c r="BI56" s="1655"/>
      <c r="BJ56" s="1655"/>
      <c r="BK56" s="1655"/>
      <c r="BL56" s="1655"/>
      <c r="BM56" s="1655"/>
      <c r="BN56" s="1655"/>
      <c r="BO56" s="1655"/>
      <c r="BP56" s="1655"/>
      <c r="BQ56" s="1655"/>
      <c r="BR56" s="1655"/>
      <c r="BS56" s="1655"/>
      <c r="BT56" s="1655"/>
      <c r="BU56" s="1655"/>
      <c r="BV56" s="1655"/>
      <c r="BW56" s="1655"/>
      <c r="BX56" s="1655"/>
      <c r="BY56" s="1655"/>
      <c r="BZ56" s="1655"/>
      <c r="CA56" s="1655"/>
      <c r="CB56" s="1655"/>
      <c r="CC56" s="1655"/>
      <c r="CD56" s="1655"/>
      <c r="CE56" s="1655"/>
      <c r="CF56" s="1655"/>
      <c r="CG56" s="1655"/>
      <c r="CH56" s="1655"/>
      <c r="CI56" s="1655"/>
      <c r="CJ56" s="1655"/>
      <c r="CK56" s="1655"/>
      <c r="CL56" s="1655"/>
      <c r="CM56" s="1655"/>
      <c r="CN56" s="1655"/>
      <c r="CO56" s="1655"/>
      <c r="CP56" s="1655"/>
      <c r="CQ56" s="1655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35"/>
      <c r="B57" s="638"/>
      <c r="C57" s="638"/>
      <c r="D57" s="1600"/>
      <c r="E57" s="638"/>
      <c r="F57" s="525"/>
      <c r="G57" s="526"/>
      <c r="H57" s="525"/>
      <c r="I57" s="1655"/>
      <c r="J57" s="1655"/>
      <c r="K57" s="1655"/>
      <c r="L57" s="1655"/>
      <c r="M57" s="1655"/>
      <c r="N57" s="1655"/>
      <c r="O57" s="1655"/>
      <c r="P57" s="1655"/>
      <c r="Q57" s="1655"/>
      <c r="R57" s="1655"/>
      <c r="S57" s="1655"/>
      <c r="T57" s="1655"/>
      <c r="U57" s="1655"/>
      <c r="V57" s="1655"/>
      <c r="W57" s="1655"/>
      <c r="X57" s="1655"/>
      <c r="Y57" s="1655"/>
      <c r="Z57" s="1655"/>
      <c r="AA57" s="1655"/>
      <c r="AB57" s="1655"/>
      <c r="AC57" s="1655"/>
      <c r="AD57" s="1655"/>
      <c r="AE57" s="1655"/>
      <c r="AF57" s="1655"/>
      <c r="AG57" s="1655"/>
      <c r="AH57" s="1655"/>
      <c r="AI57" s="1655"/>
      <c r="AJ57" s="1655"/>
      <c r="AK57" s="1655"/>
      <c r="AL57" s="1655"/>
      <c r="AM57" s="1655"/>
      <c r="AN57" s="1655"/>
      <c r="AO57" s="1655"/>
      <c r="AP57" s="1655"/>
      <c r="AQ57" s="1655"/>
      <c r="AR57" s="1655"/>
      <c r="AS57" s="1655"/>
      <c r="AT57" s="1655"/>
      <c r="AU57" s="1655"/>
      <c r="AV57" s="1655"/>
      <c r="AW57" s="1655"/>
      <c r="AX57" s="1655"/>
      <c r="AY57" s="1655"/>
      <c r="AZ57" s="1655"/>
      <c r="BA57" s="1655"/>
      <c r="BB57" s="1655"/>
      <c r="BC57" s="1655"/>
      <c r="BD57" s="1655"/>
      <c r="BE57" s="1655"/>
      <c r="BF57" s="1655"/>
      <c r="BG57" s="1655"/>
      <c r="BH57" s="1655"/>
      <c r="BI57" s="1655"/>
      <c r="BJ57" s="1655"/>
      <c r="BK57" s="1655"/>
      <c r="BL57" s="1655"/>
      <c r="BM57" s="1655"/>
      <c r="BN57" s="1655"/>
      <c r="BO57" s="1655"/>
      <c r="BP57" s="1655"/>
      <c r="BQ57" s="1655"/>
      <c r="BR57" s="1655"/>
      <c r="BS57" s="1655"/>
      <c r="BT57" s="1655"/>
      <c r="BU57" s="1655"/>
      <c r="BV57" s="1655"/>
      <c r="BW57" s="1655"/>
      <c r="BX57" s="1655"/>
      <c r="BY57" s="1655"/>
      <c r="BZ57" s="1655"/>
      <c r="CA57" s="1655"/>
      <c r="CB57" s="1655"/>
      <c r="CC57" s="1655"/>
      <c r="CD57" s="1655"/>
      <c r="CE57" s="1655"/>
      <c r="CF57" s="1655"/>
      <c r="CG57" s="1655"/>
      <c r="CH57" s="1655"/>
      <c r="CI57" s="1655"/>
      <c r="CJ57" s="1655"/>
      <c r="CK57" s="1655"/>
      <c r="CL57" s="1655"/>
      <c r="CM57" s="1655"/>
      <c r="CN57" s="1655"/>
      <c r="CO57" s="1655"/>
      <c r="CP57" s="1655"/>
      <c r="CQ57" s="1655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827"/>
      <c r="B58" s="1828"/>
      <c r="C58" s="638"/>
      <c r="D58" s="1828"/>
      <c r="E58" s="1647"/>
      <c r="F58" s="1647"/>
      <c r="G58" s="1214"/>
      <c r="H58" s="1647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30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31"/>
      <c r="B59" s="1832"/>
      <c r="C59" s="1199"/>
      <c r="D59" s="1199"/>
      <c r="E59" s="1832"/>
      <c r="F59" s="1832"/>
      <c r="G59" s="1833"/>
      <c r="H59" s="1832"/>
      <c r="I59" s="1832"/>
      <c r="J59" s="1832"/>
      <c r="K59" s="1832"/>
      <c r="L59" s="1832"/>
      <c r="M59" s="1832"/>
      <c r="N59" s="1832"/>
      <c r="O59" s="1832"/>
      <c r="P59" s="1832"/>
      <c r="Q59" s="1832"/>
      <c r="R59" s="1832"/>
      <c r="S59" s="1832"/>
      <c r="T59" s="1832"/>
      <c r="U59" s="1832"/>
      <c r="V59" s="1832"/>
      <c r="W59" s="1832"/>
      <c r="X59" s="1832"/>
      <c r="Y59" s="1832"/>
      <c r="Z59" s="1832"/>
      <c r="AA59" s="1832"/>
      <c r="AB59" s="1832"/>
      <c r="AC59" s="1832"/>
      <c r="AD59" s="1832"/>
      <c r="AE59" s="1832"/>
      <c r="AF59" s="1832"/>
      <c r="AG59" s="1832"/>
      <c r="AH59" s="1832"/>
      <c r="AI59" s="1832"/>
      <c r="AJ59" s="1832"/>
      <c r="AK59" s="1832"/>
      <c r="AL59" s="1832"/>
      <c r="AM59" s="1832"/>
      <c r="AN59" s="1832"/>
      <c r="AO59" s="1832"/>
      <c r="AP59" s="1832"/>
      <c r="AQ59" s="1832"/>
      <c r="AR59" s="1832"/>
      <c r="AS59" s="1832"/>
      <c r="AT59" s="1832"/>
      <c r="AU59" s="1832"/>
      <c r="AV59" s="1832"/>
      <c r="AW59" s="1832"/>
      <c r="AX59" s="1832"/>
      <c r="AY59" s="1832"/>
      <c r="AZ59" s="1832"/>
      <c r="BA59" s="1832"/>
      <c r="BB59" s="1832"/>
      <c r="BC59" s="1832"/>
      <c r="BD59" s="1832"/>
      <c r="BE59" s="1832"/>
      <c r="BF59" s="1832"/>
      <c r="BG59" s="1832"/>
      <c r="BH59" s="1832"/>
      <c r="BI59" s="1832"/>
      <c r="BJ59" s="1832"/>
      <c r="BK59" s="1832"/>
      <c r="BL59" s="1832"/>
      <c r="BM59" s="1832"/>
      <c r="BN59" s="1832"/>
      <c r="BO59" s="1832"/>
      <c r="BP59" s="1832"/>
      <c r="BQ59" s="1832"/>
      <c r="BR59" s="1832"/>
      <c r="BS59" s="1832"/>
      <c r="BT59" s="1832"/>
      <c r="BU59" s="1832"/>
      <c r="BV59" s="1832"/>
      <c r="BW59" s="1832"/>
      <c r="BX59" s="1832"/>
      <c r="BY59" s="1832"/>
      <c r="BZ59" s="1832"/>
      <c r="CA59" s="1832"/>
      <c r="CB59" s="1832"/>
      <c r="CC59" s="1832"/>
      <c r="CD59" s="1832"/>
      <c r="CE59" s="1832"/>
      <c r="CF59" s="1832"/>
      <c r="CG59" s="1832"/>
      <c r="CH59" s="1832"/>
      <c r="CI59" s="1832"/>
      <c r="CJ59" s="1832"/>
      <c r="CK59" s="1832"/>
      <c r="CL59" s="1832"/>
      <c r="CM59" s="1832"/>
      <c r="CN59" s="1832"/>
      <c r="CO59" s="1832"/>
      <c r="CP59" s="1832"/>
      <c r="CQ59" s="1832"/>
      <c r="CR59" s="1834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35"/>
      <c r="B60" s="1600"/>
      <c r="C60" s="638"/>
      <c r="D60" s="1600"/>
      <c r="E60" s="638"/>
      <c r="F60" s="525"/>
      <c r="G60" s="526"/>
      <c r="H60" s="525"/>
      <c r="I60" s="1655"/>
      <c r="J60" s="1655"/>
      <c r="K60" s="1655"/>
      <c r="L60" s="1655"/>
      <c r="M60" s="1655"/>
      <c r="N60" s="1655"/>
      <c r="O60" s="1655"/>
      <c r="P60" s="1655"/>
      <c r="Q60" s="1655"/>
      <c r="R60" s="1655"/>
      <c r="S60" s="1655"/>
      <c r="T60" s="1655"/>
      <c r="U60" s="1655"/>
      <c r="V60" s="1655"/>
      <c r="W60" s="1655"/>
      <c r="X60" s="1655"/>
      <c r="Y60" s="1655"/>
      <c r="Z60" s="1655"/>
      <c r="AA60" s="1655"/>
      <c r="AB60" s="1655"/>
      <c r="AC60" s="1655"/>
      <c r="AD60" s="1655"/>
      <c r="AE60" s="1655"/>
      <c r="AF60" s="1655"/>
      <c r="AG60" s="1655"/>
      <c r="AH60" s="1655"/>
      <c r="AI60" s="1655"/>
      <c r="AJ60" s="1655"/>
      <c r="AK60" s="1655"/>
      <c r="AL60" s="1655"/>
      <c r="AM60" s="1655"/>
      <c r="AN60" s="1655"/>
      <c r="AO60" s="1655"/>
      <c r="AP60" s="1655"/>
      <c r="AQ60" s="1655"/>
      <c r="AR60" s="1655"/>
      <c r="AS60" s="1655"/>
      <c r="AT60" s="1655"/>
      <c r="AU60" s="1655"/>
      <c r="AV60" s="1655"/>
      <c r="AW60" s="1655"/>
      <c r="AX60" s="1655"/>
      <c r="AY60" s="1655"/>
      <c r="AZ60" s="1655"/>
      <c r="BA60" s="1655"/>
      <c r="BB60" s="1655"/>
      <c r="BC60" s="1655"/>
      <c r="BD60" s="1655"/>
      <c r="BE60" s="1655"/>
      <c r="BF60" s="1655"/>
      <c r="BG60" s="1655"/>
      <c r="BH60" s="1655"/>
      <c r="BI60" s="1655"/>
      <c r="BJ60" s="1655"/>
      <c r="BK60" s="1655"/>
      <c r="BL60" s="1655"/>
      <c r="BM60" s="1655"/>
      <c r="BN60" s="1655"/>
      <c r="BO60" s="1655"/>
      <c r="BP60" s="1655"/>
      <c r="BQ60" s="1655"/>
      <c r="BR60" s="1655"/>
      <c r="BS60" s="1655"/>
      <c r="BT60" s="1655"/>
      <c r="BU60" s="1655"/>
      <c r="BV60" s="1655"/>
      <c r="BW60" s="1655"/>
      <c r="BX60" s="1655"/>
      <c r="BY60" s="1655"/>
      <c r="BZ60" s="1655"/>
      <c r="CA60" s="1655"/>
      <c r="CB60" s="1655"/>
      <c r="CC60" s="1655"/>
      <c r="CD60" s="1655"/>
      <c r="CE60" s="1655"/>
      <c r="CF60" s="1655"/>
      <c r="CG60" s="1655"/>
      <c r="CH60" s="1655"/>
      <c r="CI60" s="1655"/>
      <c r="CJ60" s="1655"/>
      <c r="CK60" s="1655"/>
      <c r="CL60" s="1655"/>
      <c r="CM60" s="1655"/>
      <c r="CN60" s="1655"/>
      <c r="CO60" s="1655"/>
      <c r="CP60" s="1655"/>
      <c r="CQ60" s="1655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35"/>
      <c r="B61" s="638"/>
      <c r="C61" s="638"/>
      <c r="D61" s="1600"/>
      <c r="E61" s="638"/>
      <c r="F61" s="525"/>
      <c r="G61" s="526"/>
      <c r="H61" s="525"/>
      <c r="I61" s="1655"/>
      <c r="J61" s="1655"/>
      <c r="K61" s="1655"/>
      <c r="L61" s="1655"/>
      <c r="M61" s="1655"/>
      <c r="N61" s="1655"/>
      <c r="O61" s="1655"/>
      <c r="P61" s="1655"/>
      <c r="Q61" s="1655"/>
      <c r="R61" s="1655"/>
      <c r="S61" s="1655"/>
      <c r="T61" s="1655"/>
      <c r="U61" s="1655"/>
      <c r="V61" s="1655"/>
      <c r="W61" s="1655"/>
      <c r="X61" s="1655"/>
      <c r="Y61" s="1655"/>
      <c r="Z61" s="1655"/>
      <c r="AA61" s="1655"/>
      <c r="AB61" s="1655"/>
      <c r="AC61" s="1655"/>
      <c r="AD61" s="1655"/>
      <c r="AE61" s="1655"/>
      <c r="AF61" s="1655"/>
      <c r="AG61" s="1655"/>
      <c r="AH61" s="1655"/>
      <c r="AI61" s="1655"/>
      <c r="AJ61" s="1655"/>
      <c r="AK61" s="1655"/>
      <c r="AL61" s="1655"/>
      <c r="AM61" s="1655"/>
      <c r="AN61" s="1655"/>
      <c r="AO61" s="1655"/>
      <c r="AP61" s="1655"/>
      <c r="AQ61" s="1655"/>
      <c r="AR61" s="1655"/>
      <c r="AS61" s="1655"/>
      <c r="AT61" s="1655"/>
      <c r="AU61" s="1655"/>
      <c r="AV61" s="1655"/>
      <c r="AW61" s="1655"/>
      <c r="AX61" s="1655"/>
      <c r="AY61" s="1655"/>
      <c r="AZ61" s="1655"/>
      <c r="BA61" s="1655"/>
      <c r="BB61" s="1655"/>
      <c r="BC61" s="1655"/>
      <c r="BD61" s="1655"/>
      <c r="BE61" s="1655"/>
      <c r="BF61" s="1655"/>
      <c r="BG61" s="1655"/>
      <c r="BH61" s="1655"/>
      <c r="BI61" s="1655"/>
      <c r="BJ61" s="1655"/>
      <c r="BK61" s="1655"/>
      <c r="BL61" s="1655"/>
      <c r="BM61" s="1655"/>
      <c r="BN61" s="1655"/>
      <c r="BO61" s="1655"/>
      <c r="BP61" s="1655"/>
      <c r="BQ61" s="1655"/>
      <c r="BR61" s="1655"/>
      <c r="BS61" s="1655"/>
      <c r="BT61" s="1655"/>
      <c r="BU61" s="1655"/>
      <c r="BV61" s="1655"/>
      <c r="BW61" s="1655"/>
      <c r="BX61" s="1655"/>
      <c r="BY61" s="1655"/>
      <c r="BZ61" s="1655"/>
      <c r="CA61" s="1655"/>
      <c r="CB61" s="1655"/>
      <c r="CC61" s="1655"/>
      <c r="CD61" s="1655"/>
      <c r="CE61" s="1655"/>
      <c r="CF61" s="1655"/>
      <c r="CG61" s="1655"/>
      <c r="CH61" s="1655"/>
      <c r="CI61" s="1655"/>
      <c r="CJ61" s="1655"/>
      <c r="CK61" s="1655"/>
      <c r="CL61" s="1655"/>
      <c r="CM61" s="1655"/>
      <c r="CN61" s="1655"/>
      <c r="CO61" s="1655"/>
      <c r="CP61" s="1655"/>
      <c r="CQ61" s="1655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35"/>
      <c r="B62" s="638"/>
      <c r="C62" s="638"/>
      <c r="D62" s="1600"/>
      <c r="E62" s="638"/>
      <c r="F62" s="525"/>
      <c r="G62" s="526"/>
      <c r="H62" s="525"/>
      <c r="I62" s="1655"/>
      <c r="J62" s="1655"/>
      <c r="K62" s="1655"/>
      <c r="L62" s="1655"/>
      <c r="M62" s="1655"/>
      <c r="N62" s="1655"/>
      <c r="O62" s="1655"/>
      <c r="P62" s="1655"/>
      <c r="Q62" s="1655"/>
      <c r="R62" s="1655"/>
      <c r="S62" s="1655"/>
      <c r="T62" s="1655"/>
      <c r="U62" s="1655"/>
      <c r="V62" s="1655"/>
      <c r="W62" s="1655"/>
      <c r="X62" s="1655"/>
      <c r="Y62" s="1655"/>
      <c r="Z62" s="1655"/>
      <c r="AA62" s="1655"/>
      <c r="AB62" s="1655"/>
      <c r="AC62" s="1655"/>
      <c r="AD62" s="1655"/>
      <c r="AE62" s="1655"/>
      <c r="AF62" s="1655"/>
      <c r="AG62" s="1655"/>
      <c r="AH62" s="1655"/>
      <c r="AI62" s="1655"/>
      <c r="AJ62" s="1655"/>
      <c r="AK62" s="1655"/>
      <c r="AL62" s="1655"/>
      <c r="AM62" s="1655"/>
      <c r="AN62" s="1655"/>
      <c r="AO62" s="1655"/>
      <c r="AP62" s="1655"/>
      <c r="AQ62" s="1655"/>
      <c r="AR62" s="1655"/>
      <c r="AS62" s="1655"/>
      <c r="AT62" s="1655"/>
      <c r="AU62" s="1655"/>
      <c r="AV62" s="1655"/>
      <c r="AW62" s="1655"/>
      <c r="AX62" s="1655"/>
      <c r="AY62" s="1655"/>
      <c r="AZ62" s="1655"/>
      <c r="BA62" s="1655"/>
      <c r="BB62" s="1655"/>
      <c r="BC62" s="1655"/>
      <c r="BD62" s="1655"/>
      <c r="BE62" s="1655"/>
      <c r="BF62" s="1655"/>
      <c r="BG62" s="1655"/>
      <c r="BH62" s="1655"/>
      <c r="BI62" s="1655"/>
      <c r="BJ62" s="1655"/>
      <c r="BK62" s="1655"/>
      <c r="BL62" s="1655"/>
      <c r="BM62" s="1655"/>
      <c r="BN62" s="1655"/>
      <c r="BO62" s="1655"/>
      <c r="BP62" s="1655"/>
      <c r="BQ62" s="1655"/>
      <c r="BR62" s="1655"/>
      <c r="BS62" s="1655"/>
      <c r="BT62" s="1655"/>
      <c r="BU62" s="1655"/>
      <c r="BV62" s="1655"/>
      <c r="BW62" s="1655"/>
      <c r="BX62" s="1655"/>
      <c r="BY62" s="1655"/>
      <c r="BZ62" s="1655"/>
      <c r="CA62" s="1655"/>
      <c r="CB62" s="1655"/>
      <c r="CC62" s="1655"/>
      <c r="CD62" s="1655"/>
      <c r="CE62" s="1655"/>
      <c r="CF62" s="1655"/>
      <c r="CG62" s="1655"/>
      <c r="CH62" s="1655"/>
      <c r="CI62" s="1655"/>
      <c r="CJ62" s="1655"/>
      <c r="CK62" s="1655"/>
      <c r="CL62" s="1655"/>
      <c r="CM62" s="1655"/>
      <c r="CN62" s="1655"/>
      <c r="CO62" s="1655"/>
      <c r="CP62" s="1655"/>
      <c r="CQ62" s="1655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35"/>
      <c r="B63" s="638"/>
      <c r="C63" s="638"/>
      <c r="D63" s="1600"/>
      <c r="E63" s="638"/>
      <c r="F63" s="525"/>
      <c r="G63" s="526"/>
      <c r="H63" s="525"/>
      <c r="I63" s="1655"/>
      <c r="J63" s="1655"/>
      <c r="K63" s="1655"/>
      <c r="L63" s="1655"/>
      <c r="M63" s="1655"/>
      <c r="N63" s="1655"/>
      <c r="O63" s="1655"/>
      <c r="P63" s="1655"/>
      <c r="Q63" s="1655"/>
      <c r="R63" s="1655"/>
      <c r="S63" s="1655"/>
      <c r="T63" s="1655"/>
      <c r="U63" s="1655"/>
      <c r="V63" s="1655"/>
      <c r="W63" s="1655"/>
      <c r="X63" s="1655"/>
      <c r="Y63" s="1655"/>
      <c r="Z63" s="1655"/>
      <c r="AA63" s="1655"/>
      <c r="AB63" s="1655"/>
      <c r="AC63" s="1655"/>
      <c r="AD63" s="1655"/>
      <c r="AE63" s="1655"/>
      <c r="AF63" s="1655"/>
      <c r="AG63" s="1655"/>
      <c r="AH63" s="1655"/>
      <c r="AI63" s="1655"/>
      <c r="AJ63" s="1655"/>
      <c r="AK63" s="1655"/>
      <c r="AL63" s="1655"/>
      <c r="AM63" s="1655"/>
      <c r="AN63" s="1655"/>
      <c r="AO63" s="1655"/>
      <c r="AP63" s="1655"/>
      <c r="AQ63" s="1655"/>
      <c r="AR63" s="1655"/>
      <c r="AS63" s="1655"/>
      <c r="AT63" s="1655"/>
      <c r="AU63" s="1655"/>
      <c r="AV63" s="1655"/>
      <c r="AW63" s="1655"/>
      <c r="AX63" s="1655"/>
      <c r="AY63" s="1655"/>
      <c r="AZ63" s="1655"/>
      <c r="BA63" s="1655"/>
      <c r="BB63" s="1655"/>
      <c r="BC63" s="1655"/>
      <c r="BD63" s="1655"/>
      <c r="BE63" s="1655"/>
      <c r="BF63" s="1655"/>
      <c r="BG63" s="1655"/>
      <c r="BH63" s="1655"/>
      <c r="BI63" s="1655"/>
      <c r="BJ63" s="1655"/>
      <c r="BK63" s="1655"/>
      <c r="BL63" s="1655"/>
      <c r="BM63" s="1655"/>
      <c r="BN63" s="1655"/>
      <c r="BO63" s="1655"/>
      <c r="BP63" s="1655"/>
      <c r="BQ63" s="1655"/>
      <c r="BR63" s="1655"/>
      <c r="BS63" s="1655"/>
      <c r="BT63" s="1655"/>
      <c r="BU63" s="1655"/>
      <c r="BV63" s="1655"/>
      <c r="BW63" s="1655"/>
      <c r="BX63" s="1655"/>
      <c r="BY63" s="1655"/>
      <c r="BZ63" s="1655"/>
      <c r="CA63" s="1655"/>
      <c r="CB63" s="1655"/>
      <c r="CC63" s="1655"/>
      <c r="CD63" s="1655"/>
      <c r="CE63" s="1655"/>
      <c r="CF63" s="1655"/>
      <c r="CG63" s="1655"/>
      <c r="CH63" s="1655"/>
      <c r="CI63" s="1655"/>
      <c r="CJ63" s="1655"/>
      <c r="CK63" s="1655"/>
      <c r="CL63" s="1655"/>
      <c r="CM63" s="1655"/>
      <c r="CN63" s="1655"/>
      <c r="CO63" s="1655"/>
      <c r="CP63" s="1655"/>
      <c r="CQ63" s="1655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35"/>
      <c r="B64" s="638"/>
      <c r="C64" s="638"/>
      <c r="D64" s="1600"/>
      <c r="E64" s="638"/>
      <c r="F64" s="525"/>
      <c r="G64" s="526"/>
      <c r="H64" s="525"/>
      <c r="I64" s="1655"/>
      <c r="J64" s="1655"/>
      <c r="K64" s="1655"/>
      <c r="L64" s="1655"/>
      <c r="M64" s="1655"/>
      <c r="N64" s="1655"/>
      <c r="O64" s="1655"/>
      <c r="P64" s="1655"/>
      <c r="Q64" s="1655"/>
      <c r="R64" s="1655"/>
      <c r="S64" s="1655"/>
      <c r="T64" s="1655"/>
      <c r="U64" s="1655"/>
      <c r="V64" s="1655"/>
      <c r="W64" s="1655"/>
      <c r="X64" s="1655"/>
      <c r="Y64" s="1655"/>
      <c r="Z64" s="1655"/>
      <c r="AA64" s="1655"/>
      <c r="AB64" s="1655"/>
      <c r="AC64" s="1655"/>
      <c r="AD64" s="1655"/>
      <c r="AE64" s="1655"/>
      <c r="AF64" s="1655"/>
      <c r="AG64" s="1655"/>
      <c r="AH64" s="1655"/>
      <c r="AI64" s="1655"/>
      <c r="AJ64" s="1655"/>
      <c r="AK64" s="1655"/>
      <c r="AL64" s="1655"/>
      <c r="AM64" s="1655"/>
      <c r="AN64" s="1655"/>
      <c r="AO64" s="1655"/>
      <c r="AP64" s="1655"/>
      <c r="AQ64" s="1655"/>
      <c r="AR64" s="1655"/>
      <c r="AS64" s="1655"/>
      <c r="AT64" s="1655"/>
      <c r="AU64" s="1655"/>
      <c r="AV64" s="1655"/>
      <c r="AW64" s="1655"/>
      <c r="AX64" s="1655"/>
      <c r="AY64" s="1655"/>
      <c r="AZ64" s="1655"/>
      <c r="BA64" s="1655"/>
      <c r="BB64" s="1655"/>
      <c r="BC64" s="1655"/>
      <c r="BD64" s="1655"/>
      <c r="BE64" s="1655"/>
      <c r="BF64" s="1655"/>
      <c r="BG64" s="1655"/>
      <c r="BH64" s="1655"/>
      <c r="BI64" s="1655"/>
      <c r="BJ64" s="1655"/>
      <c r="BK64" s="1655"/>
      <c r="BL64" s="1655"/>
      <c r="BM64" s="1655"/>
      <c r="BN64" s="1655"/>
      <c r="BO64" s="1655"/>
      <c r="BP64" s="1655"/>
      <c r="BQ64" s="1655"/>
      <c r="BR64" s="1655"/>
      <c r="BS64" s="1655"/>
      <c r="BT64" s="1655"/>
      <c r="BU64" s="1655"/>
      <c r="BV64" s="1655"/>
      <c r="BW64" s="1655"/>
      <c r="BX64" s="1655"/>
      <c r="BY64" s="1655"/>
      <c r="BZ64" s="1655"/>
      <c r="CA64" s="1655"/>
      <c r="CB64" s="1655"/>
      <c r="CC64" s="1655"/>
      <c r="CD64" s="1655"/>
      <c r="CE64" s="1655"/>
      <c r="CF64" s="1655"/>
      <c r="CG64" s="1655"/>
      <c r="CH64" s="1655"/>
      <c r="CI64" s="1655"/>
      <c r="CJ64" s="1655"/>
      <c r="CK64" s="1655"/>
      <c r="CL64" s="1655"/>
      <c r="CM64" s="1655"/>
      <c r="CN64" s="1655"/>
      <c r="CO64" s="1655"/>
      <c r="CP64" s="1655"/>
      <c r="CQ64" s="1655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35"/>
      <c r="B65" s="638"/>
      <c r="C65" s="638"/>
      <c r="D65" s="1600"/>
      <c r="E65" s="638"/>
      <c r="F65" s="525"/>
      <c r="G65" s="526"/>
      <c r="H65" s="525"/>
      <c r="I65" s="1655"/>
      <c r="J65" s="1655"/>
      <c r="K65" s="1655"/>
      <c r="L65" s="1655"/>
      <c r="M65" s="1655"/>
      <c r="N65" s="1655"/>
      <c r="O65" s="1655"/>
      <c r="P65" s="1655"/>
      <c r="Q65" s="1655"/>
      <c r="R65" s="1655"/>
      <c r="S65" s="1655"/>
      <c r="T65" s="1655"/>
      <c r="U65" s="1655"/>
      <c r="V65" s="1655"/>
      <c r="W65" s="1655"/>
      <c r="X65" s="1655"/>
      <c r="Y65" s="1655"/>
      <c r="Z65" s="1655"/>
      <c r="AA65" s="1655"/>
      <c r="AB65" s="1655"/>
      <c r="AC65" s="1655"/>
      <c r="AD65" s="1655"/>
      <c r="AE65" s="1655"/>
      <c r="AF65" s="1655"/>
      <c r="AG65" s="1655"/>
      <c r="AH65" s="1655"/>
      <c r="AI65" s="1655"/>
      <c r="AJ65" s="1655"/>
      <c r="AK65" s="1655"/>
      <c r="AL65" s="1655"/>
      <c r="AM65" s="1655"/>
      <c r="AN65" s="1655"/>
      <c r="AO65" s="1655"/>
      <c r="AP65" s="1655"/>
      <c r="AQ65" s="1655"/>
      <c r="AR65" s="1655"/>
      <c r="AS65" s="1655"/>
      <c r="AT65" s="1655"/>
      <c r="AU65" s="1655"/>
      <c r="AV65" s="1655"/>
      <c r="AW65" s="1655"/>
      <c r="AX65" s="1655"/>
      <c r="AY65" s="1655"/>
      <c r="AZ65" s="1655"/>
      <c r="BA65" s="1655"/>
      <c r="BB65" s="1655"/>
      <c r="BC65" s="1655"/>
      <c r="BD65" s="1655"/>
      <c r="BE65" s="1655"/>
      <c r="BF65" s="1655"/>
      <c r="BG65" s="1655"/>
      <c r="BH65" s="1655"/>
      <c r="BI65" s="1655"/>
      <c r="BJ65" s="1655"/>
      <c r="BK65" s="1655"/>
      <c r="BL65" s="1655"/>
      <c r="BM65" s="1655"/>
      <c r="BN65" s="1655"/>
      <c r="BO65" s="1655"/>
      <c r="BP65" s="1655"/>
      <c r="BQ65" s="1655"/>
      <c r="BR65" s="1655"/>
      <c r="BS65" s="1655"/>
      <c r="BT65" s="1655"/>
      <c r="BU65" s="1655"/>
      <c r="BV65" s="1655"/>
      <c r="BW65" s="1655"/>
      <c r="BX65" s="1655"/>
      <c r="BY65" s="1655"/>
      <c r="BZ65" s="1655"/>
      <c r="CA65" s="1655"/>
      <c r="CB65" s="1655"/>
      <c r="CC65" s="1655"/>
      <c r="CD65" s="1655"/>
      <c r="CE65" s="1655"/>
      <c r="CF65" s="1655"/>
      <c r="CG65" s="1655"/>
      <c r="CH65" s="1655"/>
      <c r="CI65" s="1655"/>
      <c r="CJ65" s="1655"/>
      <c r="CK65" s="1655"/>
      <c r="CL65" s="1655"/>
      <c r="CM65" s="1655"/>
      <c r="CN65" s="1655"/>
      <c r="CO65" s="1655"/>
      <c r="CP65" s="1655"/>
      <c r="CQ65" s="1655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35"/>
      <c r="B66" s="638"/>
      <c r="C66" s="638"/>
      <c r="D66" s="1600"/>
      <c r="E66" s="638"/>
      <c r="F66" s="525"/>
      <c r="G66" s="526"/>
      <c r="H66" s="525"/>
      <c r="I66" s="1655"/>
      <c r="J66" s="1655"/>
      <c r="K66" s="1655"/>
      <c r="L66" s="1655"/>
      <c r="M66" s="1655"/>
      <c r="N66" s="1655"/>
      <c r="O66" s="1655"/>
      <c r="P66" s="1655"/>
      <c r="Q66" s="1655"/>
      <c r="R66" s="1655"/>
      <c r="S66" s="1655"/>
      <c r="T66" s="1655"/>
      <c r="U66" s="1655"/>
      <c r="V66" s="1655"/>
      <c r="W66" s="1655"/>
      <c r="X66" s="1655"/>
      <c r="Y66" s="1655"/>
      <c r="Z66" s="1655"/>
      <c r="AA66" s="1655"/>
      <c r="AB66" s="1655"/>
      <c r="AC66" s="1655"/>
      <c r="AD66" s="1655"/>
      <c r="AE66" s="1655"/>
      <c r="AF66" s="1655"/>
      <c r="AG66" s="1655"/>
      <c r="AH66" s="1655"/>
      <c r="AI66" s="1655"/>
      <c r="AJ66" s="1655"/>
      <c r="AK66" s="1655"/>
      <c r="AL66" s="1655"/>
      <c r="AM66" s="1655"/>
      <c r="AN66" s="1655"/>
      <c r="AO66" s="1655"/>
      <c r="AP66" s="1655"/>
      <c r="AQ66" s="1655"/>
      <c r="AR66" s="1655"/>
      <c r="AS66" s="1655"/>
      <c r="AT66" s="1655"/>
      <c r="AU66" s="1655"/>
      <c r="AV66" s="1655"/>
      <c r="AW66" s="1655"/>
      <c r="AX66" s="1655"/>
      <c r="AY66" s="1655"/>
      <c r="AZ66" s="1655"/>
      <c r="BA66" s="1655"/>
      <c r="BB66" s="1655"/>
      <c r="BC66" s="1655"/>
      <c r="BD66" s="1655"/>
      <c r="BE66" s="1655"/>
      <c r="BF66" s="1655"/>
      <c r="BG66" s="1655"/>
      <c r="BH66" s="1655"/>
      <c r="BI66" s="1655"/>
      <c r="BJ66" s="1655"/>
      <c r="BK66" s="1655"/>
      <c r="BL66" s="1655"/>
      <c r="BM66" s="1655"/>
      <c r="BN66" s="1655"/>
      <c r="BO66" s="1655"/>
      <c r="BP66" s="1655"/>
      <c r="BQ66" s="1655"/>
      <c r="BR66" s="1655"/>
      <c r="BS66" s="1655"/>
      <c r="BT66" s="1655"/>
      <c r="BU66" s="1655"/>
      <c r="BV66" s="1655"/>
      <c r="BW66" s="1655"/>
      <c r="BX66" s="1655"/>
      <c r="BY66" s="1655"/>
      <c r="BZ66" s="1655"/>
      <c r="CA66" s="1655"/>
      <c r="CB66" s="1655"/>
      <c r="CC66" s="1655"/>
      <c r="CD66" s="1655"/>
      <c r="CE66" s="1655"/>
      <c r="CF66" s="1655"/>
      <c r="CG66" s="1655"/>
      <c r="CH66" s="1655"/>
      <c r="CI66" s="1655"/>
      <c r="CJ66" s="1655"/>
      <c r="CK66" s="1655"/>
      <c r="CL66" s="1655"/>
      <c r="CM66" s="1655"/>
      <c r="CN66" s="1655"/>
      <c r="CO66" s="1655"/>
      <c r="CP66" s="1655"/>
      <c r="CQ66" s="1655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35"/>
      <c r="B67" s="638"/>
      <c r="C67" s="638"/>
      <c r="D67" s="1600"/>
      <c r="E67" s="638"/>
      <c r="F67" s="525"/>
      <c r="G67" s="526"/>
      <c r="H67" s="525"/>
      <c r="I67" s="1655"/>
      <c r="J67" s="1655"/>
      <c r="K67" s="1655"/>
      <c r="L67" s="1655"/>
      <c r="M67" s="1655"/>
      <c r="N67" s="1655"/>
      <c r="O67" s="1655"/>
      <c r="P67" s="1655"/>
      <c r="Q67" s="1655"/>
      <c r="R67" s="1655"/>
      <c r="S67" s="1655"/>
      <c r="T67" s="1655"/>
      <c r="U67" s="1655"/>
      <c r="V67" s="1655"/>
      <c r="W67" s="1655"/>
      <c r="X67" s="1655"/>
      <c r="Y67" s="1655"/>
      <c r="Z67" s="1655"/>
      <c r="AA67" s="1655"/>
      <c r="AB67" s="1655"/>
      <c r="AC67" s="1655"/>
      <c r="AD67" s="1655"/>
      <c r="AE67" s="1655"/>
      <c r="AF67" s="1655"/>
      <c r="AG67" s="1655"/>
      <c r="AH67" s="1655"/>
      <c r="AI67" s="1655"/>
      <c r="AJ67" s="1655"/>
      <c r="AK67" s="1655"/>
      <c r="AL67" s="1655"/>
      <c r="AM67" s="1655"/>
      <c r="AN67" s="1655"/>
      <c r="AO67" s="1655"/>
      <c r="AP67" s="1655"/>
      <c r="AQ67" s="1655"/>
      <c r="AR67" s="1655"/>
      <c r="AS67" s="1655"/>
      <c r="AT67" s="1655"/>
      <c r="AU67" s="1655"/>
      <c r="AV67" s="1655"/>
      <c r="AW67" s="1655"/>
      <c r="AX67" s="1655"/>
      <c r="AY67" s="1655"/>
      <c r="AZ67" s="1655"/>
      <c r="BA67" s="1655"/>
      <c r="BB67" s="1655"/>
      <c r="BC67" s="1655"/>
      <c r="BD67" s="1655"/>
      <c r="BE67" s="1655"/>
      <c r="BF67" s="1655"/>
      <c r="BG67" s="1655"/>
      <c r="BH67" s="1655"/>
      <c r="BI67" s="1655"/>
      <c r="BJ67" s="1655"/>
      <c r="BK67" s="1655"/>
      <c r="BL67" s="1655"/>
      <c r="BM67" s="1655"/>
      <c r="BN67" s="1655"/>
      <c r="BO67" s="1655"/>
      <c r="BP67" s="1655"/>
      <c r="BQ67" s="1655"/>
      <c r="BR67" s="1655"/>
      <c r="BS67" s="1655"/>
      <c r="BT67" s="1655"/>
      <c r="BU67" s="1655"/>
      <c r="BV67" s="1655"/>
      <c r="BW67" s="1655"/>
      <c r="BX67" s="1655"/>
      <c r="BY67" s="1655"/>
      <c r="BZ67" s="1655"/>
      <c r="CA67" s="1655"/>
      <c r="CB67" s="1655"/>
      <c r="CC67" s="1655"/>
      <c r="CD67" s="1655"/>
      <c r="CE67" s="1655"/>
      <c r="CF67" s="1655"/>
      <c r="CG67" s="1655"/>
      <c r="CH67" s="1655"/>
      <c r="CI67" s="1655"/>
      <c r="CJ67" s="1655"/>
      <c r="CK67" s="1655"/>
      <c r="CL67" s="1655"/>
      <c r="CM67" s="1655"/>
      <c r="CN67" s="1655"/>
      <c r="CO67" s="1655"/>
      <c r="CP67" s="1655"/>
      <c r="CQ67" s="1655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35"/>
      <c r="B68" s="638"/>
      <c r="C68" s="638"/>
      <c r="D68" s="1600"/>
      <c r="E68" s="638"/>
      <c r="F68" s="525"/>
      <c r="G68" s="526"/>
      <c r="H68" s="525"/>
      <c r="I68" s="1655"/>
      <c r="J68" s="1655"/>
      <c r="K68" s="1655"/>
      <c r="L68" s="1655"/>
      <c r="M68" s="1655"/>
      <c r="N68" s="1655"/>
      <c r="O68" s="1655"/>
      <c r="P68" s="1655"/>
      <c r="Q68" s="1655"/>
      <c r="R68" s="1655"/>
      <c r="S68" s="1655"/>
      <c r="T68" s="1655"/>
      <c r="U68" s="1655"/>
      <c r="V68" s="1655"/>
      <c r="W68" s="1655"/>
      <c r="X68" s="1655"/>
      <c r="Y68" s="1655"/>
      <c r="Z68" s="1655"/>
      <c r="AA68" s="1655"/>
      <c r="AB68" s="1655"/>
      <c r="AC68" s="1655"/>
      <c r="AD68" s="1655"/>
      <c r="AE68" s="1655"/>
      <c r="AF68" s="1655"/>
      <c r="AG68" s="1655"/>
      <c r="AH68" s="1655"/>
      <c r="AI68" s="1655"/>
      <c r="AJ68" s="1655"/>
      <c r="AK68" s="1655"/>
      <c r="AL68" s="1655"/>
      <c r="AM68" s="1655"/>
      <c r="AN68" s="1655"/>
      <c r="AO68" s="1655"/>
      <c r="AP68" s="1655"/>
      <c r="AQ68" s="1655"/>
      <c r="AR68" s="1655"/>
      <c r="AS68" s="1655"/>
      <c r="AT68" s="1655"/>
      <c r="AU68" s="1655"/>
      <c r="AV68" s="1655"/>
      <c r="AW68" s="1655"/>
      <c r="AX68" s="1655"/>
      <c r="AY68" s="1655"/>
      <c r="AZ68" s="1655"/>
      <c r="BA68" s="1655"/>
      <c r="BB68" s="1655"/>
      <c r="BC68" s="1655"/>
      <c r="BD68" s="1655"/>
      <c r="BE68" s="1655"/>
      <c r="BF68" s="1655"/>
      <c r="BG68" s="1655"/>
      <c r="BH68" s="1655"/>
      <c r="BI68" s="1655"/>
      <c r="BJ68" s="1655"/>
      <c r="BK68" s="1655"/>
      <c r="BL68" s="1655"/>
      <c r="BM68" s="1655"/>
      <c r="BN68" s="1655"/>
      <c r="BO68" s="1655"/>
      <c r="BP68" s="1655"/>
      <c r="BQ68" s="1655"/>
      <c r="BR68" s="1655"/>
      <c r="BS68" s="1655"/>
      <c r="BT68" s="1655"/>
      <c r="BU68" s="1655"/>
      <c r="BV68" s="1655"/>
      <c r="BW68" s="1655"/>
      <c r="BX68" s="1655"/>
      <c r="BY68" s="1655"/>
      <c r="BZ68" s="1655"/>
      <c r="CA68" s="1655"/>
      <c r="CB68" s="1655"/>
      <c r="CC68" s="1655"/>
      <c r="CD68" s="1655"/>
      <c r="CE68" s="1655"/>
      <c r="CF68" s="1655"/>
      <c r="CG68" s="1655"/>
      <c r="CH68" s="1655"/>
      <c r="CI68" s="1655"/>
      <c r="CJ68" s="1655"/>
      <c r="CK68" s="1655"/>
      <c r="CL68" s="1655"/>
      <c r="CM68" s="1655"/>
      <c r="CN68" s="1655"/>
      <c r="CO68" s="1655"/>
      <c r="CP68" s="1655"/>
      <c r="CQ68" s="1655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35"/>
      <c r="B69" s="638"/>
      <c r="C69" s="638"/>
      <c r="D69" s="1600"/>
      <c r="E69" s="638"/>
      <c r="F69" s="525"/>
      <c r="G69" s="526"/>
      <c r="H69" s="525"/>
      <c r="I69" s="1655"/>
      <c r="J69" s="1655"/>
      <c r="K69" s="1655"/>
      <c r="L69" s="1655"/>
      <c r="M69" s="1655"/>
      <c r="N69" s="1655"/>
      <c r="O69" s="1655"/>
      <c r="P69" s="1655"/>
      <c r="Q69" s="1655"/>
      <c r="R69" s="1655"/>
      <c r="S69" s="1655"/>
      <c r="T69" s="1655"/>
      <c r="U69" s="1655"/>
      <c r="V69" s="1655"/>
      <c r="W69" s="1655"/>
      <c r="X69" s="1655"/>
      <c r="Y69" s="1655"/>
      <c r="Z69" s="1655"/>
      <c r="AA69" s="1655"/>
      <c r="AB69" s="1655"/>
      <c r="AC69" s="1655"/>
      <c r="AD69" s="1655"/>
      <c r="AE69" s="1655"/>
      <c r="AF69" s="1655"/>
      <c r="AG69" s="1655"/>
      <c r="AH69" s="1655"/>
      <c r="AI69" s="1655"/>
      <c r="AJ69" s="1655"/>
      <c r="AK69" s="1655"/>
      <c r="AL69" s="1655"/>
      <c r="AM69" s="1655"/>
      <c r="AN69" s="1655"/>
      <c r="AO69" s="1655"/>
      <c r="AP69" s="1655"/>
      <c r="AQ69" s="1655"/>
      <c r="AR69" s="1655"/>
      <c r="AS69" s="1655"/>
      <c r="AT69" s="1655"/>
      <c r="AU69" s="1655"/>
      <c r="AV69" s="1655"/>
      <c r="AW69" s="1655"/>
      <c r="AX69" s="1655"/>
      <c r="AY69" s="1655"/>
      <c r="AZ69" s="1655"/>
      <c r="BA69" s="1655"/>
      <c r="BB69" s="1655"/>
      <c r="BC69" s="1655"/>
      <c r="BD69" s="1655"/>
      <c r="BE69" s="1655"/>
      <c r="BF69" s="1655"/>
      <c r="BG69" s="1655"/>
      <c r="BH69" s="1655"/>
      <c r="BI69" s="1655"/>
      <c r="BJ69" s="1655"/>
      <c r="BK69" s="1655"/>
      <c r="BL69" s="1655"/>
      <c r="BM69" s="1655"/>
      <c r="BN69" s="1655"/>
      <c r="BO69" s="1655"/>
      <c r="BP69" s="1655"/>
      <c r="BQ69" s="1655"/>
      <c r="BR69" s="1655"/>
      <c r="BS69" s="1655"/>
      <c r="BT69" s="1655"/>
      <c r="BU69" s="1655"/>
      <c r="BV69" s="1655"/>
      <c r="BW69" s="1655"/>
      <c r="BX69" s="1655"/>
      <c r="BY69" s="1655"/>
      <c r="BZ69" s="1655"/>
      <c r="CA69" s="1655"/>
      <c r="CB69" s="1655"/>
      <c r="CC69" s="1655"/>
      <c r="CD69" s="1655"/>
      <c r="CE69" s="1655"/>
      <c r="CF69" s="1655"/>
      <c r="CG69" s="1655"/>
      <c r="CH69" s="1655"/>
      <c r="CI69" s="1655"/>
      <c r="CJ69" s="1655"/>
      <c r="CK69" s="1655"/>
      <c r="CL69" s="1655"/>
      <c r="CM69" s="1655"/>
      <c r="CN69" s="1655"/>
      <c r="CO69" s="1655"/>
      <c r="CP69" s="1655"/>
      <c r="CQ69" s="1655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35"/>
      <c r="B70" s="638"/>
      <c r="C70" s="638"/>
      <c r="D70" s="1600"/>
      <c r="E70" s="638"/>
      <c r="F70" s="525"/>
      <c r="G70" s="526"/>
      <c r="H70" s="525"/>
      <c r="I70" s="1655"/>
      <c r="J70" s="1655"/>
      <c r="K70" s="1655"/>
      <c r="L70" s="1655"/>
      <c r="M70" s="1655"/>
      <c r="N70" s="1655"/>
      <c r="O70" s="1655"/>
      <c r="P70" s="1655"/>
      <c r="Q70" s="1655"/>
      <c r="R70" s="1655"/>
      <c r="S70" s="1655"/>
      <c r="T70" s="1655"/>
      <c r="U70" s="1655"/>
      <c r="V70" s="1655"/>
      <c r="W70" s="1655"/>
      <c r="X70" s="1655"/>
      <c r="Y70" s="1655"/>
      <c r="Z70" s="1655"/>
      <c r="AA70" s="1655"/>
      <c r="AB70" s="1655"/>
      <c r="AC70" s="1655"/>
      <c r="AD70" s="1655"/>
      <c r="AE70" s="1655"/>
      <c r="AF70" s="1655"/>
      <c r="AG70" s="1655"/>
      <c r="AH70" s="1655"/>
      <c r="AI70" s="1655"/>
      <c r="AJ70" s="1655"/>
      <c r="AK70" s="1655"/>
      <c r="AL70" s="1655"/>
      <c r="AM70" s="1655"/>
      <c r="AN70" s="1655"/>
      <c r="AO70" s="1655"/>
      <c r="AP70" s="1655"/>
      <c r="AQ70" s="1655"/>
      <c r="AR70" s="1655"/>
      <c r="AS70" s="1655"/>
      <c r="AT70" s="1655"/>
      <c r="AU70" s="1655"/>
      <c r="AV70" s="1655"/>
      <c r="AW70" s="1655"/>
      <c r="AX70" s="1655"/>
      <c r="AY70" s="1655"/>
      <c r="AZ70" s="1655"/>
      <c r="BA70" s="1655"/>
      <c r="BB70" s="1655"/>
      <c r="BC70" s="1655"/>
      <c r="BD70" s="1655"/>
      <c r="BE70" s="1655"/>
      <c r="BF70" s="1655"/>
      <c r="BG70" s="1655"/>
      <c r="BH70" s="1655"/>
      <c r="BI70" s="1655"/>
      <c r="BJ70" s="1655"/>
      <c r="BK70" s="1655"/>
      <c r="BL70" s="1655"/>
      <c r="BM70" s="1655"/>
      <c r="BN70" s="1655"/>
      <c r="BO70" s="1655"/>
      <c r="BP70" s="1655"/>
      <c r="BQ70" s="1655"/>
      <c r="BR70" s="1655"/>
      <c r="BS70" s="1655"/>
      <c r="BT70" s="1655"/>
      <c r="BU70" s="1655"/>
      <c r="BV70" s="1655"/>
      <c r="BW70" s="1655"/>
      <c r="BX70" s="1655"/>
      <c r="BY70" s="1655"/>
      <c r="BZ70" s="1655"/>
      <c r="CA70" s="1655"/>
      <c r="CB70" s="1655"/>
      <c r="CC70" s="1655"/>
      <c r="CD70" s="1655"/>
      <c r="CE70" s="1655"/>
      <c r="CF70" s="1655"/>
      <c r="CG70" s="1655"/>
      <c r="CH70" s="1655"/>
      <c r="CI70" s="1655"/>
      <c r="CJ70" s="1655"/>
      <c r="CK70" s="1655"/>
      <c r="CL70" s="1655"/>
      <c r="CM70" s="1655"/>
      <c r="CN70" s="1655"/>
      <c r="CO70" s="1655"/>
      <c r="CP70" s="1655"/>
      <c r="CQ70" s="1655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35"/>
      <c r="B71" s="638"/>
      <c r="C71" s="638"/>
      <c r="D71" s="1600"/>
      <c r="E71" s="638"/>
      <c r="F71" s="525"/>
      <c r="G71" s="526"/>
      <c r="H71" s="525"/>
      <c r="I71" s="1655"/>
      <c r="J71" s="1655"/>
      <c r="K71" s="1655"/>
      <c r="L71" s="1655"/>
      <c r="M71" s="1655"/>
      <c r="N71" s="1655"/>
      <c r="O71" s="1655"/>
      <c r="P71" s="1655"/>
      <c r="Q71" s="1655"/>
      <c r="R71" s="1655"/>
      <c r="S71" s="1655"/>
      <c r="T71" s="1655"/>
      <c r="U71" s="1655"/>
      <c r="V71" s="1655"/>
      <c r="W71" s="1655"/>
      <c r="X71" s="1655"/>
      <c r="Y71" s="1655"/>
      <c r="Z71" s="1655"/>
      <c r="AA71" s="1655"/>
      <c r="AB71" s="1655"/>
      <c r="AC71" s="1655"/>
      <c r="AD71" s="1655"/>
      <c r="AE71" s="1655"/>
      <c r="AF71" s="1655"/>
      <c r="AG71" s="1655"/>
      <c r="AH71" s="1655"/>
      <c r="AI71" s="1655"/>
      <c r="AJ71" s="1655"/>
      <c r="AK71" s="1655"/>
      <c r="AL71" s="1655"/>
      <c r="AM71" s="1655"/>
      <c r="AN71" s="1655"/>
      <c r="AO71" s="1655"/>
      <c r="AP71" s="1655"/>
      <c r="AQ71" s="1655"/>
      <c r="AR71" s="1655"/>
      <c r="AS71" s="1655"/>
      <c r="AT71" s="1655"/>
      <c r="AU71" s="1655"/>
      <c r="AV71" s="1655"/>
      <c r="AW71" s="1655"/>
      <c r="AX71" s="1655"/>
      <c r="AY71" s="1655"/>
      <c r="AZ71" s="1655"/>
      <c r="BA71" s="1655"/>
      <c r="BB71" s="1655"/>
      <c r="BC71" s="1655"/>
      <c r="BD71" s="1655"/>
      <c r="BE71" s="1655"/>
      <c r="BF71" s="1655"/>
      <c r="BG71" s="1655"/>
      <c r="BH71" s="1655"/>
      <c r="BI71" s="1655"/>
      <c r="BJ71" s="1655"/>
      <c r="BK71" s="1655"/>
      <c r="BL71" s="1655"/>
      <c r="BM71" s="1655"/>
      <c r="BN71" s="1655"/>
      <c r="BO71" s="1655"/>
      <c r="BP71" s="1655"/>
      <c r="BQ71" s="1655"/>
      <c r="BR71" s="1655"/>
      <c r="BS71" s="1655"/>
      <c r="BT71" s="1655"/>
      <c r="BU71" s="1655"/>
      <c r="BV71" s="1655"/>
      <c r="BW71" s="1655"/>
      <c r="BX71" s="1655"/>
      <c r="BY71" s="1655"/>
      <c r="BZ71" s="1655"/>
      <c r="CA71" s="1655"/>
      <c r="CB71" s="1655"/>
      <c r="CC71" s="1655"/>
      <c r="CD71" s="1655"/>
      <c r="CE71" s="1655"/>
      <c r="CF71" s="1655"/>
      <c r="CG71" s="1655"/>
      <c r="CH71" s="1655"/>
      <c r="CI71" s="1655"/>
      <c r="CJ71" s="1655"/>
      <c r="CK71" s="1655"/>
      <c r="CL71" s="1655"/>
      <c r="CM71" s="1655"/>
      <c r="CN71" s="1655"/>
      <c r="CO71" s="1655"/>
      <c r="CP71" s="1655"/>
      <c r="CQ71" s="1655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35"/>
      <c r="B72" s="638"/>
      <c r="C72" s="638"/>
      <c r="D72" s="1600"/>
      <c r="E72" s="638"/>
      <c r="F72" s="525"/>
      <c r="G72" s="526"/>
      <c r="H72" s="525"/>
      <c r="I72" s="1655"/>
      <c r="J72" s="1655"/>
      <c r="K72" s="1655"/>
      <c r="L72" s="1655"/>
      <c r="M72" s="1655"/>
      <c r="N72" s="1655"/>
      <c r="O72" s="1655"/>
      <c r="P72" s="1655"/>
      <c r="Q72" s="1655"/>
      <c r="R72" s="1655"/>
      <c r="S72" s="1655"/>
      <c r="T72" s="1655"/>
      <c r="U72" s="1655"/>
      <c r="V72" s="1655"/>
      <c r="W72" s="1655"/>
      <c r="X72" s="1655"/>
      <c r="Y72" s="1655"/>
      <c r="Z72" s="1655"/>
      <c r="AA72" s="1655"/>
      <c r="AB72" s="1655"/>
      <c r="AC72" s="1655"/>
      <c r="AD72" s="1655"/>
      <c r="AE72" s="1655"/>
      <c r="AF72" s="1655"/>
      <c r="AG72" s="1655"/>
      <c r="AH72" s="1655"/>
      <c r="AI72" s="1655"/>
      <c r="AJ72" s="1655"/>
      <c r="AK72" s="1655"/>
      <c r="AL72" s="1655"/>
      <c r="AM72" s="1655"/>
      <c r="AN72" s="1655"/>
      <c r="AO72" s="1655"/>
      <c r="AP72" s="1655"/>
      <c r="AQ72" s="1655"/>
      <c r="AR72" s="1655"/>
      <c r="AS72" s="1655"/>
      <c r="AT72" s="1655"/>
      <c r="AU72" s="1655"/>
      <c r="AV72" s="1655"/>
      <c r="AW72" s="1655"/>
      <c r="AX72" s="1655"/>
      <c r="AY72" s="1655"/>
      <c r="AZ72" s="1655"/>
      <c r="BA72" s="1655"/>
      <c r="BB72" s="1655"/>
      <c r="BC72" s="1655"/>
      <c r="BD72" s="1655"/>
      <c r="BE72" s="1655"/>
      <c r="BF72" s="1655"/>
      <c r="BG72" s="1655"/>
      <c r="BH72" s="1655"/>
      <c r="BI72" s="1655"/>
      <c r="BJ72" s="1655"/>
      <c r="BK72" s="1655"/>
      <c r="BL72" s="1655"/>
      <c r="BM72" s="1655"/>
      <c r="BN72" s="1655"/>
      <c r="BO72" s="1655"/>
      <c r="BP72" s="1655"/>
      <c r="BQ72" s="1655"/>
      <c r="BR72" s="1655"/>
      <c r="BS72" s="1655"/>
      <c r="BT72" s="1655"/>
      <c r="BU72" s="1655"/>
      <c r="BV72" s="1655"/>
      <c r="BW72" s="1655"/>
      <c r="BX72" s="1655"/>
      <c r="BY72" s="1655"/>
      <c r="BZ72" s="1655"/>
      <c r="CA72" s="1655"/>
      <c r="CB72" s="1655"/>
      <c r="CC72" s="1655"/>
      <c r="CD72" s="1655"/>
      <c r="CE72" s="1655"/>
      <c r="CF72" s="1655"/>
      <c r="CG72" s="1655"/>
      <c r="CH72" s="1655"/>
      <c r="CI72" s="1655"/>
      <c r="CJ72" s="1655"/>
      <c r="CK72" s="1655"/>
      <c r="CL72" s="1655"/>
      <c r="CM72" s="1655"/>
      <c r="CN72" s="1655"/>
      <c r="CO72" s="1655"/>
      <c r="CP72" s="1655"/>
      <c r="CQ72" s="1655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35"/>
      <c r="B73" s="638"/>
      <c r="C73" s="638"/>
      <c r="D73" s="1600"/>
      <c r="E73" s="638"/>
      <c r="F73" s="525"/>
      <c r="G73" s="526"/>
      <c r="H73" s="525"/>
      <c r="I73" s="1655"/>
      <c r="J73" s="1655"/>
      <c r="K73" s="1655"/>
      <c r="L73" s="1655"/>
      <c r="M73" s="1655"/>
      <c r="N73" s="1655"/>
      <c r="O73" s="1655"/>
      <c r="P73" s="1655"/>
      <c r="Q73" s="1655"/>
      <c r="R73" s="1655"/>
      <c r="S73" s="1655"/>
      <c r="T73" s="1655"/>
      <c r="U73" s="1655"/>
      <c r="V73" s="1655"/>
      <c r="W73" s="1655"/>
      <c r="X73" s="1655"/>
      <c r="Y73" s="1655"/>
      <c r="Z73" s="1655"/>
      <c r="AA73" s="1655"/>
      <c r="AB73" s="1655"/>
      <c r="AC73" s="1655"/>
      <c r="AD73" s="1655"/>
      <c r="AE73" s="1655"/>
      <c r="AF73" s="1655"/>
      <c r="AG73" s="1655"/>
      <c r="AH73" s="1655"/>
      <c r="AI73" s="1655"/>
      <c r="AJ73" s="1655"/>
      <c r="AK73" s="1655"/>
      <c r="AL73" s="1655"/>
      <c r="AM73" s="1655"/>
      <c r="AN73" s="1655"/>
      <c r="AO73" s="1655"/>
      <c r="AP73" s="1655"/>
      <c r="AQ73" s="1655"/>
      <c r="AR73" s="1655"/>
      <c r="AS73" s="1655"/>
      <c r="AT73" s="1655"/>
      <c r="AU73" s="1655"/>
      <c r="AV73" s="1655"/>
      <c r="AW73" s="1655"/>
      <c r="AX73" s="1655"/>
      <c r="AY73" s="1655"/>
      <c r="AZ73" s="1655"/>
      <c r="BA73" s="1655"/>
      <c r="BB73" s="1655"/>
      <c r="BC73" s="1655"/>
      <c r="BD73" s="1655"/>
      <c r="BE73" s="1655"/>
      <c r="BF73" s="1655"/>
      <c r="BG73" s="1655"/>
      <c r="BH73" s="1655"/>
      <c r="BI73" s="1655"/>
      <c r="BJ73" s="1655"/>
      <c r="BK73" s="1655"/>
      <c r="BL73" s="1655"/>
      <c r="BM73" s="1655"/>
      <c r="BN73" s="1655"/>
      <c r="BO73" s="1655"/>
      <c r="BP73" s="1655"/>
      <c r="BQ73" s="1655"/>
      <c r="BR73" s="1655"/>
      <c r="BS73" s="1655"/>
      <c r="BT73" s="1655"/>
      <c r="BU73" s="1655"/>
      <c r="BV73" s="1655"/>
      <c r="BW73" s="1655"/>
      <c r="BX73" s="1655"/>
      <c r="BY73" s="1655"/>
      <c r="BZ73" s="1655"/>
      <c r="CA73" s="1655"/>
      <c r="CB73" s="1655"/>
      <c r="CC73" s="1655"/>
      <c r="CD73" s="1655"/>
      <c r="CE73" s="1655"/>
      <c r="CF73" s="1655"/>
      <c r="CG73" s="1655"/>
      <c r="CH73" s="1655"/>
      <c r="CI73" s="1655"/>
      <c r="CJ73" s="1655"/>
      <c r="CK73" s="1655"/>
      <c r="CL73" s="1655"/>
      <c r="CM73" s="1655"/>
      <c r="CN73" s="1655"/>
      <c r="CO73" s="1655"/>
      <c r="CP73" s="1655"/>
      <c r="CQ73" s="1655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35"/>
      <c r="B74" s="638"/>
      <c r="C74" s="638"/>
      <c r="D74" s="1600"/>
      <c r="E74" s="638"/>
      <c r="F74" s="525"/>
      <c r="G74" s="526"/>
      <c r="H74" s="525"/>
      <c r="I74" s="1655"/>
      <c r="J74" s="1655"/>
      <c r="K74" s="1655"/>
      <c r="L74" s="1655"/>
      <c r="M74" s="1655"/>
      <c r="N74" s="1655"/>
      <c r="O74" s="1655"/>
      <c r="P74" s="1655"/>
      <c r="Q74" s="1655"/>
      <c r="R74" s="1655"/>
      <c r="S74" s="1655"/>
      <c r="T74" s="1655"/>
      <c r="U74" s="1655"/>
      <c r="V74" s="1655"/>
      <c r="W74" s="1655"/>
      <c r="X74" s="1655"/>
      <c r="Y74" s="1655"/>
      <c r="Z74" s="1655"/>
      <c r="AA74" s="1655"/>
      <c r="AB74" s="1655"/>
      <c r="AC74" s="1655"/>
      <c r="AD74" s="1655"/>
      <c r="AE74" s="1655"/>
      <c r="AF74" s="1655"/>
      <c r="AG74" s="1655"/>
      <c r="AH74" s="1655"/>
      <c r="AI74" s="1655"/>
      <c r="AJ74" s="1655"/>
      <c r="AK74" s="1655"/>
      <c r="AL74" s="1655"/>
      <c r="AM74" s="1655"/>
      <c r="AN74" s="1655"/>
      <c r="AO74" s="1655"/>
      <c r="AP74" s="1655"/>
      <c r="AQ74" s="1655"/>
      <c r="AR74" s="1655"/>
      <c r="AS74" s="1655"/>
      <c r="AT74" s="1655"/>
      <c r="AU74" s="1655"/>
      <c r="AV74" s="1655"/>
      <c r="AW74" s="1655"/>
      <c r="AX74" s="1655"/>
      <c r="AY74" s="1655"/>
      <c r="AZ74" s="1655"/>
      <c r="BA74" s="1655"/>
      <c r="BB74" s="1655"/>
      <c r="BC74" s="1655"/>
      <c r="BD74" s="1655"/>
      <c r="BE74" s="1655"/>
      <c r="BF74" s="1655"/>
      <c r="BG74" s="1655"/>
      <c r="BH74" s="1655"/>
      <c r="BI74" s="1655"/>
      <c r="BJ74" s="1655"/>
      <c r="BK74" s="1655"/>
      <c r="BL74" s="1655"/>
      <c r="BM74" s="1655"/>
      <c r="BN74" s="1655"/>
      <c r="BO74" s="1655"/>
      <c r="BP74" s="1655"/>
      <c r="BQ74" s="1655"/>
      <c r="BR74" s="1655"/>
      <c r="BS74" s="1655"/>
      <c r="BT74" s="1655"/>
      <c r="BU74" s="1655"/>
      <c r="BV74" s="1655"/>
      <c r="BW74" s="1655"/>
      <c r="BX74" s="1655"/>
      <c r="BY74" s="1655"/>
      <c r="BZ74" s="1655"/>
      <c r="CA74" s="1655"/>
      <c r="CB74" s="1655"/>
      <c r="CC74" s="1655"/>
      <c r="CD74" s="1655"/>
      <c r="CE74" s="1655"/>
      <c r="CF74" s="1655"/>
      <c r="CG74" s="1655"/>
      <c r="CH74" s="1655"/>
      <c r="CI74" s="1655"/>
      <c r="CJ74" s="1655"/>
      <c r="CK74" s="1655"/>
      <c r="CL74" s="1655"/>
      <c r="CM74" s="1655"/>
      <c r="CN74" s="1655"/>
      <c r="CO74" s="1655"/>
      <c r="CP74" s="1655"/>
      <c r="CQ74" s="1655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35"/>
      <c r="B75" s="638"/>
      <c r="C75" s="638"/>
      <c r="D75" s="1600"/>
      <c r="E75" s="638"/>
      <c r="F75" s="525"/>
      <c r="G75" s="526"/>
      <c r="H75" s="525"/>
      <c r="I75" s="1655"/>
      <c r="J75" s="1655"/>
      <c r="K75" s="1655"/>
      <c r="L75" s="1655"/>
      <c r="M75" s="1655"/>
      <c r="N75" s="1655"/>
      <c r="O75" s="1655"/>
      <c r="P75" s="1655"/>
      <c r="Q75" s="1655"/>
      <c r="R75" s="1655"/>
      <c r="S75" s="1655"/>
      <c r="T75" s="1655"/>
      <c r="U75" s="1655"/>
      <c r="V75" s="1655"/>
      <c r="W75" s="1655"/>
      <c r="X75" s="1655"/>
      <c r="Y75" s="1655"/>
      <c r="Z75" s="1655"/>
      <c r="AA75" s="1655"/>
      <c r="AB75" s="1655"/>
      <c r="AC75" s="1655"/>
      <c r="AD75" s="1655"/>
      <c r="AE75" s="1655"/>
      <c r="AF75" s="1655"/>
      <c r="AG75" s="1655"/>
      <c r="AH75" s="1655"/>
      <c r="AI75" s="1655"/>
      <c r="AJ75" s="1655"/>
      <c r="AK75" s="1655"/>
      <c r="AL75" s="1655"/>
      <c r="AM75" s="1655"/>
      <c r="AN75" s="1655"/>
      <c r="AO75" s="1655"/>
      <c r="AP75" s="1655"/>
      <c r="AQ75" s="1655"/>
      <c r="AR75" s="1655"/>
      <c r="AS75" s="1655"/>
      <c r="AT75" s="1655"/>
      <c r="AU75" s="1655"/>
      <c r="AV75" s="1655"/>
      <c r="AW75" s="1655"/>
      <c r="AX75" s="1655"/>
      <c r="AY75" s="1655"/>
      <c r="AZ75" s="1655"/>
      <c r="BA75" s="1655"/>
      <c r="BB75" s="1655"/>
      <c r="BC75" s="1655"/>
      <c r="BD75" s="1655"/>
      <c r="BE75" s="1655"/>
      <c r="BF75" s="1655"/>
      <c r="BG75" s="1655"/>
      <c r="BH75" s="1655"/>
      <c r="BI75" s="1655"/>
      <c r="BJ75" s="1655"/>
      <c r="BK75" s="1655"/>
      <c r="BL75" s="1655"/>
      <c r="BM75" s="1655"/>
      <c r="BN75" s="1655"/>
      <c r="BO75" s="1655"/>
      <c r="BP75" s="1655"/>
      <c r="BQ75" s="1655"/>
      <c r="BR75" s="1655"/>
      <c r="BS75" s="1655"/>
      <c r="BT75" s="1655"/>
      <c r="BU75" s="1655"/>
      <c r="BV75" s="1655"/>
      <c r="BW75" s="1655"/>
      <c r="BX75" s="1655"/>
      <c r="BY75" s="1655"/>
      <c r="BZ75" s="1655"/>
      <c r="CA75" s="1655"/>
      <c r="CB75" s="1655"/>
      <c r="CC75" s="1655"/>
      <c r="CD75" s="1655"/>
      <c r="CE75" s="1655"/>
      <c r="CF75" s="1655"/>
      <c r="CG75" s="1655"/>
      <c r="CH75" s="1655"/>
      <c r="CI75" s="1655"/>
      <c r="CJ75" s="1655"/>
      <c r="CK75" s="1655"/>
      <c r="CL75" s="1655"/>
      <c r="CM75" s="1655"/>
      <c r="CN75" s="1655"/>
      <c r="CO75" s="1655"/>
      <c r="CP75" s="1655"/>
      <c r="CQ75" s="1655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35"/>
      <c r="B76" s="638"/>
      <c r="C76" s="638"/>
      <c r="D76" s="1600"/>
      <c r="E76" s="638"/>
      <c r="F76" s="525"/>
      <c r="G76" s="526"/>
      <c r="H76" s="525"/>
      <c r="I76" s="1655"/>
      <c r="J76" s="1655"/>
      <c r="K76" s="1655"/>
      <c r="L76" s="1655"/>
      <c r="M76" s="1655"/>
      <c r="N76" s="1655"/>
      <c r="O76" s="1655"/>
      <c r="P76" s="1655"/>
      <c r="Q76" s="1655"/>
      <c r="R76" s="1655"/>
      <c r="S76" s="1655"/>
      <c r="T76" s="1655"/>
      <c r="U76" s="1655"/>
      <c r="V76" s="1655"/>
      <c r="W76" s="1655"/>
      <c r="X76" s="1655"/>
      <c r="Y76" s="1655"/>
      <c r="Z76" s="1655"/>
      <c r="AA76" s="1655"/>
      <c r="AB76" s="1655"/>
      <c r="AC76" s="1655"/>
      <c r="AD76" s="1655"/>
      <c r="AE76" s="1655"/>
      <c r="AF76" s="1655"/>
      <c r="AG76" s="1655"/>
      <c r="AH76" s="1655"/>
      <c r="AI76" s="1655"/>
      <c r="AJ76" s="1655"/>
      <c r="AK76" s="1655"/>
      <c r="AL76" s="1655"/>
      <c r="AM76" s="1655"/>
      <c r="AN76" s="1655"/>
      <c r="AO76" s="1655"/>
      <c r="AP76" s="1655"/>
      <c r="AQ76" s="1655"/>
      <c r="AR76" s="1655"/>
      <c r="AS76" s="1655"/>
      <c r="AT76" s="1655"/>
      <c r="AU76" s="1655"/>
      <c r="AV76" s="1655"/>
      <c r="AW76" s="1655"/>
      <c r="AX76" s="1655"/>
      <c r="AY76" s="1655"/>
      <c r="AZ76" s="1655"/>
      <c r="BA76" s="1655"/>
      <c r="BB76" s="1655"/>
      <c r="BC76" s="1655"/>
      <c r="BD76" s="1655"/>
      <c r="BE76" s="1655"/>
      <c r="BF76" s="1655"/>
      <c r="BG76" s="1655"/>
      <c r="BH76" s="1655"/>
      <c r="BI76" s="1655"/>
      <c r="BJ76" s="1655"/>
      <c r="BK76" s="1655"/>
      <c r="BL76" s="1655"/>
      <c r="BM76" s="1655"/>
      <c r="BN76" s="1655"/>
      <c r="BO76" s="1655"/>
      <c r="BP76" s="1655"/>
      <c r="BQ76" s="1655"/>
      <c r="BR76" s="1655"/>
      <c r="BS76" s="1655"/>
      <c r="BT76" s="1655"/>
      <c r="BU76" s="1655"/>
      <c r="BV76" s="1655"/>
      <c r="BW76" s="1655"/>
      <c r="BX76" s="1655"/>
      <c r="BY76" s="1655"/>
      <c r="BZ76" s="1655"/>
      <c r="CA76" s="1655"/>
      <c r="CB76" s="1655"/>
      <c r="CC76" s="1655"/>
      <c r="CD76" s="1655"/>
      <c r="CE76" s="1655"/>
      <c r="CF76" s="1655"/>
      <c r="CG76" s="1655"/>
      <c r="CH76" s="1655"/>
      <c r="CI76" s="1655"/>
      <c r="CJ76" s="1655"/>
      <c r="CK76" s="1655"/>
      <c r="CL76" s="1655"/>
      <c r="CM76" s="1655"/>
      <c r="CN76" s="1655"/>
      <c r="CO76" s="1655"/>
      <c r="CP76" s="1655"/>
      <c r="CQ76" s="1655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35"/>
      <c r="B77" s="638"/>
      <c r="C77" s="638"/>
      <c r="D77" s="1600"/>
      <c r="E77" s="638"/>
      <c r="F77" s="525"/>
      <c r="G77" s="526"/>
      <c r="H77" s="525"/>
      <c r="I77" s="1655"/>
      <c r="J77" s="1655"/>
      <c r="K77" s="1655"/>
      <c r="L77" s="1655"/>
      <c r="M77" s="1655"/>
      <c r="N77" s="1655"/>
      <c r="O77" s="1655"/>
      <c r="P77" s="1655"/>
      <c r="Q77" s="1655"/>
      <c r="R77" s="1655"/>
      <c r="S77" s="1655"/>
      <c r="T77" s="1655"/>
      <c r="U77" s="1655"/>
      <c r="V77" s="1655"/>
      <c r="W77" s="1655"/>
      <c r="X77" s="1655"/>
      <c r="Y77" s="1655"/>
      <c r="Z77" s="1655"/>
      <c r="AA77" s="1655"/>
      <c r="AB77" s="1655"/>
      <c r="AC77" s="1655"/>
      <c r="AD77" s="1655"/>
      <c r="AE77" s="1655"/>
      <c r="AF77" s="1655"/>
      <c r="AG77" s="1655"/>
      <c r="AH77" s="1655"/>
      <c r="AI77" s="1655"/>
      <c r="AJ77" s="1655"/>
      <c r="AK77" s="1655"/>
      <c r="AL77" s="1655"/>
      <c r="AM77" s="1655"/>
      <c r="AN77" s="1655"/>
      <c r="AO77" s="1655"/>
      <c r="AP77" s="1655"/>
      <c r="AQ77" s="1655"/>
      <c r="AR77" s="1655"/>
      <c r="AS77" s="1655"/>
      <c r="AT77" s="1655"/>
      <c r="AU77" s="1655"/>
      <c r="AV77" s="1655"/>
      <c r="AW77" s="1655"/>
      <c r="AX77" s="1655"/>
      <c r="AY77" s="1655"/>
      <c r="AZ77" s="1655"/>
      <c r="BA77" s="1655"/>
      <c r="BB77" s="1655"/>
      <c r="BC77" s="1655"/>
      <c r="BD77" s="1655"/>
      <c r="BE77" s="1655"/>
      <c r="BF77" s="1655"/>
      <c r="BG77" s="1655"/>
      <c r="BH77" s="1655"/>
      <c r="BI77" s="1655"/>
      <c r="BJ77" s="1655"/>
      <c r="BK77" s="1655"/>
      <c r="BL77" s="1655"/>
      <c r="BM77" s="1655"/>
      <c r="BN77" s="1655"/>
      <c r="BO77" s="1655"/>
      <c r="BP77" s="1655"/>
      <c r="BQ77" s="1655"/>
      <c r="BR77" s="1655"/>
      <c r="BS77" s="1655"/>
      <c r="BT77" s="1655"/>
      <c r="BU77" s="1655"/>
      <c r="BV77" s="1655"/>
      <c r="BW77" s="1655"/>
      <c r="BX77" s="1655"/>
      <c r="BY77" s="1655"/>
      <c r="BZ77" s="1655"/>
      <c r="CA77" s="1655"/>
      <c r="CB77" s="1655"/>
      <c r="CC77" s="1655"/>
      <c r="CD77" s="1655"/>
      <c r="CE77" s="1655"/>
      <c r="CF77" s="1655"/>
      <c r="CG77" s="1655"/>
      <c r="CH77" s="1655"/>
      <c r="CI77" s="1655"/>
      <c r="CJ77" s="1655"/>
      <c r="CK77" s="1655"/>
      <c r="CL77" s="1655"/>
      <c r="CM77" s="1655"/>
      <c r="CN77" s="1655"/>
      <c r="CO77" s="1655"/>
      <c r="CP77" s="1655"/>
      <c r="CQ77" s="1655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35"/>
      <c r="B78" s="638"/>
      <c r="C78" s="638"/>
      <c r="D78" s="1600"/>
      <c r="E78" s="638"/>
      <c r="F78" s="525"/>
      <c r="G78" s="526"/>
      <c r="H78" s="525"/>
      <c r="I78" s="1655"/>
      <c r="J78" s="1655"/>
      <c r="K78" s="1655"/>
      <c r="L78" s="1655"/>
      <c r="M78" s="1655"/>
      <c r="N78" s="1655"/>
      <c r="O78" s="1655"/>
      <c r="P78" s="1655"/>
      <c r="Q78" s="1655"/>
      <c r="R78" s="1655"/>
      <c r="S78" s="1655"/>
      <c r="T78" s="1655"/>
      <c r="U78" s="1655"/>
      <c r="V78" s="1655"/>
      <c r="W78" s="1655"/>
      <c r="X78" s="1655"/>
      <c r="Y78" s="1655"/>
      <c r="Z78" s="1655"/>
      <c r="AA78" s="1655"/>
      <c r="AB78" s="1655"/>
      <c r="AC78" s="1655"/>
      <c r="AD78" s="1655"/>
      <c r="AE78" s="1655"/>
      <c r="AF78" s="1655"/>
      <c r="AG78" s="1655"/>
      <c r="AH78" s="1655"/>
      <c r="AI78" s="1655"/>
      <c r="AJ78" s="1655"/>
      <c r="AK78" s="1655"/>
      <c r="AL78" s="1655"/>
      <c r="AM78" s="1655"/>
      <c r="AN78" s="1655"/>
      <c r="AO78" s="1655"/>
      <c r="AP78" s="1655"/>
      <c r="AQ78" s="1655"/>
      <c r="AR78" s="1655"/>
      <c r="AS78" s="1655"/>
      <c r="AT78" s="1655"/>
      <c r="AU78" s="1655"/>
      <c r="AV78" s="1655"/>
      <c r="AW78" s="1655"/>
      <c r="AX78" s="1655"/>
      <c r="AY78" s="1655"/>
      <c r="AZ78" s="1655"/>
      <c r="BA78" s="1655"/>
      <c r="BB78" s="1655"/>
      <c r="BC78" s="1655"/>
      <c r="BD78" s="1655"/>
      <c r="BE78" s="1655"/>
      <c r="BF78" s="1655"/>
      <c r="BG78" s="1655"/>
      <c r="BH78" s="1655"/>
      <c r="BI78" s="1655"/>
      <c r="BJ78" s="1655"/>
      <c r="BK78" s="1655"/>
      <c r="BL78" s="1655"/>
      <c r="BM78" s="1655"/>
      <c r="BN78" s="1655"/>
      <c r="BO78" s="1655"/>
      <c r="BP78" s="1655"/>
      <c r="BQ78" s="1655"/>
      <c r="BR78" s="1655"/>
      <c r="BS78" s="1655"/>
      <c r="BT78" s="1655"/>
      <c r="BU78" s="1655"/>
      <c r="BV78" s="1655"/>
      <c r="BW78" s="1655"/>
      <c r="BX78" s="1655"/>
      <c r="BY78" s="1655"/>
      <c r="BZ78" s="1655"/>
      <c r="CA78" s="1655"/>
      <c r="CB78" s="1655"/>
      <c r="CC78" s="1655"/>
      <c r="CD78" s="1655"/>
      <c r="CE78" s="1655"/>
      <c r="CF78" s="1655"/>
      <c r="CG78" s="1655"/>
      <c r="CH78" s="1655"/>
      <c r="CI78" s="1655"/>
      <c r="CJ78" s="1655"/>
      <c r="CK78" s="1655"/>
      <c r="CL78" s="1655"/>
      <c r="CM78" s="1655"/>
      <c r="CN78" s="1655"/>
      <c r="CO78" s="1655"/>
      <c r="CP78" s="1655"/>
      <c r="CQ78" s="1655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35"/>
      <c r="B79" s="638"/>
      <c r="C79" s="638"/>
      <c r="D79" s="1600"/>
      <c r="E79" s="638"/>
      <c r="F79" s="525"/>
      <c r="G79" s="526"/>
      <c r="H79" s="525"/>
      <c r="I79" s="1655"/>
      <c r="J79" s="1655"/>
      <c r="K79" s="1655"/>
      <c r="L79" s="1655"/>
      <c r="M79" s="1655"/>
      <c r="N79" s="1655"/>
      <c r="O79" s="1655"/>
      <c r="P79" s="1655"/>
      <c r="Q79" s="1655"/>
      <c r="R79" s="1655"/>
      <c r="S79" s="1655"/>
      <c r="T79" s="1655"/>
      <c r="U79" s="1655"/>
      <c r="V79" s="1655"/>
      <c r="W79" s="1655"/>
      <c r="X79" s="1655"/>
      <c r="Y79" s="1655"/>
      <c r="Z79" s="1655"/>
      <c r="AA79" s="1655"/>
      <c r="AB79" s="1655"/>
      <c r="AC79" s="1655"/>
      <c r="AD79" s="1655"/>
      <c r="AE79" s="1655"/>
      <c r="AF79" s="1655"/>
      <c r="AG79" s="1655"/>
      <c r="AH79" s="1655"/>
      <c r="AI79" s="1655"/>
      <c r="AJ79" s="1655"/>
      <c r="AK79" s="1655"/>
      <c r="AL79" s="1655"/>
      <c r="AM79" s="1655"/>
      <c r="AN79" s="1655"/>
      <c r="AO79" s="1655"/>
      <c r="AP79" s="1655"/>
      <c r="AQ79" s="1655"/>
      <c r="AR79" s="1655"/>
      <c r="AS79" s="1655"/>
      <c r="AT79" s="1655"/>
      <c r="AU79" s="1655"/>
      <c r="AV79" s="1655"/>
      <c r="AW79" s="1655"/>
      <c r="AX79" s="1655"/>
      <c r="AY79" s="1655"/>
      <c r="AZ79" s="1655"/>
      <c r="BA79" s="1655"/>
      <c r="BB79" s="1655"/>
      <c r="BC79" s="1655"/>
      <c r="BD79" s="1655"/>
      <c r="BE79" s="1655"/>
      <c r="BF79" s="1655"/>
      <c r="BG79" s="1655"/>
      <c r="BH79" s="1655"/>
      <c r="BI79" s="1655"/>
      <c r="BJ79" s="1655"/>
      <c r="BK79" s="1655"/>
      <c r="BL79" s="1655"/>
      <c r="BM79" s="1655"/>
      <c r="BN79" s="1655"/>
      <c r="BO79" s="1655"/>
      <c r="BP79" s="1655"/>
      <c r="BQ79" s="1655"/>
      <c r="BR79" s="1655"/>
      <c r="BS79" s="1655"/>
      <c r="BT79" s="1655"/>
      <c r="BU79" s="1655"/>
      <c r="BV79" s="1655"/>
      <c r="BW79" s="1655"/>
      <c r="BX79" s="1655"/>
      <c r="BY79" s="1655"/>
      <c r="BZ79" s="1655"/>
      <c r="CA79" s="1655"/>
      <c r="CB79" s="1655"/>
      <c r="CC79" s="1655"/>
      <c r="CD79" s="1655"/>
      <c r="CE79" s="1655"/>
      <c r="CF79" s="1655"/>
      <c r="CG79" s="1655"/>
      <c r="CH79" s="1655"/>
      <c r="CI79" s="1655"/>
      <c r="CJ79" s="1655"/>
      <c r="CK79" s="1655"/>
      <c r="CL79" s="1655"/>
      <c r="CM79" s="1655"/>
      <c r="CN79" s="1655"/>
      <c r="CO79" s="1655"/>
      <c r="CP79" s="1655"/>
      <c r="CQ79" s="1655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35"/>
      <c r="B80" s="638"/>
      <c r="C80" s="638"/>
      <c r="D80" s="1600"/>
      <c r="E80" s="638"/>
      <c r="F80" s="525"/>
      <c r="G80" s="526"/>
      <c r="H80" s="525"/>
      <c r="I80" s="1655"/>
      <c r="J80" s="1655"/>
      <c r="K80" s="1655"/>
      <c r="L80" s="1655"/>
      <c r="M80" s="1655"/>
      <c r="N80" s="1655"/>
      <c r="O80" s="1655"/>
      <c r="P80" s="1655"/>
      <c r="Q80" s="1655"/>
      <c r="R80" s="1655"/>
      <c r="S80" s="1655"/>
      <c r="T80" s="1655"/>
      <c r="U80" s="1655"/>
      <c r="V80" s="1655"/>
      <c r="W80" s="1655"/>
      <c r="X80" s="1655"/>
      <c r="Y80" s="1655"/>
      <c r="Z80" s="1655"/>
      <c r="AA80" s="1655"/>
      <c r="AB80" s="1655"/>
      <c r="AC80" s="1655"/>
      <c r="AD80" s="1655"/>
      <c r="AE80" s="1655"/>
      <c r="AF80" s="1655"/>
      <c r="AG80" s="1655"/>
      <c r="AH80" s="1655"/>
      <c r="AI80" s="1655"/>
      <c r="AJ80" s="1655"/>
      <c r="AK80" s="1655"/>
      <c r="AL80" s="1655"/>
      <c r="AM80" s="1655"/>
      <c r="AN80" s="1655"/>
      <c r="AO80" s="1655"/>
      <c r="AP80" s="1655"/>
      <c r="AQ80" s="1655"/>
      <c r="AR80" s="1655"/>
      <c r="AS80" s="1655"/>
      <c r="AT80" s="1655"/>
      <c r="AU80" s="1655"/>
      <c r="AV80" s="1655"/>
      <c r="AW80" s="1655"/>
      <c r="AX80" s="1655"/>
      <c r="AY80" s="1655"/>
      <c r="AZ80" s="1655"/>
      <c r="BA80" s="1655"/>
      <c r="BB80" s="1655"/>
      <c r="BC80" s="1655"/>
      <c r="BD80" s="1655"/>
      <c r="BE80" s="1655"/>
      <c r="BF80" s="1655"/>
      <c r="BG80" s="1655"/>
      <c r="BH80" s="1655"/>
      <c r="BI80" s="1655"/>
      <c r="BJ80" s="1655"/>
      <c r="BK80" s="1655"/>
      <c r="BL80" s="1655"/>
      <c r="BM80" s="1655"/>
      <c r="BN80" s="1655"/>
      <c r="BO80" s="1655"/>
      <c r="BP80" s="1655"/>
      <c r="BQ80" s="1655"/>
      <c r="BR80" s="1655"/>
      <c r="BS80" s="1655"/>
      <c r="BT80" s="1655"/>
      <c r="BU80" s="1655"/>
      <c r="BV80" s="1655"/>
      <c r="BW80" s="1655"/>
      <c r="BX80" s="1655"/>
      <c r="BY80" s="1655"/>
      <c r="BZ80" s="1655"/>
      <c r="CA80" s="1655"/>
      <c r="CB80" s="1655"/>
      <c r="CC80" s="1655"/>
      <c r="CD80" s="1655"/>
      <c r="CE80" s="1655"/>
      <c r="CF80" s="1655"/>
      <c r="CG80" s="1655"/>
      <c r="CH80" s="1655"/>
      <c r="CI80" s="1655"/>
      <c r="CJ80" s="1655"/>
      <c r="CK80" s="1655"/>
      <c r="CL80" s="1655"/>
      <c r="CM80" s="1655"/>
      <c r="CN80" s="1655"/>
      <c r="CO80" s="1655"/>
      <c r="CP80" s="1655"/>
      <c r="CQ80" s="1655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35"/>
      <c r="B81" s="638"/>
      <c r="C81" s="638"/>
      <c r="D81" s="1600"/>
      <c r="E81" s="638"/>
      <c r="F81" s="525"/>
      <c r="G81" s="526"/>
      <c r="H81" s="525"/>
      <c r="I81" s="1655"/>
      <c r="J81" s="1655"/>
      <c r="K81" s="1655"/>
      <c r="L81" s="1655"/>
      <c r="M81" s="1655"/>
      <c r="N81" s="1655"/>
      <c r="O81" s="1655"/>
      <c r="P81" s="1655"/>
      <c r="Q81" s="1655"/>
      <c r="R81" s="1655"/>
      <c r="S81" s="1655"/>
      <c r="T81" s="1655"/>
      <c r="U81" s="1655"/>
      <c r="V81" s="1655"/>
      <c r="W81" s="1655"/>
      <c r="X81" s="1655"/>
      <c r="Y81" s="1655"/>
      <c r="Z81" s="1655"/>
      <c r="AA81" s="1655"/>
      <c r="AB81" s="1655"/>
      <c r="AC81" s="1655"/>
      <c r="AD81" s="1655"/>
      <c r="AE81" s="1655"/>
      <c r="AF81" s="1655"/>
      <c r="AG81" s="1655"/>
      <c r="AH81" s="1655"/>
      <c r="AI81" s="1655"/>
      <c r="AJ81" s="1655"/>
      <c r="AK81" s="1655"/>
      <c r="AL81" s="1655"/>
      <c r="AM81" s="1655"/>
      <c r="AN81" s="1655"/>
      <c r="AO81" s="1655"/>
      <c r="AP81" s="1655"/>
      <c r="AQ81" s="1655"/>
      <c r="AR81" s="1655"/>
      <c r="AS81" s="1655"/>
      <c r="AT81" s="1655"/>
      <c r="AU81" s="1655"/>
      <c r="AV81" s="1655"/>
      <c r="AW81" s="1655"/>
      <c r="AX81" s="1655"/>
      <c r="AY81" s="1655"/>
      <c r="AZ81" s="1655"/>
      <c r="BA81" s="1655"/>
      <c r="BB81" s="1655"/>
      <c r="BC81" s="1655"/>
      <c r="BD81" s="1655"/>
      <c r="BE81" s="1655"/>
      <c r="BF81" s="1655"/>
      <c r="BG81" s="1655"/>
      <c r="BH81" s="1655"/>
      <c r="BI81" s="1655"/>
      <c r="BJ81" s="1655"/>
      <c r="BK81" s="1655"/>
      <c r="BL81" s="1655"/>
      <c r="BM81" s="1655"/>
      <c r="BN81" s="1655"/>
      <c r="BO81" s="1655"/>
      <c r="BP81" s="1655"/>
      <c r="BQ81" s="1655"/>
      <c r="BR81" s="1655"/>
      <c r="BS81" s="1655"/>
      <c r="BT81" s="1655"/>
      <c r="BU81" s="1655"/>
      <c r="BV81" s="1655"/>
      <c r="BW81" s="1655"/>
      <c r="BX81" s="1655"/>
      <c r="BY81" s="1655"/>
      <c r="BZ81" s="1655"/>
      <c r="CA81" s="1655"/>
      <c r="CB81" s="1655"/>
      <c r="CC81" s="1655"/>
      <c r="CD81" s="1655"/>
      <c r="CE81" s="1655"/>
      <c r="CF81" s="1655"/>
      <c r="CG81" s="1655"/>
      <c r="CH81" s="1655"/>
      <c r="CI81" s="1655"/>
      <c r="CJ81" s="1655"/>
      <c r="CK81" s="1655"/>
      <c r="CL81" s="1655"/>
      <c r="CM81" s="1655"/>
      <c r="CN81" s="1655"/>
      <c r="CO81" s="1655"/>
      <c r="CP81" s="1655"/>
      <c r="CQ81" s="1655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35"/>
      <c r="B82" s="638"/>
      <c r="C82" s="638"/>
      <c r="D82" s="1600"/>
      <c r="E82" s="638"/>
      <c r="F82" s="525"/>
      <c r="G82" s="526"/>
      <c r="H82" s="525"/>
      <c r="I82" s="1655"/>
      <c r="J82" s="1655"/>
      <c r="K82" s="1655"/>
      <c r="L82" s="1655"/>
      <c r="M82" s="1655"/>
      <c r="N82" s="1655"/>
      <c r="O82" s="1655"/>
      <c r="P82" s="1655"/>
      <c r="Q82" s="1655"/>
      <c r="R82" s="1655"/>
      <c r="S82" s="1655"/>
      <c r="T82" s="1655"/>
      <c r="U82" s="1655"/>
      <c r="V82" s="1655"/>
      <c r="W82" s="1655"/>
      <c r="X82" s="1655"/>
      <c r="Y82" s="1655"/>
      <c r="Z82" s="1655"/>
      <c r="AA82" s="1655"/>
      <c r="AB82" s="1655"/>
      <c r="AC82" s="1655"/>
      <c r="AD82" s="1655"/>
      <c r="AE82" s="1655"/>
      <c r="AF82" s="1655"/>
      <c r="AG82" s="1655"/>
      <c r="AH82" s="1655"/>
      <c r="AI82" s="1655"/>
      <c r="AJ82" s="1655"/>
      <c r="AK82" s="1655"/>
      <c r="AL82" s="1655"/>
      <c r="AM82" s="1655"/>
      <c r="AN82" s="1655"/>
      <c r="AO82" s="1655"/>
      <c r="AP82" s="1655"/>
      <c r="AQ82" s="1655"/>
      <c r="AR82" s="1655"/>
      <c r="AS82" s="1655"/>
      <c r="AT82" s="1655"/>
      <c r="AU82" s="1655"/>
      <c r="AV82" s="1655"/>
      <c r="AW82" s="1655"/>
      <c r="AX82" s="1655"/>
      <c r="AY82" s="1655"/>
      <c r="AZ82" s="1655"/>
      <c r="BA82" s="1655"/>
      <c r="BB82" s="1655"/>
      <c r="BC82" s="1655"/>
      <c r="BD82" s="1655"/>
      <c r="BE82" s="1655"/>
      <c r="BF82" s="1655"/>
      <c r="BG82" s="1655"/>
      <c r="BH82" s="1655"/>
      <c r="BI82" s="1655"/>
      <c r="BJ82" s="1655"/>
      <c r="BK82" s="1655"/>
      <c r="BL82" s="1655"/>
      <c r="BM82" s="1655"/>
      <c r="BN82" s="1655"/>
      <c r="BO82" s="1655"/>
      <c r="BP82" s="1655"/>
      <c r="BQ82" s="1655"/>
      <c r="BR82" s="1655"/>
      <c r="BS82" s="1655"/>
      <c r="BT82" s="1655"/>
      <c r="BU82" s="1655"/>
      <c r="BV82" s="1655"/>
      <c r="BW82" s="1655"/>
      <c r="BX82" s="1655"/>
      <c r="BY82" s="1655"/>
      <c r="BZ82" s="1655"/>
      <c r="CA82" s="1655"/>
      <c r="CB82" s="1655"/>
      <c r="CC82" s="1655"/>
      <c r="CD82" s="1655"/>
      <c r="CE82" s="1655"/>
      <c r="CF82" s="1655"/>
      <c r="CG82" s="1655"/>
      <c r="CH82" s="1655"/>
      <c r="CI82" s="1655"/>
      <c r="CJ82" s="1655"/>
      <c r="CK82" s="1655"/>
      <c r="CL82" s="1655"/>
      <c r="CM82" s="1655"/>
      <c r="CN82" s="1655"/>
      <c r="CO82" s="1655"/>
      <c r="CP82" s="1655"/>
      <c r="CQ82" s="1655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35"/>
      <c r="B83" s="638"/>
      <c r="C83" s="638"/>
      <c r="D83" s="1600"/>
      <c r="E83" s="638"/>
      <c r="F83" s="525"/>
      <c r="G83" s="526"/>
      <c r="H83" s="525"/>
      <c r="I83" s="1655"/>
      <c r="J83" s="1655"/>
      <c r="K83" s="1655"/>
      <c r="L83" s="1655"/>
      <c r="M83" s="1655"/>
      <c r="N83" s="1655"/>
      <c r="O83" s="1655"/>
      <c r="P83" s="1655"/>
      <c r="Q83" s="1655"/>
      <c r="R83" s="1655"/>
      <c r="S83" s="1655"/>
      <c r="T83" s="1655"/>
      <c r="U83" s="1655"/>
      <c r="V83" s="1655"/>
      <c r="W83" s="1655"/>
      <c r="X83" s="1655"/>
      <c r="Y83" s="1655"/>
      <c r="Z83" s="1655"/>
      <c r="AA83" s="1655"/>
      <c r="AB83" s="1655"/>
      <c r="AC83" s="1655"/>
      <c r="AD83" s="1655"/>
      <c r="AE83" s="1655"/>
      <c r="AF83" s="1655"/>
      <c r="AG83" s="1655"/>
      <c r="AH83" s="1655"/>
      <c r="AI83" s="1655"/>
      <c r="AJ83" s="1655"/>
      <c r="AK83" s="1655"/>
      <c r="AL83" s="1655"/>
      <c r="AM83" s="1655"/>
      <c r="AN83" s="1655"/>
      <c r="AO83" s="1655"/>
      <c r="AP83" s="1655"/>
      <c r="AQ83" s="1655"/>
      <c r="AR83" s="1655"/>
      <c r="AS83" s="1655"/>
      <c r="AT83" s="1655"/>
      <c r="AU83" s="1655"/>
      <c r="AV83" s="1655"/>
      <c r="AW83" s="1655"/>
      <c r="AX83" s="1655"/>
      <c r="AY83" s="1655"/>
      <c r="AZ83" s="1655"/>
      <c r="BA83" s="1655"/>
      <c r="BB83" s="1655"/>
      <c r="BC83" s="1655"/>
      <c r="BD83" s="1655"/>
      <c r="BE83" s="1655"/>
      <c r="BF83" s="1655"/>
      <c r="BG83" s="1655"/>
      <c r="BH83" s="1655"/>
      <c r="BI83" s="1655"/>
      <c r="BJ83" s="1655"/>
      <c r="BK83" s="1655"/>
      <c r="BL83" s="1655"/>
      <c r="BM83" s="1655"/>
      <c r="BN83" s="1655"/>
      <c r="BO83" s="1655"/>
      <c r="BP83" s="1655"/>
      <c r="BQ83" s="1655"/>
      <c r="BR83" s="1655"/>
      <c r="BS83" s="1655"/>
      <c r="BT83" s="1655"/>
      <c r="BU83" s="1655"/>
      <c r="BV83" s="1655"/>
      <c r="BW83" s="1655"/>
      <c r="BX83" s="1655"/>
      <c r="BY83" s="1655"/>
      <c r="BZ83" s="1655"/>
      <c r="CA83" s="1655"/>
      <c r="CB83" s="1655"/>
      <c r="CC83" s="1655"/>
      <c r="CD83" s="1655"/>
      <c r="CE83" s="1655"/>
      <c r="CF83" s="1655"/>
      <c r="CG83" s="1655"/>
      <c r="CH83" s="1655"/>
      <c r="CI83" s="1655"/>
      <c r="CJ83" s="1655"/>
      <c r="CK83" s="1655"/>
      <c r="CL83" s="1655"/>
      <c r="CM83" s="1655"/>
      <c r="CN83" s="1655"/>
      <c r="CO83" s="1655"/>
      <c r="CP83" s="1655"/>
      <c r="CQ83" s="1655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35"/>
      <c r="B84" s="638"/>
      <c r="C84" s="638"/>
      <c r="D84" s="1600"/>
      <c r="E84" s="638"/>
      <c r="F84" s="525"/>
      <c r="G84" s="526"/>
      <c r="H84" s="525"/>
      <c r="I84" s="1655"/>
      <c r="J84" s="1655"/>
      <c r="K84" s="1655"/>
      <c r="L84" s="1655"/>
      <c r="M84" s="1655"/>
      <c r="N84" s="1655"/>
      <c r="O84" s="1655"/>
      <c r="P84" s="1655"/>
      <c r="Q84" s="1655"/>
      <c r="R84" s="1655"/>
      <c r="S84" s="1655"/>
      <c r="T84" s="1655"/>
      <c r="U84" s="1655"/>
      <c r="V84" s="1655"/>
      <c r="W84" s="1655"/>
      <c r="X84" s="1655"/>
      <c r="Y84" s="1655"/>
      <c r="Z84" s="1655"/>
      <c r="AA84" s="1655"/>
      <c r="AB84" s="1655"/>
      <c r="AC84" s="1655"/>
      <c r="AD84" s="1655"/>
      <c r="AE84" s="1655"/>
      <c r="AF84" s="1655"/>
      <c r="AG84" s="1655"/>
      <c r="AH84" s="1655"/>
      <c r="AI84" s="1655"/>
      <c r="AJ84" s="1655"/>
      <c r="AK84" s="1655"/>
      <c r="AL84" s="1655"/>
      <c r="AM84" s="1655"/>
      <c r="AN84" s="1655"/>
      <c r="AO84" s="1655"/>
      <c r="AP84" s="1655"/>
      <c r="AQ84" s="1655"/>
      <c r="AR84" s="1655"/>
      <c r="AS84" s="1655"/>
      <c r="AT84" s="1655"/>
      <c r="AU84" s="1655"/>
      <c r="AV84" s="1655"/>
      <c r="AW84" s="1655"/>
      <c r="AX84" s="1655"/>
      <c r="AY84" s="1655"/>
      <c r="AZ84" s="1655"/>
      <c r="BA84" s="1655"/>
      <c r="BB84" s="1655"/>
      <c r="BC84" s="1655"/>
      <c r="BD84" s="1655"/>
      <c r="BE84" s="1655"/>
      <c r="BF84" s="1655"/>
      <c r="BG84" s="1655"/>
      <c r="BH84" s="1655"/>
      <c r="BI84" s="1655"/>
      <c r="BJ84" s="1655"/>
      <c r="BK84" s="1655"/>
      <c r="BL84" s="1655"/>
      <c r="BM84" s="1655"/>
      <c r="BN84" s="1655"/>
      <c r="BO84" s="1655"/>
      <c r="BP84" s="1655"/>
      <c r="BQ84" s="1655"/>
      <c r="BR84" s="1655"/>
      <c r="BS84" s="1655"/>
      <c r="BT84" s="1655"/>
      <c r="BU84" s="1655"/>
      <c r="BV84" s="1655"/>
      <c r="BW84" s="1655"/>
      <c r="BX84" s="1655"/>
      <c r="BY84" s="1655"/>
      <c r="BZ84" s="1655"/>
      <c r="CA84" s="1655"/>
      <c r="CB84" s="1655"/>
      <c r="CC84" s="1655"/>
      <c r="CD84" s="1655"/>
      <c r="CE84" s="1655"/>
      <c r="CF84" s="1655"/>
      <c r="CG84" s="1655"/>
      <c r="CH84" s="1655"/>
      <c r="CI84" s="1655"/>
      <c r="CJ84" s="1655"/>
      <c r="CK84" s="1655"/>
      <c r="CL84" s="1655"/>
      <c r="CM84" s="1655"/>
      <c r="CN84" s="1655"/>
      <c r="CO84" s="1655"/>
      <c r="CP84" s="1655"/>
      <c r="CQ84" s="1655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35"/>
      <c r="B85" s="638"/>
      <c r="C85" s="638"/>
      <c r="D85" s="1600"/>
      <c r="E85" s="638"/>
      <c r="F85" s="525"/>
      <c r="G85" s="526"/>
      <c r="H85" s="525"/>
      <c r="I85" s="1655"/>
      <c r="J85" s="1655"/>
      <c r="K85" s="1655"/>
      <c r="L85" s="1655"/>
      <c r="M85" s="1655"/>
      <c r="N85" s="1655"/>
      <c r="O85" s="1655"/>
      <c r="P85" s="1655"/>
      <c r="Q85" s="1655"/>
      <c r="R85" s="1655"/>
      <c r="S85" s="1655"/>
      <c r="T85" s="1655"/>
      <c r="U85" s="1655"/>
      <c r="V85" s="1655"/>
      <c r="W85" s="1655"/>
      <c r="X85" s="1655"/>
      <c r="Y85" s="1655"/>
      <c r="Z85" s="1655"/>
      <c r="AA85" s="1655"/>
      <c r="AB85" s="1655"/>
      <c r="AC85" s="1655"/>
      <c r="AD85" s="1655"/>
      <c r="AE85" s="1655"/>
      <c r="AF85" s="1655"/>
      <c r="AG85" s="1655"/>
      <c r="AH85" s="1655"/>
      <c r="AI85" s="1655"/>
      <c r="AJ85" s="1655"/>
      <c r="AK85" s="1655"/>
      <c r="AL85" s="1655"/>
      <c r="AM85" s="1655"/>
      <c r="AN85" s="1655"/>
      <c r="AO85" s="1655"/>
      <c r="AP85" s="1655"/>
      <c r="AQ85" s="1655"/>
      <c r="AR85" s="1655"/>
      <c r="AS85" s="1655"/>
      <c r="AT85" s="1655"/>
      <c r="AU85" s="1655"/>
      <c r="AV85" s="1655"/>
      <c r="AW85" s="1655"/>
      <c r="AX85" s="1655"/>
      <c r="AY85" s="1655"/>
      <c r="AZ85" s="1655"/>
      <c r="BA85" s="1655"/>
      <c r="BB85" s="1655"/>
      <c r="BC85" s="1655"/>
      <c r="BD85" s="1655"/>
      <c r="BE85" s="1655"/>
      <c r="BF85" s="1655"/>
      <c r="BG85" s="1655"/>
      <c r="BH85" s="1655"/>
      <c r="BI85" s="1655"/>
      <c r="BJ85" s="1655"/>
      <c r="BK85" s="1655"/>
      <c r="BL85" s="1655"/>
      <c r="BM85" s="1655"/>
      <c r="BN85" s="1655"/>
      <c r="BO85" s="1655"/>
      <c r="BP85" s="1655"/>
      <c r="BQ85" s="1655"/>
      <c r="BR85" s="1655"/>
      <c r="BS85" s="1655"/>
      <c r="BT85" s="1655"/>
      <c r="BU85" s="1655"/>
      <c r="BV85" s="1655"/>
      <c r="BW85" s="1655"/>
      <c r="BX85" s="1655"/>
      <c r="BY85" s="1655"/>
      <c r="BZ85" s="1655"/>
      <c r="CA85" s="1655"/>
      <c r="CB85" s="1655"/>
      <c r="CC85" s="1655"/>
      <c r="CD85" s="1655"/>
      <c r="CE85" s="1655"/>
      <c r="CF85" s="1655"/>
      <c r="CG85" s="1655"/>
      <c r="CH85" s="1655"/>
      <c r="CI85" s="1655"/>
      <c r="CJ85" s="1655"/>
      <c r="CK85" s="1655"/>
      <c r="CL85" s="1655"/>
      <c r="CM85" s="1655"/>
      <c r="CN85" s="1655"/>
      <c r="CO85" s="1655"/>
      <c r="CP85" s="1655"/>
      <c r="CQ85" s="1655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35"/>
      <c r="B86" s="638"/>
      <c r="C86" s="638"/>
      <c r="D86" s="1600"/>
      <c r="E86" s="638"/>
      <c r="F86" s="525"/>
      <c r="G86" s="526"/>
      <c r="H86" s="525"/>
      <c r="I86" s="1655"/>
      <c r="J86" s="1655"/>
      <c r="K86" s="1655"/>
      <c r="L86" s="1655"/>
      <c r="M86" s="1655"/>
      <c r="N86" s="1655"/>
      <c r="O86" s="1655"/>
      <c r="P86" s="1655"/>
      <c r="Q86" s="1655"/>
      <c r="R86" s="1655"/>
      <c r="S86" s="1655"/>
      <c r="T86" s="1655"/>
      <c r="U86" s="1655"/>
      <c r="V86" s="1655"/>
      <c r="W86" s="1655"/>
      <c r="X86" s="1655"/>
      <c r="Y86" s="1655"/>
      <c r="Z86" s="1655"/>
      <c r="AA86" s="1655"/>
      <c r="AB86" s="1655"/>
      <c r="AC86" s="1655"/>
      <c r="AD86" s="1655"/>
      <c r="AE86" s="1655"/>
      <c r="AF86" s="1655"/>
      <c r="AG86" s="1655"/>
      <c r="AH86" s="1655"/>
      <c r="AI86" s="1655"/>
      <c r="AJ86" s="1655"/>
      <c r="AK86" s="1655"/>
      <c r="AL86" s="1655"/>
      <c r="AM86" s="1655"/>
      <c r="AN86" s="1655"/>
      <c r="AO86" s="1655"/>
      <c r="AP86" s="1655"/>
      <c r="AQ86" s="1655"/>
      <c r="AR86" s="1655"/>
      <c r="AS86" s="1655"/>
      <c r="AT86" s="1655"/>
      <c r="AU86" s="1655"/>
      <c r="AV86" s="1655"/>
      <c r="AW86" s="1655"/>
      <c r="AX86" s="1655"/>
      <c r="AY86" s="1655"/>
      <c r="AZ86" s="1655"/>
      <c r="BA86" s="1655"/>
      <c r="BB86" s="1655"/>
      <c r="BC86" s="1655"/>
      <c r="BD86" s="1655"/>
      <c r="BE86" s="1655"/>
      <c r="BF86" s="1655"/>
      <c r="BG86" s="1655"/>
      <c r="BH86" s="1655"/>
      <c r="BI86" s="1655"/>
      <c r="BJ86" s="1655"/>
      <c r="BK86" s="1655"/>
      <c r="BL86" s="1655"/>
      <c r="BM86" s="1655"/>
      <c r="BN86" s="1655"/>
      <c r="BO86" s="1655"/>
      <c r="BP86" s="1655"/>
      <c r="BQ86" s="1655"/>
      <c r="BR86" s="1655"/>
      <c r="BS86" s="1655"/>
      <c r="BT86" s="1655"/>
      <c r="BU86" s="1655"/>
      <c r="BV86" s="1655"/>
      <c r="BW86" s="1655"/>
      <c r="BX86" s="1655"/>
      <c r="BY86" s="1655"/>
      <c r="BZ86" s="1655"/>
      <c r="CA86" s="1655"/>
      <c r="CB86" s="1655"/>
      <c r="CC86" s="1655"/>
      <c r="CD86" s="1655"/>
      <c r="CE86" s="1655"/>
      <c r="CF86" s="1655"/>
      <c r="CG86" s="1655"/>
      <c r="CH86" s="1655"/>
      <c r="CI86" s="1655"/>
      <c r="CJ86" s="1655"/>
      <c r="CK86" s="1655"/>
      <c r="CL86" s="1655"/>
      <c r="CM86" s="1655"/>
      <c r="CN86" s="1655"/>
      <c r="CO86" s="1655"/>
      <c r="CP86" s="1655"/>
      <c r="CQ86" s="1655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35"/>
      <c r="B87" s="638"/>
      <c r="C87" s="638"/>
      <c r="D87" s="1600"/>
      <c r="E87" s="638"/>
      <c r="F87" s="525"/>
      <c r="G87" s="526"/>
      <c r="H87" s="525"/>
      <c r="I87" s="1655"/>
      <c r="J87" s="1655"/>
      <c r="K87" s="1655"/>
      <c r="L87" s="1655"/>
      <c r="M87" s="1655"/>
      <c r="N87" s="1655"/>
      <c r="O87" s="1655"/>
      <c r="P87" s="1655"/>
      <c r="Q87" s="1655"/>
      <c r="R87" s="1655"/>
      <c r="S87" s="1655"/>
      <c r="T87" s="1655"/>
      <c r="U87" s="1655"/>
      <c r="V87" s="1655"/>
      <c r="W87" s="1655"/>
      <c r="X87" s="1655"/>
      <c r="Y87" s="1655"/>
      <c r="Z87" s="1655"/>
      <c r="AA87" s="1655"/>
      <c r="AB87" s="1655"/>
      <c r="AC87" s="1655"/>
      <c r="AD87" s="1655"/>
      <c r="AE87" s="1655"/>
      <c r="AF87" s="1655"/>
      <c r="AG87" s="1655"/>
      <c r="AH87" s="1655"/>
      <c r="AI87" s="1655"/>
      <c r="AJ87" s="1655"/>
      <c r="AK87" s="1655"/>
      <c r="AL87" s="1655"/>
      <c r="AM87" s="1655"/>
      <c r="AN87" s="1655"/>
      <c r="AO87" s="1655"/>
      <c r="AP87" s="1655"/>
      <c r="AQ87" s="1655"/>
      <c r="AR87" s="1655"/>
      <c r="AS87" s="1655"/>
      <c r="AT87" s="1655"/>
      <c r="AU87" s="1655"/>
      <c r="AV87" s="1655"/>
      <c r="AW87" s="1655"/>
      <c r="AX87" s="1655"/>
      <c r="AY87" s="1655"/>
      <c r="AZ87" s="1655"/>
      <c r="BA87" s="1655"/>
      <c r="BB87" s="1655"/>
      <c r="BC87" s="1655"/>
      <c r="BD87" s="1655"/>
      <c r="BE87" s="1655"/>
      <c r="BF87" s="1655"/>
      <c r="BG87" s="1655"/>
      <c r="BH87" s="1655"/>
      <c r="BI87" s="1655"/>
      <c r="BJ87" s="1655"/>
      <c r="BK87" s="1655"/>
      <c r="BL87" s="1655"/>
      <c r="BM87" s="1655"/>
      <c r="BN87" s="1655"/>
      <c r="BO87" s="1655"/>
      <c r="BP87" s="1655"/>
      <c r="BQ87" s="1655"/>
      <c r="BR87" s="1655"/>
      <c r="BS87" s="1655"/>
      <c r="BT87" s="1655"/>
      <c r="BU87" s="1655"/>
      <c r="BV87" s="1655"/>
      <c r="BW87" s="1655"/>
      <c r="BX87" s="1655"/>
      <c r="BY87" s="1655"/>
      <c r="BZ87" s="1655"/>
      <c r="CA87" s="1655"/>
      <c r="CB87" s="1655"/>
      <c r="CC87" s="1655"/>
      <c r="CD87" s="1655"/>
      <c r="CE87" s="1655"/>
      <c r="CF87" s="1655"/>
      <c r="CG87" s="1655"/>
      <c r="CH87" s="1655"/>
      <c r="CI87" s="1655"/>
      <c r="CJ87" s="1655"/>
      <c r="CK87" s="1655"/>
      <c r="CL87" s="1655"/>
      <c r="CM87" s="1655"/>
      <c r="CN87" s="1655"/>
      <c r="CO87" s="1655"/>
      <c r="CP87" s="1655"/>
      <c r="CQ87" s="1655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827"/>
      <c r="B88" s="1828"/>
      <c r="C88" s="638"/>
      <c r="D88" s="1828"/>
      <c r="E88" s="1647"/>
      <c r="F88" s="1647"/>
      <c r="G88" s="1214"/>
      <c r="H88" s="1647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30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36"/>
      <c r="B89" s="702"/>
      <c r="C89" s="702"/>
      <c r="D89" s="702"/>
      <c r="E89" s="702"/>
      <c r="F89" s="703"/>
      <c r="G89" s="1837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38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39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2010"/>
      <c r="BD91" s="2010"/>
      <c r="BE91" s="2010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2019" t="s">
        <v>4018</v>
      </c>
      <c r="BC92" s="2010"/>
      <c r="BD92" s="2010"/>
      <c r="BE92" s="2010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2020" t="s">
        <v>1272</v>
      </c>
      <c r="B93" s="2021"/>
      <c r="C93" s="2022"/>
      <c r="D93" s="2022"/>
      <c r="E93" s="2023" t="s">
        <v>1876</v>
      </c>
      <c r="F93" s="2021"/>
      <c r="G93" s="2024"/>
      <c r="H93" s="2025"/>
      <c r="I93" s="2021"/>
      <c r="J93" s="2026">
        <f>B93*1.03</f>
        <v>0</v>
      </c>
      <c r="K93" s="2026">
        <f>B93*1.03</f>
        <v>0</v>
      </c>
      <c r="L93" s="2026">
        <f>C93*1.03</f>
        <v>0</v>
      </c>
      <c r="M93" s="2027"/>
      <c r="N93" s="2010" t="s">
        <v>1876</v>
      </c>
      <c r="BC93" s="2010"/>
      <c r="BD93" s="2010"/>
      <c r="BE93" s="2010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2020" t="s">
        <v>88</v>
      </c>
      <c r="B94" s="2021"/>
      <c r="C94" s="2028">
        <f>2*C90+D90</f>
        <v>0</v>
      </c>
      <c r="D94" s="2022">
        <f>D90</f>
        <v>0</v>
      </c>
      <c r="E94" s="2023" t="s">
        <v>1876</v>
      </c>
      <c r="F94" s="2021"/>
      <c r="G94" s="2024"/>
      <c r="H94" s="2025"/>
      <c r="I94" s="2021"/>
      <c r="J94" s="2029">
        <f>B94*1.03</f>
        <v>0</v>
      </c>
      <c r="K94" s="2029"/>
      <c r="L94" s="2498">
        <f>D90</f>
        <v>0</v>
      </c>
      <c r="M94" s="2498"/>
      <c r="N94" s="2498"/>
      <c r="O94" s="2498"/>
      <c r="P94" s="2498"/>
      <c r="Q94" s="2498"/>
      <c r="R94" s="2498"/>
      <c r="S94" s="2498"/>
      <c r="T94" s="2498"/>
      <c r="U94" s="2498"/>
      <c r="BC94" s="2010"/>
      <c r="BD94" s="2010"/>
      <c r="BE94" s="2010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2030" t="s">
        <v>269</v>
      </c>
      <c r="B95" s="2021"/>
      <c r="C95" s="2031"/>
      <c r="D95" s="2031"/>
      <c r="E95" s="2023" t="s">
        <v>1876</v>
      </c>
      <c r="F95" s="2021"/>
      <c r="G95" s="2032"/>
      <c r="H95" s="2025"/>
      <c r="I95" s="2021"/>
      <c r="J95" s="2026">
        <f>B95*1.03</f>
        <v>0</v>
      </c>
      <c r="K95" s="2026">
        <f>B95*1.03</f>
        <v>0</v>
      </c>
      <c r="L95" s="2026">
        <f>C95*1.03</f>
        <v>0</v>
      </c>
      <c r="M95" s="2027"/>
      <c r="N95" s="2010" t="s">
        <v>1876</v>
      </c>
      <c r="BC95" s="2010"/>
      <c r="BD95" s="2010"/>
      <c r="BE95" s="2010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2030" t="s">
        <v>268</v>
      </c>
      <c r="B96" s="2021"/>
      <c r="C96" s="2022"/>
      <c r="D96" s="2022"/>
      <c r="E96" s="2023" t="s">
        <v>1876</v>
      </c>
      <c r="F96" s="2021"/>
      <c r="G96" s="2024"/>
      <c r="H96" s="2025"/>
      <c r="I96" s="2021"/>
      <c r="J96" s="2026">
        <f>B96*1.03</f>
        <v>0</v>
      </c>
      <c r="K96" s="2026">
        <f>B96*1.03</f>
        <v>0</v>
      </c>
      <c r="L96" s="2026">
        <f>C96*1.03</f>
        <v>0</v>
      </c>
      <c r="M96" s="2027"/>
      <c r="N96" s="2010" t="s">
        <v>1876</v>
      </c>
      <c r="BC96" s="2010"/>
      <c r="BD96" s="2010"/>
      <c r="BE96" s="2010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2020" t="s">
        <v>361</v>
      </c>
      <c r="B97" s="2021"/>
      <c r="C97" s="2031">
        <f>D90</f>
        <v>0</v>
      </c>
      <c r="D97" s="2031">
        <f>D90</f>
        <v>0</v>
      </c>
      <c r="E97" s="2023" t="s">
        <v>1876</v>
      </c>
      <c r="F97" s="2021"/>
      <c r="G97" s="2032"/>
      <c r="H97" s="2025"/>
      <c r="I97" s="2021"/>
      <c r="J97" s="2026">
        <f>B97*1.03</f>
        <v>0</v>
      </c>
      <c r="K97" s="2026"/>
      <c r="L97" s="2498">
        <f>D90</f>
        <v>0</v>
      </c>
      <c r="M97" s="2498"/>
      <c r="N97" s="2498"/>
      <c r="O97" s="2498"/>
      <c r="P97" s="2498"/>
      <c r="Q97" s="2498"/>
      <c r="R97" s="2498"/>
      <c r="S97" s="2498"/>
      <c r="T97" s="2498"/>
      <c r="U97" s="2498"/>
      <c r="BC97" s="2010"/>
      <c r="BD97" s="2010"/>
      <c r="BE97" s="2010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2010"/>
      <c r="BD98" s="2010"/>
      <c r="BE98" s="2010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2010"/>
      <c r="BD99" s="2010"/>
      <c r="BE99" s="2010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2010"/>
      <c r="BD100" s="2010"/>
      <c r="BE100" s="2010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2010"/>
      <c r="BD101" s="2010"/>
      <c r="BE101" s="2010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2010"/>
      <c r="BD102" s="2010"/>
      <c r="BE102" s="2010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2010"/>
      <c r="BD103" s="2010"/>
      <c r="BE103" s="2010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2010"/>
      <c r="BD104" s="2010"/>
      <c r="BE104" s="2010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2010"/>
      <c r="BD105" s="2010"/>
      <c r="BE105" s="2010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2010"/>
      <c r="BD106" s="2010"/>
      <c r="BE106" s="2010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2010"/>
      <c r="BD107" s="2010"/>
      <c r="BE107" s="2010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2033" t="s">
        <v>1284</v>
      </c>
      <c r="I108" s="1655"/>
      <c r="J108" s="1655"/>
      <c r="K108" s="1655"/>
      <c r="L108" s="1655"/>
      <c r="M108" s="1655"/>
      <c r="N108" s="1655" t="e">
        <f>VLOOKUP($H108,pp_1XDM,N$121,0)</f>
        <v>#NAME?</v>
      </c>
      <c r="O108" s="1655" t="e">
        <f t="shared" ref="O108:CQ108" si="6">VLOOKUP($H108,pp_1XDM,O$121,0)</f>
        <v>#NAME?</v>
      </c>
      <c r="P108" s="1655" t="e">
        <f t="shared" si="6"/>
        <v>#NAME?</v>
      </c>
      <c r="Q108" s="1655" t="e">
        <f t="shared" si="6"/>
        <v>#NAME?</v>
      </c>
      <c r="R108" s="1655" t="e">
        <f t="shared" si="6"/>
        <v>#NAME?</v>
      </c>
      <c r="S108" s="1655" t="e">
        <f t="shared" si="6"/>
        <v>#NAME?</v>
      </c>
      <c r="T108" s="1655" t="e">
        <f t="shared" si="6"/>
        <v>#NAME?</v>
      </c>
      <c r="U108" s="1655" t="e">
        <f t="shared" si="6"/>
        <v>#NAME?</v>
      </c>
      <c r="V108" s="1655" t="e">
        <f t="shared" si="6"/>
        <v>#NAME?</v>
      </c>
      <c r="W108" s="1655" t="e">
        <f t="shared" si="6"/>
        <v>#NAME?</v>
      </c>
      <c r="X108" s="1655" t="e">
        <f t="shared" si="6"/>
        <v>#NAME?</v>
      </c>
      <c r="Y108" s="1655" t="e">
        <f t="shared" si="6"/>
        <v>#NAME?</v>
      </c>
      <c r="Z108" s="1655" t="e">
        <f t="shared" si="6"/>
        <v>#NAME?</v>
      </c>
      <c r="AA108" s="1655" t="e">
        <f t="shared" si="6"/>
        <v>#NAME?</v>
      </c>
      <c r="AB108" s="1655" t="e">
        <f t="shared" si="6"/>
        <v>#NAME?</v>
      </c>
      <c r="AC108" s="1655" t="e">
        <f t="shared" si="6"/>
        <v>#NAME?</v>
      </c>
      <c r="AD108" s="1655" t="e">
        <f t="shared" si="6"/>
        <v>#NAME?</v>
      </c>
      <c r="AE108" s="1655" t="e">
        <f t="shared" si="6"/>
        <v>#NAME?</v>
      </c>
      <c r="AF108" s="1655" t="e">
        <f t="shared" si="6"/>
        <v>#NAME?</v>
      </c>
      <c r="AG108" s="1655" t="e">
        <f t="shared" si="6"/>
        <v>#NAME?</v>
      </c>
      <c r="AH108" s="1655" t="e">
        <f t="shared" si="6"/>
        <v>#NAME?</v>
      </c>
      <c r="AI108" s="1655" t="e">
        <f t="shared" si="6"/>
        <v>#NAME?</v>
      </c>
      <c r="AJ108" s="1655" t="e">
        <f t="shared" si="6"/>
        <v>#NAME?</v>
      </c>
      <c r="AK108" s="1655" t="e">
        <f t="shared" si="6"/>
        <v>#NAME?</v>
      </c>
      <c r="AL108" s="1655" t="e">
        <f t="shared" si="6"/>
        <v>#NAME?</v>
      </c>
      <c r="AM108" s="1655" t="e">
        <f t="shared" si="6"/>
        <v>#NAME?</v>
      </c>
      <c r="AN108" s="1655" t="e">
        <f t="shared" si="6"/>
        <v>#NAME?</v>
      </c>
      <c r="AO108" s="1655" t="e">
        <f t="shared" si="6"/>
        <v>#NAME?</v>
      </c>
      <c r="AP108" s="1655" t="e">
        <f t="shared" si="6"/>
        <v>#NAME?</v>
      </c>
      <c r="AQ108" s="1655" t="e">
        <f t="shared" si="6"/>
        <v>#NAME?</v>
      </c>
      <c r="AR108" s="1655" t="e">
        <f t="shared" si="6"/>
        <v>#NAME?</v>
      </c>
      <c r="AS108" s="1655" t="e">
        <f t="shared" si="6"/>
        <v>#NAME?</v>
      </c>
      <c r="AT108" s="1655" t="e">
        <f t="shared" si="6"/>
        <v>#NAME?</v>
      </c>
      <c r="AU108" s="1655" t="e">
        <f t="shared" si="6"/>
        <v>#NAME?</v>
      </c>
      <c r="AV108" s="1655" t="e">
        <f t="shared" si="6"/>
        <v>#NAME?</v>
      </c>
      <c r="AW108" s="1655" t="e">
        <f t="shared" si="6"/>
        <v>#NAME?</v>
      </c>
      <c r="AX108" s="1655" t="e">
        <f t="shared" si="6"/>
        <v>#NAME?</v>
      </c>
      <c r="AY108" s="1655" t="e">
        <f t="shared" si="6"/>
        <v>#NAME?</v>
      </c>
      <c r="AZ108" s="1655" t="e">
        <f t="shared" si="6"/>
        <v>#NAME?</v>
      </c>
      <c r="BA108" s="1655" t="e">
        <f t="shared" si="6"/>
        <v>#NAME?</v>
      </c>
      <c r="BB108" s="1655" t="e">
        <f t="shared" si="6"/>
        <v>#NAME?</v>
      </c>
      <c r="BC108" s="1655" t="e">
        <f t="shared" si="6"/>
        <v>#NAME?</v>
      </c>
      <c r="BD108" s="1655" t="e">
        <f t="shared" si="6"/>
        <v>#NAME?</v>
      </c>
      <c r="BE108" s="1655" t="e">
        <f t="shared" si="6"/>
        <v>#NAME?</v>
      </c>
      <c r="BF108" s="1655" t="e">
        <f t="shared" si="6"/>
        <v>#NAME?</v>
      </c>
      <c r="BG108" s="1655" t="e">
        <f t="shared" si="6"/>
        <v>#NAME?</v>
      </c>
      <c r="BH108" s="1655" t="e">
        <f t="shared" si="6"/>
        <v>#NAME?</v>
      </c>
      <c r="BI108" s="1655" t="e">
        <f t="shared" si="6"/>
        <v>#NAME?</v>
      </c>
      <c r="BJ108" s="1655" t="e">
        <f t="shared" si="6"/>
        <v>#NAME?</v>
      </c>
      <c r="BK108" s="1655" t="e">
        <f t="shared" si="6"/>
        <v>#NAME?</v>
      </c>
      <c r="BL108" s="1655" t="e">
        <f t="shared" si="6"/>
        <v>#NAME?</v>
      </c>
      <c r="BM108" s="1655" t="e">
        <f t="shared" si="6"/>
        <v>#NAME?</v>
      </c>
      <c r="BN108" s="1655" t="e">
        <f t="shared" si="6"/>
        <v>#NAME?</v>
      </c>
      <c r="BO108" s="1655" t="e">
        <f t="shared" si="6"/>
        <v>#NAME?</v>
      </c>
      <c r="BP108" s="1655"/>
      <c r="BQ108" s="1655"/>
      <c r="BR108" s="1655" t="e">
        <f t="shared" si="6"/>
        <v>#NAME?</v>
      </c>
      <c r="BS108" s="1655"/>
      <c r="BT108" s="1655"/>
      <c r="BU108" s="1655" t="e">
        <f t="shared" si="6"/>
        <v>#NAME?</v>
      </c>
      <c r="BV108" s="1655" t="e">
        <f t="shared" si="6"/>
        <v>#NAME?</v>
      </c>
      <c r="BW108" s="1655" t="e">
        <f t="shared" si="6"/>
        <v>#NAME?</v>
      </c>
      <c r="BX108" s="1655" t="e">
        <f t="shared" si="6"/>
        <v>#NAME?</v>
      </c>
      <c r="BY108" s="1655" t="e">
        <f t="shared" si="6"/>
        <v>#NAME?</v>
      </c>
      <c r="BZ108" s="1655"/>
      <c r="CA108" s="1655" t="e">
        <f t="shared" si="6"/>
        <v>#NAME?</v>
      </c>
      <c r="CB108" s="1655" t="e">
        <f t="shared" si="6"/>
        <v>#NAME?</v>
      </c>
      <c r="CC108" s="1655" t="e">
        <f t="shared" si="6"/>
        <v>#NAME?</v>
      </c>
      <c r="CD108" s="1655" t="e">
        <f t="shared" si="6"/>
        <v>#NAME?</v>
      </c>
      <c r="CE108" s="1655" t="e">
        <f t="shared" si="6"/>
        <v>#NAME?</v>
      </c>
      <c r="CF108" s="1655" t="e">
        <f t="shared" si="6"/>
        <v>#NAME?</v>
      </c>
      <c r="CG108" s="1655" t="e">
        <f t="shared" si="6"/>
        <v>#NAME?</v>
      </c>
      <c r="CH108" s="1655" t="e">
        <f t="shared" si="6"/>
        <v>#NAME?</v>
      </c>
      <c r="CI108" s="1655" t="e">
        <f t="shared" si="6"/>
        <v>#NAME?</v>
      </c>
      <c r="CJ108" s="1655" t="e">
        <f t="shared" si="6"/>
        <v>#NAME?</v>
      </c>
      <c r="CK108" s="1655" t="e">
        <f t="shared" si="6"/>
        <v>#NAME?</v>
      </c>
      <c r="CL108" s="1655" t="e">
        <f t="shared" si="6"/>
        <v>#NAME?</v>
      </c>
      <c r="CM108" s="1655" t="e">
        <f t="shared" si="6"/>
        <v>#NAME?</v>
      </c>
      <c r="CN108" s="1655" t="e">
        <f t="shared" si="6"/>
        <v>#NAME?</v>
      </c>
      <c r="CO108" s="1655" t="e">
        <f t="shared" si="6"/>
        <v>#NAME?</v>
      </c>
      <c r="CP108" s="1655" t="e">
        <f t="shared" si="6"/>
        <v>#NAME?</v>
      </c>
      <c r="CQ108" s="1655" t="e">
        <f t="shared" si="6"/>
        <v>#NAME?</v>
      </c>
      <c r="CR108" s="2034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2035"/>
      <c r="J109" s="2035"/>
      <c r="K109" s="2035"/>
      <c r="L109" s="2035"/>
      <c r="M109" s="2035"/>
      <c r="N109" s="2035"/>
      <c r="O109" s="2036"/>
      <c r="P109" s="2036"/>
      <c r="Q109" s="2036"/>
      <c r="R109" s="2036"/>
      <c r="S109" s="2036"/>
      <c r="T109" s="2036">
        <v>1</v>
      </c>
      <c r="U109" s="2035"/>
      <c r="V109" s="2036"/>
      <c r="W109" s="2036"/>
      <c r="X109" s="2036"/>
      <c r="Y109" s="2036"/>
      <c r="Z109" s="2036"/>
      <c r="AA109" s="2036">
        <v>1</v>
      </c>
      <c r="AB109" s="2036"/>
      <c r="AC109" s="2036"/>
      <c r="AD109" s="2036"/>
      <c r="AE109" s="2036"/>
      <c r="AF109" s="2036"/>
      <c r="AG109" s="2036"/>
      <c r="AH109" s="2036"/>
      <c r="AI109" s="2036"/>
      <c r="AJ109" s="2036"/>
      <c r="AK109" s="2035"/>
      <c r="AL109" s="2035"/>
      <c r="AM109" s="2035"/>
      <c r="AN109" s="2035"/>
      <c r="AO109" s="2035"/>
      <c r="AP109" s="2035"/>
      <c r="AQ109" s="2035"/>
      <c r="AR109" s="2035"/>
      <c r="AS109" s="2035"/>
      <c r="AT109" s="2035"/>
      <c r="AU109" s="2035"/>
      <c r="AV109" s="2035"/>
      <c r="AW109" s="2036"/>
      <c r="AX109" s="2036"/>
      <c r="AY109" s="2036"/>
      <c r="AZ109" s="2036"/>
      <c r="BA109" s="2036"/>
      <c r="BB109" s="2036"/>
      <c r="BC109" s="2035"/>
      <c r="BD109" s="2035"/>
      <c r="BE109" s="2035"/>
      <c r="BF109" s="2036"/>
      <c r="BG109" s="2036"/>
      <c r="BH109" s="2036"/>
      <c r="BI109" s="2036"/>
      <c r="BJ109" s="2036"/>
      <c r="BK109" s="2036"/>
      <c r="BL109" s="2036"/>
      <c r="BM109" s="2036"/>
      <c r="BN109" s="2035">
        <v>1</v>
      </c>
      <c r="BO109" s="2035"/>
      <c r="BP109" s="2035"/>
      <c r="BQ109" s="2035"/>
      <c r="BR109" s="2035"/>
      <c r="BS109" s="2035"/>
      <c r="BT109" s="2035"/>
      <c r="BU109" s="2035"/>
      <c r="BV109" s="2035"/>
      <c r="BW109" s="2035">
        <v>1</v>
      </c>
      <c r="BX109" s="2035"/>
      <c r="BY109" s="2037"/>
      <c r="BZ109" s="2037"/>
      <c r="CA109" s="2035"/>
      <c r="CB109" s="2035"/>
      <c r="CC109" s="2035"/>
      <c r="CD109" s="2035"/>
      <c r="CE109" s="2035"/>
      <c r="CF109" s="2035"/>
      <c r="CG109" s="2035"/>
      <c r="CH109" s="2035"/>
      <c r="CI109" s="2035"/>
      <c r="CJ109" s="2035"/>
      <c r="CK109" s="2035"/>
      <c r="CL109" s="2035"/>
      <c r="CM109" s="2035"/>
      <c r="CN109" s="2035"/>
      <c r="CO109" s="2035"/>
      <c r="CP109" s="2035"/>
      <c r="CQ109" s="2035"/>
      <c r="CR109" s="2038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2039"/>
      <c r="J110" s="2039"/>
      <c r="K110" s="2039"/>
      <c r="L110" s="2039"/>
      <c r="M110" s="2039"/>
      <c r="N110" s="2039"/>
      <c r="O110" s="2040"/>
      <c r="P110" s="2040"/>
      <c r="Q110" s="2040"/>
      <c r="R110" s="2040"/>
      <c r="S110" s="2040"/>
      <c r="T110" s="2040"/>
      <c r="U110" s="2039">
        <v>1</v>
      </c>
      <c r="V110" s="2040">
        <v>1</v>
      </c>
      <c r="W110" s="2040">
        <v>1</v>
      </c>
      <c r="X110" s="2040"/>
      <c r="Y110" s="2040"/>
      <c r="Z110" s="2040"/>
      <c r="AA110" s="2040"/>
      <c r="AB110" s="2040">
        <v>1</v>
      </c>
      <c r="AC110" s="2040"/>
      <c r="AD110" s="2040"/>
      <c r="AE110" s="2040"/>
      <c r="AF110" s="2040"/>
      <c r="AG110" s="2040"/>
      <c r="AH110" s="2040"/>
      <c r="AI110" s="2040"/>
      <c r="AJ110" s="2040"/>
      <c r="AK110" s="2039"/>
      <c r="AL110" s="2039"/>
      <c r="AM110" s="2039"/>
      <c r="AN110" s="2039">
        <v>1</v>
      </c>
      <c r="AO110" s="2039"/>
      <c r="AP110" s="2039"/>
      <c r="AQ110" s="2039"/>
      <c r="AR110" s="2039"/>
      <c r="AS110" s="2039"/>
      <c r="AT110" s="2039"/>
      <c r="AU110" s="2039"/>
      <c r="AV110" s="2039"/>
      <c r="AW110" s="2040"/>
      <c r="AX110" s="2040"/>
      <c r="AY110" s="2040">
        <v>1</v>
      </c>
      <c r="AZ110" s="2040"/>
      <c r="BA110" s="2040">
        <v>1</v>
      </c>
      <c r="BB110" s="2040"/>
      <c r="BC110" s="2039"/>
      <c r="BD110" s="2039"/>
      <c r="BE110" s="2039"/>
      <c r="BF110" s="2040"/>
      <c r="BG110" s="2040"/>
      <c r="BH110" s="2040">
        <v>1</v>
      </c>
      <c r="BI110" s="2040"/>
      <c r="BJ110" s="2040">
        <v>1</v>
      </c>
      <c r="BK110" s="2040"/>
      <c r="BL110" s="2040">
        <v>1</v>
      </c>
      <c r="BM110" s="2040"/>
      <c r="BN110" s="2039"/>
      <c r="BO110" s="2039">
        <v>1</v>
      </c>
      <c r="BP110" s="2039"/>
      <c r="BQ110" s="2039"/>
      <c r="BR110" s="2039">
        <v>1</v>
      </c>
      <c r="BS110" s="2039"/>
      <c r="BT110" s="2039"/>
      <c r="BU110" s="2039"/>
      <c r="BV110" s="2039"/>
      <c r="BW110" s="2039">
        <v>1</v>
      </c>
      <c r="BX110" s="2039"/>
      <c r="BY110" s="2041"/>
      <c r="BZ110" s="2041"/>
      <c r="CA110" s="2039"/>
      <c r="CB110" s="2039"/>
      <c r="CC110" s="2039"/>
      <c r="CD110" s="2039"/>
      <c r="CE110" s="2039"/>
      <c r="CF110" s="2039"/>
      <c r="CG110" s="2039"/>
      <c r="CH110" s="2039"/>
      <c r="CI110" s="2039"/>
      <c r="CJ110" s="2039"/>
      <c r="CK110" s="2039"/>
      <c r="CL110" s="2039"/>
      <c r="CM110" s="2039"/>
      <c r="CN110" s="2039"/>
      <c r="CO110" s="2039"/>
      <c r="CP110" s="2039"/>
      <c r="CQ110" s="2039"/>
      <c r="CR110" s="2042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2039"/>
      <c r="J111" s="2039"/>
      <c r="K111" s="2039"/>
      <c r="L111" s="2039"/>
      <c r="M111" s="2039"/>
      <c r="N111" s="2039"/>
      <c r="O111" s="2040"/>
      <c r="P111" s="2040"/>
      <c r="Q111" s="2040"/>
      <c r="R111" s="2040"/>
      <c r="S111" s="2040"/>
      <c r="T111" s="2040"/>
      <c r="U111" s="2039"/>
      <c r="V111" s="2040"/>
      <c r="W111" s="2040"/>
      <c r="X111" s="2040"/>
      <c r="Y111" s="2040"/>
      <c r="Z111" s="2040"/>
      <c r="AA111" s="2040"/>
      <c r="AB111" s="2040"/>
      <c r="AC111" s="2040"/>
      <c r="AD111" s="2040"/>
      <c r="AE111" s="2040"/>
      <c r="AF111" s="2040"/>
      <c r="AG111" s="2040"/>
      <c r="AH111" s="2040"/>
      <c r="AI111" s="2040"/>
      <c r="AJ111" s="2040"/>
      <c r="AK111" s="2039"/>
      <c r="AL111" s="2039"/>
      <c r="AM111" s="2039"/>
      <c r="AN111" s="2039"/>
      <c r="AO111" s="2039"/>
      <c r="AP111" s="2039"/>
      <c r="AQ111" s="2039"/>
      <c r="AR111" s="2039"/>
      <c r="AS111" s="2039"/>
      <c r="AT111" s="2039"/>
      <c r="AU111" s="2039"/>
      <c r="AV111" s="2039"/>
      <c r="AW111" s="2040"/>
      <c r="AX111" s="2040"/>
      <c r="AY111" s="2040"/>
      <c r="AZ111" s="2040"/>
      <c r="BA111" s="2040"/>
      <c r="BB111" s="2040"/>
      <c r="BC111" s="2039"/>
      <c r="BD111" s="2039"/>
      <c r="BE111" s="2039"/>
      <c r="BF111" s="2040"/>
      <c r="BG111" s="2040"/>
      <c r="BH111" s="2040"/>
      <c r="BI111" s="2040"/>
      <c r="BJ111" s="2040"/>
      <c r="BK111" s="2040"/>
      <c r="BL111" s="2040"/>
      <c r="BM111" s="2040"/>
      <c r="BN111" s="2039"/>
      <c r="BO111" s="2039"/>
      <c r="BP111" s="2039"/>
      <c r="BQ111" s="2039"/>
      <c r="BR111" s="2039"/>
      <c r="BS111" s="2039"/>
      <c r="BT111" s="2039"/>
      <c r="BU111" s="2039"/>
      <c r="BV111" s="2039"/>
      <c r="BW111" s="2039"/>
      <c r="BX111" s="2039"/>
      <c r="BY111" s="2041"/>
      <c r="BZ111" s="2041"/>
      <c r="CA111" s="2039"/>
      <c r="CB111" s="2039"/>
      <c r="CC111" s="2039"/>
      <c r="CD111" s="2039"/>
      <c r="CE111" s="2039"/>
      <c r="CF111" s="2039"/>
      <c r="CG111" s="2039"/>
      <c r="CH111" s="2039"/>
      <c r="CI111" s="2039"/>
      <c r="CJ111" s="2039"/>
      <c r="CK111" s="2039"/>
      <c r="CL111" s="2039"/>
      <c r="CM111" s="2039"/>
      <c r="CN111" s="2039"/>
      <c r="CO111" s="2039"/>
      <c r="CP111" s="2039"/>
      <c r="CQ111" s="2039"/>
      <c r="CR111" s="2042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2039"/>
      <c r="J112" s="2039"/>
      <c r="K112" s="2039"/>
      <c r="L112" s="2039"/>
      <c r="M112" s="2039"/>
      <c r="N112" s="2039"/>
      <c r="O112" s="2040"/>
      <c r="P112" s="2040"/>
      <c r="Q112" s="2040"/>
      <c r="R112" s="2040"/>
      <c r="S112" s="2040"/>
      <c r="T112" s="2040"/>
      <c r="U112" s="2039"/>
      <c r="V112" s="2040"/>
      <c r="W112" s="2040"/>
      <c r="X112" s="2040"/>
      <c r="Y112" s="2040"/>
      <c r="Z112" s="2040"/>
      <c r="AA112" s="2040"/>
      <c r="AB112" s="2040"/>
      <c r="AC112" s="2040"/>
      <c r="AD112" s="2040"/>
      <c r="AE112" s="2040"/>
      <c r="AF112" s="2040"/>
      <c r="AG112" s="2040"/>
      <c r="AH112" s="2040"/>
      <c r="AI112" s="2040"/>
      <c r="AJ112" s="2040"/>
      <c r="AK112" s="2039"/>
      <c r="AL112" s="2039"/>
      <c r="AM112" s="2039"/>
      <c r="AN112" s="2039"/>
      <c r="AO112" s="2039"/>
      <c r="AP112" s="2039"/>
      <c r="AQ112" s="2039"/>
      <c r="AR112" s="2039"/>
      <c r="AS112" s="2039"/>
      <c r="AT112" s="2039"/>
      <c r="AU112" s="2039"/>
      <c r="AV112" s="2039"/>
      <c r="AW112" s="2040"/>
      <c r="AX112" s="2040"/>
      <c r="AY112" s="2040"/>
      <c r="AZ112" s="2040"/>
      <c r="BA112" s="2040"/>
      <c r="BB112" s="2040"/>
      <c r="BC112" s="2039"/>
      <c r="BD112" s="2039"/>
      <c r="BE112" s="2039"/>
      <c r="BF112" s="2040"/>
      <c r="BG112" s="2040"/>
      <c r="BH112" s="2040"/>
      <c r="BI112" s="2040"/>
      <c r="BJ112" s="2040"/>
      <c r="BK112" s="2040"/>
      <c r="BL112" s="2040"/>
      <c r="BM112" s="2040"/>
      <c r="BN112" s="2039"/>
      <c r="BO112" s="2039"/>
      <c r="BP112" s="2039"/>
      <c r="BQ112" s="2039"/>
      <c r="BR112" s="2039"/>
      <c r="BS112" s="2039"/>
      <c r="BT112" s="2039"/>
      <c r="BU112" s="2039"/>
      <c r="BV112" s="2039"/>
      <c r="BW112" s="2039"/>
      <c r="BX112" s="2039"/>
      <c r="BY112" s="2041"/>
      <c r="BZ112" s="2041"/>
      <c r="CA112" s="2039"/>
      <c r="CB112" s="2039"/>
      <c r="CC112" s="2039"/>
      <c r="CD112" s="2039"/>
      <c r="CE112" s="2039"/>
      <c r="CF112" s="2039"/>
      <c r="CG112" s="2039"/>
      <c r="CH112" s="2039"/>
      <c r="CI112" s="2039"/>
      <c r="CJ112" s="2039"/>
      <c r="CK112" s="2039"/>
      <c r="CL112" s="2039"/>
      <c r="CM112" s="2039"/>
      <c r="CN112" s="2039"/>
      <c r="CO112" s="2039"/>
      <c r="CP112" s="2039"/>
      <c r="CQ112" s="2039"/>
      <c r="CR112" s="2042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2039"/>
      <c r="J113" s="2039"/>
      <c r="K113" s="2039"/>
      <c r="L113" s="2039"/>
      <c r="M113" s="2039"/>
      <c r="N113" s="2039"/>
      <c r="O113" s="2040"/>
      <c r="P113" s="2040"/>
      <c r="Q113" s="2040"/>
      <c r="R113" s="2040"/>
      <c r="S113" s="2040"/>
      <c r="T113" s="2040"/>
      <c r="U113" s="2039"/>
      <c r="V113" s="2040"/>
      <c r="W113" s="2040"/>
      <c r="X113" s="2040"/>
      <c r="Y113" s="2040"/>
      <c r="Z113" s="2040"/>
      <c r="AA113" s="2040"/>
      <c r="AB113" s="2040"/>
      <c r="AC113" s="2040"/>
      <c r="AD113" s="2040"/>
      <c r="AE113" s="2040"/>
      <c r="AF113" s="2040"/>
      <c r="AG113" s="2040"/>
      <c r="AH113" s="2040"/>
      <c r="AI113" s="2040"/>
      <c r="AJ113" s="2040"/>
      <c r="AK113" s="2039"/>
      <c r="AL113" s="2039"/>
      <c r="AM113" s="2039"/>
      <c r="AN113" s="2039"/>
      <c r="AO113" s="2039"/>
      <c r="AP113" s="2039"/>
      <c r="AQ113" s="2039"/>
      <c r="AR113" s="2039"/>
      <c r="AS113" s="2039"/>
      <c r="AT113" s="2039"/>
      <c r="AU113" s="2039"/>
      <c r="AV113" s="2039"/>
      <c r="AW113" s="2040"/>
      <c r="AX113" s="2040"/>
      <c r="AY113" s="2040"/>
      <c r="AZ113" s="2040"/>
      <c r="BA113" s="2040"/>
      <c r="BB113" s="2040"/>
      <c r="BC113" s="2039"/>
      <c r="BD113" s="2039"/>
      <c r="BE113" s="2039"/>
      <c r="BF113" s="2040"/>
      <c r="BG113" s="2040"/>
      <c r="BH113" s="2040"/>
      <c r="BI113" s="2040"/>
      <c r="BJ113" s="2040"/>
      <c r="BK113" s="2040"/>
      <c r="BL113" s="2040"/>
      <c r="BM113" s="2040"/>
      <c r="BN113" s="2039"/>
      <c r="BO113" s="2039"/>
      <c r="BP113" s="2039"/>
      <c r="BQ113" s="2039"/>
      <c r="BR113" s="2039"/>
      <c r="BS113" s="2039"/>
      <c r="BT113" s="2039"/>
      <c r="BU113" s="2039"/>
      <c r="BV113" s="2039"/>
      <c r="BW113" s="2039"/>
      <c r="BX113" s="2039"/>
      <c r="BY113" s="2041"/>
      <c r="BZ113" s="2041"/>
      <c r="CA113" s="2039"/>
      <c r="CB113" s="2039"/>
      <c r="CC113" s="2039"/>
      <c r="CD113" s="2039"/>
      <c r="CE113" s="2039"/>
      <c r="CF113" s="2039"/>
      <c r="CG113" s="2039"/>
      <c r="CH113" s="2039"/>
      <c r="CI113" s="2039"/>
      <c r="CJ113" s="2039"/>
      <c r="CK113" s="2039"/>
      <c r="CL113" s="2039"/>
      <c r="CM113" s="2039"/>
      <c r="CN113" s="2039"/>
      <c r="CO113" s="2039"/>
      <c r="CP113" s="2039"/>
      <c r="CQ113" s="2039"/>
      <c r="CR113" s="2042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2039"/>
      <c r="J114" s="2039"/>
      <c r="K114" s="2039"/>
      <c r="L114" s="2039"/>
      <c r="M114" s="2039"/>
      <c r="N114" s="2039"/>
      <c r="O114" s="2040"/>
      <c r="P114" s="2040"/>
      <c r="Q114" s="2040"/>
      <c r="R114" s="2040"/>
      <c r="S114" s="2040"/>
      <c r="T114" s="2040"/>
      <c r="U114" s="2039">
        <v>1</v>
      </c>
      <c r="V114" s="2040">
        <v>1</v>
      </c>
      <c r="W114" s="2040">
        <v>1</v>
      </c>
      <c r="X114" s="2040"/>
      <c r="Y114" s="2040"/>
      <c r="Z114" s="2040"/>
      <c r="AA114" s="2040"/>
      <c r="AB114" s="2040">
        <v>1</v>
      </c>
      <c r="AC114" s="2040"/>
      <c r="AD114" s="2040"/>
      <c r="AE114" s="2040"/>
      <c r="AF114" s="2040"/>
      <c r="AG114" s="2040"/>
      <c r="AH114" s="2040"/>
      <c r="AI114" s="2040"/>
      <c r="AJ114" s="2040"/>
      <c r="AK114" s="2039"/>
      <c r="AL114" s="2039"/>
      <c r="AM114" s="2039"/>
      <c r="AN114" s="2039">
        <v>2</v>
      </c>
      <c r="AO114" s="2039"/>
      <c r="AP114" s="2039"/>
      <c r="AQ114" s="2039"/>
      <c r="AR114" s="2039"/>
      <c r="AS114" s="2039"/>
      <c r="AT114" s="2039"/>
      <c r="AU114" s="2039"/>
      <c r="AV114" s="2039"/>
      <c r="AW114" s="2040"/>
      <c r="AX114" s="2040"/>
      <c r="AY114" s="2040">
        <v>2</v>
      </c>
      <c r="AZ114" s="2040"/>
      <c r="BA114" s="2040">
        <v>2</v>
      </c>
      <c r="BB114" s="2040"/>
      <c r="BC114" s="2039"/>
      <c r="BD114" s="2039"/>
      <c r="BE114" s="2039"/>
      <c r="BF114" s="2040"/>
      <c r="BG114" s="2040"/>
      <c r="BH114" s="2040">
        <v>2</v>
      </c>
      <c r="BI114" s="2040"/>
      <c r="BJ114" s="2040">
        <v>2</v>
      </c>
      <c r="BK114" s="2040"/>
      <c r="BL114" s="2040">
        <v>2</v>
      </c>
      <c r="BM114" s="2040"/>
      <c r="BN114" s="2039">
        <v>1</v>
      </c>
      <c r="BO114" s="2039"/>
      <c r="BP114" s="2039"/>
      <c r="BQ114" s="2039"/>
      <c r="BR114" s="2039"/>
      <c r="BS114" s="2039"/>
      <c r="BT114" s="2039"/>
      <c r="BU114" s="2039">
        <v>2</v>
      </c>
      <c r="BV114" s="2039">
        <v>2</v>
      </c>
      <c r="BW114" s="2039"/>
      <c r="BX114" s="2039">
        <v>2</v>
      </c>
      <c r="BY114" s="2041"/>
      <c r="BZ114" s="2041"/>
      <c r="CA114" s="2039">
        <v>2</v>
      </c>
      <c r="CB114" s="2039">
        <v>2</v>
      </c>
      <c r="CC114" s="2039">
        <v>2</v>
      </c>
      <c r="CD114" s="2039">
        <v>2</v>
      </c>
      <c r="CE114" s="2039">
        <v>2</v>
      </c>
      <c r="CF114" s="2039">
        <v>2</v>
      </c>
      <c r="CG114" s="2039">
        <v>2</v>
      </c>
      <c r="CH114" s="2039">
        <v>2</v>
      </c>
      <c r="CI114" s="2039">
        <v>2</v>
      </c>
      <c r="CJ114" s="2039">
        <v>2</v>
      </c>
      <c r="CK114" s="2039">
        <v>2</v>
      </c>
      <c r="CL114" s="2039">
        <v>2</v>
      </c>
      <c r="CM114" s="2039">
        <v>2</v>
      </c>
      <c r="CN114" s="2039">
        <v>1</v>
      </c>
      <c r="CO114" s="2039">
        <v>2</v>
      </c>
      <c r="CP114" s="2039">
        <v>2</v>
      </c>
      <c r="CQ114" s="2039">
        <v>2</v>
      </c>
      <c r="CR114" s="2042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2039"/>
      <c r="J115" s="2039"/>
      <c r="K115" s="2039"/>
      <c r="L115" s="2039"/>
      <c r="M115" s="2039"/>
      <c r="N115" s="2039"/>
      <c r="O115" s="2040"/>
      <c r="P115" s="2040"/>
      <c r="Q115" s="2040"/>
      <c r="R115" s="2040"/>
      <c r="S115" s="2040"/>
      <c r="T115" s="2040"/>
      <c r="U115" s="2039">
        <v>1</v>
      </c>
      <c r="V115" s="2040">
        <v>1</v>
      </c>
      <c r="W115" s="2040">
        <v>1</v>
      </c>
      <c r="X115" s="2040"/>
      <c r="Y115" s="2040"/>
      <c r="Z115" s="2040"/>
      <c r="AA115" s="2040"/>
      <c r="AB115" s="2040">
        <v>1</v>
      </c>
      <c r="AC115" s="2040"/>
      <c r="AD115" s="2040"/>
      <c r="AE115" s="2040"/>
      <c r="AF115" s="2040"/>
      <c r="AG115" s="2040"/>
      <c r="AH115" s="2040"/>
      <c r="AI115" s="2040"/>
      <c r="AJ115" s="2040"/>
      <c r="AK115" s="2039"/>
      <c r="AL115" s="2039"/>
      <c r="AM115" s="2039"/>
      <c r="AN115" s="2039">
        <v>2</v>
      </c>
      <c r="AO115" s="2039"/>
      <c r="AP115" s="2039"/>
      <c r="AQ115" s="2039"/>
      <c r="AR115" s="2039"/>
      <c r="AS115" s="2039"/>
      <c r="AT115" s="2039"/>
      <c r="AU115" s="2039"/>
      <c r="AV115" s="2039"/>
      <c r="AW115" s="2040"/>
      <c r="AX115" s="2040"/>
      <c r="AY115" s="2040">
        <v>2</v>
      </c>
      <c r="AZ115" s="2040"/>
      <c r="BA115" s="2040">
        <v>2</v>
      </c>
      <c r="BB115" s="2040"/>
      <c r="BC115" s="2039"/>
      <c r="BD115" s="2039"/>
      <c r="BE115" s="2039"/>
      <c r="BF115" s="2040"/>
      <c r="BG115" s="2040"/>
      <c r="BH115" s="2040">
        <v>2</v>
      </c>
      <c r="BI115" s="2040"/>
      <c r="BJ115" s="2040">
        <v>2</v>
      </c>
      <c r="BK115" s="2040"/>
      <c r="BL115" s="2040">
        <v>2</v>
      </c>
      <c r="BM115" s="2040"/>
      <c r="BN115" s="2039"/>
      <c r="BO115" s="2039"/>
      <c r="BP115" s="2039"/>
      <c r="BQ115" s="2039"/>
      <c r="BR115" s="2039"/>
      <c r="BS115" s="2039"/>
      <c r="BT115" s="2039"/>
      <c r="BU115" s="2039">
        <v>2</v>
      </c>
      <c r="BV115" s="2039">
        <v>2</v>
      </c>
      <c r="BW115" s="2039"/>
      <c r="BX115" s="2039">
        <v>2</v>
      </c>
      <c r="BY115" s="2041"/>
      <c r="BZ115" s="2041"/>
      <c r="CA115" s="2039">
        <v>2</v>
      </c>
      <c r="CB115" s="2039">
        <v>2</v>
      </c>
      <c r="CC115" s="2039">
        <v>2</v>
      </c>
      <c r="CD115" s="2039">
        <v>2</v>
      </c>
      <c r="CE115" s="2039">
        <v>2</v>
      </c>
      <c r="CF115" s="2039">
        <v>2</v>
      </c>
      <c r="CG115" s="2039">
        <v>2</v>
      </c>
      <c r="CH115" s="2039">
        <v>2</v>
      </c>
      <c r="CI115" s="2039">
        <v>2</v>
      </c>
      <c r="CJ115" s="2039">
        <v>2</v>
      </c>
      <c r="CK115" s="2039">
        <v>2</v>
      </c>
      <c r="CL115" s="2039">
        <v>2</v>
      </c>
      <c r="CM115" s="2039">
        <v>2</v>
      </c>
      <c r="CN115" s="2039">
        <v>1</v>
      </c>
      <c r="CO115" s="2039">
        <v>2</v>
      </c>
      <c r="CP115" s="2039">
        <v>2</v>
      </c>
      <c r="CQ115" s="2039">
        <v>2</v>
      </c>
      <c r="CR115" s="2042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2039"/>
      <c r="J116" s="2039"/>
      <c r="K116" s="2039"/>
      <c r="L116" s="2039"/>
      <c r="M116" s="2039"/>
      <c r="N116" s="2039"/>
      <c r="O116" s="2040"/>
      <c r="P116" s="2040"/>
      <c r="Q116" s="2040"/>
      <c r="R116" s="2040"/>
      <c r="S116" s="2040"/>
      <c r="T116" s="2040"/>
      <c r="U116" s="2039">
        <v>1</v>
      </c>
      <c r="V116" s="2040">
        <v>1</v>
      </c>
      <c r="W116" s="2040">
        <v>1</v>
      </c>
      <c r="X116" s="2040"/>
      <c r="Y116" s="2040"/>
      <c r="Z116" s="2040"/>
      <c r="AA116" s="2040"/>
      <c r="AB116" s="2040">
        <v>1</v>
      </c>
      <c r="AC116" s="2040"/>
      <c r="AD116" s="2040"/>
      <c r="AE116" s="2040"/>
      <c r="AF116" s="2040"/>
      <c r="AG116" s="2040"/>
      <c r="AH116" s="2040"/>
      <c r="AI116" s="2040"/>
      <c r="AJ116" s="2040"/>
      <c r="AK116" s="2039"/>
      <c r="AL116" s="2039"/>
      <c r="AM116" s="2039"/>
      <c r="AN116" s="2039"/>
      <c r="AO116" s="2039"/>
      <c r="AP116" s="2039">
        <v>2</v>
      </c>
      <c r="AQ116" s="2039"/>
      <c r="AR116" s="2039"/>
      <c r="AS116" s="2039"/>
      <c r="AT116" s="2039"/>
      <c r="AU116" s="2039"/>
      <c r="AV116" s="2039"/>
      <c r="AW116" s="2040"/>
      <c r="AX116" s="2040"/>
      <c r="AY116" s="2040">
        <v>2</v>
      </c>
      <c r="AZ116" s="2040"/>
      <c r="BA116" s="2040">
        <v>2</v>
      </c>
      <c r="BB116" s="2040"/>
      <c r="BC116" s="2039"/>
      <c r="BD116" s="2039"/>
      <c r="BE116" s="2039"/>
      <c r="BF116" s="2040"/>
      <c r="BG116" s="2040"/>
      <c r="BH116" s="2040">
        <v>2</v>
      </c>
      <c r="BI116" s="2040"/>
      <c r="BJ116" s="2040">
        <v>2</v>
      </c>
      <c r="BK116" s="2040"/>
      <c r="BL116" s="2040">
        <v>2</v>
      </c>
      <c r="BM116" s="2040"/>
      <c r="BN116" s="2039"/>
      <c r="BO116" s="2039"/>
      <c r="BP116" s="2039"/>
      <c r="BQ116" s="2039"/>
      <c r="BR116" s="2039"/>
      <c r="BS116" s="2039"/>
      <c r="BT116" s="2039"/>
      <c r="BU116" s="2039">
        <v>2</v>
      </c>
      <c r="BV116" s="2039">
        <v>2</v>
      </c>
      <c r="BW116" s="2039"/>
      <c r="BX116" s="2039">
        <v>2</v>
      </c>
      <c r="BY116" s="2041"/>
      <c r="BZ116" s="2041"/>
      <c r="CA116" s="2039">
        <v>2</v>
      </c>
      <c r="CB116" s="2039">
        <v>2</v>
      </c>
      <c r="CC116" s="2039">
        <v>2</v>
      </c>
      <c r="CD116" s="2039">
        <v>2</v>
      </c>
      <c r="CE116" s="2039">
        <v>2</v>
      </c>
      <c r="CF116" s="2039">
        <v>2</v>
      </c>
      <c r="CG116" s="2039">
        <v>2</v>
      </c>
      <c r="CH116" s="2039">
        <v>2</v>
      </c>
      <c r="CI116" s="2039">
        <v>2</v>
      </c>
      <c r="CJ116" s="2039">
        <v>2</v>
      </c>
      <c r="CK116" s="2039">
        <v>2</v>
      </c>
      <c r="CL116" s="2039">
        <v>2</v>
      </c>
      <c r="CM116" s="2039">
        <v>2</v>
      </c>
      <c r="CN116" s="2039">
        <v>1</v>
      </c>
      <c r="CO116" s="2039">
        <v>2</v>
      </c>
      <c r="CP116" s="2039">
        <v>2</v>
      </c>
      <c r="CQ116" s="2039">
        <v>2</v>
      </c>
      <c r="CR116" s="2042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2039"/>
      <c r="J117" s="2039"/>
      <c r="K117" s="2039"/>
      <c r="L117" s="2039"/>
      <c r="M117" s="2039"/>
      <c r="N117" s="2039"/>
      <c r="O117" s="2040"/>
      <c r="P117" s="2040"/>
      <c r="Q117" s="2040"/>
      <c r="R117" s="2040"/>
      <c r="S117" s="2040"/>
      <c r="T117" s="2040"/>
      <c r="U117" s="2039">
        <v>1</v>
      </c>
      <c r="V117" s="2040">
        <v>1</v>
      </c>
      <c r="W117" s="2040">
        <v>1</v>
      </c>
      <c r="X117" s="2040"/>
      <c r="Y117" s="2040"/>
      <c r="Z117" s="2040"/>
      <c r="AA117" s="2040"/>
      <c r="AB117" s="2040">
        <v>1</v>
      </c>
      <c r="AC117" s="2040"/>
      <c r="AD117" s="2040"/>
      <c r="AE117" s="2040"/>
      <c r="AF117" s="2040"/>
      <c r="AG117" s="2040"/>
      <c r="AH117" s="2040"/>
      <c r="AI117" s="2040"/>
      <c r="AJ117" s="2040"/>
      <c r="AK117" s="2039"/>
      <c r="AL117" s="2039"/>
      <c r="AM117" s="2039"/>
      <c r="AN117" s="2039">
        <v>2</v>
      </c>
      <c r="AO117" s="2039"/>
      <c r="AP117" s="2039"/>
      <c r="AQ117" s="2039"/>
      <c r="AR117" s="2039"/>
      <c r="AS117" s="2039"/>
      <c r="AT117" s="2039"/>
      <c r="AU117" s="2039"/>
      <c r="AV117" s="2039"/>
      <c r="AW117" s="2040"/>
      <c r="AX117" s="2040"/>
      <c r="AY117" s="2040">
        <v>2</v>
      </c>
      <c r="AZ117" s="2040"/>
      <c r="BA117" s="2040">
        <v>2</v>
      </c>
      <c r="BB117" s="2040"/>
      <c r="BC117" s="2039"/>
      <c r="BD117" s="2039"/>
      <c r="BE117" s="2039"/>
      <c r="BF117" s="2040"/>
      <c r="BG117" s="2040"/>
      <c r="BH117" s="2040">
        <v>2</v>
      </c>
      <c r="BI117" s="2040"/>
      <c r="BJ117" s="2040">
        <v>2</v>
      </c>
      <c r="BK117" s="2040"/>
      <c r="BL117" s="2040">
        <v>2</v>
      </c>
      <c r="BM117" s="2040"/>
      <c r="BN117" s="2039"/>
      <c r="BO117" s="2039"/>
      <c r="BP117" s="2039"/>
      <c r="BQ117" s="2039"/>
      <c r="BR117" s="2039"/>
      <c r="BS117" s="2039"/>
      <c r="BT117" s="2039"/>
      <c r="BU117" s="2039">
        <v>2</v>
      </c>
      <c r="BV117" s="2039">
        <v>2</v>
      </c>
      <c r="BW117" s="2039"/>
      <c r="BX117" s="2039">
        <v>2</v>
      </c>
      <c r="BY117" s="2041"/>
      <c r="BZ117" s="2041"/>
      <c r="CA117" s="2039"/>
      <c r="CB117" s="2039"/>
      <c r="CC117" s="2039"/>
      <c r="CD117" s="2039"/>
      <c r="CE117" s="2039"/>
      <c r="CF117" s="2039"/>
      <c r="CG117" s="2039"/>
      <c r="CH117" s="2039"/>
      <c r="CI117" s="2039"/>
      <c r="CJ117" s="2039"/>
      <c r="CK117" s="2039"/>
      <c r="CL117" s="2039"/>
      <c r="CM117" s="2039"/>
      <c r="CN117" s="2039"/>
      <c r="CO117" s="2039"/>
      <c r="CP117" s="2039"/>
      <c r="CQ117" s="2039"/>
      <c r="CR117" s="2042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2039"/>
      <c r="J118" s="2039"/>
      <c r="K118" s="2039"/>
      <c r="L118" s="2039"/>
      <c r="M118" s="2039"/>
      <c r="N118" s="2039"/>
      <c r="O118" s="2040"/>
      <c r="P118" s="2040"/>
      <c r="Q118" s="2040"/>
      <c r="R118" s="2040"/>
      <c r="S118" s="2040"/>
      <c r="T118" s="2040"/>
      <c r="U118" s="2039">
        <v>1</v>
      </c>
      <c r="V118" s="2040">
        <v>1</v>
      </c>
      <c r="W118" s="2040">
        <v>1</v>
      </c>
      <c r="X118" s="2040"/>
      <c r="Y118" s="2040"/>
      <c r="Z118" s="2040"/>
      <c r="AA118" s="2040"/>
      <c r="AB118" s="2040">
        <v>1</v>
      </c>
      <c r="AC118" s="2040"/>
      <c r="AD118" s="2040"/>
      <c r="AE118" s="2040"/>
      <c r="AF118" s="2040"/>
      <c r="AG118" s="2040"/>
      <c r="AH118" s="2040"/>
      <c r="AI118" s="2040"/>
      <c r="AJ118" s="2040"/>
      <c r="AK118" s="2039"/>
      <c r="AL118" s="2039"/>
      <c r="AM118" s="2039"/>
      <c r="AN118" s="2039"/>
      <c r="AO118" s="2039"/>
      <c r="AP118" s="2039">
        <v>1</v>
      </c>
      <c r="AQ118" s="2039"/>
      <c r="AR118" s="2039"/>
      <c r="AS118" s="2039"/>
      <c r="AT118" s="2039"/>
      <c r="AU118" s="2039"/>
      <c r="AV118" s="2039"/>
      <c r="AW118" s="2040"/>
      <c r="AX118" s="2040"/>
      <c r="AY118" s="2040">
        <v>1</v>
      </c>
      <c r="AZ118" s="2040"/>
      <c r="BA118" s="2040">
        <v>1</v>
      </c>
      <c r="BB118" s="2040"/>
      <c r="BC118" s="2039"/>
      <c r="BD118" s="2039"/>
      <c r="BE118" s="2039"/>
      <c r="BF118" s="2040"/>
      <c r="BG118" s="2040"/>
      <c r="BH118" s="2040">
        <v>1</v>
      </c>
      <c r="BI118" s="2040"/>
      <c r="BJ118" s="2040">
        <v>1</v>
      </c>
      <c r="BK118" s="2040"/>
      <c r="BL118" s="2040">
        <v>1</v>
      </c>
      <c r="BM118" s="2040"/>
      <c r="BN118" s="2039"/>
      <c r="BO118" s="2039"/>
      <c r="BP118" s="2039"/>
      <c r="BQ118" s="2039"/>
      <c r="BR118" s="2039"/>
      <c r="BS118" s="2039"/>
      <c r="BT118" s="2039"/>
      <c r="BU118" s="2039">
        <v>1</v>
      </c>
      <c r="BV118" s="2039">
        <v>1</v>
      </c>
      <c r="BW118" s="2039"/>
      <c r="BX118" s="2039">
        <v>1</v>
      </c>
      <c r="BY118" s="2041"/>
      <c r="BZ118" s="2041"/>
      <c r="CA118" s="2039">
        <v>1</v>
      </c>
      <c r="CB118" s="2039">
        <v>1</v>
      </c>
      <c r="CC118" s="2039">
        <v>1</v>
      </c>
      <c r="CD118" s="2039">
        <v>1</v>
      </c>
      <c r="CE118" s="2039">
        <v>1</v>
      </c>
      <c r="CF118" s="2039">
        <v>1</v>
      </c>
      <c r="CG118" s="2039">
        <v>1</v>
      </c>
      <c r="CH118" s="2039">
        <v>1</v>
      </c>
      <c r="CI118" s="2039">
        <v>1</v>
      </c>
      <c r="CJ118" s="2039">
        <v>1</v>
      </c>
      <c r="CK118" s="2039">
        <v>1</v>
      </c>
      <c r="CL118" s="2039">
        <v>1</v>
      </c>
      <c r="CM118" s="2039">
        <v>1</v>
      </c>
      <c r="CN118" s="2039">
        <v>0</v>
      </c>
      <c r="CO118" s="2039">
        <v>1</v>
      </c>
      <c r="CP118" s="2039">
        <v>1</v>
      </c>
      <c r="CQ118" s="2039">
        <v>1</v>
      </c>
      <c r="CR118" s="2042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2039"/>
      <c r="J119" s="2039"/>
      <c r="K119" s="2039"/>
      <c r="L119" s="2039"/>
      <c r="M119" s="2039"/>
      <c r="N119" s="2039"/>
      <c r="O119" s="2040"/>
      <c r="P119" s="2040"/>
      <c r="Q119" s="2040"/>
      <c r="R119" s="2040"/>
      <c r="S119" s="2040"/>
      <c r="T119" s="2040"/>
      <c r="U119" s="2039"/>
      <c r="V119" s="2040"/>
      <c r="W119" s="2040"/>
      <c r="X119" s="2040"/>
      <c r="Y119" s="2040"/>
      <c r="Z119" s="2040"/>
      <c r="AA119" s="2040"/>
      <c r="AB119" s="2040"/>
      <c r="AC119" s="2040"/>
      <c r="AD119" s="2040"/>
      <c r="AE119" s="2040"/>
      <c r="AF119" s="2040"/>
      <c r="AG119" s="2040"/>
      <c r="AH119" s="2040"/>
      <c r="AI119" s="2040"/>
      <c r="AJ119" s="2040"/>
      <c r="AK119" s="2039"/>
      <c r="AL119" s="2039"/>
      <c r="AM119" s="2039"/>
      <c r="AN119" s="2039"/>
      <c r="AO119" s="2039"/>
      <c r="AP119" s="2039"/>
      <c r="AQ119" s="2039"/>
      <c r="AR119" s="2039"/>
      <c r="AS119" s="2039"/>
      <c r="AT119" s="2039"/>
      <c r="AU119" s="2039"/>
      <c r="AV119" s="2039"/>
      <c r="AW119" s="2040"/>
      <c r="AX119" s="2040"/>
      <c r="AY119" s="2040"/>
      <c r="AZ119" s="2040"/>
      <c r="BA119" s="2040"/>
      <c r="BB119" s="2040"/>
      <c r="BC119" s="2039"/>
      <c r="BD119" s="2039"/>
      <c r="BE119" s="2039"/>
      <c r="BF119" s="2040"/>
      <c r="BG119" s="2040"/>
      <c r="BH119" s="2040"/>
      <c r="BI119" s="2040"/>
      <c r="BJ119" s="2040"/>
      <c r="BK119" s="2040"/>
      <c r="BL119" s="2040"/>
      <c r="BM119" s="2040"/>
      <c r="BN119" s="2039"/>
      <c r="BO119" s="2039"/>
      <c r="BP119" s="2039"/>
      <c r="BQ119" s="2039"/>
      <c r="BR119" s="2039"/>
      <c r="BS119" s="2039"/>
      <c r="BT119" s="2039"/>
      <c r="BU119" s="2039"/>
      <c r="BV119" s="2039"/>
      <c r="BW119" s="2039"/>
      <c r="BX119" s="2039"/>
      <c r="BY119" s="2041"/>
      <c r="BZ119" s="2041"/>
      <c r="CA119" s="2039"/>
      <c r="CB119" s="2039"/>
      <c r="CC119" s="2039"/>
      <c r="CD119" s="2039"/>
      <c r="CE119" s="2039"/>
      <c r="CF119" s="2039"/>
      <c r="CG119" s="2039"/>
      <c r="CH119" s="2039"/>
      <c r="CI119" s="2039"/>
      <c r="CJ119" s="2039"/>
      <c r="CK119" s="2039"/>
      <c r="CL119" s="2039"/>
      <c r="CM119" s="2039"/>
      <c r="CN119" s="2039"/>
      <c r="CO119" s="2039"/>
      <c r="CP119" s="2039"/>
      <c r="CQ119" s="2039"/>
      <c r="CR119" s="2042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43"/>
      <c r="I120" s="2044"/>
      <c r="J120" s="2044"/>
      <c r="K120" s="2044"/>
      <c r="L120" s="2044"/>
      <c r="M120" s="2044"/>
      <c r="N120" s="2044"/>
      <c r="O120" s="2045"/>
      <c r="P120" s="2045"/>
      <c r="Q120" s="2045"/>
      <c r="R120" s="2045"/>
      <c r="S120" s="2045"/>
      <c r="T120" s="2045"/>
      <c r="U120" s="2044"/>
      <c r="V120" s="2045"/>
      <c r="W120" s="2045"/>
      <c r="X120" s="2045"/>
      <c r="Y120" s="2045"/>
      <c r="Z120" s="2045"/>
      <c r="AA120" s="2045"/>
      <c r="AB120" s="2045"/>
      <c r="AC120" s="2045"/>
      <c r="AD120" s="2045"/>
      <c r="AE120" s="2045"/>
      <c r="AF120" s="2045"/>
      <c r="AG120" s="2045"/>
      <c r="AH120" s="2045"/>
      <c r="AI120" s="2045"/>
      <c r="AJ120" s="2045"/>
      <c r="AK120" s="2044"/>
      <c r="AL120" s="2044"/>
      <c r="AM120" s="2044"/>
      <c r="AN120" s="2044"/>
      <c r="AO120" s="2044"/>
      <c r="AP120" s="2044"/>
      <c r="AQ120" s="2044"/>
      <c r="AR120" s="2044"/>
      <c r="AS120" s="2044"/>
      <c r="AT120" s="2044"/>
      <c r="AU120" s="2044"/>
      <c r="AV120" s="2044"/>
      <c r="AW120" s="2045"/>
      <c r="AX120" s="2045"/>
      <c r="AY120" s="2045"/>
      <c r="AZ120" s="2045"/>
      <c r="BA120" s="2045"/>
      <c r="BB120" s="2045"/>
      <c r="BC120" s="2044"/>
      <c r="BD120" s="2044"/>
      <c r="BE120" s="2044"/>
      <c r="BF120" s="2045"/>
      <c r="BG120" s="2045"/>
      <c r="BH120" s="2045"/>
      <c r="BI120" s="2045"/>
      <c r="BJ120" s="2045"/>
      <c r="BK120" s="2045"/>
      <c r="BL120" s="2045"/>
      <c r="BM120" s="2045"/>
      <c r="BN120" s="2044"/>
      <c r="BO120" s="2044"/>
      <c r="BP120" s="2044"/>
      <c r="BQ120" s="2044"/>
      <c r="BR120" s="2044"/>
      <c r="BS120" s="2044"/>
      <c r="BT120" s="2044"/>
      <c r="BU120" s="2044"/>
      <c r="BV120" s="2044"/>
      <c r="BW120" s="2044"/>
      <c r="BX120" s="2044"/>
      <c r="BY120" s="2046"/>
      <c r="BZ120" s="2046"/>
      <c r="CA120" s="2044"/>
      <c r="CB120" s="2044"/>
      <c r="CC120" s="2044"/>
      <c r="CD120" s="2044"/>
      <c r="CE120" s="2044"/>
      <c r="CF120" s="2044"/>
      <c r="CG120" s="2044"/>
      <c r="CH120" s="2044"/>
      <c r="CI120" s="2044"/>
      <c r="CJ120" s="2044"/>
      <c r="CK120" s="2044"/>
      <c r="CL120" s="2044"/>
      <c r="CM120" s="2044"/>
      <c r="CN120" s="2044"/>
      <c r="CO120" s="2044"/>
      <c r="CP120" s="2044"/>
      <c r="CQ120" s="2044"/>
      <c r="CR120" s="2047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48">
        <v>1</v>
      </c>
      <c r="I121" s="2049">
        <v>4</v>
      </c>
      <c r="J121" s="2049">
        <v>4</v>
      </c>
      <c r="K121" s="2049">
        <v>4</v>
      </c>
      <c r="L121" s="2049">
        <v>4</v>
      </c>
      <c r="M121" s="2049">
        <v>5</v>
      </c>
      <c r="N121" s="2049">
        <v>6</v>
      </c>
      <c r="O121" s="2050">
        <v>7</v>
      </c>
      <c r="P121" s="2050">
        <v>8</v>
      </c>
      <c r="Q121" s="2050">
        <v>9</v>
      </c>
      <c r="R121" s="2050">
        <v>10</v>
      </c>
      <c r="S121" s="2050">
        <v>11</v>
      </c>
      <c r="T121" s="2050">
        <v>12</v>
      </c>
      <c r="U121" s="2049">
        <v>13</v>
      </c>
      <c r="V121" s="2050">
        <v>13</v>
      </c>
      <c r="W121" s="2050">
        <v>13</v>
      </c>
      <c r="X121" s="2050">
        <v>14</v>
      </c>
      <c r="Y121" s="2050">
        <v>15</v>
      </c>
      <c r="Z121" s="2050">
        <v>16</v>
      </c>
      <c r="AA121" s="2050">
        <v>12</v>
      </c>
      <c r="AB121" s="2050">
        <v>13</v>
      </c>
      <c r="AC121" s="2050">
        <v>14</v>
      </c>
      <c r="AD121" s="2050">
        <v>15</v>
      </c>
      <c r="AE121" s="2050">
        <v>16</v>
      </c>
      <c r="AF121" s="2050">
        <v>17</v>
      </c>
      <c r="AG121" s="2050">
        <v>18</v>
      </c>
      <c r="AH121" s="2050">
        <v>19</v>
      </c>
      <c r="AI121" s="2050">
        <v>20</v>
      </c>
      <c r="AJ121" s="2050">
        <v>19</v>
      </c>
      <c r="AK121" s="2049">
        <v>22</v>
      </c>
      <c r="AL121" s="2049">
        <v>23</v>
      </c>
      <c r="AM121" s="2049">
        <v>24</v>
      </c>
      <c r="AN121" s="2049">
        <v>25</v>
      </c>
      <c r="AO121" s="2049">
        <v>26</v>
      </c>
      <c r="AP121" s="2049">
        <v>27</v>
      </c>
      <c r="AQ121" s="2049">
        <v>28</v>
      </c>
      <c r="AR121" s="2049">
        <v>29</v>
      </c>
      <c r="AS121" s="2049">
        <v>30</v>
      </c>
      <c r="AT121" s="2049">
        <v>31</v>
      </c>
      <c r="AU121" s="2049">
        <v>32</v>
      </c>
      <c r="AV121" s="2049">
        <v>33</v>
      </c>
      <c r="AW121" s="2050">
        <v>34</v>
      </c>
      <c r="AX121" s="2050">
        <v>35</v>
      </c>
      <c r="AY121" s="2050">
        <v>36</v>
      </c>
      <c r="AZ121" s="2050">
        <v>37</v>
      </c>
      <c r="BA121" s="2050">
        <v>36</v>
      </c>
      <c r="BB121" s="2050">
        <v>37</v>
      </c>
      <c r="BC121" s="2049">
        <v>40</v>
      </c>
      <c r="BD121" s="2049">
        <v>41</v>
      </c>
      <c r="BE121" s="2049">
        <v>41</v>
      </c>
      <c r="BF121" s="2050">
        <v>34</v>
      </c>
      <c r="BG121" s="2050">
        <v>35</v>
      </c>
      <c r="BH121" s="2050">
        <v>36</v>
      </c>
      <c r="BI121" s="2050">
        <v>37</v>
      </c>
      <c r="BJ121" s="2050">
        <v>36</v>
      </c>
      <c r="BK121" s="2050">
        <v>37</v>
      </c>
      <c r="BL121" s="2050">
        <v>36</v>
      </c>
      <c r="BM121" s="2050">
        <v>37</v>
      </c>
      <c r="BN121" s="2049">
        <v>42</v>
      </c>
      <c r="BO121" s="2049">
        <v>43</v>
      </c>
      <c r="BP121" s="2049"/>
      <c r="BQ121" s="2049"/>
      <c r="BR121" s="2049">
        <v>43</v>
      </c>
      <c r="BS121" s="2049"/>
      <c r="BT121" s="2049"/>
      <c r="BU121" s="2049">
        <v>44</v>
      </c>
      <c r="BV121" s="2049">
        <v>44</v>
      </c>
      <c r="BW121" s="2049">
        <v>45</v>
      </c>
      <c r="BX121" s="2049">
        <v>46</v>
      </c>
      <c r="BY121" s="2049">
        <v>47</v>
      </c>
      <c r="BZ121" s="2049"/>
      <c r="CA121" s="2049">
        <v>48</v>
      </c>
      <c r="CB121" s="2049">
        <v>48</v>
      </c>
      <c r="CC121" s="2049">
        <v>48</v>
      </c>
      <c r="CD121" s="2049">
        <v>48</v>
      </c>
      <c r="CE121" s="2049">
        <v>48</v>
      </c>
      <c r="CF121" s="2049">
        <v>48</v>
      </c>
      <c r="CG121" s="2049">
        <v>48</v>
      </c>
      <c r="CH121" s="2049">
        <v>48</v>
      </c>
      <c r="CI121" s="2049">
        <v>48</v>
      </c>
      <c r="CJ121" s="2049">
        <v>48</v>
      </c>
      <c r="CK121" s="2049">
        <v>48</v>
      </c>
      <c r="CL121" s="2049">
        <v>48</v>
      </c>
      <c r="CM121" s="2049">
        <v>48</v>
      </c>
      <c r="CN121" s="2049">
        <v>48</v>
      </c>
      <c r="CO121" s="2049">
        <v>49</v>
      </c>
      <c r="CP121" s="2049">
        <v>49</v>
      </c>
      <c r="CQ121" s="2049">
        <v>49</v>
      </c>
      <c r="CR121" s="2051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2010"/>
      <c r="BD122" s="2010"/>
      <c r="BE122" s="2010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2010"/>
      <c r="BD123" s="2010"/>
      <c r="BE123" s="2010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2010"/>
      <c r="BD124" s="2010"/>
      <c r="BE124" s="2010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2010"/>
      <c r="BD125" s="2010"/>
      <c r="BE125" s="2010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2010"/>
      <c r="BD126" s="2010"/>
      <c r="BE126" s="2010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2010"/>
      <c r="BD127" s="2010"/>
      <c r="BE127" s="2010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2010"/>
      <c r="BD128" s="2010"/>
      <c r="BE128" s="2010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2010"/>
      <c r="BD129" s="2010"/>
      <c r="BE129" s="2010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2010"/>
      <c r="BD130" s="2010"/>
      <c r="BE130" s="2010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2010"/>
      <c r="BD131" s="2010"/>
      <c r="BE131" s="2010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2010"/>
      <c r="BD132" s="2010"/>
      <c r="BE132" s="2010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2010"/>
      <c r="BD133" s="2010"/>
      <c r="BE133" s="2010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2010"/>
      <c r="BD134" s="2010"/>
      <c r="BE134" s="2010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2010"/>
      <c r="BD135" s="2010"/>
      <c r="BE135" s="2010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2010"/>
      <c r="BD136" s="2010"/>
      <c r="BE136" s="2010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2010"/>
      <c r="BD137" s="2010"/>
      <c r="BE137" s="2010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2010"/>
      <c r="BD138" s="2010"/>
      <c r="BE138" s="2010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2010"/>
      <c r="BD139" s="2010"/>
      <c r="BE139" s="2010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2010"/>
      <c r="BD140" s="2010"/>
      <c r="BE140" s="2010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2010"/>
      <c r="BD141" s="2010"/>
      <c r="BE141" s="2010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2010"/>
      <c r="BD142" s="2010"/>
      <c r="BE142" s="2010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2010"/>
      <c r="BD143" s="2010"/>
      <c r="BE143" s="2010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2010"/>
      <c r="BD144" s="2010"/>
      <c r="BE144" s="2010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2010"/>
      <c r="BD145" s="2010"/>
      <c r="BE145" s="2010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2010"/>
      <c r="BD146" s="2010"/>
      <c r="BE146" s="2010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2010"/>
      <c r="BD147" s="2010"/>
      <c r="BE147" s="2010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2010"/>
      <c r="BD148" s="2010"/>
      <c r="BE148" s="2010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2010"/>
      <c r="BD149" s="2010"/>
      <c r="BE149" s="2010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2010"/>
      <c r="BD150" s="2010"/>
      <c r="BE150" s="2010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2010"/>
      <c r="BD151" s="2010"/>
      <c r="BE151" s="2010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2010"/>
      <c r="BD152" s="2010"/>
      <c r="BE152" s="2010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2010"/>
      <c r="BD153" s="2010"/>
      <c r="BE153" s="2010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2010"/>
      <c r="BD154" s="2010"/>
      <c r="BE154" s="2010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2010"/>
      <c r="BD155" s="2010"/>
      <c r="BE155" s="2010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2010"/>
      <c r="BD156" s="2010"/>
      <c r="BE156" s="2010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2010"/>
      <c r="BD157" s="2010"/>
      <c r="BE157" s="2010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2010"/>
      <c r="BD158" s="2010"/>
      <c r="BE158" s="2010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2010"/>
      <c r="BD159" s="2010"/>
      <c r="BE159" s="2010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2010"/>
      <c r="BD160" s="2010"/>
      <c r="BE160" s="2010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2010"/>
      <c r="BD161" s="2010"/>
      <c r="BE161" s="2010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2010"/>
      <c r="BD162" s="2010"/>
      <c r="BE162" s="2010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2010"/>
      <c r="BD163" s="2010"/>
      <c r="BE163" s="2010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2010"/>
      <c r="BD164" s="2010"/>
      <c r="BE164" s="2010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2010"/>
      <c r="BD165" s="2010"/>
      <c r="BE165" s="2010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2010"/>
      <c r="BD166" s="2010"/>
      <c r="BE166" s="2010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2010"/>
      <c r="BD167" s="2010"/>
      <c r="BE167" s="2010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2010"/>
      <c r="BD168" s="2010"/>
      <c r="BE168" s="2010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2010"/>
      <c r="BD169" s="2010"/>
      <c r="BE169" s="2010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2010"/>
      <c r="BD170" s="2010"/>
      <c r="BE170" s="2010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2010"/>
      <c r="BD171" s="2010"/>
      <c r="BE171" s="2010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2010"/>
      <c r="BD172" s="2010"/>
      <c r="BE172" s="2010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2010"/>
      <c r="BD173" s="2010"/>
      <c r="BE173" s="2010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2010"/>
      <c r="BD174" s="2010"/>
      <c r="BE174" s="2010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2010"/>
      <c r="BD175" s="2010"/>
      <c r="BE175" s="2010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2010"/>
      <c r="BD176" s="2010"/>
      <c r="BE176" s="2010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2010"/>
      <c r="BD177" s="2010"/>
      <c r="BE177" s="2010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2010"/>
      <c r="BD178" s="2010"/>
      <c r="BE178" s="2010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2010"/>
      <c r="BD179" s="2010"/>
      <c r="BE179" s="2010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2010"/>
      <c r="BD180" s="2010"/>
      <c r="BE180" s="2010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2010"/>
      <c r="BD181" s="2010"/>
      <c r="BE181" s="2010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2010"/>
      <c r="BD182" s="2010"/>
      <c r="BE182" s="2010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2010"/>
      <c r="BD183" s="2010"/>
      <c r="BE183" s="2010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2010"/>
      <c r="BD184" s="2010"/>
      <c r="BE184" s="2010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2010"/>
      <c r="BD185" s="2010"/>
      <c r="BE185" s="2010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2010"/>
      <c r="BD186" s="2010"/>
      <c r="BE186" s="2010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2010"/>
      <c r="BD187" s="2010"/>
      <c r="BE187" s="2010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2010"/>
      <c r="BD188" s="2010"/>
      <c r="BE188" s="2010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2010"/>
      <c r="BD189" s="2010"/>
      <c r="BE189" s="2010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2010"/>
      <c r="BD190" s="2010"/>
      <c r="BE190" s="2010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2010"/>
      <c r="BD191" s="2010"/>
      <c r="BE191" s="2010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2010"/>
      <c r="BD192" s="2010"/>
      <c r="BE192" s="2010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2010"/>
      <c r="BD193" s="2010"/>
      <c r="BE193" s="2010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2010"/>
      <c r="BD194" s="2010"/>
      <c r="BE194" s="2010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2010"/>
      <c r="BD195" s="2010"/>
      <c r="BE195" s="2010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2010"/>
      <c r="BD196" s="2010"/>
      <c r="BE196" s="2010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2010"/>
      <c r="BD197" s="2010"/>
      <c r="BE197" s="2010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2010"/>
      <c r="BD198" s="2010"/>
      <c r="BE198" s="2010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2010"/>
      <c r="BD199" s="2010"/>
      <c r="BE199" s="2010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2010"/>
      <c r="BD200" s="2010"/>
      <c r="BE200" s="2010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2010"/>
      <c r="BD201" s="2010"/>
      <c r="BE201" s="2010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2010"/>
      <c r="BD202" s="2010"/>
      <c r="BE202" s="2010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2010"/>
      <c r="BD203" s="2010"/>
      <c r="BE203" s="2010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2010"/>
      <c r="BD204" s="2010"/>
      <c r="BE204" s="2010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2010"/>
      <c r="BD205" s="2010"/>
      <c r="BE205" s="2010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2010"/>
      <c r="BD206" s="2010"/>
      <c r="BE206" s="2010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2010"/>
      <c r="BD207" s="2010"/>
      <c r="BE207" s="2010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2010"/>
      <c r="BD208" s="2010"/>
      <c r="BE208" s="2010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2010"/>
      <c r="BD209" s="2010"/>
      <c r="BE209" s="2010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2010"/>
      <c r="BD210" s="2010"/>
      <c r="BE210" s="2010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2010"/>
      <c r="BD211" s="2010"/>
      <c r="BE211" s="2010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2010"/>
      <c r="BD212" s="2010"/>
      <c r="BE212" s="2010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2010"/>
      <c r="BD213" s="2010"/>
      <c r="BE213" s="2010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2010"/>
      <c r="BD214" s="2010"/>
      <c r="BE214" s="2010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2010"/>
      <c r="BD215" s="2010"/>
      <c r="BE215" s="2010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2010"/>
      <c r="BD216" s="2010"/>
      <c r="BE216" s="2010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2010"/>
      <c r="BD217" s="2010"/>
      <c r="BE217" s="2010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2010"/>
      <c r="BD218" s="2010"/>
      <c r="BE218" s="2010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2010"/>
      <c r="BD219" s="2010"/>
      <c r="BE219" s="2010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A4:A5"/>
    <mergeCell ref="H4:H5"/>
    <mergeCell ref="BD4:BD5"/>
    <mergeCell ref="BC4:BC5"/>
    <mergeCell ref="B4:B5"/>
    <mergeCell ref="F4:F5"/>
    <mergeCell ref="C4:C5"/>
    <mergeCell ref="E4:E5"/>
    <mergeCell ref="G4:G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520" t="s">
        <v>4020</v>
      </c>
      <c r="B4" s="2507" t="s">
        <v>4021</v>
      </c>
      <c r="C4" s="2507" t="s">
        <v>3866</v>
      </c>
      <c r="D4" s="2499" t="s">
        <v>2074</v>
      </c>
      <c r="E4" s="2499" t="s">
        <v>510</v>
      </c>
      <c r="F4" s="2499" t="s">
        <v>508</v>
      </c>
      <c r="G4" s="2499" t="s">
        <v>838</v>
      </c>
      <c r="H4" s="2499" t="s">
        <v>509</v>
      </c>
      <c r="I4" s="2499" t="s">
        <v>1179</v>
      </c>
      <c r="J4" s="2499" t="s">
        <v>3874</v>
      </c>
      <c r="K4" s="2499" t="s">
        <v>4007</v>
      </c>
      <c r="L4" s="2534" t="s">
        <v>4022</v>
      </c>
      <c r="M4" s="2509" t="s">
        <v>2340</v>
      </c>
      <c r="N4" s="2510"/>
      <c r="O4" s="2510"/>
      <c r="P4" s="2510"/>
      <c r="Q4" s="2510"/>
      <c r="R4" s="2536" t="s">
        <v>3978</v>
      </c>
      <c r="S4" s="2537"/>
      <c r="T4" s="2537"/>
      <c r="U4" s="2537"/>
      <c r="V4" s="2537"/>
      <c r="W4" s="2537"/>
      <c r="X4" s="2537"/>
      <c r="Y4" s="2537"/>
      <c r="Z4" s="654" t="s">
        <v>2660</v>
      </c>
      <c r="AA4" s="665"/>
      <c r="AB4" s="665"/>
      <c r="AC4" s="666"/>
      <c r="AD4" s="2499" t="s">
        <v>4023</v>
      </c>
      <c r="AE4" s="2499" t="s">
        <v>2448</v>
      </c>
      <c r="AF4" s="2499" t="s">
        <v>2451</v>
      </c>
      <c r="AG4" s="2499" t="s">
        <v>2454</v>
      </c>
      <c r="AH4" s="2499" t="s">
        <v>2455</v>
      </c>
      <c r="AI4" s="2531" t="s">
        <v>4024</v>
      </c>
      <c r="AJ4" s="667" t="s">
        <v>2237</v>
      </c>
      <c r="AK4" s="668"/>
      <c r="AL4" s="2524" t="s">
        <v>4025</v>
      </c>
      <c r="AM4" s="2524" t="s">
        <v>4026</v>
      </c>
      <c r="AN4" s="2524" t="s">
        <v>4027</v>
      </c>
      <c r="AO4" s="2524" t="s">
        <v>4028</v>
      </c>
      <c r="AP4" s="2524" t="s">
        <v>4029</v>
      </c>
      <c r="AQ4" s="2524" t="s">
        <v>4030</v>
      </c>
      <c r="AR4" s="2527" t="s">
        <v>4031</v>
      </c>
      <c r="AS4" s="2528"/>
      <c r="AT4" s="2528"/>
      <c r="AU4" s="2528"/>
      <c r="AV4" s="2528"/>
      <c r="AW4" s="2529"/>
      <c r="AX4" s="2530" t="s">
        <v>4032</v>
      </c>
      <c r="AY4" s="2530"/>
      <c r="AZ4" s="2530"/>
      <c r="BA4" s="2530"/>
      <c r="BB4" s="655" t="s">
        <v>4033</v>
      </c>
      <c r="BC4" s="669"/>
      <c r="BD4" s="655"/>
      <c r="BE4" s="656" t="s">
        <v>2659</v>
      </c>
      <c r="BF4" s="669"/>
      <c r="BG4" s="655"/>
      <c r="BH4" s="2524" t="s">
        <v>4034</v>
      </c>
      <c r="BI4" s="2524" t="s">
        <v>4035</v>
      </c>
      <c r="BJ4" s="2524" t="s">
        <v>4036</v>
      </c>
      <c r="BK4" s="2524" t="s">
        <v>2917</v>
      </c>
      <c r="BL4" s="2507" t="s">
        <v>4037</v>
      </c>
      <c r="BM4" s="2507" t="s">
        <v>4038</v>
      </c>
      <c r="BN4" s="2522" t="s">
        <v>2664</v>
      </c>
    </row>
    <row r="5" spans="1:209" s="629" customFormat="1" ht="142.5" customHeight="1">
      <c r="A5" s="2521"/>
      <c r="B5" s="2508"/>
      <c r="C5" s="2508"/>
      <c r="D5" s="2501"/>
      <c r="E5" s="2501"/>
      <c r="F5" s="2501"/>
      <c r="G5" s="2501"/>
      <c r="H5" s="2501"/>
      <c r="I5" s="2501"/>
      <c r="J5" s="2501"/>
      <c r="K5" s="2501"/>
      <c r="L5" s="2535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01"/>
      <c r="AE5" s="2501"/>
      <c r="AF5" s="2501"/>
      <c r="AG5" s="2501"/>
      <c r="AH5" s="2501"/>
      <c r="AI5" s="2532"/>
      <c r="AJ5" s="658" t="s">
        <v>4043</v>
      </c>
      <c r="AK5" s="658" t="s">
        <v>4044</v>
      </c>
      <c r="AL5" s="2525"/>
      <c r="AM5" s="2525"/>
      <c r="AN5" s="2525"/>
      <c r="AO5" s="2525"/>
      <c r="AP5" s="2525"/>
      <c r="AQ5" s="2525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25"/>
      <c r="BI5" s="2525"/>
      <c r="BJ5" s="2525"/>
      <c r="BK5" s="2525"/>
      <c r="BL5" s="2526"/>
      <c r="BM5" s="2526"/>
      <c r="BN5" s="2523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516" t="s">
        <v>4061</v>
      </c>
      <c r="B35" s="2517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516" t="s">
        <v>4061</v>
      </c>
      <c r="B67" s="2517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518" t="s">
        <v>4003</v>
      </c>
      <c r="B69" s="2519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533" t="s">
        <v>4062</v>
      </c>
      <c r="B71" s="2533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533" t="s">
        <v>4063</v>
      </c>
      <c r="B72" s="2533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533" t="s">
        <v>4064</v>
      </c>
      <c r="B73" s="2533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533" t="s">
        <v>4065</v>
      </c>
      <c r="B74" s="2533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533" t="s">
        <v>4066</v>
      </c>
      <c r="B75" s="2533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533" t="s">
        <v>4067</v>
      </c>
      <c r="B76" s="2533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533" t="s">
        <v>4068</v>
      </c>
      <c r="B77" s="2533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  <mergeCell ref="AO4:AO5"/>
    <mergeCell ref="AF4:AF5"/>
    <mergeCell ref="AG4:AG5"/>
    <mergeCell ref="AH4:AH5"/>
    <mergeCell ref="BH4:BH5"/>
    <mergeCell ref="AL4:AL5"/>
    <mergeCell ref="AM4:AM5"/>
    <mergeCell ref="AI4:AI5"/>
    <mergeCell ref="BI4:BI5"/>
    <mergeCell ref="AR4:AW4"/>
    <mergeCell ref="AX4:BA4"/>
    <mergeCell ref="AP4:AP5"/>
    <mergeCell ref="AQ4:AQ5"/>
    <mergeCell ref="BN4:BN5"/>
    <mergeCell ref="BJ4:BJ5"/>
    <mergeCell ref="BK4:BK5"/>
    <mergeCell ref="BL4:BL5"/>
    <mergeCell ref="BM4:BM5"/>
    <mergeCell ref="F4:F5"/>
    <mergeCell ref="H4:H5"/>
    <mergeCell ref="I4:I5"/>
    <mergeCell ref="G4:G5"/>
    <mergeCell ref="C4:C5"/>
    <mergeCell ref="D4:D5"/>
    <mergeCell ref="A35:B35"/>
    <mergeCell ref="A69:B69"/>
    <mergeCell ref="A67:B67"/>
    <mergeCell ref="A4:A5"/>
    <mergeCell ref="B4:B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3.8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3.8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3.8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3.8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3.8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3.8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3.8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3.8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3.8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3.8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3.8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3.8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3.8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3.8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3.8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3.8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3.8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3.8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3.8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3.8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3.8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3.8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3.8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3.8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3.8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3.8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3.8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3.8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3.8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3.8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3.8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3.8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3.8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3.8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3.8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3.8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3.8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3.8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3.8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3.8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3.8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3.8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3.8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3.8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3.8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3.8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3.8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3.8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3.8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3.8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3.8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3.8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3.8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3.8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3.8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3.8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3.8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3.8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520" t="s">
        <v>4020</v>
      </c>
      <c r="B4" s="2507" t="s">
        <v>4071</v>
      </c>
      <c r="C4" s="2507" t="s">
        <v>3866</v>
      </c>
      <c r="D4" s="2499" t="s">
        <v>4072</v>
      </c>
      <c r="E4" s="2499" t="s">
        <v>4073</v>
      </c>
      <c r="F4" s="2499" t="s">
        <v>2074</v>
      </c>
      <c r="G4" s="2499" t="s">
        <v>2264</v>
      </c>
      <c r="H4" s="2499" t="s">
        <v>117</v>
      </c>
      <c r="I4" s="2499" t="s">
        <v>1181</v>
      </c>
      <c r="J4" s="2499" t="s">
        <v>1180</v>
      </c>
      <c r="K4" s="2499" t="s">
        <v>1179</v>
      </c>
      <c r="L4" s="2499" t="s">
        <v>2324</v>
      </c>
      <c r="M4" s="2499" t="s">
        <v>2323</v>
      </c>
      <c r="N4" s="2499" t="s">
        <v>2322</v>
      </c>
      <c r="O4" s="2499" t="s">
        <v>3874</v>
      </c>
      <c r="P4" s="2499" t="s">
        <v>4007</v>
      </c>
      <c r="Q4" s="2534" t="s">
        <v>3876</v>
      </c>
      <c r="R4" s="2509" t="s">
        <v>4074</v>
      </c>
      <c r="S4" s="2510"/>
      <c r="T4" s="2510"/>
      <c r="U4" s="2511"/>
      <c r="V4" s="2536" t="s">
        <v>3978</v>
      </c>
      <c r="W4" s="2537"/>
      <c r="X4" s="2537"/>
      <c r="Y4" s="2537"/>
      <c r="Z4" s="2537"/>
      <c r="AA4" s="2537"/>
      <c r="AB4" s="2537"/>
      <c r="AC4" s="2537"/>
      <c r="AD4" s="2537"/>
      <c r="AE4" s="2537"/>
      <c r="AF4" s="2537"/>
      <c r="AG4" s="2537"/>
      <c r="AH4" s="2537"/>
      <c r="AI4" s="2537"/>
      <c r="AJ4" s="2537"/>
      <c r="AK4" s="2537"/>
      <c r="AL4" s="2537"/>
      <c r="AM4" s="2537"/>
      <c r="AN4" s="2537"/>
      <c r="AO4" s="2537"/>
      <c r="AP4" s="2537"/>
      <c r="AQ4" s="2537"/>
      <c r="AR4" s="2537"/>
      <c r="AS4" s="2537"/>
      <c r="AT4" s="2537"/>
      <c r="AU4" s="2540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499" t="s">
        <v>2448</v>
      </c>
      <c r="BQ4" s="2499" t="s">
        <v>2453</v>
      </c>
      <c r="BR4" s="2499" t="s">
        <v>2452</v>
      </c>
      <c r="BS4" s="2499" t="s">
        <v>2451</v>
      </c>
      <c r="BT4" s="2499" t="s">
        <v>4076</v>
      </c>
      <c r="BU4" s="2499" t="s">
        <v>4077</v>
      </c>
      <c r="BV4" s="2531" t="s">
        <v>4024</v>
      </c>
      <c r="BW4" s="667" t="s">
        <v>4078</v>
      </c>
      <c r="BX4" s="754"/>
      <c r="BY4" s="754"/>
      <c r="BZ4" s="668"/>
      <c r="CA4" s="2538" t="s">
        <v>4079</v>
      </c>
      <c r="CB4" s="2538" t="s">
        <v>4026</v>
      </c>
      <c r="CC4" s="2543" t="s">
        <v>4031</v>
      </c>
      <c r="CD4" s="2544"/>
      <c r="CE4" s="2544"/>
      <c r="CF4" s="2544"/>
      <c r="CG4" s="2544"/>
      <c r="CH4" s="2544"/>
      <c r="CI4" s="2544"/>
      <c r="CJ4" s="2544"/>
      <c r="CK4" s="2544"/>
      <c r="CL4" s="755" t="s">
        <v>478</v>
      </c>
      <c r="CM4" s="756"/>
      <c r="CN4" s="2524" t="s">
        <v>4080</v>
      </c>
      <c r="CO4" s="2524" t="s">
        <v>4034</v>
      </c>
      <c r="CP4" s="2524" t="s">
        <v>4035</v>
      </c>
      <c r="CQ4" s="2524" t="s">
        <v>4036</v>
      </c>
      <c r="CR4" s="2524" t="s">
        <v>2917</v>
      </c>
      <c r="CS4" s="2507" t="s">
        <v>4037</v>
      </c>
      <c r="CT4" s="2507" t="s">
        <v>4081</v>
      </c>
      <c r="CU4" s="2507" t="s">
        <v>3482</v>
      </c>
      <c r="CV4" s="2507" t="s">
        <v>4082</v>
      </c>
      <c r="CW4" s="2507" t="s">
        <v>4083</v>
      </c>
      <c r="CX4" s="2541" t="s">
        <v>4084</v>
      </c>
      <c r="CY4" s="2522" t="s">
        <v>2664</v>
      </c>
    </row>
    <row r="5" spans="1:234" s="629" customFormat="1" ht="142.5" customHeight="1">
      <c r="A5" s="2521"/>
      <c r="B5" s="2508"/>
      <c r="C5" s="2508"/>
      <c r="D5" s="2501"/>
      <c r="E5" s="2501"/>
      <c r="F5" s="2501"/>
      <c r="G5" s="2501"/>
      <c r="H5" s="2501"/>
      <c r="I5" s="2501"/>
      <c r="J5" s="2501"/>
      <c r="K5" s="2501"/>
      <c r="L5" s="2501"/>
      <c r="M5" s="2501"/>
      <c r="N5" s="2501"/>
      <c r="O5" s="2501"/>
      <c r="P5" s="2501"/>
      <c r="Q5" s="2535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01"/>
      <c r="BQ5" s="2501"/>
      <c r="BR5" s="2501"/>
      <c r="BS5" s="2501"/>
      <c r="BT5" s="2501"/>
      <c r="BU5" s="2501"/>
      <c r="BV5" s="2532"/>
      <c r="BW5" s="658" t="s">
        <v>4086</v>
      </c>
      <c r="BX5" s="658" t="s">
        <v>4087</v>
      </c>
      <c r="BY5" s="658" t="s">
        <v>2087</v>
      </c>
      <c r="BZ5" s="658" t="s">
        <v>1480</v>
      </c>
      <c r="CA5" s="2539"/>
      <c r="CB5" s="2539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25"/>
      <c r="CO5" s="2525"/>
      <c r="CP5" s="2525"/>
      <c r="CQ5" s="2525"/>
      <c r="CR5" s="2525"/>
      <c r="CS5" s="2526"/>
      <c r="CT5" s="2526"/>
      <c r="CU5" s="2526"/>
      <c r="CV5" s="2526"/>
      <c r="CW5" s="2526"/>
      <c r="CX5" s="2542"/>
      <c r="CY5" s="2523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533" t="s">
        <v>4062</v>
      </c>
      <c r="B316" s="2533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533" t="s">
        <v>4140</v>
      </c>
      <c r="B317" s="2533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533" t="s">
        <v>4064</v>
      </c>
      <c r="B318" s="2533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533" t="s">
        <v>4141</v>
      </c>
      <c r="B319" s="2533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533" t="s">
        <v>4142</v>
      </c>
      <c r="B320" s="2533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533" t="s">
        <v>4068</v>
      </c>
      <c r="B321" s="2533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A4:A5"/>
    <mergeCell ref="C4:C5"/>
    <mergeCell ref="F4:F5"/>
    <mergeCell ref="G4:G5"/>
    <mergeCell ref="I4:I5"/>
    <mergeCell ref="D4:D5"/>
    <mergeCell ref="E4:E5"/>
    <mergeCell ref="A321:B321"/>
    <mergeCell ref="A316:B316"/>
    <mergeCell ref="A317:B317"/>
    <mergeCell ref="A318:B318"/>
    <mergeCell ref="A319:B319"/>
    <mergeCell ref="A320:B320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R4:U4"/>
    <mergeCell ref="V4:AU4"/>
    <mergeCell ref="BP4:BP5"/>
    <mergeCell ref="BS4:BS5"/>
    <mergeCell ref="BT4:BT5"/>
    <mergeCell ref="BR4:BR5"/>
    <mergeCell ref="BQ4:BQ5"/>
    <mergeCell ref="BV4:BV5"/>
    <mergeCell ref="BU4:BU5"/>
    <mergeCell ref="CA4:CA5"/>
    <mergeCell ref="CP4:CP5"/>
    <mergeCell ref="CQ4:CQ5"/>
    <mergeCell ref="CN4:CN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579" t="s">
        <v>4020</v>
      </c>
      <c r="B4" s="2545" t="s">
        <v>4071</v>
      </c>
      <c r="C4" s="2545" t="s">
        <v>3866</v>
      </c>
      <c r="D4" s="2548" t="s">
        <v>1064</v>
      </c>
      <c r="E4" s="2546" t="s">
        <v>188</v>
      </c>
      <c r="F4" s="2546" t="s">
        <v>2074</v>
      </c>
      <c r="G4" s="2546" t="s">
        <v>2264</v>
      </c>
      <c r="H4" s="2550" t="s">
        <v>117</v>
      </c>
      <c r="I4" s="2545" t="s">
        <v>1181</v>
      </c>
      <c r="J4" s="2548" t="s">
        <v>1180</v>
      </c>
      <c r="K4" s="2546" t="s">
        <v>1179</v>
      </c>
      <c r="L4" s="2546" t="s">
        <v>2324</v>
      </c>
      <c r="M4" s="2546" t="s">
        <v>2323</v>
      </c>
      <c r="N4" s="2546" t="s">
        <v>2322</v>
      </c>
      <c r="O4" s="2546" t="s">
        <v>3874</v>
      </c>
      <c r="P4" s="2550" t="s">
        <v>4007</v>
      </c>
      <c r="Q4" s="2545" t="s">
        <v>3876</v>
      </c>
      <c r="R4" s="2552" t="s">
        <v>4074</v>
      </c>
      <c r="S4" s="2553"/>
      <c r="T4" s="2554"/>
      <c r="U4" s="2553"/>
      <c r="V4" s="2555"/>
      <c r="W4" s="2556" t="s">
        <v>3978</v>
      </c>
      <c r="X4" s="2553"/>
      <c r="Y4" s="2554"/>
      <c r="Z4" s="2554"/>
      <c r="AA4" s="2554"/>
      <c r="AB4" s="2554"/>
      <c r="AC4" s="2554"/>
      <c r="AD4" s="2553"/>
      <c r="AE4" s="2553"/>
      <c r="AF4" s="2553"/>
      <c r="AG4" s="2553"/>
      <c r="AH4" s="2553"/>
      <c r="AI4" s="2553"/>
      <c r="AJ4" s="2553"/>
      <c r="AK4" s="2553"/>
      <c r="AL4" s="2553"/>
      <c r="AM4" s="2553"/>
      <c r="AN4" s="2553"/>
      <c r="AO4" s="2553"/>
      <c r="AP4" s="2553"/>
      <c r="AQ4" s="2553"/>
      <c r="AR4" s="2553"/>
      <c r="AS4" s="2553"/>
      <c r="AT4" s="2553"/>
      <c r="AU4" s="2553"/>
      <c r="AV4" s="2553"/>
      <c r="AW4" s="2241"/>
      <c r="AX4" s="2240" t="s">
        <v>3878</v>
      </c>
      <c r="AY4" s="2241"/>
      <c r="AZ4" s="2241"/>
      <c r="BA4" s="2241"/>
      <c r="BB4" s="2241"/>
      <c r="BC4" s="2241"/>
      <c r="BD4" s="2241"/>
      <c r="BE4" s="2241"/>
      <c r="BF4" s="2241"/>
      <c r="BG4" s="2241" t="s">
        <v>3981</v>
      </c>
      <c r="BH4" s="2242"/>
      <c r="BI4" s="2242"/>
      <c r="BJ4" s="2242"/>
      <c r="BK4" s="2242"/>
      <c r="BL4" s="2242"/>
      <c r="BM4" s="2242"/>
      <c r="BN4" s="2242"/>
      <c r="BO4" s="2242"/>
      <c r="BP4" s="2242"/>
      <c r="BQ4" s="2545" t="s">
        <v>4869</v>
      </c>
      <c r="BR4" s="2545" t="s">
        <v>2453</v>
      </c>
      <c r="BS4" s="2545" t="s">
        <v>4869</v>
      </c>
      <c r="BT4" s="2545" t="s">
        <v>2448</v>
      </c>
      <c r="BU4" s="2545" t="s">
        <v>2454</v>
      </c>
      <c r="BV4" s="2545" t="s">
        <v>2455</v>
      </c>
      <c r="BW4" s="2545" t="s">
        <v>4024</v>
      </c>
      <c r="BX4" s="2242" t="s">
        <v>2237</v>
      </c>
      <c r="BY4" s="2242"/>
      <c r="BZ4" s="2242"/>
      <c r="CA4" s="2242"/>
      <c r="CB4" s="2568" t="s">
        <v>4146</v>
      </c>
      <c r="CC4" s="2568" t="s">
        <v>4030</v>
      </c>
      <c r="CD4" s="2575" t="s">
        <v>4027</v>
      </c>
      <c r="CE4" s="2568" t="s">
        <v>4028</v>
      </c>
      <c r="CF4" s="2568" t="s">
        <v>4029</v>
      </c>
      <c r="CG4" s="2568" t="s">
        <v>4146</v>
      </c>
      <c r="CH4" s="2562" t="s">
        <v>4031</v>
      </c>
      <c r="CI4" s="2562"/>
      <c r="CJ4" s="2562"/>
      <c r="CK4" s="2562"/>
      <c r="CL4" s="2562"/>
      <c r="CM4" s="2562"/>
      <c r="CN4" s="2562"/>
      <c r="CO4" s="2562"/>
      <c r="CP4" s="2562"/>
      <c r="CQ4" s="2562"/>
      <c r="CR4" s="2562"/>
      <c r="CS4" s="2562"/>
      <c r="CT4" s="2562"/>
      <c r="CU4" s="2562"/>
      <c r="CV4" s="2562" t="s">
        <v>4032</v>
      </c>
      <c r="CW4" s="2562"/>
      <c r="CX4" s="2562"/>
      <c r="CY4" s="2562"/>
      <c r="CZ4" s="2562"/>
      <c r="DA4" s="2562" t="s">
        <v>4033</v>
      </c>
      <c r="DB4" s="2562"/>
      <c r="DC4" s="2567"/>
      <c r="DD4" s="2577"/>
      <c r="DE4" s="2566" t="s">
        <v>2659</v>
      </c>
      <c r="DF4" s="2562"/>
      <c r="DG4" s="2567"/>
      <c r="DH4" s="2567"/>
      <c r="DI4" s="2562" t="s">
        <v>478</v>
      </c>
      <c r="DJ4" s="2562"/>
      <c r="DK4" s="2568" t="s">
        <v>4080</v>
      </c>
      <c r="DL4" s="2569" t="s">
        <v>4034</v>
      </c>
      <c r="DM4" s="2571" t="s">
        <v>4035</v>
      </c>
      <c r="DN4" s="2573" t="s">
        <v>4036</v>
      </c>
      <c r="DO4" s="2568" t="s">
        <v>2917</v>
      </c>
      <c r="DP4" s="2564" t="s">
        <v>4147</v>
      </c>
      <c r="DQ4" s="2545" t="s">
        <v>4865</v>
      </c>
      <c r="DR4" s="2545" t="s">
        <v>4866</v>
      </c>
      <c r="DS4" s="2560" t="s">
        <v>4867</v>
      </c>
      <c r="DT4" s="2558" t="s">
        <v>4083</v>
      </c>
      <c r="DU4" s="2545" t="s">
        <v>4242</v>
      </c>
      <c r="DV4" s="2553" t="s">
        <v>2664</v>
      </c>
    </row>
    <row r="5" spans="1:256" s="629" customFormat="1" ht="100.2">
      <c r="A5" s="2579"/>
      <c r="B5" s="2545"/>
      <c r="C5" s="2545"/>
      <c r="D5" s="2549"/>
      <c r="E5" s="2547"/>
      <c r="F5" s="2547"/>
      <c r="G5" s="2547"/>
      <c r="H5" s="2551"/>
      <c r="I5" s="2545"/>
      <c r="J5" s="2549"/>
      <c r="K5" s="2547"/>
      <c r="L5" s="2547"/>
      <c r="M5" s="2547"/>
      <c r="N5" s="2547"/>
      <c r="O5" s="2547"/>
      <c r="P5" s="2551"/>
      <c r="Q5" s="2545"/>
      <c r="R5" s="2215" t="s">
        <v>319</v>
      </c>
      <c r="S5" s="2259" t="s">
        <v>233</v>
      </c>
      <c r="T5" s="2215" t="s">
        <v>522</v>
      </c>
      <c r="U5" s="2205" t="s">
        <v>301</v>
      </c>
      <c r="V5" s="2216" t="s">
        <v>4513</v>
      </c>
      <c r="W5" s="671" t="s">
        <v>87</v>
      </c>
      <c r="X5" s="2260" t="s">
        <v>988</v>
      </c>
      <c r="Y5" s="2217" t="s">
        <v>770</v>
      </c>
      <c r="Z5" s="903" t="s">
        <v>102</v>
      </c>
      <c r="AA5" s="903" t="s">
        <v>2238</v>
      </c>
      <c r="AB5" s="903" t="s">
        <v>235</v>
      </c>
      <c r="AC5" s="2207" t="s">
        <v>2378</v>
      </c>
      <c r="AD5" s="2259" t="s">
        <v>4241</v>
      </c>
      <c r="AE5" s="2206" t="s">
        <v>2239</v>
      </c>
      <c r="AF5" s="2206" t="s">
        <v>949</v>
      </c>
      <c r="AG5" s="2206" t="s">
        <v>950</v>
      </c>
      <c r="AH5" s="2206" t="s">
        <v>2240</v>
      </c>
      <c r="AI5" s="2206" t="s">
        <v>12</v>
      </c>
      <c r="AJ5" s="2206" t="s">
        <v>1024</v>
      </c>
      <c r="AK5" s="2206" t="s">
        <v>100</v>
      </c>
      <c r="AL5" s="2206" t="s">
        <v>841</v>
      </c>
      <c r="AM5" s="2206" t="s">
        <v>842</v>
      </c>
      <c r="AN5" s="2206" t="s">
        <v>840</v>
      </c>
      <c r="AO5" s="2206" t="s">
        <v>768</v>
      </c>
      <c r="AP5" s="2206" t="s">
        <v>287</v>
      </c>
      <c r="AQ5" s="2206" t="s">
        <v>304</v>
      </c>
      <c r="AR5" s="2206" t="s">
        <v>2325</v>
      </c>
      <c r="AS5" s="2206" t="s">
        <v>305</v>
      </c>
      <c r="AT5" s="2206" t="s">
        <v>643</v>
      </c>
      <c r="AU5" s="2206" t="s">
        <v>652</v>
      </c>
      <c r="AV5" s="2205" t="s">
        <v>920</v>
      </c>
      <c r="AW5" s="2206" t="s">
        <v>514</v>
      </c>
      <c r="AX5" s="2205" t="s">
        <v>638</v>
      </c>
      <c r="AY5" s="2205" t="s">
        <v>637</v>
      </c>
      <c r="AZ5" s="2205" t="s">
        <v>843</v>
      </c>
      <c r="BA5" s="2205" t="s">
        <v>844</v>
      </c>
      <c r="BB5" s="2205" t="s">
        <v>668</v>
      </c>
      <c r="BC5" s="2205" t="s">
        <v>669</v>
      </c>
      <c r="BD5" s="2205" t="s">
        <v>757</v>
      </c>
      <c r="BE5" s="2205" t="s">
        <v>756</v>
      </c>
      <c r="BF5" s="2205" t="s">
        <v>4085</v>
      </c>
      <c r="BG5" s="2205" t="s">
        <v>1544</v>
      </c>
      <c r="BH5" s="2205" t="s">
        <v>1545</v>
      </c>
      <c r="BI5" s="2205" t="s">
        <v>1624</v>
      </c>
      <c r="BJ5" s="2205" t="s">
        <v>1121</v>
      </c>
      <c r="BK5" s="2205" t="s">
        <v>2208</v>
      </c>
      <c r="BL5" s="2205" t="s">
        <v>1122</v>
      </c>
      <c r="BM5" s="2205" t="s">
        <v>2209</v>
      </c>
      <c r="BN5" s="2205" t="s">
        <v>1123</v>
      </c>
      <c r="BO5" s="2205" t="s">
        <v>2099</v>
      </c>
      <c r="BP5" s="2205" t="s">
        <v>1124</v>
      </c>
      <c r="BQ5" s="2545"/>
      <c r="BR5" s="2545"/>
      <c r="BS5" s="2545"/>
      <c r="BT5" s="2545"/>
      <c r="BU5" s="2545"/>
      <c r="BV5" s="2545"/>
      <c r="BW5" s="2563"/>
      <c r="BX5" s="2205" t="s">
        <v>4086</v>
      </c>
      <c r="BY5" s="2205" t="s">
        <v>4087</v>
      </c>
      <c r="BZ5" s="2205" t="s">
        <v>4043</v>
      </c>
      <c r="CA5" s="2205" t="s">
        <v>4863</v>
      </c>
      <c r="CB5" s="2568"/>
      <c r="CC5" s="2568"/>
      <c r="CD5" s="2576"/>
      <c r="CE5" s="2568"/>
      <c r="CF5" s="2568"/>
      <c r="CG5" s="2568"/>
      <c r="CH5" s="2243" t="s">
        <v>4045</v>
      </c>
      <c r="CI5" s="2243" t="s">
        <v>4050</v>
      </c>
      <c r="CJ5" s="2243" t="s">
        <v>4046</v>
      </c>
      <c r="CK5" s="2243" t="s">
        <v>4089</v>
      </c>
      <c r="CL5" s="2243" t="s">
        <v>4090</v>
      </c>
      <c r="CM5" s="2261" t="s">
        <v>4047</v>
      </c>
      <c r="CN5" s="2243" t="s">
        <v>4048</v>
      </c>
      <c r="CO5" s="2243" t="s">
        <v>4091</v>
      </c>
      <c r="CP5" s="2243" t="s">
        <v>4092</v>
      </c>
      <c r="CQ5" s="2243" t="s">
        <v>4148</v>
      </c>
      <c r="CR5" s="2243" t="s">
        <v>4149</v>
      </c>
      <c r="CS5" s="2243" t="s">
        <v>4150</v>
      </c>
      <c r="CT5" s="2243" t="s">
        <v>4049</v>
      </c>
      <c r="CU5" s="2243" t="s">
        <v>4050</v>
      </c>
      <c r="CV5" s="2243" t="s">
        <v>4051</v>
      </c>
      <c r="CW5" s="2243" t="s">
        <v>4052</v>
      </c>
      <c r="CX5" s="2243" t="s">
        <v>4053</v>
      </c>
      <c r="CY5" s="2243" t="s">
        <v>4484</v>
      </c>
      <c r="CZ5" s="2243" t="s">
        <v>4054</v>
      </c>
      <c r="DA5" s="2243" t="s">
        <v>4151</v>
      </c>
      <c r="DB5" s="2261" t="s">
        <v>4152</v>
      </c>
      <c r="DC5" s="2218" t="s">
        <v>4057</v>
      </c>
      <c r="DD5" s="904" t="s">
        <v>4056</v>
      </c>
      <c r="DE5" s="2208" t="s">
        <v>4153</v>
      </c>
      <c r="DF5" s="2261" t="s">
        <v>4154</v>
      </c>
      <c r="DG5" s="2218" t="s">
        <v>4060</v>
      </c>
      <c r="DH5" s="2208" t="s">
        <v>4059</v>
      </c>
      <c r="DI5" s="2243" t="s">
        <v>4944</v>
      </c>
      <c r="DJ5" s="2261" t="s">
        <v>4864</v>
      </c>
      <c r="DK5" s="2568"/>
      <c r="DL5" s="2570"/>
      <c r="DM5" s="2572"/>
      <c r="DN5" s="2574"/>
      <c r="DO5" s="2568"/>
      <c r="DP5" s="2565"/>
      <c r="DQ5" s="2563"/>
      <c r="DR5" s="2563"/>
      <c r="DS5" s="2561"/>
      <c r="DT5" s="2559"/>
      <c r="DU5" s="2563"/>
      <c r="DV5" s="2557"/>
    </row>
    <row r="6" spans="1:256" s="632" customFormat="1" ht="18" customHeight="1">
      <c r="A6" s="2238"/>
      <c r="B6" s="2239"/>
      <c r="C6" s="2239"/>
      <c r="D6" s="631"/>
      <c r="E6" s="631"/>
      <c r="F6" s="631"/>
      <c r="G6" s="631"/>
      <c r="H6" s="631"/>
      <c r="I6" s="2239"/>
      <c r="J6" s="631"/>
      <c r="K6" s="631"/>
      <c r="L6" s="631"/>
      <c r="M6" s="631"/>
      <c r="N6" s="631"/>
      <c r="O6" s="631"/>
      <c r="P6" s="631"/>
      <c r="Q6" s="2239"/>
      <c r="R6" s="631"/>
      <c r="S6" s="2239"/>
      <c r="T6" s="631"/>
      <c r="U6" s="2239"/>
      <c r="V6" s="631"/>
      <c r="W6" s="631"/>
      <c r="X6" s="2239"/>
      <c r="Y6" s="631"/>
      <c r="Z6" s="631"/>
      <c r="AA6" s="631"/>
      <c r="AB6" s="631"/>
      <c r="AC6" s="631"/>
      <c r="AD6" s="2239"/>
      <c r="AE6" s="2239"/>
      <c r="AF6" s="2239"/>
      <c r="AG6" s="2239"/>
      <c r="AH6" s="2239"/>
      <c r="AI6" s="2239"/>
      <c r="AJ6" s="2239"/>
      <c r="AK6" s="2239"/>
      <c r="AL6" s="2239"/>
      <c r="AM6" s="2239"/>
      <c r="AN6" s="2239"/>
      <c r="AO6" s="2239"/>
      <c r="AP6" s="2239"/>
      <c r="AQ6" s="2239"/>
      <c r="AR6" s="2239"/>
      <c r="AS6" s="2239"/>
      <c r="AT6" s="2239"/>
      <c r="AU6" s="2239"/>
      <c r="AV6" s="2239"/>
      <c r="AW6" s="2239"/>
      <c r="AX6" s="2239"/>
      <c r="AY6" s="2239"/>
      <c r="AZ6" s="2239"/>
      <c r="BA6" s="2239"/>
      <c r="BB6" s="2239"/>
      <c r="BC6" s="2239"/>
      <c r="BD6" s="2239"/>
      <c r="BE6" s="2239"/>
      <c r="BF6" s="2239"/>
      <c r="BG6" s="2239"/>
      <c r="BH6" s="2239"/>
      <c r="BI6" s="2239"/>
      <c r="BJ6" s="2239"/>
      <c r="BK6" s="2239"/>
      <c r="BL6" s="2239"/>
      <c r="BM6" s="2239"/>
      <c r="BN6" s="2239"/>
      <c r="BO6" s="2239"/>
      <c r="BP6" s="2239"/>
      <c r="BQ6" s="2239"/>
      <c r="BR6" s="2239"/>
      <c r="BS6" s="2239"/>
      <c r="BT6" s="2239"/>
      <c r="BU6" s="2239"/>
      <c r="BV6" s="2239"/>
      <c r="BW6" s="2239"/>
      <c r="BX6" s="2239"/>
      <c r="BY6" s="2239"/>
      <c r="BZ6" s="2239"/>
      <c r="CA6" s="2239"/>
      <c r="CB6" s="2239"/>
      <c r="CC6" s="2239"/>
      <c r="CD6" s="631"/>
      <c r="CE6" s="2239"/>
      <c r="CF6" s="2239"/>
      <c r="CG6" s="2239"/>
      <c r="CH6" s="2239"/>
      <c r="CI6" s="2239"/>
      <c r="CJ6" s="2239"/>
      <c r="CK6" s="2239"/>
      <c r="CL6" s="2239"/>
      <c r="CM6" s="2239"/>
      <c r="CN6" s="2239"/>
      <c r="CO6" s="2239"/>
      <c r="CP6" s="2239"/>
      <c r="CQ6" s="2239"/>
      <c r="CR6" s="2239"/>
      <c r="CS6" s="2239"/>
      <c r="CT6" s="2239"/>
      <c r="CU6" s="2239"/>
      <c r="CV6" s="2239"/>
      <c r="CW6" s="2239"/>
      <c r="CX6" s="2239"/>
      <c r="CY6" s="2257"/>
      <c r="CZ6" s="2239"/>
      <c r="DA6" s="2239"/>
      <c r="DB6" s="2239"/>
      <c r="DC6" s="631"/>
      <c r="DD6" s="631"/>
      <c r="DE6" s="631"/>
      <c r="DF6" s="2239"/>
      <c r="DG6" s="631"/>
      <c r="DH6" s="631"/>
      <c r="DI6" s="2239"/>
      <c r="DJ6" s="2239"/>
      <c r="DK6" s="2239"/>
      <c r="DL6" s="631"/>
      <c r="DM6" s="631"/>
      <c r="DN6" s="631"/>
      <c r="DO6" s="2239"/>
      <c r="DP6" s="631"/>
      <c r="DQ6" s="2239"/>
      <c r="DR6" s="2239"/>
      <c r="DS6" s="631"/>
      <c r="DT6" s="631"/>
      <c r="DU6" s="2239"/>
      <c r="DV6" s="2244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33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58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58"/>
      <c r="CB7" s="674"/>
      <c r="CC7" s="2258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58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34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45"/>
      <c r="B8" s="2245"/>
      <c r="C8" s="2246"/>
      <c r="D8" s="2219"/>
      <c r="E8" s="2070"/>
      <c r="F8" s="2070"/>
      <c r="G8" s="2070"/>
      <c r="H8" s="2209"/>
      <c r="I8" s="2246"/>
      <c r="J8" s="2222"/>
      <c r="K8" s="2070"/>
      <c r="L8" s="2071"/>
      <c r="M8" s="2072"/>
      <c r="N8" s="2072"/>
      <c r="O8" s="2070"/>
      <c r="P8" s="2212"/>
      <c r="Q8" s="2246"/>
      <c r="R8" s="2248"/>
      <c r="S8" s="2248"/>
      <c r="T8" s="2224"/>
      <c r="U8" s="2248"/>
      <c r="V8" s="2219"/>
      <c r="W8" s="2209"/>
      <c r="X8" s="2248"/>
      <c r="Y8" s="2219"/>
      <c r="Z8" s="2071"/>
      <c r="AA8" s="2071"/>
      <c r="AB8" s="2071"/>
      <c r="AC8" s="2071"/>
      <c r="AD8" s="2248"/>
      <c r="AE8" s="2071"/>
      <c r="AF8" s="2071"/>
      <c r="AG8" s="2071"/>
      <c r="AH8" s="2209"/>
      <c r="AI8" s="2248"/>
      <c r="AJ8" s="2219"/>
      <c r="AK8" s="2071"/>
      <c r="AL8" s="2071"/>
      <c r="AM8" s="2071"/>
      <c r="AN8" s="2071"/>
      <c r="AO8" s="2071"/>
      <c r="AP8" s="2071"/>
      <c r="AQ8" s="2071"/>
      <c r="AR8" s="2071"/>
      <c r="AS8" s="2071"/>
      <c r="AT8" s="2071"/>
      <c r="AU8" s="2071"/>
      <c r="AV8" s="2071"/>
      <c r="AW8" s="2209"/>
      <c r="AX8" s="2248"/>
      <c r="AY8" s="2248"/>
      <c r="AZ8" s="2219"/>
      <c r="BA8" s="2071"/>
      <c r="BB8" s="2071"/>
      <c r="BC8" s="2071"/>
      <c r="BD8" s="2071"/>
      <c r="BE8" s="2071"/>
      <c r="BF8" s="2209"/>
      <c r="BG8" s="2248"/>
      <c r="BH8" s="2248"/>
      <c r="BI8" s="2219"/>
      <c r="BJ8" s="2071"/>
      <c r="BK8" s="2071"/>
      <c r="BL8" s="2071"/>
      <c r="BM8" s="2071"/>
      <c r="BN8" s="2071"/>
      <c r="BO8" s="2071"/>
      <c r="BP8" s="2209"/>
      <c r="BQ8" s="2248"/>
      <c r="BR8" s="2219"/>
      <c r="BS8" s="2071"/>
      <c r="BT8" s="2071"/>
      <c r="BU8" s="2071"/>
      <c r="BV8" s="2071"/>
      <c r="BW8" s="2071"/>
      <c r="BX8" s="2071"/>
      <c r="BY8" s="2071"/>
      <c r="BZ8" s="2071"/>
      <c r="CA8" s="2248"/>
      <c r="CB8" s="2248"/>
      <c r="CC8" s="2248"/>
      <c r="CD8" s="2209"/>
      <c r="CE8" s="2248"/>
      <c r="CF8" s="2248"/>
      <c r="CG8" s="2219"/>
      <c r="CH8" s="2071"/>
      <c r="CI8" s="2071"/>
      <c r="CJ8" s="2071"/>
      <c r="CK8" s="2071"/>
      <c r="CL8" s="2209"/>
      <c r="CM8" s="2248"/>
      <c r="CN8" s="2219"/>
      <c r="CO8" s="2209"/>
      <c r="CP8" s="2248"/>
      <c r="CQ8" s="2219"/>
      <c r="CR8" s="2071"/>
      <c r="CS8" s="2071"/>
      <c r="CT8" s="2071"/>
      <c r="CU8" s="2071"/>
      <c r="CV8" s="2209"/>
      <c r="CW8" s="2248"/>
      <c r="CX8" s="2219"/>
      <c r="CY8" s="2073"/>
      <c r="CZ8" s="2071"/>
      <c r="DA8" s="2209"/>
      <c r="DB8" s="2248"/>
      <c r="DC8" s="2219"/>
      <c r="DD8" s="2071"/>
      <c r="DE8" s="2209"/>
      <c r="DF8" s="2248"/>
      <c r="DG8" s="2219"/>
      <c r="DH8" s="2209"/>
      <c r="DI8" s="2248"/>
      <c r="DJ8" s="2248"/>
      <c r="DK8" s="2248"/>
      <c r="DL8" s="2219"/>
      <c r="DM8" s="2071"/>
      <c r="DN8" s="2209"/>
      <c r="DO8" s="2248"/>
      <c r="DP8" s="2224"/>
      <c r="DQ8" s="2248"/>
      <c r="DR8" s="2248"/>
      <c r="DS8" s="2219"/>
      <c r="DT8" s="2209"/>
      <c r="DU8" s="2248"/>
      <c r="DV8" s="2250"/>
      <c r="IR8" s="844"/>
      <c r="IS8" s="844"/>
      <c r="IT8" s="844"/>
      <c r="IU8" s="844"/>
      <c r="IV8" s="844"/>
    </row>
    <row r="9" spans="1:256" s="843" customFormat="1" ht="13.8">
      <c r="A9" s="2245"/>
      <c r="B9" s="2246"/>
      <c r="C9" s="2246"/>
      <c r="D9" s="2219"/>
      <c r="E9" s="2070"/>
      <c r="F9" s="2070"/>
      <c r="G9" s="2070"/>
      <c r="H9" s="2209"/>
      <c r="I9" s="2248"/>
      <c r="J9" s="2222"/>
      <c r="K9" s="2070"/>
      <c r="L9" s="2071"/>
      <c r="M9" s="2072"/>
      <c r="N9" s="2072"/>
      <c r="O9" s="2070"/>
      <c r="P9" s="2212"/>
      <c r="Q9" s="2246"/>
      <c r="R9" s="2248"/>
      <c r="S9" s="2248"/>
      <c r="T9" s="2224"/>
      <c r="U9" s="2248"/>
      <c r="V9" s="2219"/>
      <c r="W9" s="2209"/>
      <c r="X9" s="2248"/>
      <c r="Y9" s="2219"/>
      <c r="Z9" s="2071"/>
      <c r="AA9" s="2071"/>
      <c r="AB9" s="2071"/>
      <c r="AC9" s="2071"/>
      <c r="AD9" s="2248"/>
      <c r="AE9" s="2248"/>
      <c r="AF9" s="2248"/>
      <c r="AG9" s="2248"/>
      <c r="AH9" s="2248"/>
      <c r="AI9" s="2248"/>
      <c r="AJ9" s="2248"/>
      <c r="AK9" s="2071"/>
      <c r="AL9" s="2071"/>
      <c r="AM9" s="2071"/>
      <c r="AN9" s="2071"/>
      <c r="AO9" s="2071"/>
      <c r="AP9" s="2071"/>
      <c r="AQ9" s="2071"/>
      <c r="AR9" s="2071"/>
      <c r="AS9" s="2071"/>
      <c r="AT9" s="2071"/>
      <c r="AU9" s="2071"/>
      <c r="AV9" s="2071"/>
      <c r="AW9" s="2209"/>
      <c r="AX9" s="2248"/>
      <c r="AY9" s="2248"/>
      <c r="AZ9" s="2219"/>
      <c r="BA9" s="2071"/>
      <c r="BB9" s="2071"/>
      <c r="BC9" s="2071"/>
      <c r="BD9" s="2071"/>
      <c r="BE9" s="2071"/>
      <c r="BF9" s="2209"/>
      <c r="BG9" s="2248"/>
      <c r="BH9" s="2248"/>
      <c r="BI9" s="2219"/>
      <c r="BJ9" s="2071"/>
      <c r="BK9" s="2071"/>
      <c r="BL9" s="2071"/>
      <c r="BM9" s="2071"/>
      <c r="BN9" s="2071"/>
      <c r="BO9" s="2071"/>
      <c r="BP9" s="2209"/>
      <c r="BQ9" s="2248"/>
      <c r="BR9" s="2219"/>
      <c r="BS9" s="2071"/>
      <c r="BT9" s="2071"/>
      <c r="BU9" s="2071"/>
      <c r="BV9" s="2071"/>
      <c r="BW9" s="2071"/>
      <c r="BX9" s="2071"/>
      <c r="BY9" s="2071"/>
      <c r="BZ9" s="2071"/>
      <c r="CA9" s="2248"/>
      <c r="CB9" s="2248"/>
      <c r="CC9" s="2248"/>
      <c r="CD9" s="2209"/>
      <c r="CE9" s="2248"/>
      <c r="CF9" s="2248"/>
      <c r="CG9" s="2219"/>
      <c r="CH9" s="2071"/>
      <c r="CI9" s="2071"/>
      <c r="CJ9" s="2071"/>
      <c r="CK9" s="2071"/>
      <c r="CL9" s="2209"/>
      <c r="CM9" s="2248"/>
      <c r="CN9" s="2219"/>
      <c r="CO9" s="2209"/>
      <c r="CP9" s="2248"/>
      <c r="CQ9" s="2219"/>
      <c r="CR9" s="2071"/>
      <c r="CS9" s="2071"/>
      <c r="CT9" s="2071"/>
      <c r="CU9" s="2071"/>
      <c r="CV9" s="2209"/>
      <c r="CW9" s="2248"/>
      <c r="CX9" s="2219"/>
      <c r="CY9" s="2073"/>
      <c r="CZ9" s="2071"/>
      <c r="DA9" s="2209"/>
      <c r="DB9" s="2248"/>
      <c r="DC9" s="2219"/>
      <c r="DD9" s="2071"/>
      <c r="DE9" s="2209"/>
      <c r="DF9" s="2248"/>
      <c r="DG9" s="2219"/>
      <c r="DH9" s="2209"/>
      <c r="DI9" s="2248"/>
      <c r="DJ9" s="2248"/>
      <c r="DK9" s="2248"/>
      <c r="DL9" s="2219"/>
      <c r="DM9" s="2071"/>
      <c r="DN9" s="2209"/>
      <c r="DO9" s="2248"/>
      <c r="DP9" s="2224"/>
      <c r="DQ9" s="2248"/>
      <c r="DR9" s="2248"/>
      <c r="DS9" s="2219"/>
      <c r="DT9" s="2209"/>
      <c r="DU9" s="2248"/>
      <c r="DV9" s="2250"/>
      <c r="IR9" s="844"/>
      <c r="IS9" s="844"/>
      <c r="IT9" s="844"/>
      <c r="IU9" s="844"/>
      <c r="IV9" s="844"/>
    </row>
    <row r="10" spans="1:256" s="843" customFormat="1" ht="13.8">
      <c r="A10" s="2245"/>
      <c r="B10" s="2246"/>
      <c r="C10" s="2246"/>
      <c r="D10" s="2220"/>
      <c r="E10" s="2075"/>
      <c r="F10" s="2075"/>
      <c r="G10" s="2075"/>
      <c r="H10" s="2210"/>
      <c r="I10" s="2248"/>
      <c r="J10" s="2223"/>
      <c r="K10" s="2075"/>
      <c r="L10" s="2076"/>
      <c r="M10" s="2077"/>
      <c r="N10" s="2077"/>
      <c r="O10" s="2075"/>
      <c r="P10" s="2213"/>
      <c r="Q10" s="2246"/>
      <c r="R10" s="2248"/>
      <c r="S10" s="2248"/>
      <c r="T10" s="2225"/>
      <c r="U10" s="2248"/>
      <c r="V10" s="2220"/>
      <c r="W10" s="2210"/>
      <c r="X10" s="2248"/>
      <c r="Y10" s="2220"/>
      <c r="Z10" s="2076"/>
      <c r="AA10" s="2076"/>
      <c r="AB10" s="2076"/>
      <c r="AC10" s="2076"/>
      <c r="AD10" s="2248"/>
      <c r="AE10" s="2248"/>
      <c r="AF10" s="2248"/>
      <c r="AG10" s="2248"/>
      <c r="AH10" s="2248"/>
      <c r="AI10" s="2248"/>
      <c r="AJ10" s="2248"/>
      <c r="AK10" s="2076"/>
      <c r="AL10" s="2076"/>
      <c r="AM10" s="2076"/>
      <c r="AN10" s="2076"/>
      <c r="AO10" s="2076"/>
      <c r="AP10" s="2076"/>
      <c r="AQ10" s="2076"/>
      <c r="AR10" s="2076"/>
      <c r="AS10" s="2076"/>
      <c r="AT10" s="2076"/>
      <c r="AU10" s="2076"/>
      <c r="AV10" s="2076"/>
      <c r="AW10" s="2210"/>
      <c r="AX10" s="2248"/>
      <c r="AY10" s="2248"/>
      <c r="AZ10" s="2220"/>
      <c r="BA10" s="2076"/>
      <c r="BB10" s="2076"/>
      <c r="BC10" s="2076"/>
      <c r="BD10" s="2076"/>
      <c r="BE10" s="2076"/>
      <c r="BF10" s="2210"/>
      <c r="BG10" s="2248"/>
      <c r="BH10" s="2248"/>
      <c r="BI10" s="2220"/>
      <c r="BJ10" s="2076"/>
      <c r="BK10" s="2076"/>
      <c r="BL10" s="2076"/>
      <c r="BM10" s="2076"/>
      <c r="BN10" s="2076"/>
      <c r="BO10" s="2076"/>
      <c r="BP10" s="2210"/>
      <c r="BQ10" s="2248"/>
      <c r="BR10" s="2220"/>
      <c r="BS10" s="2076"/>
      <c r="BT10" s="2076"/>
      <c r="BU10" s="2076"/>
      <c r="BV10" s="2076"/>
      <c r="BW10" s="2076"/>
      <c r="BX10" s="2076"/>
      <c r="BY10" s="2076"/>
      <c r="BZ10" s="2076"/>
      <c r="CA10" s="2248"/>
      <c r="CB10" s="2248"/>
      <c r="CC10" s="2248"/>
      <c r="CD10" s="2210"/>
      <c r="CE10" s="2248"/>
      <c r="CF10" s="2248"/>
      <c r="CG10" s="2220"/>
      <c r="CH10" s="2076"/>
      <c r="CI10" s="2076"/>
      <c r="CJ10" s="2076"/>
      <c r="CK10" s="2076"/>
      <c r="CL10" s="2210"/>
      <c r="CM10" s="2248"/>
      <c r="CN10" s="2220"/>
      <c r="CO10" s="2210"/>
      <c r="CP10" s="2248"/>
      <c r="CQ10" s="2220"/>
      <c r="CR10" s="2076"/>
      <c r="CS10" s="2076"/>
      <c r="CT10" s="2076"/>
      <c r="CU10" s="2076"/>
      <c r="CV10" s="2210"/>
      <c r="CW10" s="2248"/>
      <c r="CX10" s="2220"/>
      <c r="CY10" s="908"/>
      <c r="CZ10" s="2076"/>
      <c r="DA10" s="2210"/>
      <c r="DB10" s="2248"/>
      <c r="DC10" s="2220"/>
      <c r="DD10" s="2076"/>
      <c r="DE10" s="2210"/>
      <c r="DF10" s="2248"/>
      <c r="DG10" s="2220"/>
      <c r="DH10" s="2210"/>
      <c r="DI10" s="2248"/>
      <c r="DJ10" s="2248"/>
      <c r="DK10" s="2248"/>
      <c r="DL10" s="2220"/>
      <c r="DM10" s="2076"/>
      <c r="DN10" s="2210"/>
      <c r="DO10" s="2249"/>
      <c r="DP10" s="2225"/>
      <c r="DQ10" s="2248"/>
      <c r="DR10" s="2248"/>
      <c r="DS10" s="2220"/>
      <c r="DT10" s="2210"/>
      <c r="DU10" s="2248"/>
      <c r="DV10" s="2250"/>
      <c r="IR10" s="844"/>
      <c r="IS10" s="844"/>
      <c r="IT10" s="844"/>
      <c r="IU10" s="844"/>
      <c r="IV10" s="844"/>
    </row>
    <row r="11" spans="1:256" s="843" customFormat="1" ht="13.8">
      <c r="A11" s="2245"/>
      <c r="B11" s="2246"/>
      <c r="C11" s="2246"/>
      <c r="D11" s="2220"/>
      <c r="E11" s="2075"/>
      <c r="F11" s="2075"/>
      <c r="G11" s="2075"/>
      <c r="H11" s="2210"/>
      <c r="I11" s="2248"/>
      <c r="J11" s="2223"/>
      <c r="K11" s="2075"/>
      <c r="L11" s="2076"/>
      <c r="M11" s="2077"/>
      <c r="N11" s="2077"/>
      <c r="O11" s="2075"/>
      <c r="P11" s="2213"/>
      <c r="Q11" s="2246"/>
      <c r="R11" s="2248"/>
      <c r="S11" s="2248"/>
      <c r="T11" s="2225"/>
      <c r="U11" s="2248"/>
      <c r="V11" s="2220"/>
      <c r="W11" s="2210"/>
      <c r="X11" s="2248"/>
      <c r="Y11" s="2220"/>
      <c r="Z11" s="2076"/>
      <c r="AA11" s="2076"/>
      <c r="AB11" s="2076"/>
      <c r="AC11" s="2076"/>
      <c r="AD11" s="2248"/>
      <c r="AE11" s="2248"/>
      <c r="AF11" s="2248"/>
      <c r="AG11" s="2248"/>
      <c r="AH11" s="2248"/>
      <c r="AI11" s="2248"/>
      <c r="AJ11" s="2248"/>
      <c r="AK11" s="2076"/>
      <c r="AL11" s="2076"/>
      <c r="AM11" s="2076"/>
      <c r="AN11" s="2076"/>
      <c r="AO11" s="2076"/>
      <c r="AP11" s="2076"/>
      <c r="AQ11" s="2076"/>
      <c r="AR11" s="2076"/>
      <c r="AS11" s="2076"/>
      <c r="AT11" s="2076"/>
      <c r="AU11" s="2076"/>
      <c r="AV11" s="2076"/>
      <c r="AW11" s="2210"/>
      <c r="AX11" s="2248"/>
      <c r="AY11" s="2248"/>
      <c r="AZ11" s="2220"/>
      <c r="BA11" s="2076"/>
      <c r="BB11" s="2076"/>
      <c r="BC11" s="2076"/>
      <c r="BD11" s="2076"/>
      <c r="BE11" s="2076"/>
      <c r="BF11" s="2210"/>
      <c r="BG11" s="2248"/>
      <c r="BH11" s="2248"/>
      <c r="BI11" s="2220"/>
      <c r="BJ11" s="2076"/>
      <c r="BK11" s="2076"/>
      <c r="BL11" s="2076"/>
      <c r="BM11" s="2076"/>
      <c r="BN11" s="2076"/>
      <c r="BO11" s="2076"/>
      <c r="BP11" s="2210"/>
      <c r="BQ11" s="2248"/>
      <c r="BR11" s="2220"/>
      <c r="BS11" s="2076"/>
      <c r="BT11" s="2076"/>
      <c r="BU11" s="2076"/>
      <c r="BV11" s="2076"/>
      <c r="BW11" s="2076"/>
      <c r="BX11" s="2076"/>
      <c r="BY11" s="2076"/>
      <c r="BZ11" s="2076"/>
      <c r="CA11" s="2248"/>
      <c r="CB11" s="2248"/>
      <c r="CC11" s="2248"/>
      <c r="CD11" s="2210"/>
      <c r="CE11" s="2248"/>
      <c r="CF11" s="2248"/>
      <c r="CG11" s="2220"/>
      <c r="CH11" s="2076"/>
      <c r="CI11" s="2076"/>
      <c r="CJ11" s="2076"/>
      <c r="CK11" s="2076"/>
      <c r="CL11" s="2210"/>
      <c r="CM11" s="2248"/>
      <c r="CN11" s="2220"/>
      <c r="CO11" s="2210"/>
      <c r="CP11" s="2248"/>
      <c r="CQ11" s="2220"/>
      <c r="CR11" s="2076"/>
      <c r="CS11" s="2076"/>
      <c r="CT11" s="2076"/>
      <c r="CU11" s="2076"/>
      <c r="CV11" s="2210"/>
      <c r="CW11" s="2248"/>
      <c r="CX11" s="2220"/>
      <c r="CY11" s="908"/>
      <c r="CZ11" s="2076"/>
      <c r="DA11" s="2210"/>
      <c r="DB11" s="2248"/>
      <c r="DC11" s="2220"/>
      <c r="DD11" s="2076"/>
      <c r="DE11" s="2210"/>
      <c r="DF11" s="2248"/>
      <c r="DG11" s="2220"/>
      <c r="DH11" s="2210"/>
      <c r="DI11" s="2248"/>
      <c r="DJ11" s="2248"/>
      <c r="DK11" s="2248"/>
      <c r="DL11" s="2220"/>
      <c r="DM11" s="2076"/>
      <c r="DN11" s="2210"/>
      <c r="DO11" s="2249"/>
      <c r="DP11" s="2225"/>
      <c r="DQ11" s="2248"/>
      <c r="DR11" s="2248"/>
      <c r="DS11" s="2220"/>
      <c r="DT11" s="2210"/>
      <c r="DU11" s="2248"/>
      <c r="DV11" s="2250"/>
      <c r="IR11" s="844"/>
      <c r="IS11" s="844"/>
      <c r="IT11" s="844"/>
      <c r="IU11" s="844"/>
      <c r="IV11" s="844"/>
    </row>
    <row r="12" spans="1:256" s="843" customFormat="1" ht="13.8">
      <c r="A12" s="2245"/>
      <c r="B12" s="2247"/>
      <c r="C12" s="1082"/>
      <c r="D12" s="2221"/>
      <c r="E12" s="2077"/>
      <c r="F12" s="2077"/>
      <c r="G12" s="2077"/>
      <c r="H12" s="2211"/>
      <c r="I12" s="2248"/>
      <c r="J12" s="2223"/>
      <c r="K12" s="2075"/>
      <c r="L12" s="2077"/>
      <c r="M12" s="2077"/>
      <c r="N12" s="2077"/>
      <c r="O12" s="2075"/>
      <c r="P12" s="2213"/>
      <c r="Q12" s="2246"/>
      <c r="R12" s="2248"/>
      <c r="S12" s="2248"/>
      <c r="T12" s="2225"/>
      <c r="U12" s="2248"/>
      <c r="V12" s="2220"/>
      <c r="W12" s="2210"/>
      <c r="X12" s="2248"/>
      <c r="Y12" s="2220"/>
      <c r="Z12" s="2076"/>
      <c r="AA12" s="2076"/>
      <c r="AB12" s="2076"/>
      <c r="AC12" s="2076"/>
      <c r="AD12" s="2248"/>
      <c r="AE12" s="2248"/>
      <c r="AF12" s="2248"/>
      <c r="AG12" s="2248"/>
      <c r="AH12" s="2248"/>
      <c r="AI12" s="2248"/>
      <c r="AJ12" s="2248"/>
      <c r="AK12" s="2076"/>
      <c r="AL12" s="2076"/>
      <c r="AM12" s="2076"/>
      <c r="AN12" s="2076"/>
      <c r="AO12" s="2076"/>
      <c r="AP12" s="2076"/>
      <c r="AQ12" s="2076"/>
      <c r="AR12" s="2076"/>
      <c r="AS12" s="2076"/>
      <c r="AT12" s="2076"/>
      <c r="AU12" s="2076"/>
      <c r="AV12" s="2076"/>
      <c r="AW12" s="2210"/>
      <c r="AX12" s="2248"/>
      <c r="AY12" s="2248"/>
      <c r="AZ12" s="2220"/>
      <c r="BA12" s="2076"/>
      <c r="BB12" s="2076"/>
      <c r="BC12" s="2076"/>
      <c r="BD12" s="2076"/>
      <c r="BE12" s="2076"/>
      <c r="BF12" s="2210"/>
      <c r="BG12" s="2248"/>
      <c r="BH12" s="2248"/>
      <c r="BI12" s="2220"/>
      <c r="BJ12" s="2076"/>
      <c r="BK12" s="2076"/>
      <c r="BL12" s="2076"/>
      <c r="BM12" s="2076"/>
      <c r="BN12" s="2076"/>
      <c r="BO12" s="2076"/>
      <c r="BP12" s="2210"/>
      <c r="BQ12" s="2248"/>
      <c r="BR12" s="2220"/>
      <c r="BS12" s="2076"/>
      <c r="BT12" s="2076"/>
      <c r="BU12" s="2076"/>
      <c r="BV12" s="2076"/>
      <c r="BW12" s="2076"/>
      <c r="BX12" s="2076"/>
      <c r="BY12" s="2076"/>
      <c r="BZ12" s="2076"/>
      <c r="CA12" s="2248"/>
      <c r="CB12" s="2248"/>
      <c r="CC12" s="2248"/>
      <c r="CD12" s="2210"/>
      <c r="CE12" s="2248"/>
      <c r="CF12" s="2248"/>
      <c r="CG12" s="2220"/>
      <c r="CH12" s="2076"/>
      <c r="CI12" s="2076"/>
      <c r="CJ12" s="2076"/>
      <c r="CK12" s="2076"/>
      <c r="CL12" s="2210"/>
      <c r="CM12" s="2248"/>
      <c r="CN12" s="2220"/>
      <c r="CO12" s="2210"/>
      <c r="CP12" s="2248"/>
      <c r="CQ12" s="2220"/>
      <c r="CR12" s="2076"/>
      <c r="CS12" s="2076"/>
      <c r="CT12" s="2076"/>
      <c r="CU12" s="2076"/>
      <c r="CV12" s="2210"/>
      <c r="CW12" s="2248"/>
      <c r="CX12" s="2220"/>
      <c r="CY12" s="908"/>
      <c r="CZ12" s="2076"/>
      <c r="DA12" s="2210"/>
      <c r="DB12" s="2248"/>
      <c r="DC12" s="2220"/>
      <c r="DD12" s="2076"/>
      <c r="DE12" s="2210"/>
      <c r="DF12" s="2248"/>
      <c r="DG12" s="2220"/>
      <c r="DH12" s="2210"/>
      <c r="DI12" s="2248"/>
      <c r="DJ12" s="2248"/>
      <c r="DK12" s="2248"/>
      <c r="DL12" s="2220"/>
      <c r="DM12" s="2076"/>
      <c r="DN12" s="2210"/>
      <c r="DO12" s="2249"/>
      <c r="DP12" s="2225"/>
      <c r="DQ12" s="2248"/>
      <c r="DR12" s="2248"/>
      <c r="DS12" s="2220"/>
      <c r="DT12" s="2210"/>
      <c r="DU12" s="2248"/>
      <c r="DV12" s="2250"/>
      <c r="IR12" s="844"/>
      <c r="IS12" s="844"/>
      <c r="IT12" s="844"/>
      <c r="IU12" s="844"/>
      <c r="IV12" s="844"/>
    </row>
    <row r="13" spans="1:256" s="843" customFormat="1" ht="13.8">
      <c r="A13" s="2245"/>
      <c r="B13" s="1082"/>
      <c r="C13" s="1082"/>
      <c r="D13" s="2221"/>
      <c r="E13" s="2077"/>
      <c r="F13" s="2077"/>
      <c r="G13" s="2077"/>
      <c r="H13" s="2211"/>
      <c r="I13" s="2248"/>
      <c r="J13" s="2223"/>
      <c r="K13" s="2075"/>
      <c r="L13" s="2077"/>
      <c r="M13" s="2077"/>
      <c r="N13" s="2077"/>
      <c r="O13" s="2075"/>
      <c r="P13" s="2213"/>
      <c r="Q13" s="2246"/>
      <c r="R13" s="2248"/>
      <c r="S13" s="2248"/>
      <c r="T13" s="2225"/>
      <c r="U13" s="2248"/>
      <c r="V13" s="2220"/>
      <c r="W13" s="2210"/>
      <c r="X13" s="2248"/>
      <c r="Y13" s="2220"/>
      <c r="Z13" s="2076"/>
      <c r="AA13" s="2076"/>
      <c r="AB13" s="2076"/>
      <c r="AC13" s="2076"/>
      <c r="AD13" s="2248"/>
      <c r="AE13" s="2248"/>
      <c r="AF13" s="2248"/>
      <c r="AG13" s="2248"/>
      <c r="AH13" s="2248"/>
      <c r="AI13" s="2248"/>
      <c r="AJ13" s="2248"/>
      <c r="AK13" s="2076"/>
      <c r="AL13" s="2076"/>
      <c r="AM13" s="2076"/>
      <c r="AN13" s="2076"/>
      <c r="AO13" s="2076"/>
      <c r="AP13" s="2076"/>
      <c r="AQ13" s="2076"/>
      <c r="AR13" s="2076"/>
      <c r="AS13" s="2076"/>
      <c r="AT13" s="2076"/>
      <c r="AU13" s="2076"/>
      <c r="AV13" s="2076"/>
      <c r="AW13" s="2210"/>
      <c r="AX13" s="2248"/>
      <c r="AY13" s="2248"/>
      <c r="AZ13" s="2220"/>
      <c r="BA13" s="2076"/>
      <c r="BB13" s="2076"/>
      <c r="BC13" s="2076"/>
      <c r="BD13" s="2076"/>
      <c r="BE13" s="2076"/>
      <c r="BF13" s="2210"/>
      <c r="BG13" s="2248"/>
      <c r="BH13" s="2248"/>
      <c r="BI13" s="2220"/>
      <c r="BJ13" s="2076"/>
      <c r="BK13" s="2076"/>
      <c r="BL13" s="2076"/>
      <c r="BM13" s="2076"/>
      <c r="BN13" s="2076"/>
      <c r="BO13" s="2076"/>
      <c r="BP13" s="2210"/>
      <c r="BQ13" s="2248"/>
      <c r="BR13" s="2220"/>
      <c r="BS13" s="2076"/>
      <c r="BT13" s="2076"/>
      <c r="BU13" s="2076"/>
      <c r="BV13" s="2076"/>
      <c r="BW13" s="2076"/>
      <c r="BX13" s="2076"/>
      <c r="BY13" s="2076"/>
      <c r="BZ13" s="2076"/>
      <c r="CA13" s="2248"/>
      <c r="CB13" s="2248"/>
      <c r="CC13" s="2248"/>
      <c r="CD13" s="2210"/>
      <c r="CE13" s="2248"/>
      <c r="CF13" s="2248"/>
      <c r="CG13" s="2220"/>
      <c r="CH13" s="2076"/>
      <c r="CI13" s="2076"/>
      <c r="CJ13" s="2076"/>
      <c r="CK13" s="2076"/>
      <c r="CL13" s="2210"/>
      <c r="CM13" s="2248"/>
      <c r="CN13" s="2220"/>
      <c r="CO13" s="2210"/>
      <c r="CP13" s="2248"/>
      <c r="CQ13" s="2220"/>
      <c r="CR13" s="2076"/>
      <c r="CS13" s="2076"/>
      <c r="CT13" s="2076"/>
      <c r="CU13" s="2076"/>
      <c r="CV13" s="2210"/>
      <c r="CW13" s="2248"/>
      <c r="CX13" s="2220"/>
      <c r="CY13" s="908"/>
      <c r="CZ13" s="2076"/>
      <c r="DA13" s="2210"/>
      <c r="DB13" s="2248"/>
      <c r="DC13" s="2220"/>
      <c r="DD13" s="2076"/>
      <c r="DE13" s="2210"/>
      <c r="DF13" s="2248"/>
      <c r="DG13" s="2220"/>
      <c r="DH13" s="2210"/>
      <c r="DI13" s="2248"/>
      <c r="DJ13" s="2248"/>
      <c r="DK13" s="2248"/>
      <c r="DL13" s="2220"/>
      <c r="DM13" s="2076"/>
      <c r="DN13" s="2210"/>
      <c r="DO13" s="2249"/>
      <c r="DP13" s="2225"/>
      <c r="DQ13" s="2248"/>
      <c r="DR13" s="2248"/>
      <c r="DS13" s="2220"/>
      <c r="DT13" s="2210"/>
      <c r="DU13" s="2248"/>
      <c r="DV13" s="2250"/>
      <c r="IR13" s="844"/>
      <c r="IS13" s="844"/>
      <c r="IT13" s="844"/>
      <c r="IU13" s="844"/>
      <c r="IV13" s="844"/>
    </row>
    <row r="14" spans="1:256" s="843" customFormat="1" ht="13.8">
      <c r="A14" s="2245"/>
      <c r="B14" s="2247"/>
      <c r="C14" s="1082"/>
      <c r="D14" s="2221"/>
      <c r="E14" s="2077"/>
      <c r="F14" s="2077"/>
      <c r="G14" s="2077"/>
      <c r="H14" s="2211"/>
      <c r="I14" s="2248"/>
      <c r="J14" s="2223"/>
      <c r="K14" s="2077"/>
      <c r="L14" s="2077"/>
      <c r="M14" s="2077"/>
      <c r="N14" s="2077"/>
      <c r="O14" s="2075"/>
      <c r="P14" s="2213"/>
      <c r="Q14" s="2246"/>
      <c r="R14" s="2248"/>
      <c r="S14" s="2248"/>
      <c r="T14" s="2225"/>
      <c r="U14" s="2248"/>
      <c r="V14" s="2220"/>
      <c r="W14" s="2210"/>
      <c r="X14" s="2248"/>
      <c r="Y14" s="2220"/>
      <c r="Z14" s="2076"/>
      <c r="AA14" s="2076"/>
      <c r="AB14" s="2076"/>
      <c r="AC14" s="2076"/>
      <c r="AD14" s="2248"/>
      <c r="AE14" s="2248"/>
      <c r="AF14" s="2248"/>
      <c r="AG14" s="2248"/>
      <c r="AH14" s="2248"/>
      <c r="AI14" s="2248"/>
      <c r="AJ14" s="2248"/>
      <c r="AK14" s="2076"/>
      <c r="AL14" s="2076"/>
      <c r="AM14" s="2076"/>
      <c r="AN14" s="2076"/>
      <c r="AO14" s="2076"/>
      <c r="AP14" s="2076"/>
      <c r="AQ14" s="2076"/>
      <c r="AR14" s="2076"/>
      <c r="AS14" s="2076"/>
      <c r="AT14" s="2076"/>
      <c r="AU14" s="2076"/>
      <c r="AV14" s="2076"/>
      <c r="AW14" s="2210"/>
      <c r="AX14" s="2248"/>
      <c r="AY14" s="2248"/>
      <c r="AZ14" s="2220"/>
      <c r="BA14" s="2076"/>
      <c r="BB14" s="2076"/>
      <c r="BC14" s="2076"/>
      <c r="BD14" s="2076"/>
      <c r="BE14" s="2076"/>
      <c r="BF14" s="2210"/>
      <c r="BG14" s="2248"/>
      <c r="BH14" s="2248"/>
      <c r="BI14" s="2220"/>
      <c r="BJ14" s="2076"/>
      <c r="BK14" s="2076"/>
      <c r="BL14" s="2076"/>
      <c r="BM14" s="2076"/>
      <c r="BN14" s="2076"/>
      <c r="BO14" s="2076"/>
      <c r="BP14" s="2210"/>
      <c r="BQ14" s="2248"/>
      <c r="BR14" s="2220"/>
      <c r="BS14" s="2076"/>
      <c r="BT14" s="2076"/>
      <c r="BU14" s="2076"/>
      <c r="BV14" s="2076"/>
      <c r="BW14" s="2076"/>
      <c r="BX14" s="2076"/>
      <c r="BY14" s="2076"/>
      <c r="BZ14" s="2076"/>
      <c r="CA14" s="2248"/>
      <c r="CB14" s="2248"/>
      <c r="CC14" s="2248"/>
      <c r="CD14" s="2210"/>
      <c r="CE14" s="2248"/>
      <c r="CF14" s="2248"/>
      <c r="CG14" s="2220"/>
      <c r="CH14" s="2076"/>
      <c r="CI14" s="2076"/>
      <c r="CJ14" s="2076"/>
      <c r="CK14" s="2076"/>
      <c r="CL14" s="2210"/>
      <c r="CM14" s="2248"/>
      <c r="CN14" s="2220"/>
      <c r="CO14" s="2210"/>
      <c r="CP14" s="2248"/>
      <c r="CQ14" s="2220"/>
      <c r="CR14" s="2076"/>
      <c r="CS14" s="2076"/>
      <c r="CT14" s="2076"/>
      <c r="CU14" s="2076"/>
      <c r="CV14" s="2210"/>
      <c r="CW14" s="2248"/>
      <c r="CX14" s="2220"/>
      <c r="CY14" s="908"/>
      <c r="CZ14" s="2076"/>
      <c r="DA14" s="2210"/>
      <c r="DB14" s="2248"/>
      <c r="DC14" s="2220"/>
      <c r="DD14" s="2076"/>
      <c r="DE14" s="2210"/>
      <c r="DF14" s="2248"/>
      <c r="DG14" s="2220"/>
      <c r="DH14" s="2210"/>
      <c r="DI14" s="2248"/>
      <c r="DJ14" s="2248"/>
      <c r="DK14" s="2248"/>
      <c r="DL14" s="2220"/>
      <c r="DM14" s="2076"/>
      <c r="DN14" s="2210"/>
      <c r="DO14" s="2249"/>
      <c r="DP14" s="2225"/>
      <c r="DQ14" s="2248"/>
      <c r="DR14" s="2248"/>
      <c r="DS14" s="2220"/>
      <c r="DT14" s="2210"/>
      <c r="DU14" s="2248"/>
      <c r="DV14" s="2250"/>
      <c r="IR14" s="844"/>
      <c r="IS14" s="844"/>
      <c r="IT14" s="844"/>
      <c r="IU14" s="844"/>
      <c r="IV14" s="844"/>
    </row>
    <row r="15" spans="1:256" s="843" customFormat="1" ht="13.8">
      <c r="A15" s="2245"/>
      <c r="B15" s="1082"/>
      <c r="C15" s="1082"/>
      <c r="D15" s="2221"/>
      <c r="E15" s="2077"/>
      <c r="F15" s="2077"/>
      <c r="G15" s="2077"/>
      <c r="H15" s="2211"/>
      <c r="I15" s="2248"/>
      <c r="J15" s="2223"/>
      <c r="K15" s="2077"/>
      <c r="L15" s="2077"/>
      <c r="M15" s="2077"/>
      <c r="N15" s="2077"/>
      <c r="O15" s="2075"/>
      <c r="P15" s="2213"/>
      <c r="Q15" s="2246"/>
      <c r="R15" s="2248"/>
      <c r="S15" s="2248"/>
      <c r="T15" s="2225"/>
      <c r="U15" s="2248"/>
      <c r="V15" s="2220"/>
      <c r="W15" s="2210"/>
      <c r="X15" s="2248"/>
      <c r="Y15" s="2220"/>
      <c r="Z15" s="2076"/>
      <c r="AA15" s="2076"/>
      <c r="AB15" s="2076"/>
      <c r="AC15" s="2076"/>
      <c r="AD15" s="2248"/>
      <c r="AE15" s="2248"/>
      <c r="AF15" s="2248"/>
      <c r="AG15" s="2248"/>
      <c r="AH15" s="2248"/>
      <c r="AI15" s="2248"/>
      <c r="AJ15" s="2248"/>
      <c r="AK15" s="2076"/>
      <c r="AL15" s="2076"/>
      <c r="AM15" s="2076"/>
      <c r="AN15" s="2076"/>
      <c r="AO15" s="2076"/>
      <c r="AP15" s="2076"/>
      <c r="AQ15" s="2076"/>
      <c r="AR15" s="2076"/>
      <c r="AS15" s="2076"/>
      <c r="AT15" s="2076"/>
      <c r="AU15" s="2076"/>
      <c r="AV15" s="2076"/>
      <c r="AW15" s="2210"/>
      <c r="AX15" s="2248"/>
      <c r="AY15" s="2248"/>
      <c r="AZ15" s="2220"/>
      <c r="BA15" s="2076"/>
      <c r="BB15" s="2076"/>
      <c r="BC15" s="2076"/>
      <c r="BD15" s="2076"/>
      <c r="BE15" s="2076"/>
      <c r="BF15" s="2210"/>
      <c r="BG15" s="2248"/>
      <c r="BH15" s="2248"/>
      <c r="BI15" s="2220"/>
      <c r="BJ15" s="2076"/>
      <c r="BK15" s="2076"/>
      <c r="BL15" s="2076"/>
      <c r="BM15" s="2076"/>
      <c r="BN15" s="2076"/>
      <c r="BO15" s="2076"/>
      <c r="BP15" s="2210"/>
      <c r="BQ15" s="2248"/>
      <c r="BR15" s="2220"/>
      <c r="BS15" s="2076"/>
      <c r="BT15" s="2076"/>
      <c r="BU15" s="2076"/>
      <c r="BV15" s="2076"/>
      <c r="BW15" s="2076"/>
      <c r="BX15" s="2076"/>
      <c r="BY15" s="2076"/>
      <c r="BZ15" s="2076"/>
      <c r="CA15" s="2248"/>
      <c r="CB15" s="2248"/>
      <c r="CC15" s="2248"/>
      <c r="CD15" s="2210"/>
      <c r="CE15" s="2248"/>
      <c r="CF15" s="2248"/>
      <c r="CG15" s="2220"/>
      <c r="CH15" s="2076"/>
      <c r="CI15" s="2076"/>
      <c r="CJ15" s="2076"/>
      <c r="CK15" s="2076"/>
      <c r="CL15" s="2210"/>
      <c r="CM15" s="2248"/>
      <c r="CN15" s="2220"/>
      <c r="CO15" s="2210"/>
      <c r="CP15" s="2248"/>
      <c r="CQ15" s="2220"/>
      <c r="CR15" s="2076"/>
      <c r="CS15" s="2076"/>
      <c r="CT15" s="2076"/>
      <c r="CU15" s="2076"/>
      <c r="CV15" s="2210"/>
      <c r="CW15" s="2248"/>
      <c r="CX15" s="2220"/>
      <c r="CY15" s="908"/>
      <c r="CZ15" s="2076"/>
      <c r="DA15" s="2210"/>
      <c r="DB15" s="2248"/>
      <c r="DC15" s="2220"/>
      <c r="DD15" s="2076"/>
      <c r="DE15" s="2210"/>
      <c r="DF15" s="2248"/>
      <c r="DG15" s="2220"/>
      <c r="DH15" s="2210"/>
      <c r="DI15" s="2248"/>
      <c r="DJ15" s="2248"/>
      <c r="DK15" s="2248"/>
      <c r="DL15" s="2220"/>
      <c r="DM15" s="2076"/>
      <c r="DN15" s="2210"/>
      <c r="DO15" s="2249"/>
      <c r="DP15" s="2225"/>
      <c r="DQ15" s="2248"/>
      <c r="DR15" s="2248"/>
      <c r="DS15" s="2220"/>
      <c r="DT15" s="2210"/>
      <c r="DU15" s="2248"/>
      <c r="DV15" s="2250"/>
      <c r="IR15" s="844"/>
      <c r="IS15" s="844"/>
      <c r="IT15" s="844"/>
      <c r="IU15" s="844"/>
      <c r="IV15" s="844"/>
    </row>
    <row r="16" spans="1:256" s="843" customFormat="1" ht="13.8">
      <c r="A16" s="2245"/>
      <c r="B16" s="2247"/>
      <c r="C16" s="1082"/>
      <c r="D16" s="2221"/>
      <c r="E16" s="2077"/>
      <c r="F16" s="2077"/>
      <c r="G16" s="2077"/>
      <c r="H16" s="2211"/>
      <c r="I16" s="2248"/>
      <c r="J16" s="2223"/>
      <c r="K16" s="2077"/>
      <c r="L16" s="2077"/>
      <c r="M16" s="2077"/>
      <c r="N16" s="2077"/>
      <c r="O16" s="2075"/>
      <c r="P16" s="2213"/>
      <c r="Q16" s="2246"/>
      <c r="R16" s="2248"/>
      <c r="S16" s="2248"/>
      <c r="T16" s="2225"/>
      <c r="U16" s="2248"/>
      <c r="V16" s="2220"/>
      <c r="W16" s="2210"/>
      <c r="X16" s="2248"/>
      <c r="Y16" s="2220"/>
      <c r="Z16" s="2076"/>
      <c r="AA16" s="2076"/>
      <c r="AB16" s="2076"/>
      <c r="AC16" s="2076"/>
      <c r="AD16" s="2248"/>
      <c r="AE16" s="2248"/>
      <c r="AF16" s="2248"/>
      <c r="AG16" s="2248"/>
      <c r="AH16" s="2248"/>
      <c r="AI16" s="2248"/>
      <c r="AJ16" s="2248"/>
      <c r="AK16" s="2076"/>
      <c r="AL16" s="2076"/>
      <c r="AM16" s="2076"/>
      <c r="AN16" s="2076"/>
      <c r="AO16" s="2076"/>
      <c r="AP16" s="2076"/>
      <c r="AQ16" s="2076"/>
      <c r="AR16" s="2076"/>
      <c r="AS16" s="2076"/>
      <c r="AT16" s="2076"/>
      <c r="AU16" s="2076"/>
      <c r="AV16" s="2076"/>
      <c r="AW16" s="2210"/>
      <c r="AX16" s="2248"/>
      <c r="AY16" s="2248"/>
      <c r="AZ16" s="2220"/>
      <c r="BA16" s="2076"/>
      <c r="BB16" s="2076"/>
      <c r="BC16" s="2076"/>
      <c r="BD16" s="2076"/>
      <c r="BE16" s="2076"/>
      <c r="BF16" s="2210"/>
      <c r="BG16" s="2248"/>
      <c r="BH16" s="2248"/>
      <c r="BI16" s="2220"/>
      <c r="BJ16" s="2076"/>
      <c r="BK16" s="2076"/>
      <c r="BL16" s="2076"/>
      <c r="BM16" s="2076"/>
      <c r="BN16" s="2076"/>
      <c r="BO16" s="2076"/>
      <c r="BP16" s="2210"/>
      <c r="BQ16" s="2248"/>
      <c r="BR16" s="2220"/>
      <c r="BS16" s="2076"/>
      <c r="BT16" s="2076"/>
      <c r="BU16" s="2076"/>
      <c r="BV16" s="2076"/>
      <c r="BW16" s="2076"/>
      <c r="BX16" s="2076"/>
      <c r="BY16" s="2076"/>
      <c r="BZ16" s="2076"/>
      <c r="CA16" s="2248"/>
      <c r="CB16" s="2248"/>
      <c r="CC16" s="2248"/>
      <c r="CD16" s="2210"/>
      <c r="CE16" s="2248"/>
      <c r="CF16" s="2248"/>
      <c r="CG16" s="2220"/>
      <c r="CH16" s="2076"/>
      <c r="CI16" s="2076"/>
      <c r="CJ16" s="2076"/>
      <c r="CK16" s="2076"/>
      <c r="CL16" s="2210"/>
      <c r="CM16" s="2248"/>
      <c r="CN16" s="2220"/>
      <c r="CO16" s="2210"/>
      <c r="CP16" s="2248"/>
      <c r="CQ16" s="2220"/>
      <c r="CR16" s="2076"/>
      <c r="CS16" s="2076"/>
      <c r="CT16" s="2076"/>
      <c r="CU16" s="2076"/>
      <c r="CV16" s="2210"/>
      <c r="CW16" s="2248"/>
      <c r="CX16" s="2220"/>
      <c r="CY16" s="908"/>
      <c r="CZ16" s="2076"/>
      <c r="DA16" s="2210"/>
      <c r="DB16" s="2248"/>
      <c r="DC16" s="2220"/>
      <c r="DD16" s="2076"/>
      <c r="DE16" s="2210"/>
      <c r="DF16" s="2248"/>
      <c r="DG16" s="2220"/>
      <c r="DH16" s="2210"/>
      <c r="DI16" s="2248"/>
      <c r="DJ16" s="2248"/>
      <c r="DK16" s="2248"/>
      <c r="DL16" s="2220"/>
      <c r="DM16" s="2076"/>
      <c r="DN16" s="2210"/>
      <c r="DO16" s="2249"/>
      <c r="DP16" s="2225"/>
      <c r="DQ16" s="2248"/>
      <c r="DR16" s="2248"/>
      <c r="DS16" s="2220"/>
      <c r="DT16" s="2210"/>
      <c r="DU16" s="2248"/>
      <c r="DV16" s="2250"/>
      <c r="IR16" s="844"/>
      <c r="IS16" s="844"/>
      <c r="IT16" s="844"/>
      <c r="IU16" s="844"/>
      <c r="IV16" s="844"/>
    </row>
    <row r="17" spans="1:256" s="843" customFormat="1" ht="13.8">
      <c r="A17" s="2245"/>
      <c r="B17" s="840"/>
      <c r="C17" s="1082"/>
      <c r="D17" s="2077"/>
      <c r="E17" s="2077"/>
      <c r="F17" s="2077"/>
      <c r="G17" s="2077"/>
      <c r="H17" s="2077"/>
      <c r="I17" s="2248"/>
      <c r="J17" s="2075"/>
      <c r="K17" s="2077"/>
      <c r="L17" s="2077"/>
      <c r="M17" s="2077"/>
      <c r="N17" s="2077"/>
      <c r="O17" s="2075"/>
      <c r="P17" s="2075"/>
      <c r="Q17" s="2246"/>
      <c r="R17" s="842"/>
      <c r="S17" s="2248"/>
      <c r="T17" s="2076"/>
      <c r="U17" s="842"/>
      <c r="V17" s="2076"/>
      <c r="W17" s="2076"/>
      <c r="X17" s="2248"/>
      <c r="Y17" s="2076"/>
      <c r="Z17" s="2076"/>
      <c r="AA17" s="2076"/>
      <c r="AB17" s="2076"/>
      <c r="AC17" s="2076"/>
      <c r="AD17" s="2248"/>
      <c r="AE17" s="842"/>
      <c r="AF17" s="842"/>
      <c r="AG17" s="842"/>
      <c r="AH17" s="842"/>
      <c r="AI17" s="842"/>
      <c r="AJ17" s="842"/>
      <c r="AK17" s="2076"/>
      <c r="AL17" s="2076"/>
      <c r="AM17" s="2076"/>
      <c r="AN17" s="2076"/>
      <c r="AO17" s="2076"/>
      <c r="AP17" s="2076"/>
      <c r="AQ17" s="2076"/>
      <c r="AR17" s="2076"/>
      <c r="AS17" s="2076"/>
      <c r="AT17" s="2076"/>
      <c r="AU17" s="2076"/>
      <c r="AV17" s="2076"/>
      <c r="AW17" s="2076"/>
      <c r="AX17" s="842"/>
      <c r="AY17" s="842"/>
      <c r="AZ17" s="2076"/>
      <c r="BA17" s="2076"/>
      <c r="BB17" s="2076"/>
      <c r="BC17" s="2076"/>
      <c r="BD17" s="2076"/>
      <c r="BE17" s="2076"/>
      <c r="BF17" s="2076"/>
      <c r="BG17" s="842"/>
      <c r="BH17" s="842"/>
      <c r="BI17" s="2076"/>
      <c r="BJ17" s="2076"/>
      <c r="BK17" s="2076"/>
      <c r="BL17" s="2076"/>
      <c r="BM17" s="2076"/>
      <c r="BN17" s="2076"/>
      <c r="BO17" s="2076"/>
      <c r="BP17" s="2076"/>
      <c r="BQ17" s="2248"/>
      <c r="BR17" s="2076"/>
      <c r="BS17" s="2076"/>
      <c r="BT17" s="2076"/>
      <c r="BU17" s="2076"/>
      <c r="BV17" s="2076"/>
      <c r="BW17" s="2076"/>
      <c r="BX17" s="2076"/>
      <c r="BY17" s="2076"/>
      <c r="BZ17" s="2076"/>
      <c r="CA17" s="842"/>
      <c r="CB17" s="842"/>
      <c r="CC17" s="2248"/>
      <c r="CD17" s="2076"/>
      <c r="CE17" s="2248"/>
      <c r="CF17" s="842"/>
      <c r="CG17" s="2076"/>
      <c r="CH17" s="2076"/>
      <c r="CI17" s="2076"/>
      <c r="CJ17" s="2076"/>
      <c r="CK17" s="2076"/>
      <c r="CL17" s="2076"/>
      <c r="CM17" s="2248"/>
      <c r="CN17" s="2076"/>
      <c r="CO17" s="2076"/>
      <c r="CP17" s="842"/>
      <c r="CQ17" s="2076"/>
      <c r="CR17" s="2076"/>
      <c r="CS17" s="2076"/>
      <c r="CT17" s="2076"/>
      <c r="CU17" s="2076"/>
      <c r="CV17" s="2076"/>
      <c r="CW17" s="842"/>
      <c r="CX17" s="2076"/>
      <c r="CY17" s="908"/>
      <c r="CZ17" s="2076"/>
      <c r="DA17" s="2076"/>
      <c r="DB17" s="2248"/>
      <c r="DC17" s="2076"/>
      <c r="DD17" s="2076"/>
      <c r="DE17" s="2076"/>
      <c r="DF17" s="2248"/>
      <c r="DG17" s="2076"/>
      <c r="DH17" s="2076"/>
      <c r="DI17" s="2248"/>
      <c r="DJ17" s="2248"/>
      <c r="DK17" s="2248"/>
      <c r="DL17" s="2076"/>
      <c r="DM17" s="2076"/>
      <c r="DN17" s="2076"/>
      <c r="DO17" s="2236"/>
      <c r="DP17" s="2076"/>
      <c r="DQ17" s="842"/>
      <c r="DR17" s="2248"/>
      <c r="DS17" s="2076"/>
      <c r="DT17" s="2076"/>
      <c r="DU17" s="2248"/>
      <c r="DV17" s="2250"/>
      <c r="IR17" s="844"/>
      <c r="IS17" s="844"/>
      <c r="IT17" s="844"/>
      <c r="IU17" s="844"/>
      <c r="IV17" s="844"/>
    </row>
    <row r="18" spans="1:256" s="843" customFormat="1" ht="13.8">
      <c r="A18" s="2245"/>
      <c r="B18" s="2079"/>
      <c r="C18" s="1082"/>
      <c r="D18" s="2077"/>
      <c r="E18" s="2077"/>
      <c r="F18" s="2077"/>
      <c r="G18" s="2077"/>
      <c r="H18" s="2077"/>
      <c r="I18" s="2248"/>
      <c r="J18" s="2075"/>
      <c r="K18" s="2077"/>
      <c r="L18" s="2077"/>
      <c r="M18" s="2077"/>
      <c r="N18" s="2077"/>
      <c r="O18" s="2075"/>
      <c r="P18" s="2075"/>
      <c r="Q18" s="2246"/>
      <c r="R18" s="2076"/>
      <c r="S18" s="2248"/>
      <c r="T18" s="2076"/>
      <c r="U18" s="2076"/>
      <c r="V18" s="2076"/>
      <c r="W18" s="2076"/>
      <c r="X18" s="2248"/>
      <c r="Y18" s="2076"/>
      <c r="Z18" s="2076"/>
      <c r="AA18" s="2076"/>
      <c r="AB18" s="2076"/>
      <c r="AC18" s="2076"/>
      <c r="AD18" s="2248"/>
      <c r="AE18" s="2076"/>
      <c r="AF18" s="2076"/>
      <c r="AG18" s="2076"/>
      <c r="AH18" s="2076"/>
      <c r="AI18" s="2076"/>
      <c r="AJ18" s="2076"/>
      <c r="AK18" s="2076"/>
      <c r="AL18" s="2076"/>
      <c r="AM18" s="2076"/>
      <c r="AN18" s="2076"/>
      <c r="AO18" s="2076"/>
      <c r="AP18" s="2076"/>
      <c r="AQ18" s="2076"/>
      <c r="AR18" s="2076"/>
      <c r="AS18" s="2076"/>
      <c r="AT18" s="2076"/>
      <c r="AU18" s="2076"/>
      <c r="AV18" s="2076"/>
      <c r="AW18" s="2076"/>
      <c r="AX18" s="2076"/>
      <c r="AY18" s="2076"/>
      <c r="AZ18" s="2076"/>
      <c r="BA18" s="2076"/>
      <c r="BB18" s="2076"/>
      <c r="BC18" s="2076"/>
      <c r="BD18" s="2076"/>
      <c r="BE18" s="2076"/>
      <c r="BF18" s="2076"/>
      <c r="BG18" s="2076"/>
      <c r="BH18" s="2076"/>
      <c r="BI18" s="2076"/>
      <c r="BJ18" s="2076"/>
      <c r="BK18" s="2076"/>
      <c r="BL18" s="2076"/>
      <c r="BM18" s="2076"/>
      <c r="BN18" s="2076"/>
      <c r="BO18" s="2076"/>
      <c r="BP18" s="2076"/>
      <c r="BQ18" s="2248"/>
      <c r="BR18" s="2076"/>
      <c r="BS18" s="2076"/>
      <c r="BT18" s="2076"/>
      <c r="BU18" s="2076"/>
      <c r="BV18" s="2076"/>
      <c r="BW18" s="2076"/>
      <c r="BX18" s="2076"/>
      <c r="BY18" s="2076"/>
      <c r="BZ18" s="2076"/>
      <c r="CA18" s="2076"/>
      <c r="CB18" s="2076"/>
      <c r="CC18" s="2248"/>
      <c r="CD18" s="2076"/>
      <c r="CE18" s="2248"/>
      <c r="CF18" s="2076"/>
      <c r="CG18" s="2076"/>
      <c r="CH18" s="2076"/>
      <c r="CI18" s="2076"/>
      <c r="CJ18" s="2076"/>
      <c r="CK18" s="2076"/>
      <c r="CL18" s="2076"/>
      <c r="CM18" s="2248"/>
      <c r="CN18" s="2076"/>
      <c r="CO18" s="2076"/>
      <c r="CP18" s="2076"/>
      <c r="CQ18" s="2076"/>
      <c r="CR18" s="2076"/>
      <c r="CS18" s="2076"/>
      <c r="CT18" s="2076"/>
      <c r="CU18" s="2076"/>
      <c r="CV18" s="2076"/>
      <c r="CW18" s="2076"/>
      <c r="CX18" s="2076"/>
      <c r="CY18" s="908"/>
      <c r="CZ18" s="2076"/>
      <c r="DA18" s="2076"/>
      <c r="DB18" s="2248"/>
      <c r="DC18" s="2076"/>
      <c r="DD18" s="2076"/>
      <c r="DE18" s="2076"/>
      <c r="DF18" s="2248"/>
      <c r="DG18" s="2076"/>
      <c r="DH18" s="2076"/>
      <c r="DI18" s="2248"/>
      <c r="DJ18" s="2248"/>
      <c r="DK18" s="2248"/>
      <c r="DL18" s="2076"/>
      <c r="DM18" s="2076"/>
      <c r="DN18" s="2076"/>
      <c r="DO18" s="856"/>
      <c r="DP18" s="2076"/>
      <c r="DQ18" s="2076"/>
      <c r="DR18" s="2248"/>
      <c r="DS18" s="2076"/>
      <c r="DT18" s="2076"/>
      <c r="DU18" s="2248"/>
      <c r="DV18" s="2250"/>
      <c r="IR18" s="844"/>
      <c r="IS18" s="844"/>
      <c r="IT18" s="844"/>
      <c r="IU18" s="844"/>
      <c r="IV18" s="844"/>
    </row>
    <row r="19" spans="1:256" s="843" customFormat="1" ht="13.8">
      <c r="A19" s="2245"/>
      <c r="B19" s="2077"/>
      <c r="C19" s="1082"/>
      <c r="D19" s="2077"/>
      <c r="E19" s="2077"/>
      <c r="F19" s="2077"/>
      <c r="G19" s="2077"/>
      <c r="H19" s="2077"/>
      <c r="I19" s="2248"/>
      <c r="J19" s="2075"/>
      <c r="K19" s="2077"/>
      <c r="L19" s="2077"/>
      <c r="M19" s="2077"/>
      <c r="N19" s="2077"/>
      <c r="O19" s="2075"/>
      <c r="P19" s="2075"/>
      <c r="Q19" s="2246"/>
      <c r="R19" s="2076"/>
      <c r="S19" s="2248"/>
      <c r="T19" s="2076"/>
      <c r="U19" s="2076"/>
      <c r="V19" s="2076"/>
      <c r="W19" s="2076"/>
      <c r="X19" s="2248"/>
      <c r="Y19" s="2076"/>
      <c r="Z19" s="2076"/>
      <c r="AA19" s="2076"/>
      <c r="AB19" s="2076"/>
      <c r="AC19" s="2076"/>
      <c r="AD19" s="2248"/>
      <c r="AE19" s="2076"/>
      <c r="AF19" s="2076"/>
      <c r="AG19" s="2076"/>
      <c r="AH19" s="2076"/>
      <c r="AI19" s="2076"/>
      <c r="AJ19" s="2076"/>
      <c r="AK19" s="2076"/>
      <c r="AL19" s="2076"/>
      <c r="AM19" s="2076"/>
      <c r="AN19" s="2076"/>
      <c r="AO19" s="2076"/>
      <c r="AP19" s="2076"/>
      <c r="AQ19" s="2076"/>
      <c r="AR19" s="2076"/>
      <c r="AS19" s="2076"/>
      <c r="AT19" s="2076"/>
      <c r="AU19" s="2076"/>
      <c r="AV19" s="2076"/>
      <c r="AW19" s="2076"/>
      <c r="AX19" s="2076"/>
      <c r="AY19" s="2076"/>
      <c r="AZ19" s="2076"/>
      <c r="BA19" s="2076"/>
      <c r="BB19" s="2076"/>
      <c r="BC19" s="2076"/>
      <c r="BD19" s="2076"/>
      <c r="BE19" s="2076"/>
      <c r="BF19" s="2076"/>
      <c r="BG19" s="2076"/>
      <c r="BH19" s="2076"/>
      <c r="BI19" s="2076"/>
      <c r="BJ19" s="2076"/>
      <c r="BK19" s="2076"/>
      <c r="BL19" s="2076"/>
      <c r="BM19" s="2076"/>
      <c r="BN19" s="2076"/>
      <c r="BO19" s="2076"/>
      <c r="BP19" s="2076"/>
      <c r="BQ19" s="2248"/>
      <c r="BR19" s="2076"/>
      <c r="BS19" s="2076"/>
      <c r="BT19" s="2076"/>
      <c r="BU19" s="2076"/>
      <c r="BV19" s="2076"/>
      <c r="BW19" s="2076"/>
      <c r="BX19" s="2076"/>
      <c r="BY19" s="2076"/>
      <c r="BZ19" s="2076"/>
      <c r="CA19" s="2076"/>
      <c r="CB19" s="2076"/>
      <c r="CC19" s="2248"/>
      <c r="CD19" s="2076"/>
      <c r="CE19" s="2248"/>
      <c r="CF19" s="2076"/>
      <c r="CG19" s="2076"/>
      <c r="CH19" s="2076"/>
      <c r="CI19" s="2076"/>
      <c r="CJ19" s="2076"/>
      <c r="CK19" s="2076"/>
      <c r="CL19" s="2076"/>
      <c r="CM19" s="2248"/>
      <c r="CN19" s="2076"/>
      <c r="CO19" s="2076"/>
      <c r="CP19" s="2076"/>
      <c r="CQ19" s="2076"/>
      <c r="CR19" s="2076"/>
      <c r="CS19" s="2076"/>
      <c r="CT19" s="2076"/>
      <c r="CU19" s="2076"/>
      <c r="CV19" s="2076"/>
      <c r="CW19" s="2076"/>
      <c r="CX19" s="2076"/>
      <c r="CY19" s="908"/>
      <c r="CZ19" s="2076"/>
      <c r="DA19" s="2076"/>
      <c r="DB19" s="2248"/>
      <c r="DC19" s="2076"/>
      <c r="DD19" s="2076"/>
      <c r="DE19" s="2076"/>
      <c r="DF19" s="2248"/>
      <c r="DG19" s="2076"/>
      <c r="DH19" s="2076"/>
      <c r="DI19" s="2248"/>
      <c r="DJ19" s="2248"/>
      <c r="DK19" s="2248"/>
      <c r="DL19" s="2076"/>
      <c r="DM19" s="2076"/>
      <c r="DN19" s="2076"/>
      <c r="DO19" s="856"/>
      <c r="DP19" s="2076"/>
      <c r="DQ19" s="2076"/>
      <c r="DR19" s="2248"/>
      <c r="DS19" s="2076"/>
      <c r="DT19" s="2076"/>
      <c r="DU19" s="2248"/>
      <c r="DV19" s="2250"/>
      <c r="IR19" s="844"/>
      <c r="IS19" s="844"/>
      <c r="IT19" s="844"/>
      <c r="IU19" s="844"/>
      <c r="IV19" s="844"/>
    </row>
    <row r="20" spans="1:256" s="843" customFormat="1" ht="13.8">
      <c r="A20" s="2245"/>
      <c r="B20" s="2079"/>
      <c r="C20" s="1082"/>
      <c r="D20" s="2077"/>
      <c r="E20" s="2077"/>
      <c r="F20" s="2077"/>
      <c r="G20" s="2077"/>
      <c r="H20" s="2077"/>
      <c r="I20" s="2248"/>
      <c r="J20" s="2075"/>
      <c r="K20" s="2077"/>
      <c r="L20" s="2077"/>
      <c r="M20" s="2077"/>
      <c r="N20" s="2077"/>
      <c r="O20" s="2075"/>
      <c r="P20" s="2075"/>
      <c r="Q20" s="2246"/>
      <c r="R20" s="2076"/>
      <c r="S20" s="2248"/>
      <c r="T20" s="2076"/>
      <c r="U20" s="2076"/>
      <c r="V20" s="2076"/>
      <c r="W20" s="2076"/>
      <c r="X20" s="2248"/>
      <c r="Y20" s="2076"/>
      <c r="Z20" s="2076"/>
      <c r="AA20" s="2076"/>
      <c r="AB20" s="2076"/>
      <c r="AC20" s="2076"/>
      <c r="AD20" s="2248"/>
      <c r="AE20" s="2076"/>
      <c r="AF20" s="2076"/>
      <c r="AG20" s="2076"/>
      <c r="AH20" s="2076"/>
      <c r="AI20" s="2076"/>
      <c r="AJ20" s="2076"/>
      <c r="AK20" s="2076"/>
      <c r="AL20" s="2076"/>
      <c r="AM20" s="2076"/>
      <c r="AN20" s="2076"/>
      <c r="AO20" s="2076"/>
      <c r="AP20" s="2076"/>
      <c r="AQ20" s="2076"/>
      <c r="AR20" s="2076"/>
      <c r="AS20" s="2076"/>
      <c r="AT20" s="2076"/>
      <c r="AU20" s="2076"/>
      <c r="AV20" s="2076"/>
      <c r="AW20" s="2076"/>
      <c r="AX20" s="2076"/>
      <c r="AY20" s="2076"/>
      <c r="AZ20" s="2076"/>
      <c r="BA20" s="2076"/>
      <c r="BB20" s="2076"/>
      <c r="BC20" s="2076"/>
      <c r="BD20" s="2076"/>
      <c r="BE20" s="2076"/>
      <c r="BF20" s="2076"/>
      <c r="BG20" s="2076"/>
      <c r="BH20" s="2076"/>
      <c r="BI20" s="2076"/>
      <c r="BJ20" s="2076"/>
      <c r="BK20" s="2076"/>
      <c r="BL20" s="2076"/>
      <c r="BM20" s="2076"/>
      <c r="BN20" s="2076"/>
      <c r="BO20" s="2076"/>
      <c r="BP20" s="2076"/>
      <c r="BQ20" s="2248"/>
      <c r="BR20" s="2076"/>
      <c r="BS20" s="2076"/>
      <c r="BT20" s="2076"/>
      <c r="BU20" s="2076"/>
      <c r="BV20" s="2076"/>
      <c r="BW20" s="2076"/>
      <c r="BX20" s="2076"/>
      <c r="BY20" s="2076"/>
      <c r="BZ20" s="2076"/>
      <c r="CA20" s="2076"/>
      <c r="CB20" s="2076"/>
      <c r="CC20" s="2248"/>
      <c r="CD20" s="2076"/>
      <c r="CE20" s="2248"/>
      <c r="CF20" s="2076"/>
      <c r="CG20" s="2076"/>
      <c r="CH20" s="2076"/>
      <c r="CI20" s="2076"/>
      <c r="CJ20" s="2076"/>
      <c r="CK20" s="2076"/>
      <c r="CL20" s="2076"/>
      <c r="CM20" s="2248"/>
      <c r="CN20" s="2076"/>
      <c r="CO20" s="2076"/>
      <c r="CP20" s="2076"/>
      <c r="CQ20" s="2076"/>
      <c r="CR20" s="2076"/>
      <c r="CS20" s="2076"/>
      <c r="CT20" s="2076"/>
      <c r="CU20" s="2076"/>
      <c r="CV20" s="2076"/>
      <c r="CW20" s="2076"/>
      <c r="CX20" s="2076"/>
      <c r="CY20" s="2076"/>
      <c r="CZ20" s="2076"/>
      <c r="DA20" s="2076"/>
      <c r="DB20" s="2248"/>
      <c r="DC20" s="2076"/>
      <c r="DD20" s="2076"/>
      <c r="DE20" s="2076"/>
      <c r="DF20" s="2248"/>
      <c r="DG20" s="2076"/>
      <c r="DH20" s="2076"/>
      <c r="DI20" s="2248"/>
      <c r="DJ20" s="2248"/>
      <c r="DK20" s="2248"/>
      <c r="DL20" s="2076"/>
      <c r="DM20" s="2076"/>
      <c r="DN20" s="2076"/>
      <c r="DO20" s="2076"/>
      <c r="DP20" s="2076"/>
      <c r="DQ20" s="2076"/>
      <c r="DR20" s="2248"/>
      <c r="DS20" s="2076"/>
      <c r="DT20" s="2076"/>
      <c r="DU20" s="2248"/>
      <c r="DV20" s="2250"/>
      <c r="IR20" s="844"/>
      <c r="IS20" s="844"/>
      <c r="IT20" s="844"/>
      <c r="IU20" s="844"/>
      <c r="IV20" s="844"/>
    </row>
    <row r="21" spans="1:256" s="843" customFormat="1" ht="13.8">
      <c r="A21" s="2245"/>
      <c r="B21" s="2079"/>
      <c r="C21" s="1082"/>
      <c r="D21" s="2077"/>
      <c r="E21" s="2077"/>
      <c r="F21" s="2077"/>
      <c r="G21" s="2077"/>
      <c r="H21" s="2077"/>
      <c r="I21" s="2248"/>
      <c r="J21" s="2075"/>
      <c r="K21" s="2077"/>
      <c r="L21" s="2077"/>
      <c r="M21" s="2077"/>
      <c r="N21" s="2077"/>
      <c r="O21" s="2075"/>
      <c r="P21" s="2075"/>
      <c r="Q21" s="2246"/>
      <c r="R21" s="2076"/>
      <c r="S21" s="2248"/>
      <c r="T21" s="2076"/>
      <c r="U21" s="2076"/>
      <c r="V21" s="2076"/>
      <c r="W21" s="2076"/>
      <c r="X21" s="2248"/>
      <c r="Y21" s="2076"/>
      <c r="Z21" s="2076"/>
      <c r="AA21" s="2076"/>
      <c r="AB21" s="2076"/>
      <c r="AC21" s="2076"/>
      <c r="AD21" s="2248"/>
      <c r="AE21" s="2076"/>
      <c r="AF21" s="2076"/>
      <c r="AG21" s="2076"/>
      <c r="AH21" s="2076"/>
      <c r="AI21" s="2076"/>
      <c r="AJ21" s="2076"/>
      <c r="AK21" s="2076"/>
      <c r="AL21" s="2076"/>
      <c r="AM21" s="2076"/>
      <c r="AN21" s="2076"/>
      <c r="AO21" s="2076"/>
      <c r="AP21" s="2076"/>
      <c r="AQ21" s="2076"/>
      <c r="AR21" s="2076"/>
      <c r="AS21" s="2076"/>
      <c r="AT21" s="2076"/>
      <c r="AU21" s="2076"/>
      <c r="AV21" s="2076"/>
      <c r="AW21" s="2076"/>
      <c r="AX21" s="2076"/>
      <c r="AY21" s="2076"/>
      <c r="AZ21" s="2076"/>
      <c r="BA21" s="2076"/>
      <c r="BB21" s="2076"/>
      <c r="BC21" s="2076"/>
      <c r="BD21" s="2076"/>
      <c r="BE21" s="2076"/>
      <c r="BF21" s="2076"/>
      <c r="BG21" s="2076"/>
      <c r="BH21" s="2076"/>
      <c r="BI21" s="2076"/>
      <c r="BJ21" s="2076"/>
      <c r="BK21" s="2076"/>
      <c r="BL21" s="2076"/>
      <c r="BM21" s="2076"/>
      <c r="BN21" s="2076"/>
      <c r="BO21" s="2076"/>
      <c r="BP21" s="2076"/>
      <c r="BQ21" s="2248"/>
      <c r="BR21" s="2076"/>
      <c r="BS21" s="2076"/>
      <c r="BT21" s="2076"/>
      <c r="BU21" s="2076"/>
      <c r="BV21" s="2076"/>
      <c r="BW21" s="2076"/>
      <c r="BX21" s="2076"/>
      <c r="BY21" s="2076"/>
      <c r="BZ21" s="2076"/>
      <c r="CA21" s="2076"/>
      <c r="CB21" s="2076"/>
      <c r="CC21" s="2248"/>
      <c r="CD21" s="2076"/>
      <c r="CE21" s="2248"/>
      <c r="CF21" s="2076"/>
      <c r="CG21" s="2076"/>
      <c r="CH21" s="2076"/>
      <c r="CI21" s="2076"/>
      <c r="CJ21" s="2076"/>
      <c r="CK21" s="2076"/>
      <c r="CL21" s="2076"/>
      <c r="CM21" s="2248"/>
      <c r="CN21" s="2076"/>
      <c r="CO21" s="2076"/>
      <c r="CP21" s="2076"/>
      <c r="CQ21" s="2076"/>
      <c r="CR21" s="2076"/>
      <c r="CS21" s="2076"/>
      <c r="CT21" s="2076"/>
      <c r="CU21" s="2076"/>
      <c r="CV21" s="2076"/>
      <c r="CW21" s="2076"/>
      <c r="CX21" s="2076"/>
      <c r="CY21" s="2076"/>
      <c r="CZ21" s="2076"/>
      <c r="DA21" s="2076"/>
      <c r="DB21" s="2248"/>
      <c r="DC21" s="2076"/>
      <c r="DD21" s="2076"/>
      <c r="DE21" s="2076"/>
      <c r="DF21" s="2248"/>
      <c r="DG21" s="2076"/>
      <c r="DH21" s="2076"/>
      <c r="DI21" s="2248"/>
      <c r="DJ21" s="2248"/>
      <c r="DK21" s="2248"/>
      <c r="DL21" s="2076"/>
      <c r="DM21" s="2076"/>
      <c r="DN21" s="2076"/>
      <c r="DO21" s="2076"/>
      <c r="DP21" s="2076"/>
      <c r="DQ21" s="2076"/>
      <c r="DR21" s="2248"/>
      <c r="DS21" s="2076"/>
      <c r="DT21" s="2076"/>
      <c r="DU21" s="2248"/>
      <c r="DV21" s="2250"/>
      <c r="IR21" s="844"/>
      <c r="IS21" s="844"/>
      <c r="IT21" s="844"/>
      <c r="IU21" s="844"/>
      <c r="IV21" s="844"/>
    </row>
    <row r="22" spans="1:256" s="845" customFormat="1" ht="13.8">
      <c r="A22" s="2245"/>
      <c r="B22" s="2077"/>
      <c r="C22" s="1082"/>
      <c r="D22" s="2077"/>
      <c r="E22" s="2077"/>
      <c r="F22" s="2077"/>
      <c r="G22" s="2077"/>
      <c r="H22" s="2077"/>
      <c r="I22" s="2248"/>
      <c r="J22" s="2075"/>
      <c r="K22" s="2077"/>
      <c r="L22" s="2077"/>
      <c r="M22" s="2080"/>
      <c r="N22" s="2080"/>
      <c r="O22" s="2080"/>
      <c r="P22" s="2080"/>
      <c r="Q22" s="2246"/>
      <c r="R22" s="2076"/>
      <c r="S22" s="2248"/>
      <c r="T22" s="2076"/>
      <c r="U22" s="2076"/>
      <c r="V22" s="2076"/>
      <c r="W22" s="2076"/>
      <c r="X22" s="2248"/>
      <c r="Y22" s="2076"/>
      <c r="Z22" s="2076"/>
      <c r="AA22" s="2076"/>
      <c r="AB22" s="2076"/>
      <c r="AC22" s="2076"/>
      <c r="AD22" s="2248"/>
      <c r="AE22" s="2076"/>
      <c r="AF22" s="2076"/>
      <c r="AG22" s="2076"/>
      <c r="AH22" s="2076"/>
      <c r="AI22" s="2076"/>
      <c r="AJ22" s="2076"/>
      <c r="AK22" s="2076"/>
      <c r="AL22" s="2076"/>
      <c r="AM22" s="2076"/>
      <c r="AN22" s="2076"/>
      <c r="AO22" s="2076"/>
      <c r="AP22" s="2076"/>
      <c r="AQ22" s="2076"/>
      <c r="AR22" s="2076"/>
      <c r="AS22" s="2076"/>
      <c r="AT22" s="2076"/>
      <c r="AU22" s="2076"/>
      <c r="AV22" s="2076"/>
      <c r="AW22" s="2076"/>
      <c r="AX22" s="2076"/>
      <c r="AY22" s="2076"/>
      <c r="AZ22" s="2076"/>
      <c r="BA22" s="2076"/>
      <c r="BB22" s="2076"/>
      <c r="BC22" s="2076"/>
      <c r="BD22" s="2076"/>
      <c r="BE22" s="2076"/>
      <c r="BF22" s="2076"/>
      <c r="BG22" s="2076"/>
      <c r="BH22" s="2076"/>
      <c r="BI22" s="2076"/>
      <c r="BJ22" s="2076"/>
      <c r="BK22" s="2076"/>
      <c r="BL22" s="2076"/>
      <c r="BM22" s="2076"/>
      <c r="BN22" s="2076"/>
      <c r="BO22" s="2076"/>
      <c r="BP22" s="2076"/>
      <c r="BQ22" s="2248"/>
      <c r="BR22" s="2076"/>
      <c r="BS22" s="2076"/>
      <c r="BT22" s="2076"/>
      <c r="BU22" s="2076"/>
      <c r="BV22" s="2076"/>
      <c r="BW22" s="2076"/>
      <c r="BX22" s="2076"/>
      <c r="BY22" s="2076"/>
      <c r="BZ22" s="2076"/>
      <c r="CA22" s="2076"/>
      <c r="CB22" s="2076"/>
      <c r="CC22" s="2248"/>
      <c r="CD22" s="2076"/>
      <c r="CE22" s="2248"/>
      <c r="CF22" s="2076"/>
      <c r="CG22" s="2076"/>
      <c r="CH22" s="2076"/>
      <c r="CI22" s="2076"/>
      <c r="CJ22" s="2076"/>
      <c r="CK22" s="2076"/>
      <c r="CL22" s="2076"/>
      <c r="CM22" s="2248"/>
      <c r="CN22" s="2076"/>
      <c r="CO22" s="2076"/>
      <c r="CP22" s="2076"/>
      <c r="CQ22" s="2076"/>
      <c r="CR22" s="2076"/>
      <c r="CS22" s="2076"/>
      <c r="CT22" s="2076"/>
      <c r="CU22" s="2076"/>
      <c r="CV22" s="2076"/>
      <c r="CW22" s="2076"/>
      <c r="CX22" s="2076"/>
      <c r="CY22" s="2076"/>
      <c r="CZ22" s="2076"/>
      <c r="DA22" s="2076"/>
      <c r="DB22" s="2248"/>
      <c r="DC22" s="2076"/>
      <c r="DD22" s="2076"/>
      <c r="DE22" s="2076"/>
      <c r="DF22" s="2248"/>
      <c r="DG22" s="2076"/>
      <c r="DH22" s="2076"/>
      <c r="DI22" s="2248"/>
      <c r="DJ22" s="2248"/>
      <c r="DK22" s="2248"/>
      <c r="DL22" s="2076"/>
      <c r="DM22" s="2076"/>
      <c r="DN22" s="2076"/>
      <c r="DO22" s="2076"/>
      <c r="DP22" s="2076"/>
      <c r="DQ22" s="2076"/>
      <c r="DR22" s="2248"/>
      <c r="DS22" s="2076"/>
      <c r="DT22" s="2076"/>
      <c r="DU22" s="2248"/>
      <c r="DV22" s="2250"/>
    </row>
    <row r="23" spans="1:256" s="632" customFormat="1" ht="13.8" hidden="1">
      <c r="A23" s="2235"/>
      <c r="B23" s="2081"/>
      <c r="C23" s="840"/>
      <c r="D23" s="2080"/>
      <c r="E23" s="2080"/>
      <c r="F23" s="2080"/>
      <c r="G23" s="2080"/>
      <c r="H23" s="2080"/>
      <c r="I23" s="840"/>
      <c r="J23" s="2080"/>
      <c r="K23" s="2080"/>
      <c r="L23" s="2077"/>
      <c r="M23" s="1199"/>
      <c r="N23" s="1199"/>
      <c r="O23" s="1199"/>
      <c r="P23" s="1199"/>
      <c r="Q23" s="842"/>
      <c r="R23" s="2076"/>
      <c r="S23" s="842"/>
      <c r="T23" s="2076"/>
      <c r="U23" s="2076"/>
      <c r="V23" s="2076"/>
      <c r="W23" s="2076"/>
      <c r="X23" s="842"/>
      <c r="Y23" s="2076"/>
      <c r="Z23" s="2076"/>
      <c r="AA23" s="2076"/>
      <c r="AB23" s="2076"/>
      <c r="AC23" s="2076"/>
      <c r="AD23" s="842"/>
      <c r="AE23" s="2076"/>
      <c r="AF23" s="2076"/>
      <c r="AG23" s="2076"/>
      <c r="AH23" s="2076"/>
      <c r="AI23" s="2076"/>
      <c r="AJ23" s="2076"/>
      <c r="AK23" s="2076"/>
      <c r="AL23" s="2076"/>
      <c r="AM23" s="2076"/>
      <c r="AN23" s="2076"/>
      <c r="AO23" s="2076"/>
      <c r="AP23" s="2076"/>
      <c r="AQ23" s="2076"/>
      <c r="AR23" s="2076"/>
      <c r="AS23" s="2076"/>
      <c r="AT23" s="2076"/>
      <c r="AU23" s="2076"/>
      <c r="AV23" s="2076"/>
      <c r="AW23" s="2076"/>
      <c r="AX23" s="2076"/>
      <c r="AY23" s="2076"/>
      <c r="AZ23" s="2076"/>
      <c r="BA23" s="2076"/>
      <c r="BB23" s="2076"/>
      <c r="BC23" s="2076"/>
      <c r="BD23" s="2076"/>
      <c r="BE23" s="2076"/>
      <c r="BF23" s="2076"/>
      <c r="BG23" s="2076"/>
      <c r="BH23" s="2076"/>
      <c r="BI23" s="2076"/>
      <c r="BJ23" s="2076"/>
      <c r="BK23" s="2076"/>
      <c r="BL23" s="2076"/>
      <c r="BM23" s="2076"/>
      <c r="BN23" s="2076"/>
      <c r="BO23" s="2076"/>
      <c r="BP23" s="2076"/>
      <c r="BQ23" s="842"/>
      <c r="BR23" s="2076"/>
      <c r="BS23" s="2076"/>
      <c r="BT23" s="2076"/>
      <c r="BU23" s="2076"/>
      <c r="BV23" s="2076"/>
      <c r="BW23" s="2076"/>
      <c r="BX23" s="2076"/>
      <c r="BY23" s="2076"/>
      <c r="BZ23" s="2076"/>
      <c r="CA23" s="2076"/>
      <c r="CB23" s="2076"/>
      <c r="CC23" s="842"/>
      <c r="CD23" s="2076"/>
      <c r="CE23" s="842"/>
      <c r="CF23" s="2076"/>
      <c r="CG23" s="2076"/>
      <c r="CH23" s="2076"/>
      <c r="CI23" s="2076"/>
      <c r="CJ23" s="2076"/>
      <c r="CK23" s="2076"/>
      <c r="CL23" s="2076"/>
      <c r="CM23" s="842"/>
      <c r="CN23" s="2076"/>
      <c r="CO23" s="2076"/>
      <c r="CP23" s="2076"/>
      <c r="CQ23" s="2076"/>
      <c r="CR23" s="2076"/>
      <c r="CS23" s="2076"/>
      <c r="CT23" s="2076"/>
      <c r="CU23" s="2076"/>
      <c r="CV23" s="2076"/>
      <c r="CW23" s="2076"/>
      <c r="CX23" s="2076"/>
      <c r="CY23" s="2076"/>
      <c r="CZ23" s="2076"/>
      <c r="DA23" s="2076"/>
      <c r="DB23" s="842"/>
      <c r="DC23" s="2076"/>
      <c r="DD23" s="2076"/>
      <c r="DE23" s="2076"/>
      <c r="DF23" s="842"/>
      <c r="DG23" s="2076"/>
      <c r="DH23" s="2076"/>
      <c r="DI23" s="2076"/>
      <c r="DJ23" s="842"/>
      <c r="DK23" s="2076"/>
      <c r="DL23" s="2076"/>
      <c r="DM23" s="2076"/>
      <c r="DN23" s="2076"/>
      <c r="DO23" s="2076"/>
      <c r="DP23" s="2076"/>
      <c r="DQ23" s="2076"/>
      <c r="DR23" s="842"/>
      <c r="DS23" s="2076"/>
      <c r="DT23" s="2076"/>
      <c r="DU23" s="842"/>
      <c r="DV23" s="2237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74"/>
      <c r="B24" s="1199"/>
      <c r="C24" s="2077"/>
      <c r="D24" s="2077"/>
      <c r="E24" s="2077"/>
      <c r="F24" s="2077"/>
      <c r="G24" s="2077"/>
      <c r="H24" s="1199"/>
      <c r="I24" s="2077"/>
      <c r="J24" s="1199"/>
      <c r="K24" s="1199"/>
      <c r="L24" s="2077"/>
      <c r="M24" s="1199"/>
      <c r="N24" s="1199"/>
      <c r="O24" s="1199"/>
      <c r="P24" s="1199"/>
      <c r="Q24" s="2076"/>
      <c r="R24" s="2076"/>
      <c r="S24" s="2076"/>
      <c r="T24" s="2076"/>
      <c r="U24" s="2076"/>
      <c r="V24" s="2076"/>
      <c r="W24" s="2076"/>
      <c r="X24" s="2076"/>
      <c r="Y24" s="2076"/>
      <c r="Z24" s="2076"/>
      <c r="AA24" s="2076"/>
      <c r="AB24" s="2076"/>
      <c r="AC24" s="2076"/>
      <c r="AD24" s="2076"/>
      <c r="AE24" s="2076"/>
      <c r="AF24" s="2076"/>
      <c r="AG24" s="2076"/>
      <c r="AH24" s="2076"/>
      <c r="AI24" s="2076"/>
      <c r="AJ24" s="2076"/>
      <c r="AK24" s="2076"/>
      <c r="AL24" s="2076"/>
      <c r="AM24" s="2076"/>
      <c r="AN24" s="2076"/>
      <c r="AO24" s="2076"/>
      <c r="AP24" s="2076"/>
      <c r="AQ24" s="2076"/>
      <c r="AR24" s="2076"/>
      <c r="AS24" s="2076"/>
      <c r="AT24" s="2076"/>
      <c r="AU24" s="2076"/>
      <c r="AV24" s="2076"/>
      <c r="AW24" s="2076"/>
      <c r="AX24" s="2076"/>
      <c r="AY24" s="2076"/>
      <c r="AZ24" s="2076"/>
      <c r="BA24" s="2076"/>
      <c r="BB24" s="2076"/>
      <c r="BC24" s="2076"/>
      <c r="BD24" s="2076"/>
      <c r="BE24" s="2076"/>
      <c r="BF24" s="2076"/>
      <c r="BG24" s="2076"/>
      <c r="BH24" s="2076"/>
      <c r="BI24" s="2076"/>
      <c r="BJ24" s="2076"/>
      <c r="BK24" s="2076"/>
      <c r="BL24" s="2076"/>
      <c r="BM24" s="2076"/>
      <c r="BN24" s="2076"/>
      <c r="BO24" s="2076"/>
      <c r="BP24" s="2076"/>
      <c r="BQ24" s="2076"/>
      <c r="BR24" s="2076"/>
      <c r="BS24" s="2076"/>
      <c r="BT24" s="2076"/>
      <c r="BU24" s="2076"/>
      <c r="BV24" s="2076"/>
      <c r="BW24" s="2076"/>
      <c r="BX24" s="2076"/>
      <c r="BY24" s="2076"/>
      <c r="BZ24" s="2076"/>
      <c r="CA24" s="2076"/>
      <c r="CB24" s="2076"/>
      <c r="CC24" s="2076"/>
      <c r="CD24" s="2076"/>
      <c r="CE24" s="2076"/>
      <c r="CF24" s="2076"/>
      <c r="CG24" s="2076"/>
      <c r="CH24" s="2076"/>
      <c r="CI24" s="2076"/>
      <c r="CJ24" s="2076"/>
      <c r="CK24" s="2076"/>
      <c r="CL24" s="2076"/>
      <c r="CM24" s="2076"/>
      <c r="CN24" s="2076"/>
      <c r="CO24" s="2076"/>
      <c r="CP24" s="2076"/>
      <c r="CQ24" s="2076"/>
      <c r="CR24" s="2076"/>
      <c r="CS24" s="2076"/>
      <c r="CT24" s="2076"/>
      <c r="CU24" s="2076"/>
      <c r="CV24" s="2076"/>
      <c r="CW24" s="2076"/>
      <c r="CX24" s="2076"/>
      <c r="CY24" s="2076"/>
      <c r="CZ24" s="2076"/>
      <c r="DA24" s="2076"/>
      <c r="DB24" s="2076"/>
      <c r="DC24" s="2076"/>
      <c r="DD24" s="2076"/>
      <c r="DE24" s="2076"/>
      <c r="DF24" s="2076"/>
      <c r="DG24" s="2076"/>
      <c r="DH24" s="2076"/>
      <c r="DI24" s="2076"/>
      <c r="DJ24" s="2076"/>
      <c r="DK24" s="2076"/>
      <c r="DL24" s="2076"/>
      <c r="DM24" s="2076"/>
      <c r="DN24" s="2076"/>
      <c r="DO24" s="2076"/>
      <c r="DP24" s="2076"/>
      <c r="DQ24" s="2076"/>
      <c r="DR24" s="2076"/>
      <c r="DS24" s="2076"/>
      <c r="DT24" s="2076"/>
      <c r="DU24" s="2076"/>
      <c r="DV24" s="2078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74"/>
      <c r="B25" s="1199"/>
      <c r="C25" s="2077"/>
      <c r="D25" s="2077"/>
      <c r="E25" s="2077"/>
      <c r="F25" s="2077"/>
      <c r="G25" s="2077"/>
      <c r="H25" s="1199"/>
      <c r="I25" s="2077"/>
      <c r="J25" s="1199"/>
      <c r="K25" s="1199"/>
      <c r="L25" s="2077"/>
      <c r="M25" s="638"/>
      <c r="N25" s="638"/>
      <c r="O25" s="525"/>
      <c r="P25" s="525"/>
      <c r="Q25" s="763"/>
      <c r="R25" s="2076"/>
      <c r="S25" s="760"/>
      <c r="T25" s="760"/>
      <c r="U25" s="760"/>
      <c r="V25" s="760"/>
      <c r="W25" s="2076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76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76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82"/>
    </row>
    <row r="26" spans="1:256" ht="13.8" hidden="1">
      <c r="A26" s="2074"/>
      <c r="B26" s="638"/>
      <c r="C26" s="638"/>
      <c r="D26" s="638"/>
      <c r="E26" s="638"/>
      <c r="F26" s="638"/>
      <c r="G26" s="638"/>
      <c r="H26" s="638"/>
      <c r="I26" s="2077"/>
      <c r="J26" s="638"/>
      <c r="K26" s="638"/>
      <c r="L26" s="2077"/>
      <c r="M26" s="2077"/>
      <c r="N26" s="2077"/>
      <c r="O26" s="2077"/>
      <c r="P26" s="525"/>
      <c r="Q26" s="763"/>
      <c r="R26" s="2076"/>
      <c r="S26" s="760"/>
      <c r="T26" s="760"/>
      <c r="U26" s="760"/>
      <c r="V26" s="760"/>
      <c r="W26" s="2076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76"/>
      <c r="CC26" s="2076"/>
      <c r="CD26" s="2076"/>
      <c r="CE26" s="2076"/>
      <c r="CF26" s="2076"/>
      <c r="CG26" s="2076"/>
      <c r="CH26" s="2076"/>
      <c r="CI26" s="2076"/>
      <c r="CJ26" s="2076"/>
      <c r="CK26" s="2076"/>
      <c r="CL26" s="2076"/>
      <c r="CM26" s="2076"/>
      <c r="CN26" s="2076"/>
      <c r="CO26" s="2076"/>
      <c r="CP26" s="2076"/>
      <c r="CQ26" s="2076"/>
      <c r="CR26" s="2076"/>
      <c r="CS26" s="2076"/>
      <c r="CT26" s="2076"/>
      <c r="CU26" s="2076"/>
      <c r="CV26" s="2076"/>
      <c r="CW26" s="2076"/>
      <c r="CX26" s="2076"/>
      <c r="CY26" s="908"/>
      <c r="CZ26" s="2076"/>
      <c r="DA26" s="2076"/>
      <c r="DB26" s="2076"/>
      <c r="DC26" s="856"/>
      <c r="DD26" s="2076"/>
      <c r="DE26" s="2076"/>
      <c r="DF26" s="2076"/>
      <c r="DG26" s="2076"/>
      <c r="DH26" s="2076"/>
      <c r="DI26" s="2076"/>
      <c r="DJ26" s="2076"/>
      <c r="DK26" s="2076"/>
      <c r="DL26" s="2076"/>
      <c r="DM26" s="2076"/>
      <c r="DN26" s="2076"/>
      <c r="DO26" s="856"/>
      <c r="DP26" s="2076"/>
      <c r="DQ26" s="2076"/>
      <c r="DR26" s="712"/>
      <c r="DS26" s="712"/>
      <c r="DT26" s="712"/>
      <c r="DU26" s="712"/>
      <c r="DV26" s="2082"/>
    </row>
    <row r="27" spans="1:256" ht="13.8" hidden="1">
      <c r="A27" s="2074"/>
      <c r="B27" s="638"/>
      <c r="C27" s="638"/>
      <c r="D27" s="638"/>
      <c r="E27" s="638"/>
      <c r="F27" s="638"/>
      <c r="G27" s="638"/>
      <c r="H27" s="638"/>
      <c r="I27" s="2077"/>
      <c r="J27" s="638"/>
      <c r="K27" s="2077"/>
      <c r="L27" s="2077"/>
      <c r="M27" s="2077"/>
      <c r="N27" s="2077"/>
      <c r="O27" s="2077"/>
      <c r="P27" s="525"/>
      <c r="Q27" s="763"/>
      <c r="R27" s="2076"/>
      <c r="S27" s="760"/>
      <c r="T27" s="760"/>
      <c r="U27" s="760"/>
      <c r="V27" s="760"/>
      <c r="W27" s="2076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76"/>
      <c r="CC27" s="2076"/>
      <c r="CD27" s="2076"/>
      <c r="CE27" s="2076"/>
      <c r="CF27" s="2076"/>
      <c r="CG27" s="2076"/>
      <c r="CH27" s="2076"/>
      <c r="CI27" s="2076"/>
      <c r="CJ27" s="2076"/>
      <c r="CK27" s="2076"/>
      <c r="CL27" s="2076"/>
      <c r="CM27" s="2076"/>
      <c r="CN27" s="2076"/>
      <c r="CO27" s="2076"/>
      <c r="CP27" s="2076"/>
      <c r="CQ27" s="2076"/>
      <c r="CR27" s="2076"/>
      <c r="CS27" s="2076"/>
      <c r="CT27" s="2076"/>
      <c r="CU27" s="2076"/>
      <c r="CV27" s="2076"/>
      <c r="CW27" s="2076"/>
      <c r="CX27" s="2076"/>
      <c r="CY27" s="908"/>
      <c r="CZ27" s="2076"/>
      <c r="DA27" s="2076"/>
      <c r="DB27" s="2076"/>
      <c r="DC27" s="856"/>
      <c r="DD27" s="2076"/>
      <c r="DE27" s="2076"/>
      <c r="DF27" s="2076"/>
      <c r="DG27" s="2076"/>
      <c r="DH27" s="2076"/>
      <c r="DI27" s="2076"/>
      <c r="DJ27" s="2076"/>
      <c r="DK27" s="2076"/>
      <c r="DL27" s="2076"/>
      <c r="DM27" s="2076"/>
      <c r="DN27" s="2076"/>
      <c r="DO27" s="856"/>
      <c r="DP27" s="2076"/>
      <c r="DQ27" s="2076"/>
      <c r="DR27" s="712"/>
      <c r="DS27" s="712"/>
      <c r="DT27" s="712"/>
      <c r="DU27" s="712"/>
      <c r="DV27" s="2082"/>
    </row>
    <row r="28" spans="1:256" ht="13.8" hidden="1">
      <c r="A28" s="2074"/>
      <c r="B28" s="638"/>
      <c r="C28" s="638"/>
      <c r="D28" s="638"/>
      <c r="E28" s="638"/>
      <c r="F28" s="638"/>
      <c r="G28" s="638"/>
      <c r="H28" s="638"/>
      <c r="I28" s="2077"/>
      <c r="J28" s="638"/>
      <c r="K28" s="2077"/>
      <c r="L28" s="2077"/>
      <c r="M28" s="638"/>
      <c r="N28" s="638"/>
      <c r="O28" s="525"/>
      <c r="P28" s="2077"/>
      <c r="Q28" s="2077"/>
      <c r="R28" s="2076"/>
      <c r="S28" s="2077"/>
      <c r="T28" s="2077"/>
      <c r="U28" s="760"/>
      <c r="V28" s="760"/>
      <c r="W28" s="2076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76"/>
      <c r="CC28" s="2076"/>
      <c r="CD28" s="2076"/>
      <c r="CE28" s="2076"/>
      <c r="CF28" s="2076"/>
      <c r="CG28" s="2076"/>
      <c r="CH28" s="2076"/>
      <c r="CI28" s="2076"/>
      <c r="CJ28" s="2076"/>
      <c r="CK28" s="2076"/>
      <c r="CL28" s="2076"/>
      <c r="CM28" s="2076"/>
      <c r="CN28" s="2076"/>
      <c r="CO28" s="2076"/>
      <c r="CP28" s="2076"/>
      <c r="CQ28" s="2076"/>
      <c r="CR28" s="2076"/>
      <c r="CS28" s="2076"/>
      <c r="CT28" s="2076"/>
      <c r="CU28" s="2076"/>
      <c r="CV28" s="2076"/>
      <c r="CW28" s="2076"/>
      <c r="CX28" s="2076"/>
      <c r="CY28" s="908"/>
      <c r="CZ28" s="2076"/>
      <c r="DA28" s="2076"/>
      <c r="DB28" s="2076"/>
      <c r="DC28" s="856"/>
      <c r="DD28" s="2076"/>
      <c r="DE28" s="2076"/>
      <c r="DF28" s="2076"/>
      <c r="DG28" s="2076"/>
      <c r="DH28" s="2076"/>
      <c r="DI28" s="2076"/>
      <c r="DJ28" s="2076"/>
      <c r="DK28" s="2076"/>
      <c r="DL28" s="2076"/>
      <c r="DM28" s="2076"/>
      <c r="DN28" s="2076"/>
      <c r="DO28" s="856"/>
      <c r="DP28" s="2076"/>
      <c r="DQ28" s="2076"/>
      <c r="DR28" s="712"/>
      <c r="DS28" s="712"/>
      <c r="DT28" s="712"/>
      <c r="DU28" s="712"/>
      <c r="DV28" s="2082"/>
    </row>
    <row r="29" spans="1:256" ht="13.8" hidden="1">
      <c r="A29" s="2083"/>
      <c r="B29" s="638"/>
      <c r="C29" s="638"/>
      <c r="D29" s="638"/>
      <c r="E29" s="638"/>
      <c r="F29" s="638"/>
      <c r="G29" s="638"/>
      <c r="H29" s="2077"/>
      <c r="I29" s="2077"/>
      <c r="J29" s="2077"/>
      <c r="K29" s="2077"/>
      <c r="L29" s="2077"/>
      <c r="M29" s="638"/>
      <c r="N29" s="638"/>
      <c r="O29" s="525"/>
      <c r="P29" s="2077"/>
      <c r="Q29" s="2077"/>
      <c r="R29" s="2077"/>
      <c r="S29" s="2077"/>
      <c r="T29" s="2077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76"/>
      <c r="CC29" s="2076"/>
      <c r="CD29" s="2076"/>
      <c r="CE29" s="2076"/>
      <c r="CF29" s="2076"/>
      <c r="CG29" s="2076"/>
      <c r="CH29" s="2076"/>
      <c r="CI29" s="2076"/>
      <c r="CJ29" s="2076"/>
      <c r="CK29" s="2076"/>
      <c r="CL29" s="2076"/>
      <c r="CM29" s="2076"/>
      <c r="CN29" s="2076"/>
      <c r="CO29" s="2076"/>
      <c r="CP29" s="2076"/>
      <c r="CQ29" s="2076"/>
      <c r="CR29" s="2076"/>
      <c r="CS29" s="2076"/>
      <c r="CT29" s="2076"/>
      <c r="CU29" s="2076"/>
      <c r="CV29" s="2076"/>
      <c r="CW29" s="2076"/>
      <c r="CX29" s="2076"/>
      <c r="CY29" s="908"/>
      <c r="CZ29" s="2076"/>
      <c r="DA29" s="2076"/>
      <c r="DB29" s="2076"/>
      <c r="DC29" s="856"/>
      <c r="DD29" s="2076"/>
      <c r="DE29" s="2076"/>
      <c r="DF29" s="2076"/>
      <c r="DG29" s="2076"/>
      <c r="DH29" s="2076"/>
      <c r="DI29" s="2076"/>
      <c r="DJ29" s="2076"/>
      <c r="DK29" s="2076"/>
      <c r="DL29" s="2076"/>
      <c r="DM29" s="2076"/>
      <c r="DN29" s="2076"/>
      <c r="DO29" s="856"/>
      <c r="DP29" s="2076"/>
      <c r="DQ29" s="2076"/>
      <c r="DR29" s="712"/>
      <c r="DS29" s="712"/>
      <c r="DT29" s="712"/>
      <c r="DU29" s="712"/>
      <c r="DV29" s="2082"/>
    </row>
    <row r="30" spans="1:256" ht="13.8" hidden="1">
      <c r="A30" s="2083"/>
      <c r="B30" s="638"/>
      <c r="C30" s="638"/>
      <c r="D30" s="638"/>
      <c r="E30" s="638"/>
      <c r="F30" s="638"/>
      <c r="G30" s="638"/>
      <c r="H30" s="2077"/>
      <c r="I30" s="2077"/>
      <c r="J30" s="2077"/>
      <c r="K30" s="2077"/>
      <c r="L30" s="2077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76"/>
      <c r="CC30" s="2076"/>
      <c r="CD30" s="2076"/>
      <c r="CE30" s="2076"/>
      <c r="CF30" s="2076"/>
      <c r="CG30" s="2076"/>
      <c r="CH30" s="2076"/>
      <c r="CI30" s="2076"/>
      <c r="CJ30" s="2076"/>
      <c r="CK30" s="2076"/>
      <c r="CL30" s="2076"/>
      <c r="CM30" s="2076"/>
      <c r="CN30" s="2076"/>
      <c r="CO30" s="2076"/>
      <c r="CP30" s="2076"/>
      <c r="CQ30" s="2076"/>
      <c r="CR30" s="2076"/>
      <c r="CS30" s="2076"/>
      <c r="CT30" s="2076"/>
      <c r="CU30" s="2076"/>
      <c r="CV30" s="2076"/>
      <c r="CW30" s="2076"/>
      <c r="CX30" s="2076"/>
      <c r="CY30" s="908"/>
      <c r="CZ30" s="2076"/>
      <c r="DA30" s="2076"/>
      <c r="DB30" s="2076"/>
      <c r="DC30" s="856"/>
      <c r="DD30" s="2076"/>
      <c r="DE30" s="2076"/>
      <c r="DF30" s="2076"/>
      <c r="DG30" s="2076"/>
      <c r="DH30" s="2076"/>
      <c r="DI30" s="2076"/>
      <c r="DJ30" s="2076"/>
      <c r="DK30" s="2076"/>
      <c r="DL30" s="2076"/>
      <c r="DM30" s="2076"/>
      <c r="DN30" s="2076"/>
      <c r="DO30" s="856"/>
      <c r="DP30" s="2076"/>
      <c r="DQ30" s="2076"/>
      <c r="DR30" s="712"/>
      <c r="DS30" s="712"/>
      <c r="DT30" s="712"/>
      <c r="DU30" s="712"/>
      <c r="DV30" s="2082"/>
    </row>
    <row r="31" spans="1:256" ht="13.8" hidden="1">
      <c r="A31" s="2083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76"/>
      <c r="CC31" s="2076"/>
      <c r="CD31" s="2076"/>
      <c r="CE31" s="2076"/>
      <c r="CF31" s="2076"/>
      <c r="CG31" s="2076"/>
      <c r="CH31" s="2076"/>
      <c r="CI31" s="2076"/>
      <c r="CJ31" s="2076"/>
      <c r="CK31" s="2076"/>
      <c r="CL31" s="2076"/>
      <c r="CM31" s="2076"/>
      <c r="CN31" s="2076"/>
      <c r="CO31" s="2076"/>
      <c r="CP31" s="2076"/>
      <c r="CQ31" s="2076"/>
      <c r="CR31" s="2076"/>
      <c r="CS31" s="2076"/>
      <c r="CT31" s="2076"/>
      <c r="CU31" s="2076"/>
      <c r="CV31" s="2076"/>
      <c r="CW31" s="2076"/>
      <c r="CX31" s="2076"/>
      <c r="CY31" s="908"/>
      <c r="CZ31" s="2076"/>
      <c r="DA31" s="2076"/>
      <c r="DB31" s="2076"/>
      <c r="DC31" s="856"/>
      <c r="DD31" s="2076"/>
      <c r="DE31" s="2076"/>
      <c r="DF31" s="2076"/>
      <c r="DG31" s="2076"/>
      <c r="DH31" s="2076"/>
      <c r="DI31" s="2076"/>
      <c r="DJ31" s="2076"/>
      <c r="DK31" s="2076"/>
      <c r="DL31" s="2076"/>
      <c r="DM31" s="2076"/>
      <c r="DN31" s="2076"/>
      <c r="DO31" s="856"/>
      <c r="DP31" s="2076"/>
      <c r="DQ31" s="2076"/>
      <c r="DR31" s="712"/>
      <c r="DS31" s="712"/>
      <c r="DT31" s="712"/>
      <c r="DU31" s="712"/>
      <c r="DV31" s="2082"/>
    </row>
    <row r="32" spans="1:256" ht="13.8" hidden="1">
      <c r="A32" s="2083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76"/>
      <c r="CC32" s="2076"/>
      <c r="CD32" s="2076"/>
      <c r="CE32" s="2076"/>
      <c r="CF32" s="2076"/>
      <c r="CG32" s="2076"/>
      <c r="CH32" s="2076"/>
      <c r="CI32" s="2076"/>
      <c r="CJ32" s="2076"/>
      <c r="CK32" s="2076"/>
      <c r="CL32" s="2076"/>
      <c r="CM32" s="2076"/>
      <c r="CN32" s="2076"/>
      <c r="CO32" s="2076"/>
      <c r="CP32" s="2076"/>
      <c r="CQ32" s="2076"/>
      <c r="CR32" s="2076"/>
      <c r="CS32" s="2076"/>
      <c r="CT32" s="2076"/>
      <c r="CU32" s="2076"/>
      <c r="CV32" s="2076"/>
      <c r="CW32" s="2076"/>
      <c r="CX32" s="2076"/>
      <c r="CY32" s="908"/>
      <c r="CZ32" s="2076"/>
      <c r="DA32" s="2076"/>
      <c r="DB32" s="2076"/>
      <c r="DC32" s="856"/>
      <c r="DD32" s="2076"/>
      <c r="DE32" s="2076"/>
      <c r="DF32" s="2076"/>
      <c r="DG32" s="2076"/>
      <c r="DH32" s="2076"/>
      <c r="DI32" s="2076"/>
      <c r="DJ32" s="2076"/>
      <c r="DK32" s="2076"/>
      <c r="DL32" s="2076"/>
      <c r="DM32" s="2076"/>
      <c r="DN32" s="2076"/>
      <c r="DO32" s="856"/>
      <c r="DP32" s="2076"/>
      <c r="DQ32" s="2076"/>
      <c r="DR32" s="712"/>
      <c r="DS32" s="712"/>
      <c r="DT32" s="712"/>
      <c r="DU32" s="712"/>
      <c r="DV32" s="2082"/>
    </row>
    <row r="33" spans="1:256" ht="13.8" hidden="1">
      <c r="A33" s="2083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76"/>
      <c r="CC33" s="2076"/>
      <c r="CD33" s="2076"/>
      <c r="CE33" s="2076"/>
      <c r="CF33" s="2076"/>
      <c r="CG33" s="2076"/>
      <c r="CH33" s="2076"/>
      <c r="CI33" s="2076"/>
      <c r="CJ33" s="2076"/>
      <c r="CK33" s="2076"/>
      <c r="CL33" s="2076"/>
      <c r="CM33" s="2076"/>
      <c r="CN33" s="2076"/>
      <c r="CO33" s="2076"/>
      <c r="CP33" s="2076"/>
      <c r="CQ33" s="2076"/>
      <c r="CR33" s="2076"/>
      <c r="CS33" s="2076"/>
      <c r="CT33" s="2076"/>
      <c r="CU33" s="2076"/>
      <c r="CV33" s="2076"/>
      <c r="CW33" s="2076"/>
      <c r="CX33" s="2076"/>
      <c r="CY33" s="908"/>
      <c r="CZ33" s="2076"/>
      <c r="DA33" s="2076"/>
      <c r="DB33" s="2076"/>
      <c r="DC33" s="856"/>
      <c r="DD33" s="2076"/>
      <c r="DE33" s="2076"/>
      <c r="DF33" s="2076"/>
      <c r="DG33" s="2076"/>
      <c r="DH33" s="2076"/>
      <c r="DI33" s="2076"/>
      <c r="DJ33" s="2076"/>
      <c r="DK33" s="2076"/>
      <c r="DL33" s="2076"/>
      <c r="DM33" s="2076"/>
      <c r="DN33" s="2076"/>
      <c r="DO33" s="856"/>
      <c r="DP33" s="2076"/>
      <c r="DQ33" s="2076"/>
      <c r="DR33" s="712"/>
      <c r="DS33" s="712"/>
      <c r="DT33" s="712"/>
      <c r="DU33" s="712"/>
      <c r="DV33" s="2082"/>
    </row>
    <row r="34" spans="1:256" ht="13.8" hidden="1">
      <c r="A34" s="2083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76"/>
      <c r="CC34" s="2076"/>
      <c r="CD34" s="2076"/>
      <c r="CE34" s="2076"/>
      <c r="CF34" s="2076"/>
      <c r="CG34" s="2076"/>
      <c r="CH34" s="2076"/>
      <c r="CI34" s="2076"/>
      <c r="CJ34" s="2076"/>
      <c r="CK34" s="2076"/>
      <c r="CL34" s="2076"/>
      <c r="CM34" s="2076"/>
      <c r="CN34" s="2076"/>
      <c r="CO34" s="2076"/>
      <c r="CP34" s="2076"/>
      <c r="CQ34" s="2076"/>
      <c r="CR34" s="2076"/>
      <c r="CS34" s="2076"/>
      <c r="CT34" s="2076"/>
      <c r="CU34" s="2076"/>
      <c r="CV34" s="2076"/>
      <c r="CW34" s="2076"/>
      <c r="CX34" s="2076"/>
      <c r="CY34" s="908"/>
      <c r="CZ34" s="2076"/>
      <c r="DA34" s="2076"/>
      <c r="DB34" s="2076"/>
      <c r="DC34" s="856"/>
      <c r="DD34" s="2076"/>
      <c r="DE34" s="2076"/>
      <c r="DF34" s="2076"/>
      <c r="DG34" s="2076"/>
      <c r="DH34" s="2076"/>
      <c r="DI34" s="2076"/>
      <c r="DJ34" s="2076"/>
      <c r="DK34" s="2076"/>
      <c r="DL34" s="2076"/>
      <c r="DM34" s="2076"/>
      <c r="DN34" s="2076"/>
      <c r="DO34" s="856"/>
      <c r="DP34" s="2076"/>
      <c r="DQ34" s="2076"/>
      <c r="DR34" s="712"/>
      <c r="DS34" s="712"/>
      <c r="DT34" s="712"/>
      <c r="DU34" s="712"/>
      <c r="DV34" s="2082"/>
    </row>
    <row r="35" spans="1:256" ht="13.8" hidden="1">
      <c r="A35" s="2083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76"/>
      <c r="CC35" s="2076"/>
      <c r="CD35" s="2076"/>
      <c r="CE35" s="2076"/>
      <c r="CF35" s="2076"/>
      <c r="CG35" s="2076"/>
      <c r="CH35" s="2076"/>
      <c r="CI35" s="2076"/>
      <c r="CJ35" s="2076"/>
      <c r="CK35" s="2076"/>
      <c r="CL35" s="2076"/>
      <c r="CM35" s="2076"/>
      <c r="CN35" s="2076"/>
      <c r="CO35" s="2076"/>
      <c r="CP35" s="2076"/>
      <c r="CQ35" s="2076"/>
      <c r="CR35" s="2076"/>
      <c r="CS35" s="2076"/>
      <c r="CT35" s="2076"/>
      <c r="CU35" s="2076"/>
      <c r="CV35" s="2076"/>
      <c r="CW35" s="2076"/>
      <c r="CX35" s="2076"/>
      <c r="CY35" s="908"/>
      <c r="CZ35" s="2076"/>
      <c r="DA35" s="2076"/>
      <c r="DB35" s="2076"/>
      <c r="DC35" s="856"/>
      <c r="DD35" s="2076"/>
      <c r="DE35" s="2076"/>
      <c r="DF35" s="2076"/>
      <c r="DG35" s="2076"/>
      <c r="DH35" s="2076"/>
      <c r="DI35" s="2076"/>
      <c r="DJ35" s="2076"/>
      <c r="DK35" s="2076"/>
      <c r="DL35" s="2076"/>
      <c r="DM35" s="2076"/>
      <c r="DN35" s="2076"/>
      <c r="DO35" s="856"/>
      <c r="DP35" s="2076"/>
      <c r="DQ35" s="2076"/>
      <c r="DR35" s="712"/>
      <c r="DS35" s="712"/>
      <c r="DT35" s="712"/>
      <c r="DU35" s="712"/>
      <c r="DV35" s="2082"/>
    </row>
    <row r="36" spans="1:256" ht="13.8" hidden="1">
      <c r="A36" s="2083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76"/>
      <c r="CC36" s="2076"/>
      <c r="CD36" s="2076"/>
      <c r="CE36" s="2076"/>
      <c r="CF36" s="2076"/>
      <c r="CG36" s="2076"/>
      <c r="CH36" s="2076"/>
      <c r="CI36" s="2076"/>
      <c r="CJ36" s="2076"/>
      <c r="CK36" s="2076"/>
      <c r="CL36" s="2076"/>
      <c r="CM36" s="2076"/>
      <c r="CN36" s="2076"/>
      <c r="CO36" s="2076"/>
      <c r="CP36" s="2076"/>
      <c r="CQ36" s="2076"/>
      <c r="CR36" s="2076"/>
      <c r="CS36" s="2076"/>
      <c r="CT36" s="2076"/>
      <c r="CU36" s="2076"/>
      <c r="CV36" s="2076"/>
      <c r="CW36" s="2076"/>
      <c r="CX36" s="2076"/>
      <c r="CY36" s="908"/>
      <c r="CZ36" s="2076"/>
      <c r="DA36" s="2076"/>
      <c r="DB36" s="2076"/>
      <c r="DC36" s="856"/>
      <c r="DD36" s="2076"/>
      <c r="DE36" s="2076"/>
      <c r="DF36" s="2076"/>
      <c r="DG36" s="2076"/>
      <c r="DH36" s="2076"/>
      <c r="DI36" s="2076"/>
      <c r="DJ36" s="2076"/>
      <c r="DK36" s="2076"/>
      <c r="DL36" s="2076"/>
      <c r="DM36" s="2076"/>
      <c r="DN36" s="2076"/>
      <c r="DO36" s="856"/>
      <c r="DP36" s="2076"/>
      <c r="DQ36" s="2076"/>
      <c r="DR36" s="712"/>
      <c r="DS36" s="712"/>
      <c r="DT36" s="712"/>
      <c r="DU36" s="712"/>
      <c r="DV36" s="2082"/>
    </row>
    <row r="37" spans="1:256" ht="13.8" hidden="1">
      <c r="A37" s="2083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76"/>
      <c r="CC37" s="2076"/>
      <c r="CD37" s="2076"/>
      <c r="CE37" s="2076"/>
      <c r="CF37" s="2076"/>
      <c r="CG37" s="2076"/>
      <c r="CH37" s="2076"/>
      <c r="CI37" s="2076"/>
      <c r="CJ37" s="2076"/>
      <c r="CK37" s="2076"/>
      <c r="CL37" s="2076"/>
      <c r="CM37" s="2076"/>
      <c r="CN37" s="2076"/>
      <c r="CO37" s="2076"/>
      <c r="CP37" s="2076"/>
      <c r="CQ37" s="2076"/>
      <c r="CR37" s="2076"/>
      <c r="CS37" s="2076"/>
      <c r="CT37" s="2076"/>
      <c r="CU37" s="2076"/>
      <c r="CV37" s="2076"/>
      <c r="CW37" s="2076"/>
      <c r="CX37" s="2076"/>
      <c r="CY37" s="908"/>
      <c r="CZ37" s="2076"/>
      <c r="DA37" s="2076"/>
      <c r="DB37" s="2076"/>
      <c r="DC37" s="856"/>
      <c r="DD37" s="2076"/>
      <c r="DE37" s="2076"/>
      <c r="DF37" s="2076"/>
      <c r="DG37" s="2076"/>
      <c r="DH37" s="2076"/>
      <c r="DI37" s="2076"/>
      <c r="DJ37" s="2076"/>
      <c r="DK37" s="2076"/>
      <c r="DL37" s="2076"/>
      <c r="DM37" s="2076"/>
      <c r="DN37" s="2076"/>
      <c r="DO37" s="856"/>
      <c r="DP37" s="2076"/>
      <c r="DQ37" s="2076"/>
      <c r="DR37" s="712"/>
      <c r="DS37" s="712"/>
      <c r="DT37" s="712"/>
      <c r="DU37" s="712"/>
      <c r="DV37" s="2082"/>
    </row>
    <row r="38" spans="1:256" ht="13.8" hidden="1">
      <c r="A38" s="2083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76"/>
      <c r="CC38" s="2076"/>
      <c r="CD38" s="2076"/>
      <c r="CE38" s="2076"/>
      <c r="CF38" s="2076"/>
      <c r="CG38" s="2076"/>
      <c r="CH38" s="2076"/>
      <c r="CI38" s="2076"/>
      <c r="CJ38" s="2076"/>
      <c r="CK38" s="2076"/>
      <c r="CL38" s="2076"/>
      <c r="CM38" s="2076"/>
      <c r="CN38" s="2076"/>
      <c r="CO38" s="2076"/>
      <c r="CP38" s="2076"/>
      <c r="CQ38" s="2076"/>
      <c r="CR38" s="2076"/>
      <c r="CS38" s="2076"/>
      <c r="CT38" s="2076"/>
      <c r="CU38" s="2076"/>
      <c r="CV38" s="2076"/>
      <c r="CW38" s="2076"/>
      <c r="CX38" s="2076"/>
      <c r="CY38" s="908"/>
      <c r="CZ38" s="2076"/>
      <c r="DA38" s="2076"/>
      <c r="DB38" s="2076"/>
      <c r="DC38" s="856"/>
      <c r="DD38" s="2076"/>
      <c r="DE38" s="2076"/>
      <c r="DF38" s="2076"/>
      <c r="DG38" s="2076"/>
      <c r="DH38" s="2076"/>
      <c r="DI38" s="2076"/>
      <c r="DJ38" s="2076"/>
      <c r="DK38" s="2076"/>
      <c r="DL38" s="2076"/>
      <c r="DM38" s="2076"/>
      <c r="DN38" s="2076"/>
      <c r="DO38" s="856"/>
      <c r="DP38" s="2076"/>
      <c r="DQ38" s="2076"/>
      <c r="DR38" s="712"/>
      <c r="DS38" s="712"/>
      <c r="DT38" s="712"/>
      <c r="DU38" s="712"/>
      <c r="DV38" s="2082"/>
    </row>
    <row r="39" spans="1:256" s="767" customFormat="1" ht="13.8" hidden="1">
      <c r="A39" s="2083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76"/>
      <c r="CC39" s="2076"/>
      <c r="CD39" s="2076"/>
      <c r="CE39" s="2076"/>
      <c r="CF39" s="2076"/>
      <c r="CG39" s="2076"/>
      <c r="CH39" s="2076"/>
      <c r="CI39" s="2076"/>
      <c r="CJ39" s="2076"/>
      <c r="CK39" s="2076"/>
      <c r="CL39" s="2076"/>
      <c r="CM39" s="2076"/>
      <c r="CN39" s="2076"/>
      <c r="CO39" s="2076"/>
      <c r="CP39" s="2076"/>
      <c r="CQ39" s="2076"/>
      <c r="CR39" s="2076"/>
      <c r="CS39" s="2076"/>
      <c r="CT39" s="2076"/>
      <c r="CU39" s="2076"/>
      <c r="CV39" s="2076"/>
      <c r="CW39" s="2076"/>
      <c r="CX39" s="2076"/>
      <c r="CY39" s="908"/>
      <c r="CZ39" s="2076"/>
      <c r="DA39" s="2076"/>
      <c r="DB39" s="2076"/>
      <c r="DC39" s="856"/>
      <c r="DD39" s="2076"/>
      <c r="DE39" s="2076"/>
      <c r="DF39" s="2076"/>
      <c r="DG39" s="2076"/>
      <c r="DH39" s="2076"/>
      <c r="DI39" s="2076"/>
      <c r="DJ39" s="2076"/>
      <c r="DK39" s="2076"/>
      <c r="DL39" s="2076"/>
      <c r="DM39" s="2076"/>
      <c r="DN39" s="2076"/>
      <c r="DO39" s="856"/>
      <c r="DP39" s="2076"/>
      <c r="DQ39" s="2076"/>
      <c r="DR39" s="712"/>
      <c r="DS39" s="712"/>
      <c r="DT39" s="712"/>
      <c r="DU39" s="712"/>
      <c r="DV39" s="2082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83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76"/>
      <c r="CC40" s="2076"/>
      <c r="CD40" s="2076"/>
      <c r="CE40" s="2076"/>
      <c r="CF40" s="2076"/>
      <c r="CG40" s="2076"/>
      <c r="CH40" s="2076"/>
      <c r="CI40" s="2076"/>
      <c r="CJ40" s="2076"/>
      <c r="CK40" s="2076"/>
      <c r="CL40" s="2076"/>
      <c r="CM40" s="2076"/>
      <c r="CN40" s="2076"/>
      <c r="CO40" s="2076"/>
      <c r="CP40" s="2076"/>
      <c r="CQ40" s="2076"/>
      <c r="CR40" s="2076"/>
      <c r="CS40" s="2076"/>
      <c r="CT40" s="2076"/>
      <c r="CU40" s="2076"/>
      <c r="CV40" s="2076"/>
      <c r="CW40" s="2076"/>
      <c r="CX40" s="2076"/>
      <c r="CY40" s="908"/>
      <c r="CZ40" s="2076"/>
      <c r="DA40" s="2076"/>
      <c r="DB40" s="2076"/>
      <c r="DC40" s="856"/>
      <c r="DD40" s="2076"/>
      <c r="DE40" s="2076"/>
      <c r="DF40" s="2076"/>
      <c r="DG40" s="2076"/>
      <c r="DH40" s="2076"/>
      <c r="DI40" s="2076"/>
      <c r="DJ40" s="2076"/>
      <c r="DK40" s="2076"/>
      <c r="DL40" s="2076"/>
      <c r="DM40" s="2076"/>
      <c r="DN40" s="2076"/>
      <c r="DO40" s="856"/>
      <c r="DP40" s="2076"/>
      <c r="DQ40" s="2076"/>
      <c r="DR40" s="712"/>
      <c r="DS40" s="712"/>
      <c r="DT40" s="712"/>
      <c r="DU40" s="712"/>
      <c r="DV40" s="2082"/>
    </row>
    <row r="41" spans="1:256" ht="13.8" hidden="1">
      <c r="A41" s="2083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76"/>
      <c r="CC41" s="2076"/>
      <c r="CD41" s="2076"/>
      <c r="CE41" s="2076"/>
      <c r="CF41" s="2076"/>
      <c r="CG41" s="2076"/>
      <c r="CH41" s="2076"/>
      <c r="CI41" s="2076"/>
      <c r="CJ41" s="2076"/>
      <c r="CK41" s="2076"/>
      <c r="CL41" s="2076"/>
      <c r="CM41" s="2076"/>
      <c r="CN41" s="2076"/>
      <c r="CO41" s="2076"/>
      <c r="CP41" s="2076"/>
      <c r="CQ41" s="2076"/>
      <c r="CR41" s="2076"/>
      <c r="CS41" s="2076"/>
      <c r="CT41" s="2076"/>
      <c r="CU41" s="2076"/>
      <c r="CV41" s="2076"/>
      <c r="CW41" s="2076"/>
      <c r="CX41" s="2076"/>
      <c r="CY41" s="908"/>
      <c r="CZ41" s="2076"/>
      <c r="DA41" s="2076"/>
      <c r="DB41" s="2076"/>
      <c r="DC41" s="856"/>
      <c r="DD41" s="2076"/>
      <c r="DE41" s="2076"/>
      <c r="DF41" s="2076"/>
      <c r="DG41" s="2076"/>
      <c r="DH41" s="2076"/>
      <c r="DI41" s="2076"/>
      <c r="DJ41" s="2076"/>
      <c r="DK41" s="2076"/>
      <c r="DL41" s="2076"/>
      <c r="DM41" s="2076"/>
      <c r="DN41" s="2076"/>
      <c r="DO41" s="856"/>
      <c r="DP41" s="2076"/>
      <c r="DQ41" s="2076"/>
      <c r="DR41" s="712"/>
      <c r="DS41" s="712"/>
      <c r="DT41" s="712"/>
      <c r="DU41" s="712"/>
      <c r="DV41" s="2082"/>
    </row>
    <row r="42" spans="1:256" ht="13.8" hidden="1">
      <c r="A42" s="2084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76"/>
      <c r="CC42" s="2076"/>
      <c r="CD42" s="2076"/>
      <c r="CE42" s="2076"/>
      <c r="CF42" s="2076"/>
      <c r="CG42" s="2076"/>
      <c r="CH42" s="2076"/>
      <c r="CI42" s="2076"/>
      <c r="CJ42" s="2076"/>
      <c r="CK42" s="2076"/>
      <c r="CL42" s="2076"/>
      <c r="CM42" s="2076"/>
      <c r="CN42" s="2076"/>
      <c r="CO42" s="2076"/>
      <c r="CP42" s="2076"/>
      <c r="CQ42" s="2076"/>
      <c r="CR42" s="2076"/>
      <c r="CS42" s="2076"/>
      <c r="CT42" s="2076"/>
      <c r="CU42" s="2076"/>
      <c r="CV42" s="2076"/>
      <c r="CW42" s="2076"/>
      <c r="CX42" s="2076"/>
      <c r="CY42" s="908"/>
      <c r="CZ42" s="2076"/>
      <c r="DA42" s="2076"/>
      <c r="DB42" s="2076"/>
      <c r="DC42" s="856"/>
      <c r="DD42" s="2076"/>
      <c r="DE42" s="2076"/>
      <c r="DF42" s="2076"/>
      <c r="DG42" s="2076"/>
      <c r="DH42" s="2076"/>
      <c r="DI42" s="2076"/>
      <c r="DJ42" s="2076"/>
      <c r="DK42" s="2076"/>
      <c r="DL42" s="2076"/>
      <c r="DM42" s="2076"/>
      <c r="DN42" s="2076"/>
      <c r="DO42" s="856"/>
      <c r="DP42" s="2076"/>
      <c r="DQ42" s="2076"/>
      <c r="DR42" s="712"/>
      <c r="DS42" s="712"/>
      <c r="DT42" s="712"/>
      <c r="DU42" s="712"/>
      <c r="DV42" s="2082"/>
    </row>
    <row r="43" spans="1:256" ht="13.8" hidden="1">
      <c r="A43" s="2083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76"/>
      <c r="CC43" s="2076"/>
      <c r="CD43" s="2076"/>
      <c r="CE43" s="2076"/>
      <c r="CF43" s="2076"/>
      <c r="CG43" s="2076"/>
      <c r="CH43" s="2076"/>
      <c r="CI43" s="2076"/>
      <c r="CJ43" s="2076"/>
      <c r="CK43" s="2076"/>
      <c r="CL43" s="2076"/>
      <c r="CM43" s="2076"/>
      <c r="CN43" s="2076"/>
      <c r="CO43" s="2076"/>
      <c r="CP43" s="2076"/>
      <c r="CQ43" s="2076"/>
      <c r="CR43" s="2076"/>
      <c r="CS43" s="2076"/>
      <c r="CT43" s="2076"/>
      <c r="CU43" s="2076"/>
      <c r="CV43" s="2076"/>
      <c r="CW43" s="2076"/>
      <c r="CX43" s="2076"/>
      <c r="CY43" s="908"/>
      <c r="CZ43" s="2076"/>
      <c r="DA43" s="2076"/>
      <c r="DB43" s="2076"/>
      <c r="DC43" s="856"/>
      <c r="DD43" s="2076"/>
      <c r="DE43" s="2076"/>
      <c r="DF43" s="2076"/>
      <c r="DG43" s="2076"/>
      <c r="DH43" s="2076"/>
      <c r="DI43" s="2076"/>
      <c r="DJ43" s="2076"/>
      <c r="DK43" s="2076"/>
      <c r="DL43" s="2076"/>
      <c r="DM43" s="2076"/>
      <c r="DN43" s="2076"/>
      <c r="DO43" s="856"/>
      <c r="DP43" s="2076"/>
      <c r="DQ43" s="2076"/>
      <c r="DR43" s="712"/>
      <c r="DS43" s="712"/>
      <c r="DT43" s="712"/>
      <c r="DU43" s="712"/>
      <c r="DV43" s="2082"/>
    </row>
    <row r="44" spans="1:256" s="767" customFormat="1" ht="13.8" hidden="1">
      <c r="A44" s="2083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76"/>
      <c r="CC44" s="2076"/>
      <c r="CD44" s="2076"/>
      <c r="CE44" s="2076"/>
      <c r="CF44" s="2076"/>
      <c r="CG44" s="2076"/>
      <c r="CH44" s="2076"/>
      <c r="CI44" s="2076"/>
      <c r="CJ44" s="2076"/>
      <c r="CK44" s="2076"/>
      <c r="CL44" s="2076"/>
      <c r="CM44" s="2076"/>
      <c r="CN44" s="2076"/>
      <c r="CO44" s="2076"/>
      <c r="CP44" s="2076"/>
      <c r="CQ44" s="2076"/>
      <c r="CR44" s="2076"/>
      <c r="CS44" s="2076"/>
      <c r="CT44" s="2076"/>
      <c r="CU44" s="2076"/>
      <c r="CV44" s="2076"/>
      <c r="CW44" s="2076"/>
      <c r="CX44" s="2076"/>
      <c r="CY44" s="908"/>
      <c r="CZ44" s="2076"/>
      <c r="DA44" s="2076"/>
      <c r="DB44" s="2076"/>
      <c r="DC44" s="856"/>
      <c r="DD44" s="2076"/>
      <c r="DE44" s="2076"/>
      <c r="DF44" s="2076"/>
      <c r="DG44" s="2076"/>
      <c r="DH44" s="2076"/>
      <c r="DI44" s="2076"/>
      <c r="DJ44" s="2076"/>
      <c r="DK44" s="2076"/>
      <c r="DL44" s="2076"/>
      <c r="DM44" s="2076"/>
      <c r="DN44" s="2076"/>
      <c r="DO44" s="856"/>
      <c r="DP44" s="2076"/>
      <c r="DQ44" s="2076"/>
      <c r="DR44" s="712"/>
      <c r="DS44" s="712"/>
      <c r="DT44" s="712"/>
      <c r="DU44" s="712"/>
      <c r="DV44" s="2082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85"/>
      <c r="B45" s="2086"/>
      <c r="C45" s="2085"/>
      <c r="D45" s="2085"/>
      <c r="E45" s="2085"/>
      <c r="F45" s="2085"/>
      <c r="G45" s="2085"/>
      <c r="H45" s="2085"/>
      <c r="I45" s="2085"/>
      <c r="J45" s="2085"/>
      <c r="K45" s="2085"/>
      <c r="L45" s="2085"/>
      <c r="M45" s="2085"/>
      <c r="N45" s="2085"/>
      <c r="O45" s="2085"/>
      <c r="P45" s="2085"/>
      <c r="Q45" s="2085"/>
      <c r="R45" s="2085"/>
      <c r="S45" s="2085"/>
      <c r="T45" s="2085"/>
      <c r="U45" s="2085"/>
      <c r="V45" s="2085"/>
      <c r="W45" s="2085"/>
      <c r="X45" s="2085"/>
      <c r="Y45" s="2085"/>
      <c r="Z45" s="2085"/>
      <c r="AA45" s="2085"/>
      <c r="AB45" s="2085"/>
      <c r="AC45" s="2085"/>
      <c r="AD45" s="2085"/>
      <c r="AE45" s="2085"/>
      <c r="AF45" s="2085"/>
      <c r="AG45" s="2085"/>
      <c r="AH45" s="2085"/>
      <c r="AI45" s="2085"/>
      <c r="AJ45" s="2085"/>
      <c r="AK45" s="2085"/>
      <c r="AL45" s="2085"/>
      <c r="AM45" s="2085"/>
      <c r="AN45" s="2085"/>
      <c r="AO45" s="2085"/>
      <c r="AP45" s="2085"/>
      <c r="AQ45" s="2085"/>
      <c r="AR45" s="2085"/>
      <c r="AS45" s="2085"/>
      <c r="AT45" s="2085"/>
      <c r="AU45" s="2085"/>
      <c r="AV45" s="2085"/>
      <c r="AW45" s="2085"/>
      <c r="AX45" s="2085"/>
      <c r="AY45" s="2085"/>
      <c r="AZ45" s="2085"/>
      <c r="BA45" s="2085"/>
      <c r="BB45" s="2085"/>
      <c r="BC45" s="2085"/>
      <c r="BD45" s="2085"/>
      <c r="BE45" s="2085"/>
      <c r="BF45" s="2085"/>
      <c r="BG45" s="2085"/>
      <c r="BH45" s="2085"/>
      <c r="BI45" s="2085"/>
      <c r="BJ45" s="2085"/>
      <c r="BK45" s="2085"/>
      <c r="BL45" s="2085"/>
      <c r="BM45" s="2085"/>
      <c r="BN45" s="2085"/>
      <c r="BO45" s="2085"/>
      <c r="BP45" s="2085"/>
      <c r="BQ45" s="2085"/>
      <c r="BR45" s="2085"/>
      <c r="BS45" s="2085"/>
      <c r="BT45" s="2085"/>
      <c r="BU45" s="2085"/>
      <c r="BV45" s="2085"/>
      <c r="BW45" s="2085"/>
      <c r="BX45" s="2085"/>
      <c r="BY45" s="2085"/>
      <c r="BZ45" s="2085"/>
      <c r="CA45" s="2085"/>
      <c r="CB45" s="2085"/>
      <c r="CC45" s="2085"/>
      <c r="CD45" s="2085"/>
      <c r="CE45" s="2076"/>
      <c r="CF45" s="2085"/>
      <c r="CG45" s="2085"/>
      <c r="CH45" s="2085"/>
      <c r="CI45" s="2085"/>
      <c r="CJ45" s="2085"/>
      <c r="CK45" s="2085"/>
      <c r="CL45" s="2085"/>
      <c r="CM45" s="2085"/>
      <c r="CN45" s="2085"/>
      <c r="CO45" s="2085"/>
      <c r="CP45" s="2085"/>
      <c r="CQ45" s="2085"/>
      <c r="CR45" s="2085"/>
      <c r="CS45" s="2085"/>
      <c r="CT45" s="2085"/>
      <c r="CU45" s="2085"/>
      <c r="CV45" s="2085"/>
      <c r="CW45" s="2085"/>
      <c r="CX45" s="2085"/>
      <c r="CY45" s="2087"/>
      <c r="CZ45" s="2085"/>
      <c r="DA45" s="2085"/>
      <c r="DB45" s="2085"/>
      <c r="DC45" s="2085"/>
      <c r="DD45" s="2085"/>
      <c r="DE45" s="2085"/>
      <c r="DF45" s="2085"/>
      <c r="DG45" s="2085"/>
      <c r="DH45" s="2085"/>
      <c r="DI45" s="2085"/>
      <c r="DJ45" s="2085"/>
      <c r="DK45" s="2085"/>
      <c r="DL45" s="2085"/>
      <c r="DM45" s="2085"/>
      <c r="DN45" s="2085"/>
      <c r="DO45" s="2085"/>
      <c r="DP45" s="2085"/>
      <c r="DQ45" s="2085"/>
      <c r="DR45" s="2085"/>
      <c r="DS45" s="2085"/>
      <c r="DT45" s="2085"/>
      <c r="DU45" s="2085"/>
      <c r="DV45" s="2088"/>
    </row>
    <row r="46" spans="1:256" s="632" customFormat="1" ht="18" hidden="1" customHeight="1">
      <c r="A46" s="2089"/>
      <c r="B46" s="1199"/>
      <c r="C46" s="1199"/>
      <c r="D46" s="1199"/>
      <c r="E46" s="1199"/>
      <c r="F46" s="1199"/>
      <c r="G46" s="1199"/>
      <c r="H46" s="1199"/>
      <c r="I46" s="1199"/>
      <c r="J46" s="1199"/>
      <c r="K46" s="1199"/>
      <c r="L46" s="1199"/>
      <c r="M46" s="1199"/>
      <c r="N46" s="1199"/>
      <c r="O46" s="1199"/>
      <c r="P46" s="1199"/>
      <c r="Q46" s="1199"/>
      <c r="R46" s="1199"/>
      <c r="S46" s="1199"/>
      <c r="T46" s="1199"/>
      <c r="U46" s="1199"/>
      <c r="V46" s="1199"/>
      <c r="W46" s="1199"/>
      <c r="X46" s="1199"/>
      <c r="Y46" s="1199"/>
      <c r="Z46" s="1199"/>
      <c r="AA46" s="1199"/>
      <c r="AB46" s="1199"/>
      <c r="AC46" s="1199"/>
      <c r="AD46" s="1199"/>
      <c r="AE46" s="1199"/>
      <c r="AF46" s="1199"/>
      <c r="AG46" s="1199"/>
      <c r="AH46" s="1199"/>
      <c r="AI46" s="1199"/>
      <c r="AJ46" s="1199"/>
      <c r="AK46" s="1199"/>
      <c r="AL46" s="1199"/>
      <c r="AM46" s="1199"/>
      <c r="AN46" s="1199"/>
      <c r="AO46" s="1199"/>
      <c r="AP46" s="1199"/>
      <c r="AQ46" s="1199"/>
      <c r="AR46" s="1199"/>
      <c r="AS46" s="1199"/>
      <c r="AT46" s="1199"/>
      <c r="AU46" s="1199"/>
      <c r="AV46" s="1199"/>
      <c r="AW46" s="1199"/>
      <c r="AX46" s="1199"/>
      <c r="AY46" s="1199"/>
      <c r="AZ46" s="1199"/>
      <c r="BA46" s="1199"/>
      <c r="BB46" s="1199"/>
      <c r="BC46" s="1199"/>
      <c r="BD46" s="1199"/>
      <c r="BE46" s="1199"/>
      <c r="BF46" s="1199"/>
      <c r="BG46" s="1199"/>
      <c r="BH46" s="1199"/>
      <c r="BI46" s="1199"/>
      <c r="BJ46" s="1199"/>
      <c r="BK46" s="1199"/>
      <c r="BL46" s="1199"/>
      <c r="BM46" s="1199"/>
      <c r="BN46" s="1199"/>
      <c r="BO46" s="1199"/>
      <c r="BP46" s="1199"/>
      <c r="BQ46" s="1199"/>
      <c r="BR46" s="1199"/>
      <c r="BS46" s="1199"/>
      <c r="BT46" s="1199"/>
      <c r="BU46" s="1199"/>
      <c r="BV46" s="1199"/>
      <c r="BW46" s="1199"/>
      <c r="BX46" s="1199"/>
      <c r="BY46" s="1199"/>
      <c r="BZ46" s="1199"/>
      <c r="CA46" s="1199"/>
      <c r="CB46" s="1199"/>
      <c r="CC46" s="1199"/>
      <c r="CD46" s="1199"/>
      <c r="CE46" s="2076"/>
      <c r="CF46" s="1199"/>
      <c r="CG46" s="1199"/>
      <c r="CH46" s="1199"/>
      <c r="CI46" s="1199"/>
      <c r="CJ46" s="1199"/>
      <c r="CK46" s="1199"/>
      <c r="CL46" s="1199"/>
      <c r="CM46" s="1199"/>
      <c r="CN46" s="1199"/>
      <c r="CO46" s="1199"/>
      <c r="CP46" s="1199"/>
      <c r="CQ46" s="1199"/>
      <c r="CR46" s="1199"/>
      <c r="CS46" s="1199"/>
      <c r="CT46" s="1199"/>
      <c r="CU46" s="1199"/>
      <c r="CV46" s="1199"/>
      <c r="CW46" s="1199"/>
      <c r="CX46" s="1199"/>
      <c r="CY46" s="2090"/>
      <c r="CZ46" s="1199"/>
      <c r="DA46" s="1199"/>
      <c r="DB46" s="1199"/>
      <c r="DC46" s="1199"/>
      <c r="DD46" s="1199"/>
      <c r="DE46" s="1199"/>
      <c r="DF46" s="1199"/>
      <c r="DG46" s="1199"/>
      <c r="DH46" s="1199"/>
      <c r="DI46" s="1199"/>
      <c r="DJ46" s="1199"/>
      <c r="DK46" s="1199"/>
      <c r="DL46" s="1199"/>
      <c r="DM46" s="1199"/>
      <c r="DN46" s="1199"/>
      <c r="DO46" s="1199"/>
      <c r="DP46" s="1199"/>
      <c r="DQ46" s="1199"/>
      <c r="DR46" s="1199"/>
      <c r="DS46" s="1199"/>
      <c r="DT46" s="1199"/>
      <c r="DU46" s="1199"/>
      <c r="DV46" s="2091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92"/>
      <c r="B47" s="1199"/>
      <c r="C47" s="1199"/>
      <c r="D47" s="1199"/>
      <c r="E47" s="1199"/>
      <c r="F47" s="1199"/>
      <c r="G47" s="1199"/>
      <c r="H47" s="1199"/>
      <c r="I47" s="1199"/>
      <c r="J47" s="1199"/>
      <c r="K47" s="1199"/>
      <c r="L47" s="1199"/>
      <c r="M47" s="1199"/>
      <c r="N47" s="1199"/>
      <c r="O47" s="1199"/>
      <c r="P47" s="1199"/>
      <c r="Q47" s="1199"/>
      <c r="R47" s="1199"/>
      <c r="S47" s="1199"/>
      <c r="T47" s="1199"/>
      <c r="U47" s="1199"/>
      <c r="V47" s="1199"/>
      <c r="W47" s="1199"/>
      <c r="X47" s="1199"/>
      <c r="Y47" s="1199"/>
      <c r="Z47" s="1199"/>
      <c r="AA47" s="1199"/>
      <c r="AB47" s="1199"/>
      <c r="AC47" s="1199"/>
      <c r="AD47" s="1199"/>
      <c r="AE47" s="1199"/>
      <c r="AF47" s="1199"/>
      <c r="AG47" s="1199"/>
      <c r="AH47" s="1199"/>
      <c r="AI47" s="1199"/>
      <c r="AJ47" s="1199"/>
      <c r="AK47" s="1199"/>
      <c r="AL47" s="1199"/>
      <c r="AM47" s="1199"/>
      <c r="AN47" s="1199"/>
      <c r="AO47" s="1199"/>
      <c r="AP47" s="1199"/>
      <c r="AQ47" s="1199"/>
      <c r="AR47" s="1199"/>
      <c r="AS47" s="1199"/>
      <c r="AT47" s="1199"/>
      <c r="AU47" s="1199"/>
      <c r="AV47" s="1199"/>
      <c r="AW47" s="1199"/>
      <c r="AX47" s="1199"/>
      <c r="AY47" s="1199"/>
      <c r="AZ47" s="1199"/>
      <c r="BA47" s="1199"/>
      <c r="BB47" s="1199"/>
      <c r="BC47" s="1199"/>
      <c r="BD47" s="1199"/>
      <c r="BE47" s="1199"/>
      <c r="BF47" s="1199"/>
      <c r="BG47" s="1199"/>
      <c r="BH47" s="1199"/>
      <c r="BI47" s="1199"/>
      <c r="BJ47" s="1199"/>
      <c r="BK47" s="1199"/>
      <c r="BL47" s="1199"/>
      <c r="BM47" s="1199"/>
      <c r="BN47" s="1199"/>
      <c r="BO47" s="1199"/>
      <c r="BP47" s="1199"/>
      <c r="BQ47" s="1199"/>
      <c r="BR47" s="1199"/>
      <c r="BS47" s="1199"/>
      <c r="BT47" s="1199"/>
      <c r="BU47" s="1199"/>
      <c r="BV47" s="1199"/>
      <c r="BW47" s="1199"/>
      <c r="BX47" s="1199"/>
      <c r="BY47" s="1199"/>
      <c r="BZ47" s="1199"/>
      <c r="CA47" s="1199"/>
      <c r="CB47" s="1199"/>
      <c r="CC47" s="1199"/>
      <c r="CD47" s="1199"/>
      <c r="CE47" s="2076"/>
      <c r="CF47" s="1199"/>
      <c r="CG47" s="1199"/>
      <c r="CH47" s="1199"/>
      <c r="CI47" s="1199"/>
      <c r="CJ47" s="1199"/>
      <c r="CK47" s="1199"/>
      <c r="CL47" s="1199"/>
      <c r="CM47" s="1199"/>
      <c r="CN47" s="1199"/>
      <c r="CO47" s="1199"/>
      <c r="CP47" s="1199"/>
      <c r="CQ47" s="1199"/>
      <c r="CR47" s="1199"/>
      <c r="CS47" s="1199"/>
      <c r="CT47" s="1199"/>
      <c r="CU47" s="1199"/>
      <c r="CV47" s="1199"/>
      <c r="CW47" s="1199"/>
      <c r="CX47" s="1199"/>
      <c r="CY47" s="2090"/>
      <c r="CZ47" s="1199"/>
      <c r="DA47" s="1199"/>
      <c r="DB47" s="1199"/>
      <c r="DC47" s="1199"/>
      <c r="DD47" s="1199"/>
      <c r="DE47" s="1199"/>
      <c r="DF47" s="1199"/>
      <c r="DG47" s="1199"/>
      <c r="DH47" s="1199"/>
      <c r="DI47" s="1199"/>
      <c r="DJ47" s="1199"/>
      <c r="DK47" s="1199"/>
      <c r="DL47" s="1199"/>
      <c r="DM47" s="1199"/>
      <c r="DN47" s="1199"/>
      <c r="DO47" s="1199"/>
      <c r="DP47" s="1199"/>
      <c r="DQ47" s="1199"/>
      <c r="DR47" s="1199"/>
      <c r="DS47" s="1199"/>
      <c r="DT47" s="1199"/>
      <c r="DU47" s="1199"/>
      <c r="DV47" s="2091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83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76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76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82"/>
    </row>
    <row r="49" spans="1:256" ht="13.8" hidden="1">
      <c r="A49" s="2083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76"/>
      <c r="CC49" s="2076"/>
      <c r="CD49" s="2076"/>
      <c r="CE49" s="2076"/>
      <c r="CF49" s="2076"/>
      <c r="CG49" s="2076"/>
      <c r="CH49" s="2076"/>
      <c r="CI49" s="2076"/>
      <c r="CJ49" s="2076"/>
      <c r="CK49" s="2076"/>
      <c r="CL49" s="2076"/>
      <c r="CM49" s="2076"/>
      <c r="CN49" s="2076"/>
      <c r="CO49" s="2076"/>
      <c r="CP49" s="2076"/>
      <c r="CQ49" s="2076"/>
      <c r="CR49" s="2076"/>
      <c r="CS49" s="2076"/>
      <c r="CT49" s="2076"/>
      <c r="CU49" s="2076"/>
      <c r="CV49" s="2076"/>
      <c r="CW49" s="2076"/>
      <c r="CX49" s="2076"/>
      <c r="CY49" s="908"/>
      <c r="CZ49" s="2076"/>
      <c r="DA49" s="2076"/>
      <c r="DB49" s="2076"/>
      <c r="DC49" s="856"/>
      <c r="DD49" s="2076"/>
      <c r="DE49" s="2076"/>
      <c r="DF49" s="2076"/>
      <c r="DG49" s="2076"/>
      <c r="DH49" s="2076"/>
      <c r="DI49" s="2076"/>
      <c r="DJ49" s="2076"/>
      <c r="DK49" s="2076"/>
      <c r="DL49" s="2076"/>
      <c r="DM49" s="2076"/>
      <c r="DN49" s="2076"/>
      <c r="DO49" s="856"/>
      <c r="DP49" s="2076"/>
      <c r="DQ49" s="2076"/>
      <c r="DR49" s="712"/>
      <c r="DS49" s="712"/>
      <c r="DT49" s="712"/>
      <c r="DU49" s="712"/>
      <c r="DV49" s="2082"/>
    </row>
    <row r="50" spans="1:256" ht="13.8" hidden="1">
      <c r="A50" s="2083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76"/>
      <c r="CC50" s="2076"/>
      <c r="CD50" s="2076"/>
      <c r="CE50" s="2076"/>
      <c r="CF50" s="2076"/>
      <c r="CG50" s="2076"/>
      <c r="CH50" s="2076"/>
      <c r="CI50" s="2076"/>
      <c r="CJ50" s="2076"/>
      <c r="CK50" s="2076"/>
      <c r="CL50" s="2076"/>
      <c r="CM50" s="2076"/>
      <c r="CN50" s="2076"/>
      <c r="CO50" s="2076"/>
      <c r="CP50" s="2076"/>
      <c r="CQ50" s="2076"/>
      <c r="CR50" s="2076"/>
      <c r="CS50" s="2076"/>
      <c r="CT50" s="2076"/>
      <c r="CU50" s="2076"/>
      <c r="CV50" s="2076"/>
      <c r="CW50" s="2076"/>
      <c r="CX50" s="2076"/>
      <c r="CY50" s="908"/>
      <c r="CZ50" s="2076"/>
      <c r="DA50" s="2076"/>
      <c r="DB50" s="2076"/>
      <c r="DC50" s="856"/>
      <c r="DD50" s="2076"/>
      <c r="DE50" s="2076"/>
      <c r="DF50" s="2076"/>
      <c r="DG50" s="2076"/>
      <c r="DH50" s="2076"/>
      <c r="DI50" s="2076"/>
      <c r="DJ50" s="2076"/>
      <c r="DK50" s="2076"/>
      <c r="DL50" s="2076"/>
      <c r="DM50" s="2076"/>
      <c r="DN50" s="2076"/>
      <c r="DO50" s="856"/>
      <c r="DP50" s="2076"/>
      <c r="DQ50" s="2076"/>
      <c r="DR50" s="712"/>
      <c r="DS50" s="712"/>
      <c r="DT50" s="712"/>
      <c r="DU50" s="712"/>
      <c r="DV50" s="2082"/>
    </row>
    <row r="51" spans="1:256" ht="13.8" hidden="1">
      <c r="A51" s="2083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76"/>
      <c r="CC51" s="2076"/>
      <c r="CD51" s="2076"/>
      <c r="CE51" s="2076"/>
      <c r="CF51" s="2076"/>
      <c r="CG51" s="2076"/>
      <c r="CH51" s="2076"/>
      <c r="CI51" s="2076"/>
      <c r="CJ51" s="2076"/>
      <c r="CK51" s="2076"/>
      <c r="CL51" s="2076"/>
      <c r="CM51" s="2076"/>
      <c r="CN51" s="2076"/>
      <c r="CO51" s="2076"/>
      <c r="CP51" s="2076"/>
      <c r="CQ51" s="2076"/>
      <c r="CR51" s="2076"/>
      <c r="CS51" s="2076"/>
      <c r="CT51" s="2076"/>
      <c r="CU51" s="2076"/>
      <c r="CV51" s="2076"/>
      <c r="CW51" s="2076"/>
      <c r="CX51" s="2076"/>
      <c r="CY51" s="908"/>
      <c r="CZ51" s="2076"/>
      <c r="DA51" s="2076"/>
      <c r="DB51" s="2076"/>
      <c r="DC51" s="856"/>
      <c r="DD51" s="2076"/>
      <c r="DE51" s="2076"/>
      <c r="DF51" s="2076"/>
      <c r="DG51" s="2076"/>
      <c r="DH51" s="2076"/>
      <c r="DI51" s="2076"/>
      <c r="DJ51" s="2076"/>
      <c r="DK51" s="2076"/>
      <c r="DL51" s="2076"/>
      <c r="DM51" s="2076"/>
      <c r="DN51" s="2076"/>
      <c r="DO51" s="856"/>
      <c r="DP51" s="2076"/>
      <c r="DQ51" s="2076"/>
      <c r="DR51" s="712"/>
      <c r="DS51" s="712"/>
      <c r="DT51" s="712"/>
      <c r="DU51" s="712"/>
      <c r="DV51" s="2082"/>
    </row>
    <row r="52" spans="1:256" ht="13.8" hidden="1">
      <c r="A52" s="2083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76"/>
      <c r="CC52" s="2076"/>
      <c r="CD52" s="2076"/>
      <c r="CE52" s="2076"/>
      <c r="CF52" s="2076"/>
      <c r="CG52" s="2076"/>
      <c r="CH52" s="2076"/>
      <c r="CI52" s="2076"/>
      <c r="CJ52" s="2076"/>
      <c r="CK52" s="2076"/>
      <c r="CL52" s="2076"/>
      <c r="CM52" s="2076"/>
      <c r="CN52" s="2076"/>
      <c r="CO52" s="2076"/>
      <c r="CP52" s="2076"/>
      <c r="CQ52" s="2076"/>
      <c r="CR52" s="2076"/>
      <c r="CS52" s="2076"/>
      <c r="CT52" s="2076"/>
      <c r="CU52" s="2076"/>
      <c r="CV52" s="2076"/>
      <c r="CW52" s="2076"/>
      <c r="CX52" s="2076"/>
      <c r="CY52" s="908"/>
      <c r="CZ52" s="2076"/>
      <c r="DA52" s="2076"/>
      <c r="DB52" s="2076"/>
      <c r="DC52" s="856"/>
      <c r="DD52" s="2076"/>
      <c r="DE52" s="2076"/>
      <c r="DF52" s="2076"/>
      <c r="DG52" s="2076"/>
      <c r="DH52" s="2076"/>
      <c r="DI52" s="2076"/>
      <c r="DJ52" s="2076"/>
      <c r="DK52" s="2076"/>
      <c r="DL52" s="2076"/>
      <c r="DM52" s="2076"/>
      <c r="DN52" s="2076"/>
      <c r="DO52" s="856"/>
      <c r="DP52" s="2076"/>
      <c r="DQ52" s="2076"/>
      <c r="DR52" s="712"/>
      <c r="DS52" s="712"/>
      <c r="DT52" s="712"/>
      <c r="DU52" s="712"/>
      <c r="DV52" s="2082"/>
    </row>
    <row r="53" spans="1:256" ht="13.8" hidden="1">
      <c r="A53" s="2083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76"/>
      <c r="CC53" s="2076"/>
      <c r="CD53" s="2076"/>
      <c r="CE53" s="2076"/>
      <c r="CF53" s="2076"/>
      <c r="CG53" s="2076"/>
      <c r="CH53" s="2076"/>
      <c r="CI53" s="2076"/>
      <c r="CJ53" s="2076"/>
      <c r="CK53" s="2076"/>
      <c r="CL53" s="2076"/>
      <c r="CM53" s="2076"/>
      <c r="CN53" s="2076"/>
      <c r="CO53" s="2076"/>
      <c r="CP53" s="2076"/>
      <c r="CQ53" s="2076"/>
      <c r="CR53" s="2076"/>
      <c r="CS53" s="2076"/>
      <c r="CT53" s="2076"/>
      <c r="CU53" s="2076"/>
      <c r="CV53" s="2076"/>
      <c r="CW53" s="2076"/>
      <c r="CX53" s="2076"/>
      <c r="CY53" s="908"/>
      <c r="CZ53" s="2076"/>
      <c r="DA53" s="2076"/>
      <c r="DB53" s="2076"/>
      <c r="DC53" s="856"/>
      <c r="DD53" s="2076"/>
      <c r="DE53" s="2076"/>
      <c r="DF53" s="2076"/>
      <c r="DG53" s="2076"/>
      <c r="DH53" s="2076"/>
      <c r="DI53" s="2076"/>
      <c r="DJ53" s="2076"/>
      <c r="DK53" s="2076"/>
      <c r="DL53" s="2076"/>
      <c r="DM53" s="2076"/>
      <c r="DN53" s="2076"/>
      <c r="DO53" s="856"/>
      <c r="DP53" s="2076"/>
      <c r="DQ53" s="2076"/>
      <c r="DR53" s="712"/>
      <c r="DS53" s="712"/>
      <c r="DT53" s="712"/>
      <c r="DU53" s="712"/>
      <c r="DV53" s="2082"/>
    </row>
    <row r="54" spans="1:256" ht="13.8" hidden="1">
      <c r="A54" s="2083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76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76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82"/>
    </row>
    <row r="55" spans="1:256" ht="13.8" hidden="1">
      <c r="A55" s="2083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76"/>
      <c r="CC55" s="2076"/>
      <c r="CD55" s="2076"/>
      <c r="CE55" s="2076"/>
      <c r="CF55" s="2076"/>
      <c r="CG55" s="2076"/>
      <c r="CH55" s="2076"/>
      <c r="CI55" s="2076"/>
      <c r="CJ55" s="2076"/>
      <c r="CK55" s="2076"/>
      <c r="CL55" s="2076"/>
      <c r="CM55" s="2076"/>
      <c r="CN55" s="2076"/>
      <c r="CO55" s="2076"/>
      <c r="CP55" s="2076"/>
      <c r="CQ55" s="2076"/>
      <c r="CR55" s="2076"/>
      <c r="CS55" s="2076"/>
      <c r="CT55" s="2076"/>
      <c r="CU55" s="2076"/>
      <c r="CV55" s="2076"/>
      <c r="CW55" s="2076"/>
      <c r="CX55" s="2076"/>
      <c r="CY55" s="908"/>
      <c r="CZ55" s="2076"/>
      <c r="DA55" s="2076"/>
      <c r="DB55" s="2076"/>
      <c r="DC55" s="856"/>
      <c r="DD55" s="2076"/>
      <c r="DE55" s="2076"/>
      <c r="DF55" s="2076"/>
      <c r="DG55" s="2076"/>
      <c r="DH55" s="2076"/>
      <c r="DI55" s="2076"/>
      <c r="DJ55" s="2076"/>
      <c r="DK55" s="2076"/>
      <c r="DL55" s="2076"/>
      <c r="DM55" s="2076"/>
      <c r="DN55" s="2076"/>
      <c r="DO55" s="856"/>
      <c r="DP55" s="2076"/>
      <c r="DQ55" s="2076"/>
      <c r="DR55" s="712"/>
      <c r="DS55" s="712"/>
      <c r="DT55" s="712"/>
      <c r="DU55" s="712"/>
      <c r="DV55" s="2082"/>
    </row>
    <row r="56" spans="1:256" ht="13.8" hidden="1">
      <c r="A56" s="2083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76"/>
      <c r="CC56" s="2076"/>
      <c r="CD56" s="2076"/>
      <c r="CE56" s="2076"/>
      <c r="CF56" s="2076"/>
      <c r="CG56" s="2076"/>
      <c r="CH56" s="2076"/>
      <c r="CI56" s="2076"/>
      <c r="CJ56" s="2076"/>
      <c r="CK56" s="2076"/>
      <c r="CL56" s="2076"/>
      <c r="CM56" s="2076"/>
      <c r="CN56" s="2076"/>
      <c r="CO56" s="2076"/>
      <c r="CP56" s="2076"/>
      <c r="CQ56" s="2076"/>
      <c r="CR56" s="2076"/>
      <c r="CS56" s="2076"/>
      <c r="CT56" s="2076"/>
      <c r="CU56" s="2076"/>
      <c r="CV56" s="2076"/>
      <c r="CW56" s="2076"/>
      <c r="CX56" s="2076"/>
      <c r="CY56" s="908"/>
      <c r="CZ56" s="2076"/>
      <c r="DA56" s="2076"/>
      <c r="DB56" s="2076"/>
      <c r="DC56" s="856"/>
      <c r="DD56" s="2076"/>
      <c r="DE56" s="2076"/>
      <c r="DF56" s="2076"/>
      <c r="DG56" s="2076"/>
      <c r="DH56" s="2076"/>
      <c r="DI56" s="2076"/>
      <c r="DJ56" s="2076"/>
      <c r="DK56" s="2076"/>
      <c r="DL56" s="2076"/>
      <c r="DM56" s="2076"/>
      <c r="DN56" s="2076"/>
      <c r="DO56" s="856"/>
      <c r="DP56" s="2076"/>
      <c r="DQ56" s="2076"/>
      <c r="DR56" s="712"/>
      <c r="DS56" s="712"/>
      <c r="DT56" s="712"/>
      <c r="DU56" s="712"/>
      <c r="DV56" s="2082"/>
    </row>
    <row r="57" spans="1:256" ht="13.8" hidden="1">
      <c r="A57" s="2083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76"/>
      <c r="CC57" s="2076"/>
      <c r="CD57" s="2076"/>
      <c r="CE57" s="2076"/>
      <c r="CF57" s="2076"/>
      <c r="CG57" s="2076"/>
      <c r="CH57" s="2076"/>
      <c r="CI57" s="2076"/>
      <c r="CJ57" s="2076"/>
      <c r="CK57" s="2076"/>
      <c r="CL57" s="2076"/>
      <c r="CM57" s="2076"/>
      <c r="CN57" s="2076"/>
      <c r="CO57" s="2076"/>
      <c r="CP57" s="2076"/>
      <c r="CQ57" s="2076"/>
      <c r="CR57" s="2076"/>
      <c r="CS57" s="2076"/>
      <c r="CT57" s="2076"/>
      <c r="CU57" s="2076"/>
      <c r="CV57" s="2076"/>
      <c r="CW57" s="2076"/>
      <c r="CX57" s="2076"/>
      <c r="CY57" s="908"/>
      <c r="CZ57" s="2076"/>
      <c r="DA57" s="2076"/>
      <c r="DB57" s="2076"/>
      <c r="DC57" s="856"/>
      <c r="DD57" s="2076"/>
      <c r="DE57" s="2076"/>
      <c r="DF57" s="2076"/>
      <c r="DG57" s="2076"/>
      <c r="DH57" s="2076"/>
      <c r="DI57" s="2076"/>
      <c r="DJ57" s="2076"/>
      <c r="DK57" s="2076"/>
      <c r="DL57" s="2076"/>
      <c r="DM57" s="2076"/>
      <c r="DN57" s="2076"/>
      <c r="DO57" s="856"/>
      <c r="DP57" s="2076"/>
      <c r="DQ57" s="2076"/>
      <c r="DR57" s="712"/>
      <c r="DS57" s="712"/>
      <c r="DT57" s="712"/>
      <c r="DU57" s="712"/>
      <c r="DV57" s="2082"/>
    </row>
    <row r="58" spans="1:256" s="767" customFormat="1" ht="13.8" hidden="1">
      <c r="A58" s="2083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76"/>
      <c r="CC58" s="2076"/>
      <c r="CD58" s="2076"/>
      <c r="CE58" s="2076"/>
      <c r="CF58" s="2076"/>
      <c r="CG58" s="2076"/>
      <c r="CH58" s="2076"/>
      <c r="CI58" s="2076"/>
      <c r="CJ58" s="2076"/>
      <c r="CK58" s="2076"/>
      <c r="CL58" s="2076"/>
      <c r="CM58" s="2076"/>
      <c r="CN58" s="2076"/>
      <c r="CO58" s="2076"/>
      <c r="CP58" s="2076"/>
      <c r="CQ58" s="2076"/>
      <c r="CR58" s="2076"/>
      <c r="CS58" s="2076"/>
      <c r="CT58" s="2076"/>
      <c r="CU58" s="2076"/>
      <c r="CV58" s="2076"/>
      <c r="CW58" s="2076"/>
      <c r="CX58" s="2076"/>
      <c r="CY58" s="908"/>
      <c r="CZ58" s="2076"/>
      <c r="DA58" s="2076"/>
      <c r="DB58" s="2076"/>
      <c r="DC58" s="856"/>
      <c r="DD58" s="2076"/>
      <c r="DE58" s="2076"/>
      <c r="DF58" s="2076"/>
      <c r="DG58" s="2076"/>
      <c r="DH58" s="2076"/>
      <c r="DI58" s="2076"/>
      <c r="DJ58" s="2076"/>
      <c r="DK58" s="2076"/>
      <c r="DL58" s="2076"/>
      <c r="DM58" s="2076"/>
      <c r="DN58" s="2076"/>
      <c r="DO58" s="856"/>
      <c r="DP58" s="2076"/>
      <c r="DQ58" s="2076"/>
      <c r="DR58" s="712"/>
      <c r="DS58" s="712"/>
      <c r="DT58" s="712"/>
      <c r="DU58" s="712"/>
      <c r="DV58" s="2082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83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76"/>
      <c r="CC59" s="2076"/>
      <c r="CD59" s="2076"/>
      <c r="CE59" s="2076"/>
      <c r="CF59" s="2076"/>
      <c r="CG59" s="2076"/>
      <c r="CH59" s="2076"/>
      <c r="CI59" s="2076"/>
      <c r="CJ59" s="2076"/>
      <c r="CK59" s="2076"/>
      <c r="CL59" s="2076"/>
      <c r="CM59" s="2076"/>
      <c r="CN59" s="2076"/>
      <c r="CO59" s="2076"/>
      <c r="CP59" s="2076"/>
      <c r="CQ59" s="2076"/>
      <c r="CR59" s="2076"/>
      <c r="CS59" s="2076"/>
      <c r="CT59" s="2076"/>
      <c r="CU59" s="2076"/>
      <c r="CV59" s="2076"/>
      <c r="CW59" s="2076"/>
      <c r="CX59" s="2076"/>
      <c r="CY59" s="908"/>
      <c r="CZ59" s="2076"/>
      <c r="DA59" s="2076"/>
      <c r="DB59" s="2076"/>
      <c r="DC59" s="856"/>
      <c r="DD59" s="2076"/>
      <c r="DE59" s="2076"/>
      <c r="DF59" s="2076"/>
      <c r="DG59" s="2076"/>
      <c r="DH59" s="2076"/>
      <c r="DI59" s="2076"/>
      <c r="DJ59" s="2076"/>
      <c r="DK59" s="2076"/>
      <c r="DL59" s="2076"/>
      <c r="DM59" s="2076"/>
      <c r="DN59" s="2076"/>
      <c r="DO59" s="856"/>
      <c r="DP59" s="2076"/>
      <c r="DQ59" s="2076"/>
      <c r="DR59" s="712"/>
      <c r="DS59" s="712"/>
      <c r="DT59" s="712"/>
      <c r="DU59" s="712"/>
      <c r="DV59" s="2082"/>
    </row>
    <row r="60" spans="1:256" ht="13.8" hidden="1">
      <c r="A60" s="2083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76"/>
      <c r="CC60" s="2076"/>
      <c r="CD60" s="2076"/>
      <c r="CE60" s="2076"/>
      <c r="CF60" s="2076"/>
      <c r="CG60" s="2076"/>
      <c r="CH60" s="2076"/>
      <c r="CI60" s="2076"/>
      <c r="CJ60" s="2076"/>
      <c r="CK60" s="2076"/>
      <c r="CL60" s="2076"/>
      <c r="CM60" s="2076"/>
      <c r="CN60" s="2076"/>
      <c r="CO60" s="2076"/>
      <c r="CP60" s="2076"/>
      <c r="CQ60" s="2076"/>
      <c r="CR60" s="2076"/>
      <c r="CS60" s="2076"/>
      <c r="CT60" s="2076"/>
      <c r="CU60" s="2076"/>
      <c r="CV60" s="2076"/>
      <c r="CW60" s="2076"/>
      <c r="CX60" s="2076"/>
      <c r="CY60" s="908"/>
      <c r="CZ60" s="2076"/>
      <c r="DA60" s="2076"/>
      <c r="DB60" s="2076"/>
      <c r="DC60" s="856"/>
      <c r="DD60" s="2076"/>
      <c r="DE60" s="2076"/>
      <c r="DF60" s="2076"/>
      <c r="DG60" s="2076"/>
      <c r="DH60" s="2076"/>
      <c r="DI60" s="2076"/>
      <c r="DJ60" s="2076"/>
      <c r="DK60" s="2076"/>
      <c r="DL60" s="2076"/>
      <c r="DM60" s="2076"/>
      <c r="DN60" s="2076"/>
      <c r="DO60" s="856"/>
      <c r="DP60" s="2076"/>
      <c r="DQ60" s="2076"/>
      <c r="DR60" s="712"/>
      <c r="DS60" s="712"/>
      <c r="DT60" s="712"/>
      <c r="DU60" s="712"/>
      <c r="DV60" s="2082"/>
    </row>
    <row r="61" spans="1:256" ht="13.8" hidden="1">
      <c r="A61" s="2083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76"/>
      <c r="CC61" s="2076"/>
      <c r="CD61" s="2076"/>
      <c r="CE61" s="2076"/>
      <c r="CF61" s="2076"/>
      <c r="CG61" s="2076"/>
      <c r="CH61" s="2076"/>
      <c r="CI61" s="2076"/>
      <c r="CJ61" s="2076"/>
      <c r="CK61" s="2076"/>
      <c r="CL61" s="2076"/>
      <c r="CM61" s="2076"/>
      <c r="CN61" s="2076"/>
      <c r="CO61" s="2076"/>
      <c r="CP61" s="2076"/>
      <c r="CQ61" s="2076"/>
      <c r="CR61" s="2076"/>
      <c r="CS61" s="2076"/>
      <c r="CT61" s="2076"/>
      <c r="CU61" s="2076"/>
      <c r="CV61" s="2076"/>
      <c r="CW61" s="2076"/>
      <c r="CX61" s="2076"/>
      <c r="CY61" s="908"/>
      <c r="CZ61" s="2076"/>
      <c r="DA61" s="2076"/>
      <c r="DB61" s="2076"/>
      <c r="DC61" s="856"/>
      <c r="DD61" s="2076"/>
      <c r="DE61" s="2076"/>
      <c r="DF61" s="2076"/>
      <c r="DG61" s="2076"/>
      <c r="DH61" s="2076"/>
      <c r="DI61" s="2076"/>
      <c r="DJ61" s="2076"/>
      <c r="DK61" s="2076"/>
      <c r="DL61" s="2076"/>
      <c r="DM61" s="2076"/>
      <c r="DN61" s="2076"/>
      <c r="DO61" s="856"/>
      <c r="DP61" s="2076"/>
      <c r="DQ61" s="2076"/>
      <c r="DR61" s="712"/>
      <c r="DS61" s="712"/>
      <c r="DT61" s="712"/>
      <c r="DU61" s="712"/>
      <c r="DV61" s="2082"/>
    </row>
    <row r="62" spans="1:256" ht="13.8" hidden="1">
      <c r="A62" s="2083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76"/>
      <c r="CC62" s="2076"/>
      <c r="CD62" s="2076"/>
      <c r="CE62" s="2076"/>
      <c r="CF62" s="2076"/>
      <c r="CG62" s="2076"/>
      <c r="CH62" s="2076"/>
      <c r="CI62" s="2076"/>
      <c r="CJ62" s="2076"/>
      <c r="CK62" s="2076"/>
      <c r="CL62" s="2076"/>
      <c r="CM62" s="2076"/>
      <c r="CN62" s="2076"/>
      <c r="CO62" s="2076"/>
      <c r="CP62" s="2076"/>
      <c r="CQ62" s="2076"/>
      <c r="CR62" s="2076"/>
      <c r="CS62" s="2076"/>
      <c r="CT62" s="2076"/>
      <c r="CU62" s="2076"/>
      <c r="CV62" s="2076"/>
      <c r="CW62" s="2076"/>
      <c r="CX62" s="2076"/>
      <c r="CY62" s="908"/>
      <c r="CZ62" s="2076"/>
      <c r="DA62" s="2076"/>
      <c r="DB62" s="2076"/>
      <c r="DC62" s="856"/>
      <c r="DD62" s="2076"/>
      <c r="DE62" s="2076"/>
      <c r="DF62" s="2076"/>
      <c r="DG62" s="2076"/>
      <c r="DH62" s="2076"/>
      <c r="DI62" s="2076"/>
      <c r="DJ62" s="2076"/>
      <c r="DK62" s="2076"/>
      <c r="DL62" s="2076"/>
      <c r="DM62" s="2076"/>
      <c r="DN62" s="2076"/>
      <c r="DO62" s="856"/>
      <c r="DP62" s="2076"/>
      <c r="DQ62" s="2076"/>
      <c r="DR62" s="712"/>
      <c r="DS62" s="712"/>
      <c r="DT62" s="712"/>
      <c r="DU62" s="712"/>
      <c r="DV62" s="2082"/>
    </row>
    <row r="63" spans="1:256" s="767" customFormat="1" ht="13.8" hidden="1">
      <c r="A63" s="2083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76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76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82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85"/>
      <c r="B64" s="2086"/>
      <c r="C64" s="2085"/>
      <c r="D64" s="2085"/>
      <c r="E64" s="2085"/>
      <c r="F64" s="2085"/>
      <c r="G64" s="2085"/>
      <c r="H64" s="2085"/>
      <c r="I64" s="2085"/>
      <c r="J64" s="2085"/>
      <c r="K64" s="2085"/>
      <c r="L64" s="2085"/>
      <c r="M64" s="2085"/>
      <c r="N64" s="2085"/>
      <c r="O64" s="2085"/>
      <c r="P64" s="2085"/>
      <c r="Q64" s="2085"/>
      <c r="R64" s="2085"/>
      <c r="S64" s="2085"/>
      <c r="T64" s="2085"/>
      <c r="U64" s="2085"/>
      <c r="V64" s="2085"/>
      <c r="W64" s="2085"/>
      <c r="X64" s="2085"/>
      <c r="Y64" s="2085"/>
      <c r="Z64" s="2085"/>
      <c r="AA64" s="2085"/>
      <c r="AB64" s="2085"/>
      <c r="AC64" s="2085"/>
      <c r="AD64" s="2085"/>
      <c r="AE64" s="2085"/>
      <c r="AF64" s="2085"/>
      <c r="AG64" s="2085"/>
      <c r="AH64" s="2085"/>
      <c r="AI64" s="2085"/>
      <c r="AJ64" s="2085"/>
      <c r="AK64" s="2085"/>
      <c r="AL64" s="2085"/>
      <c r="AM64" s="2085"/>
      <c r="AN64" s="2085"/>
      <c r="AO64" s="2085"/>
      <c r="AP64" s="2085"/>
      <c r="AQ64" s="2085"/>
      <c r="AR64" s="2085"/>
      <c r="AS64" s="2085"/>
      <c r="AT64" s="2085"/>
      <c r="AU64" s="2085"/>
      <c r="AV64" s="2085"/>
      <c r="AW64" s="2085"/>
      <c r="AX64" s="2085"/>
      <c r="AY64" s="2085"/>
      <c r="AZ64" s="2085"/>
      <c r="BA64" s="2085"/>
      <c r="BB64" s="2085"/>
      <c r="BC64" s="2085"/>
      <c r="BD64" s="2085"/>
      <c r="BE64" s="2085"/>
      <c r="BF64" s="2085"/>
      <c r="BG64" s="2085"/>
      <c r="BH64" s="2085"/>
      <c r="BI64" s="2085"/>
      <c r="BJ64" s="2085"/>
      <c r="BK64" s="2085"/>
      <c r="BL64" s="2085"/>
      <c r="BM64" s="2085"/>
      <c r="BN64" s="2085"/>
      <c r="BO64" s="2085"/>
      <c r="BP64" s="2085"/>
      <c r="BQ64" s="2085"/>
      <c r="BR64" s="2085"/>
      <c r="BS64" s="2085"/>
      <c r="BT64" s="2085"/>
      <c r="BU64" s="2085"/>
      <c r="BV64" s="2085"/>
      <c r="BW64" s="2085"/>
      <c r="BX64" s="2085"/>
      <c r="BY64" s="2085"/>
      <c r="BZ64" s="2085"/>
      <c r="CA64" s="2085"/>
      <c r="CB64" s="2085"/>
      <c r="CC64" s="2085"/>
      <c r="CD64" s="2085"/>
      <c r="CE64" s="2076"/>
      <c r="CF64" s="2085"/>
      <c r="CG64" s="2085"/>
      <c r="CH64" s="2085"/>
      <c r="CI64" s="2085"/>
      <c r="CJ64" s="2085"/>
      <c r="CK64" s="2085"/>
      <c r="CL64" s="2085"/>
      <c r="CM64" s="2085"/>
      <c r="CN64" s="2085"/>
      <c r="CO64" s="2085"/>
      <c r="CP64" s="2085"/>
      <c r="CQ64" s="2085"/>
      <c r="CR64" s="2085"/>
      <c r="CS64" s="2085"/>
      <c r="CT64" s="2085"/>
      <c r="CU64" s="2085"/>
      <c r="CV64" s="2085"/>
      <c r="CW64" s="2085"/>
      <c r="CX64" s="2085"/>
      <c r="CY64" s="2087"/>
      <c r="CZ64" s="2085"/>
      <c r="DA64" s="2085"/>
      <c r="DB64" s="2085"/>
      <c r="DC64" s="2085"/>
      <c r="DD64" s="2085"/>
      <c r="DE64" s="2085"/>
      <c r="DF64" s="2085"/>
      <c r="DG64" s="2085"/>
      <c r="DH64" s="2085"/>
      <c r="DI64" s="2085"/>
      <c r="DJ64" s="2085"/>
      <c r="DK64" s="2085"/>
      <c r="DL64" s="2085"/>
      <c r="DM64" s="2085"/>
      <c r="DN64" s="2085"/>
      <c r="DO64" s="2085"/>
      <c r="DP64" s="2085"/>
      <c r="DQ64" s="2085"/>
      <c r="DR64" s="2085"/>
      <c r="DS64" s="2085"/>
      <c r="DT64" s="2085"/>
      <c r="DU64" s="2085"/>
      <c r="DV64" s="2088"/>
    </row>
    <row r="65" spans="1:256" s="632" customFormat="1" ht="18" hidden="1" customHeight="1">
      <c r="A65" s="2092"/>
      <c r="B65" s="1199"/>
      <c r="C65" s="1199"/>
      <c r="D65" s="1199"/>
      <c r="E65" s="1199"/>
      <c r="F65" s="1199"/>
      <c r="G65" s="1199"/>
      <c r="H65" s="1199"/>
      <c r="I65" s="1199"/>
      <c r="J65" s="1199"/>
      <c r="K65" s="1199"/>
      <c r="L65" s="1199"/>
      <c r="M65" s="1199"/>
      <c r="N65" s="1199"/>
      <c r="O65" s="1199"/>
      <c r="P65" s="1199"/>
      <c r="Q65" s="1199"/>
      <c r="R65" s="1199"/>
      <c r="S65" s="1199"/>
      <c r="T65" s="1199"/>
      <c r="U65" s="1199"/>
      <c r="V65" s="1199"/>
      <c r="W65" s="1199"/>
      <c r="X65" s="1199"/>
      <c r="Y65" s="1199"/>
      <c r="Z65" s="1199"/>
      <c r="AA65" s="1199"/>
      <c r="AB65" s="1199"/>
      <c r="AC65" s="1199"/>
      <c r="AD65" s="1199"/>
      <c r="AE65" s="1199"/>
      <c r="AF65" s="1199"/>
      <c r="AG65" s="1199"/>
      <c r="AH65" s="1199"/>
      <c r="AI65" s="1199"/>
      <c r="AJ65" s="1199"/>
      <c r="AK65" s="1199"/>
      <c r="AL65" s="1199"/>
      <c r="AM65" s="1199"/>
      <c r="AN65" s="1199"/>
      <c r="AO65" s="1199"/>
      <c r="AP65" s="1199"/>
      <c r="AQ65" s="1199"/>
      <c r="AR65" s="1199"/>
      <c r="AS65" s="1199"/>
      <c r="AT65" s="1199"/>
      <c r="AU65" s="1199"/>
      <c r="AV65" s="1199"/>
      <c r="AW65" s="1199"/>
      <c r="AX65" s="1199"/>
      <c r="AY65" s="1199"/>
      <c r="AZ65" s="1199"/>
      <c r="BA65" s="1199"/>
      <c r="BB65" s="1199"/>
      <c r="BC65" s="1199"/>
      <c r="BD65" s="1199"/>
      <c r="BE65" s="1199"/>
      <c r="BF65" s="1199"/>
      <c r="BG65" s="1199"/>
      <c r="BH65" s="1199"/>
      <c r="BI65" s="1199"/>
      <c r="BJ65" s="1199"/>
      <c r="BK65" s="1199"/>
      <c r="BL65" s="1199"/>
      <c r="BM65" s="1199"/>
      <c r="BN65" s="1199"/>
      <c r="BO65" s="1199"/>
      <c r="BP65" s="1199"/>
      <c r="BQ65" s="1199"/>
      <c r="BR65" s="1199"/>
      <c r="BS65" s="1199"/>
      <c r="BT65" s="1199"/>
      <c r="BU65" s="1199"/>
      <c r="BV65" s="1199"/>
      <c r="BW65" s="1199"/>
      <c r="BX65" s="1199"/>
      <c r="BY65" s="1199"/>
      <c r="BZ65" s="1199"/>
      <c r="CA65" s="1199"/>
      <c r="CB65" s="1199"/>
      <c r="CC65" s="1199"/>
      <c r="CD65" s="1199"/>
      <c r="CE65" s="2076"/>
      <c r="CF65" s="1199"/>
      <c r="CG65" s="1199"/>
      <c r="CH65" s="1199"/>
      <c r="CI65" s="1199"/>
      <c r="CJ65" s="1199"/>
      <c r="CK65" s="1199"/>
      <c r="CL65" s="1199"/>
      <c r="CM65" s="1199"/>
      <c r="CN65" s="1199"/>
      <c r="CO65" s="1199"/>
      <c r="CP65" s="1199"/>
      <c r="CQ65" s="1199"/>
      <c r="CR65" s="1199"/>
      <c r="CS65" s="1199"/>
      <c r="CT65" s="1199"/>
      <c r="CU65" s="1199"/>
      <c r="CV65" s="1199"/>
      <c r="CW65" s="1199"/>
      <c r="CX65" s="1199"/>
      <c r="CY65" s="2090"/>
      <c r="CZ65" s="1199"/>
      <c r="DA65" s="1199"/>
      <c r="DB65" s="1199"/>
      <c r="DC65" s="1199"/>
      <c r="DD65" s="1199"/>
      <c r="DE65" s="1199"/>
      <c r="DF65" s="1199"/>
      <c r="DG65" s="1199"/>
      <c r="DH65" s="1199"/>
      <c r="DI65" s="1199"/>
      <c r="DJ65" s="1199"/>
      <c r="DK65" s="1199"/>
      <c r="DL65" s="1199"/>
      <c r="DM65" s="1199"/>
      <c r="DN65" s="1199"/>
      <c r="DO65" s="1199"/>
      <c r="DP65" s="1199"/>
      <c r="DQ65" s="1199"/>
      <c r="DR65" s="1199"/>
      <c r="DS65" s="1199"/>
      <c r="DT65" s="1199"/>
      <c r="DU65" s="1199"/>
      <c r="DV65" s="2091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83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76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82"/>
    </row>
    <row r="67" spans="1:256" ht="13.8" hidden="1">
      <c r="A67" s="2083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76"/>
      <c r="CC67" s="2076"/>
      <c r="CD67" s="2076"/>
      <c r="CE67" s="2076"/>
      <c r="CF67" s="2076"/>
      <c r="CG67" s="2076"/>
      <c r="CH67" s="2076"/>
      <c r="CI67" s="2076"/>
      <c r="CJ67" s="2076"/>
      <c r="CK67" s="2076"/>
      <c r="CL67" s="2076"/>
      <c r="CM67" s="2076"/>
      <c r="CN67" s="2076"/>
      <c r="CO67" s="2076"/>
      <c r="CP67" s="2076"/>
      <c r="CQ67" s="2076"/>
      <c r="CR67" s="2076"/>
      <c r="CS67" s="2076"/>
      <c r="CT67" s="2076"/>
      <c r="CU67" s="2076"/>
      <c r="CV67" s="2076"/>
      <c r="CW67" s="2076"/>
      <c r="CX67" s="2076"/>
      <c r="CY67" s="908"/>
      <c r="CZ67" s="2076"/>
      <c r="DA67" s="2076"/>
      <c r="DB67" s="2076"/>
      <c r="DC67" s="856"/>
      <c r="DD67" s="2076"/>
      <c r="DE67" s="2076"/>
      <c r="DF67" s="2076"/>
      <c r="DG67" s="2076"/>
      <c r="DH67" s="2076"/>
      <c r="DI67" s="2076"/>
      <c r="DJ67" s="2076"/>
      <c r="DK67" s="2076"/>
      <c r="DL67" s="2076"/>
      <c r="DM67" s="2076"/>
      <c r="DN67" s="2076"/>
      <c r="DO67" s="856"/>
      <c r="DP67" s="2076"/>
      <c r="DQ67" s="2076"/>
      <c r="DR67" s="712"/>
      <c r="DS67" s="712"/>
      <c r="DT67" s="712"/>
      <c r="DU67" s="712"/>
      <c r="DV67" s="2082"/>
    </row>
    <row r="68" spans="1:256" ht="13.8" hidden="1">
      <c r="A68" s="2083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76"/>
      <c r="CC68" s="2076"/>
      <c r="CD68" s="2076"/>
      <c r="CE68" s="2076"/>
      <c r="CF68" s="2076"/>
      <c r="CG68" s="2076"/>
      <c r="CH68" s="2076"/>
      <c r="CI68" s="2076"/>
      <c r="CJ68" s="2076"/>
      <c r="CK68" s="2076"/>
      <c r="CL68" s="2076"/>
      <c r="CM68" s="2076"/>
      <c r="CN68" s="2076"/>
      <c r="CO68" s="2076"/>
      <c r="CP68" s="2076"/>
      <c r="CQ68" s="2076"/>
      <c r="CR68" s="2076"/>
      <c r="CS68" s="2076"/>
      <c r="CT68" s="2076"/>
      <c r="CU68" s="2076"/>
      <c r="CV68" s="2076"/>
      <c r="CW68" s="2076"/>
      <c r="CX68" s="2076"/>
      <c r="CY68" s="908"/>
      <c r="CZ68" s="2076"/>
      <c r="DA68" s="2076"/>
      <c r="DB68" s="2076"/>
      <c r="DC68" s="856"/>
      <c r="DD68" s="2076"/>
      <c r="DE68" s="2076"/>
      <c r="DF68" s="2076"/>
      <c r="DG68" s="2076"/>
      <c r="DH68" s="2076"/>
      <c r="DI68" s="2076"/>
      <c r="DJ68" s="2076"/>
      <c r="DK68" s="2076"/>
      <c r="DL68" s="2076"/>
      <c r="DM68" s="2076"/>
      <c r="DN68" s="2076"/>
      <c r="DO68" s="856"/>
      <c r="DP68" s="2076"/>
      <c r="DQ68" s="2076"/>
      <c r="DR68" s="712"/>
      <c r="DS68" s="712"/>
      <c r="DT68" s="712"/>
      <c r="DU68" s="712"/>
      <c r="DV68" s="2082"/>
    </row>
    <row r="69" spans="1:256" ht="13.8" hidden="1">
      <c r="A69" s="2083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76"/>
      <c r="CC69" s="2076"/>
      <c r="CD69" s="2076"/>
      <c r="CE69" s="2076"/>
      <c r="CF69" s="2076"/>
      <c r="CG69" s="2076"/>
      <c r="CH69" s="2076"/>
      <c r="CI69" s="2076"/>
      <c r="CJ69" s="2076"/>
      <c r="CK69" s="2076"/>
      <c r="CL69" s="2076"/>
      <c r="CM69" s="2076"/>
      <c r="CN69" s="2076"/>
      <c r="CO69" s="2076"/>
      <c r="CP69" s="2076"/>
      <c r="CQ69" s="2076"/>
      <c r="CR69" s="2076"/>
      <c r="CS69" s="2076"/>
      <c r="CT69" s="2076"/>
      <c r="CU69" s="2076"/>
      <c r="CV69" s="2076"/>
      <c r="CW69" s="2076"/>
      <c r="CX69" s="2076"/>
      <c r="CY69" s="908"/>
      <c r="CZ69" s="2076"/>
      <c r="DA69" s="2076"/>
      <c r="DB69" s="2076"/>
      <c r="DC69" s="856"/>
      <c r="DD69" s="2076"/>
      <c r="DE69" s="2076"/>
      <c r="DF69" s="2076"/>
      <c r="DG69" s="2076"/>
      <c r="DH69" s="2076"/>
      <c r="DI69" s="2076"/>
      <c r="DJ69" s="2076"/>
      <c r="DK69" s="2076"/>
      <c r="DL69" s="2076"/>
      <c r="DM69" s="2076"/>
      <c r="DN69" s="2076"/>
      <c r="DO69" s="856"/>
      <c r="DP69" s="2076"/>
      <c r="DQ69" s="2076"/>
      <c r="DR69" s="712"/>
      <c r="DS69" s="712"/>
      <c r="DT69" s="712"/>
      <c r="DU69" s="712"/>
      <c r="DV69" s="2082"/>
    </row>
    <row r="70" spans="1:256" ht="13.8" hidden="1">
      <c r="A70" s="2083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76"/>
      <c r="CC70" s="2076"/>
      <c r="CD70" s="2076"/>
      <c r="CE70" s="2076"/>
      <c r="CF70" s="2076"/>
      <c r="CG70" s="2076"/>
      <c r="CH70" s="2076"/>
      <c r="CI70" s="2076"/>
      <c r="CJ70" s="2076"/>
      <c r="CK70" s="2076"/>
      <c r="CL70" s="2076"/>
      <c r="CM70" s="2076"/>
      <c r="CN70" s="2076"/>
      <c r="CO70" s="2076"/>
      <c r="CP70" s="2076"/>
      <c r="CQ70" s="2076"/>
      <c r="CR70" s="2076"/>
      <c r="CS70" s="2076"/>
      <c r="CT70" s="2076"/>
      <c r="CU70" s="2076"/>
      <c r="CV70" s="2076"/>
      <c r="CW70" s="2076"/>
      <c r="CX70" s="2076"/>
      <c r="CY70" s="908"/>
      <c r="CZ70" s="2076"/>
      <c r="DA70" s="2076"/>
      <c r="DB70" s="2076"/>
      <c r="DC70" s="856"/>
      <c r="DD70" s="2076"/>
      <c r="DE70" s="2076"/>
      <c r="DF70" s="2076"/>
      <c r="DG70" s="2076"/>
      <c r="DH70" s="2076"/>
      <c r="DI70" s="2076"/>
      <c r="DJ70" s="2076"/>
      <c r="DK70" s="2076"/>
      <c r="DL70" s="2076"/>
      <c r="DM70" s="2076"/>
      <c r="DN70" s="2076"/>
      <c r="DO70" s="856"/>
      <c r="DP70" s="2076"/>
      <c r="DQ70" s="2076"/>
      <c r="DR70" s="712"/>
      <c r="DS70" s="712"/>
      <c r="DT70" s="712"/>
      <c r="DU70" s="712"/>
      <c r="DV70" s="2082"/>
    </row>
    <row r="71" spans="1:256" ht="13.8" hidden="1">
      <c r="A71" s="2083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76"/>
      <c r="CC71" s="2076"/>
      <c r="CD71" s="2076"/>
      <c r="CE71" s="2076"/>
      <c r="CF71" s="2076"/>
      <c r="CG71" s="2076"/>
      <c r="CH71" s="2076"/>
      <c r="CI71" s="2076"/>
      <c r="CJ71" s="2076"/>
      <c r="CK71" s="2076"/>
      <c r="CL71" s="2076"/>
      <c r="CM71" s="2076"/>
      <c r="CN71" s="2076"/>
      <c r="CO71" s="2076"/>
      <c r="CP71" s="2076"/>
      <c r="CQ71" s="2076"/>
      <c r="CR71" s="2076"/>
      <c r="CS71" s="2076"/>
      <c r="CT71" s="2076"/>
      <c r="CU71" s="2076"/>
      <c r="CV71" s="2076"/>
      <c r="CW71" s="2076"/>
      <c r="CX71" s="2076"/>
      <c r="CY71" s="908"/>
      <c r="CZ71" s="2076"/>
      <c r="DA71" s="2076"/>
      <c r="DB71" s="2076"/>
      <c r="DC71" s="856"/>
      <c r="DD71" s="2076"/>
      <c r="DE71" s="2076"/>
      <c r="DF71" s="2076"/>
      <c r="DG71" s="2076"/>
      <c r="DH71" s="2076"/>
      <c r="DI71" s="2076"/>
      <c r="DJ71" s="2076"/>
      <c r="DK71" s="2076"/>
      <c r="DL71" s="2076"/>
      <c r="DM71" s="2076"/>
      <c r="DN71" s="2076"/>
      <c r="DO71" s="856"/>
      <c r="DP71" s="2076"/>
      <c r="DQ71" s="2076"/>
      <c r="DR71" s="712"/>
      <c r="DS71" s="712"/>
      <c r="DT71" s="712"/>
      <c r="DU71" s="712"/>
      <c r="DV71" s="2082"/>
    </row>
    <row r="72" spans="1:256" ht="13.8" hidden="1">
      <c r="A72" s="2083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76"/>
      <c r="CC72" s="2076"/>
      <c r="CD72" s="2076"/>
      <c r="CE72" s="2076"/>
      <c r="CF72" s="2076"/>
      <c r="CG72" s="2076"/>
      <c r="CH72" s="2076"/>
      <c r="CI72" s="2076"/>
      <c r="CJ72" s="2076"/>
      <c r="CK72" s="2076"/>
      <c r="CL72" s="2076"/>
      <c r="CM72" s="2076"/>
      <c r="CN72" s="2076"/>
      <c r="CO72" s="2076"/>
      <c r="CP72" s="2076"/>
      <c r="CQ72" s="2076"/>
      <c r="CR72" s="2076"/>
      <c r="CS72" s="2076"/>
      <c r="CT72" s="2076"/>
      <c r="CU72" s="2076"/>
      <c r="CV72" s="2076"/>
      <c r="CW72" s="2076"/>
      <c r="CX72" s="2076"/>
      <c r="CY72" s="908"/>
      <c r="CZ72" s="2076"/>
      <c r="DA72" s="2076"/>
      <c r="DB72" s="2076"/>
      <c r="DC72" s="856"/>
      <c r="DD72" s="2076"/>
      <c r="DE72" s="2076"/>
      <c r="DF72" s="2076"/>
      <c r="DG72" s="2076"/>
      <c r="DH72" s="2076"/>
      <c r="DI72" s="2076"/>
      <c r="DJ72" s="2076"/>
      <c r="DK72" s="2076"/>
      <c r="DL72" s="2076"/>
      <c r="DM72" s="2076"/>
      <c r="DN72" s="2076"/>
      <c r="DO72" s="856"/>
      <c r="DP72" s="2076"/>
      <c r="DQ72" s="2076"/>
      <c r="DR72" s="712"/>
      <c r="DS72" s="712"/>
      <c r="DT72" s="712"/>
      <c r="DU72" s="712"/>
      <c r="DV72" s="2082"/>
    </row>
    <row r="73" spans="1:256" ht="13.8" hidden="1">
      <c r="A73" s="2083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76"/>
      <c r="CC73" s="2076"/>
      <c r="CD73" s="2076"/>
      <c r="CE73" s="2076"/>
      <c r="CF73" s="2076"/>
      <c r="CG73" s="2076"/>
      <c r="CH73" s="2076"/>
      <c r="CI73" s="2076"/>
      <c r="CJ73" s="2076"/>
      <c r="CK73" s="2076"/>
      <c r="CL73" s="2076"/>
      <c r="CM73" s="2076"/>
      <c r="CN73" s="2076"/>
      <c r="CO73" s="2076"/>
      <c r="CP73" s="2076"/>
      <c r="CQ73" s="2076"/>
      <c r="CR73" s="2076"/>
      <c r="CS73" s="2076"/>
      <c r="CT73" s="2076"/>
      <c r="CU73" s="2076"/>
      <c r="CV73" s="2076"/>
      <c r="CW73" s="2076"/>
      <c r="CX73" s="2076"/>
      <c r="CY73" s="908"/>
      <c r="CZ73" s="2076"/>
      <c r="DA73" s="2076"/>
      <c r="DB73" s="2076"/>
      <c r="DC73" s="856"/>
      <c r="DD73" s="2076"/>
      <c r="DE73" s="2076"/>
      <c r="DF73" s="2076"/>
      <c r="DG73" s="2076"/>
      <c r="DH73" s="2076"/>
      <c r="DI73" s="2076"/>
      <c r="DJ73" s="2076"/>
      <c r="DK73" s="2076"/>
      <c r="DL73" s="2076"/>
      <c r="DM73" s="2076"/>
      <c r="DN73" s="2076"/>
      <c r="DO73" s="856"/>
      <c r="DP73" s="2076"/>
      <c r="DQ73" s="2076"/>
      <c r="DR73" s="712"/>
      <c r="DS73" s="712"/>
      <c r="DT73" s="712"/>
      <c r="DU73" s="712"/>
      <c r="DV73" s="2082"/>
    </row>
    <row r="74" spans="1:256" ht="13.8" hidden="1">
      <c r="A74" s="2083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76"/>
      <c r="CC74" s="2076"/>
      <c r="CD74" s="2076"/>
      <c r="CE74" s="2076"/>
      <c r="CF74" s="2076"/>
      <c r="CG74" s="2076"/>
      <c r="CH74" s="2076"/>
      <c r="CI74" s="2076"/>
      <c r="CJ74" s="2076"/>
      <c r="CK74" s="2076"/>
      <c r="CL74" s="2076"/>
      <c r="CM74" s="2076"/>
      <c r="CN74" s="2076"/>
      <c r="CO74" s="2076"/>
      <c r="CP74" s="2076"/>
      <c r="CQ74" s="2076"/>
      <c r="CR74" s="2076"/>
      <c r="CS74" s="2076"/>
      <c r="CT74" s="2076"/>
      <c r="CU74" s="2076"/>
      <c r="CV74" s="2076"/>
      <c r="CW74" s="2076"/>
      <c r="CX74" s="2076"/>
      <c r="CY74" s="908"/>
      <c r="CZ74" s="2076"/>
      <c r="DA74" s="2076"/>
      <c r="DB74" s="2076"/>
      <c r="DC74" s="856"/>
      <c r="DD74" s="2076"/>
      <c r="DE74" s="2076"/>
      <c r="DF74" s="2076"/>
      <c r="DG74" s="2076"/>
      <c r="DH74" s="2076"/>
      <c r="DI74" s="2076"/>
      <c r="DJ74" s="2076"/>
      <c r="DK74" s="2076"/>
      <c r="DL74" s="2076"/>
      <c r="DM74" s="2076"/>
      <c r="DN74" s="2076"/>
      <c r="DO74" s="856"/>
      <c r="DP74" s="2076"/>
      <c r="DQ74" s="2076"/>
      <c r="DR74" s="712"/>
      <c r="DS74" s="712"/>
      <c r="DT74" s="712"/>
      <c r="DU74" s="712"/>
      <c r="DV74" s="2082"/>
    </row>
    <row r="75" spans="1:256" ht="13.8" hidden="1">
      <c r="A75" s="2083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76"/>
      <c r="CC75" s="2076"/>
      <c r="CD75" s="2076"/>
      <c r="CE75" s="2076"/>
      <c r="CF75" s="2076"/>
      <c r="CG75" s="2076"/>
      <c r="CH75" s="2076"/>
      <c r="CI75" s="2076"/>
      <c r="CJ75" s="2076"/>
      <c r="CK75" s="2076"/>
      <c r="CL75" s="2076"/>
      <c r="CM75" s="2076"/>
      <c r="CN75" s="2076"/>
      <c r="CO75" s="2076"/>
      <c r="CP75" s="2076"/>
      <c r="CQ75" s="2076"/>
      <c r="CR75" s="2076"/>
      <c r="CS75" s="2076"/>
      <c r="CT75" s="2076"/>
      <c r="CU75" s="2076"/>
      <c r="CV75" s="2076"/>
      <c r="CW75" s="2076"/>
      <c r="CX75" s="2076"/>
      <c r="CY75" s="908"/>
      <c r="CZ75" s="2076"/>
      <c r="DA75" s="2076"/>
      <c r="DB75" s="2076"/>
      <c r="DC75" s="856"/>
      <c r="DD75" s="2076"/>
      <c r="DE75" s="2076"/>
      <c r="DF75" s="2076"/>
      <c r="DG75" s="2076"/>
      <c r="DH75" s="2076"/>
      <c r="DI75" s="2076"/>
      <c r="DJ75" s="2076"/>
      <c r="DK75" s="2076"/>
      <c r="DL75" s="2076"/>
      <c r="DM75" s="2076"/>
      <c r="DN75" s="2076"/>
      <c r="DO75" s="856"/>
      <c r="DP75" s="2076"/>
      <c r="DQ75" s="2076"/>
      <c r="DR75" s="712"/>
      <c r="DS75" s="712"/>
      <c r="DT75" s="712"/>
      <c r="DU75" s="712"/>
      <c r="DV75" s="2082"/>
    </row>
    <row r="76" spans="1:256" ht="13.8" hidden="1">
      <c r="A76" s="2083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76"/>
      <c r="CC76" s="2076"/>
      <c r="CD76" s="2076"/>
      <c r="CE76" s="2076"/>
      <c r="CF76" s="2076"/>
      <c r="CG76" s="2076"/>
      <c r="CH76" s="2076"/>
      <c r="CI76" s="2076"/>
      <c r="CJ76" s="2076"/>
      <c r="CK76" s="2076"/>
      <c r="CL76" s="2076"/>
      <c r="CM76" s="2076"/>
      <c r="CN76" s="2076"/>
      <c r="CO76" s="2076"/>
      <c r="CP76" s="2076"/>
      <c r="CQ76" s="2076"/>
      <c r="CR76" s="2076"/>
      <c r="CS76" s="2076"/>
      <c r="CT76" s="2076"/>
      <c r="CU76" s="2076"/>
      <c r="CV76" s="2076"/>
      <c r="CW76" s="2076"/>
      <c r="CX76" s="2076"/>
      <c r="CY76" s="908"/>
      <c r="CZ76" s="2076"/>
      <c r="DA76" s="2076"/>
      <c r="DB76" s="2076"/>
      <c r="DC76" s="856"/>
      <c r="DD76" s="2076"/>
      <c r="DE76" s="2076"/>
      <c r="DF76" s="2076"/>
      <c r="DG76" s="2076"/>
      <c r="DH76" s="2076"/>
      <c r="DI76" s="2076"/>
      <c r="DJ76" s="2076"/>
      <c r="DK76" s="2076"/>
      <c r="DL76" s="2076"/>
      <c r="DM76" s="2076"/>
      <c r="DN76" s="2076"/>
      <c r="DO76" s="856"/>
      <c r="DP76" s="2076"/>
      <c r="DQ76" s="2076"/>
      <c r="DR76" s="712"/>
      <c r="DS76" s="712"/>
      <c r="DT76" s="712"/>
      <c r="DU76" s="712"/>
      <c r="DV76" s="2082"/>
    </row>
    <row r="77" spans="1:256" ht="13.8" hidden="1">
      <c r="A77" s="2083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76"/>
      <c r="CC77" s="2076"/>
      <c r="CD77" s="2076"/>
      <c r="CE77" s="2076"/>
      <c r="CF77" s="2076"/>
      <c r="CG77" s="2076"/>
      <c r="CH77" s="2076"/>
      <c r="CI77" s="2076"/>
      <c r="CJ77" s="2076"/>
      <c r="CK77" s="2076"/>
      <c r="CL77" s="2076"/>
      <c r="CM77" s="2076"/>
      <c r="CN77" s="2076"/>
      <c r="CO77" s="2076"/>
      <c r="CP77" s="2076"/>
      <c r="CQ77" s="2076"/>
      <c r="CR77" s="2076"/>
      <c r="CS77" s="2076"/>
      <c r="CT77" s="2076"/>
      <c r="CU77" s="2076"/>
      <c r="CV77" s="2076"/>
      <c r="CW77" s="2076"/>
      <c r="CX77" s="2076"/>
      <c r="CY77" s="908"/>
      <c r="CZ77" s="2076"/>
      <c r="DA77" s="2076"/>
      <c r="DB77" s="2076"/>
      <c r="DC77" s="856"/>
      <c r="DD77" s="2076"/>
      <c r="DE77" s="2076"/>
      <c r="DF77" s="2076"/>
      <c r="DG77" s="2076"/>
      <c r="DH77" s="2076"/>
      <c r="DI77" s="2076"/>
      <c r="DJ77" s="2076"/>
      <c r="DK77" s="2076"/>
      <c r="DL77" s="2076"/>
      <c r="DM77" s="2076"/>
      <c r="DN77" s="2076"/>
      <c r="DO77" s="856"/>
      <c r="DP77" s="2076"/>
      <c r="DQ77" s="2076"/>
      <c r="DR77" s="712"/>
      <c r="DS77" s="712"/>
      <c r="DT77" s="712"/>
      <c r="DU77" s="712"/>
      <c r="DV77" s="2082"/>
    </row>
    <row r="78" spans="1:256" ht="13.8" hidden="1">
      <c r="A78" s="2083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76"/>
      <c r="CC78" s="2076"/>
      <c r="CD78" s="2076"/>
      <c r="CE78" s="2076"/>
      <c r="CF78" s="2076"/>
      <c r="CG78" s="2076"/>
      <c r="CH78" s="2076"/>
      <c r="CI78" s="2076"/>
      <c r="CJ78" s="2076"/>
      <c r="CK78" s="2076"/>
      <c r="CL78" s="2076"/>
      <c r="CM78" s="2076"/>
      <c r="CN78" s="2076"/>
      <c r="CO78" s="2076"/>
      <c r="CP78" s="2076"/>
      <c r="CQ78" s="2076"/>
      <c r="CR78" s="2076"/>
      <c r="CS78" s="2076"/>
      <c r="CT78" s="2076"/>
      <c r="CU78" s="2076"/>
      <c r="CV78" s="2076"/>
      <c r="CW78" s="2076"/>
      <c r="CX78" s="2076"/>
      <c r="CY78" s="908"/>
      <c r="CZ78" s="2076"/>
      <c r="DA78" s="2076"/>
      <c r="DB78" s="2076"/>
      <c r="DC78" s="856"/>
      <c r="DD78" s="2076"/>
      <c r="DE78" s="2076"/>
      <c r="DF78" s="2076"/>
      <c r="DG78" s="2076"/>
      <c r="DH78" s="2076"/>
      <c r="DI78" s="2076"/>
      <c r="DJ78" s="2076"/>
      <c r="DK78" s="2076"/>
      <c r="DL78" s="2076"/>
      <c r="DM78" s="2076"/>
      <c r="DN78" s="2076"/>
      <c r="DO78" s="856"/>
      <c r="DP78" s="2076"/>
      <c r="DQ78" s="2076"/>
      <c r="DR78" s="712"/>
      <c r="DS78" s="712"/>
      <c r="DT78" s="712"/>
      <c r="DU78" s="712"/>
      <c r="DV78" s="2082"/>
    </row>
    <row r="79" spans="1:256" ht="13.8" hidden="1">
      <c r="A79" s="2083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76"/>
      <c r="CC79" s="2076"/>
      <c r="CD79" s="2076"/>
      <c r="CE79" s="2076"/>
      <c r="CF79" s="2076"/>
      <c r="CG79" s="2076"/>
      <c r="CH79" s="2076"/>
      <c r="CI79" s="2076"/>
      <c r="CJ79" s="2076"/>
      <c r="CK79" s="2076"/>
      <c r="CL79" s="2076"/>
      <c r="CM79" s="2076"/>
      <c r="CN79" s="2076"/>
      <c r="CO79" s="2076"/>
      <c r="CP79" s="2076"/>
      <c r="CQ79" s="2076"/>
      <c r="CR79" s="2076"/>
      <c r="CS79" s="2076"/>
      <c r="CT79" s="2076"/>
      <c r="CU79" s="2076"/>
      <c r="CV79" s="2076"/>
      <c r="CW79" s="2076"/>
      <c r="CX79" s="2076"/>
      <c r="CY79" s="908"/>
      <c r="CZ79" s="2076"/>
      <c r="DA79" s="2076"/>
      <c r="DB79" s="2076"/>
      <c r="DC79" s="856"/>
      <c r="DD79" s="2076"/>
      <c r="DE79" s="2076"/>
      <c r="DF79" s="2076"/>
      <c r="DG79" s="2076"/>
      <c r="DH79" s="2076"/>
      <c r="DI79" s="2076"/>
      <c r="DJ79" s="2076"/>
      <c r="DK79" s="2076"/>
      <c r="DL79" s="2076"/>
      <c r="DM79" s="2076"/>
      <c r="DN79" s="2076"/>
      <c r="DO79" s="856"/>
      <c r="DP79" s="2076"/>
      <c r="DQ79" s="2076"/>
      <c r="DR79" s="712"/>
      <c r="DS79" s="712"/>
      <c r="DT79" s="712"/>
      <c r="DU79" s="712"/>
      <c r="DV79" s="2082"/>
    </row>
    <row r="80" spans="1:256" ht="13.8" hidden="1">
      <c r="A80" s="2083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76"/>
      <c r="CC80" s="2076"/>
      <c r="CD80" s="2076"/>
      <c r="CE80" s="2076"/>
      <c r="CF80" s="2076"/>
      <c r="CG80" s="2076"/>
      <c r="CH80" s="2076"/>
      <c r="CI80" s="2076"/>
      <c r="CJ80" s="2076"/>
      <c r="CK80" s="2076"/>
      <c r="CL80" s="2076"/>
      <c r="CM80" s="2076"/>
      <c r="CN80" s="2076"/>
      <c r="CO80" s="2076"/>
      <c r="CP80" s="2076"/>
      <c r="CQ80" s="2076"/>
      <c r="CR80" s="2076"/>
      <c r="CS80" s="2076"/>
      <c r="CT80" s="2076"/>
      <c r="CU80" s="2076"/>
      <c r="CV80" s="2076"/>
      <c r="CW80" s="2076"/>
      <c r="CX80" s="2076"/>
      <c r="CY80" s="908"/>
      <c r="CZ80" s="2076"/>
      <c r="DA80" s="2076"/>
      <c r="DB80" s="2076"/>
      <c r="DC80" s="856"/>
      <c r="DD80" s="2076"/>
      <c r="DE80" s="2076"/>
      <c r="DF80" s="2076"/>
      <c r="DG80" s="2076"/>
      <c r="DH80" s="2076"/>
      <c r="DI80" s="2076"/>
      <c r="DJ80" s="2076"/>
      <c r="DK80" s="2076"/>
      <c r="DL80" s="2076"/>
      <c r="DM80" s="2076"/>
      <c r="DN80" s="2076"/>
      <c r="DO80" s="856"/>
      <c r="DP80" s="2076"/>
      <c r="DQ80" s="2076"/>
      <c r="DR80" s="712"/>
      <c r="DS80" s="712"/>
      <c r="DT80" s="712"/>
      <c r="DU80" s="712"/>
      <c r="DV80" s="2082"/>
    </row>
    <row r="81" spans="1:256" ht="13.8" hidden="1">
      <c r="A81" s="2083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76"/>
      <c r="CC81" s="2076"/>
      <c r="CD81" s="2076"/>
      <c r="CE81" s="2076"/>
      <c r="CF81" s="2076"/>
      <c r="CG81" s="2076"/>
      <c r="CH81" s="2076"/>
      <c r="CI81" s="2076"/>
      <c r="CJ81" s="2076"/>
      <c r="CK81" s="2076"/>
      <c r="CL81" s="2076"/>
      <c r="CM81" s="2076"/>
      <c r="CN81" s="2076"/>
      <c r="CO81" s="2076"/>
      <c r="CP81" s="2076"/>
      <c r="CQ81" s="2076"/>
      <c r="CR81" s="2076"/>
      <c r="CS81" s="2076"/>
      <c r="CT81" s="2076"/>
      <c r="CU81" s="2076"/>
      <c r="CV81" s="2076"/>
      <c r="CW81" s="2076"/>
      <c r="CX81" s="2076"/>
      <c r="CY81" s="908"/>
      <c r="CZ81" s="2076"/>
      <c r="DA81" s="2076"/>
      <c r="DB81" s="2076"/>
      <c r="DC81" s="856"/>
      <c r="DD81" s="2076"/>
      <c r="DE81" s="2076"/>
      <c r="DF81" s="2076"/>
      <c r="DG81" s="2076"/>
      <c r="DH81" s="2076"/>
      <c r="DI81" s="2076"/>
      <c r="DJ81" s="2076"/>
      <c r="DK81" s="2076"/>
      <c r="DL81" s="2076"/>
      <c r="DM81" s="2076"/>
      <c r="DN81" s="2076"/>
      <c r="DO81" s="856"/>
      <c r="DP81" s="2076"/>
      <c r="DQ81" s="2076"/>
      <c r="DR81" s="712"/>
      <c r="DS81" s="712"/>
      <c r="DT81" s="712"/>
      <c r="DU81" s="712"/>
      <c r="DV81" s="2082"/>
    </row>
    <row r="82" spans="1:256" s="767" customFormat="1" ht="13.8" hidden="1">
      <c r="A82" s="2083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76"/>
      <c r="CC82" s="2076"/>
      <c r="CD82" s="2076"/>
      <c r="CE82" s="2076"/>
      <c r="CF82" s="2076"/>
      <c r="CG82" s="2076"/>
      <c r="CH82" s="2076"/>
      <c r="CI82" s="2076"/>
      <c r="CJ82" s="2076"/>
      <c r="CK82" s="2076"/>
      <c r="CL82" s="2076"/>
      <c r="CM82" s="2076"/>
      <c r="CN82" s="2076"/>
      <c r="CO82" s="2076"/>
      <c r="CP82" s="2076"/>
      <c r="CQ82" s="2076"/>
      <c r="CR82" s="2076"/>
      <c r="CS82" s="2076"/>
      <c r="CT82" s="2076"/>
      <c r="CU82" s="2076"/>
      <c r="CV82" s="2076"/>
      <c r="CW82" s="2076"/>
      <c r="CX82" s="2076"/>
      <c r="CY82" s="908"/>
      <c r="CZ82" s="2076"/>
      <c r="DA82" s="2076"/>
      <c r="DB82" s="2076"/>
      <c r="DC82" s="856"/>
      <c r="DD82" s="2076"/>
      <c r="DE82" s="2076"/>
      <c r="DF82" s="2076"/>
      <c r="DG82" s="2076"/>
      <c r="DH82" s="2076"/>
      <c r="DI82" s="2076"/>
      <c r="DJ82" s="2076"/>
      <c r="DK82" s="2076"/>
      <c r="DL82" s="2076"/>
      <c r="DM82" s="2076"/>
      <c r="DN82" s="2076"/>
      <c r="DO82" s="856"/>
      <c r="DP82" s="2076"/>
      <c r="DQ82" s="2076"/>
      <c r="DR82" s="712"/>
      <c r="DS82" s="712"/>
      <c r="DT82" s="712"/>
      <c r="DU82" s="712"/>
      <c r="DV82" s="2082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83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76"/>
      <c r="CC83" s="2076"/>
      <c r="CD83" s="2076"/>
      <c r="CE83" s="2076"/>
      <c r="CF83" s="2076"/>
      <c r="CG83" s="2076"/>
      <c r="CH83" s="2076"/>
      <c r="CI83" s="2076"/>
      <c r="CJ83" s="2076"/>
      <c r="CK83" s="2076"/>
      <c r="CL83" s="2076"/>
      <c r="CM83" s="2076"/>
      <c r="CN83" s="2076"/>
      <c r="CO83" s="2076"/>
      <c r="CP83" s="2076"/>
      <c r="CQ83" s="2076"/>
      <c r="CR83" s="2076"/>
      <c r="CS83" s="2076"/>
      <c r="CT83" s="2076"/>
      <c r="CU83" s="2076"/>
      <c r="CV83" s="2076"/>
      <c r="CW83" s="2076"/>
      <c r="CX83" s="2076"/>
      <c r="CY83" s="908"/>
      <c r="CZ83" s="2076"/>
      <c r="DA83" s="2076"/>
      <c r="DB83" s="2076"/>
      <c r="DC83" s="856"/>
      <c r="DD83" s="2076"/>
      <c r="DE83" s="2076"/>
      <c r="DF83" s="2076"/>
      <c r="DG83" s="2076"/>
      <c r="DH83" s="2076"/>
      <c r="DI83" s="2076"/>
      <c r="DJ83" s="2076"/>
      <c r="DK83" s="2076"/>
      <c r="DL83" s="2076"/>
      <c r="DM83" s="2076"/>
      <c r="DN83" s="2076"/>
      <c r="DO83" s="856"/>
      <c r="DP83" s="2076"/>
      <c r="DQ83" s="2076"/>
      <c r="DR83" s="712"/>
      <c r="DS83" s="712"/>
      <c r="DT83" s="712"/>
      <c r="DU83" s="712"/>
      <c r="DV83" s="2082"/>
    </row>
    <row r="84" spans="1:256" ht="13.8" hidden="1">
      <c r="A84" s="2083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76"/>
      <c r="CC84" s="2076"/>
      <c r="CD84" s="2076"/>
      <c r="CE84" s="2076"/>
      <c r="CF84" s="2076"/>
      <c r="CG84" s="2076"/>
      <c r="CH84" s="2076"/>
      <c r="CI84" s="2076"/>
      <c r="CJ84" s="2076"/>
      <c r="CK84" s="2076"/>
      <c r="CL84" s="2076"/>
      <c r="CM84" s="2076"/>
      <c r="CN84" s="2076"/>
      <c r="CO84" s="2076"/>
      <c r="CP84" s="2076"/>
      <c r="CQ84" s="2076"/>
      <c r="CR84" s="2076"/>
      <c r="CS84" s="2076"/>
      <c r="CT84" s="2076"/>
      <c r="CU84" s="2076"/>
      <c r="CV84" s="2076"/>
      <c r="CW84" s="2076"/>
      <c r="CX84" s="2076"/>
      <c r="CY84" s="908"/>
      <c r="CZ84" s="2076"/>
      <c r="DA84" s="2076"/>
      <c r="DB84" s="2076"/>
      <c r="DC84" s="856"/>
      <c r="DD84" s="2076"/>
      <c r="DE84" s="2076"/>
      <c r="DF84" s="2076"/>
      <c r="DG84" s="2076"/>
      <c r="DH84" s="2076"/>
      <c r="DI84" s="2076"/>
      <c r="DJ84" s="2076"/>
      <c r="DK84" s="2076"/>
      <c r="DL84" s="2076"/>
      <c r="DM84" s="2076"/>
      <c r="DN84" s="2076"/>
      <c r="DO84" s="856"/>
      <c r="DP84" s="2076"/>
      <c r="DQ84" s="2076"/>
      <c r="DR84" s="712"/>
      <c r="DS84" s="712"/>
      <c r="DT84" s="712"/>
      <c r="DU84" s="712"/>
      <c r="DV84" s="2082"/>
    </row>
    <row r="85" spans="1:256" ht="13.8" hidden="1">
      <c r="A85" s="2083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76"/>
      <c r="CC85" s="2076"/>
      <c r="CD85" s="2076"/>
      <c r="CE85" s="2076"/>
      <c r="CF85" s="2076"/>
      <c r="CG85" s="2076"/>
      <c r="CH85" s="2076"/>
      <c r="CI85" s="2076"/>
      <c r="CJ85" s="2076"/>
      <c r="CK85" s="2076"/>
      <c r="CL85" s="2076"/>
      <c r="CM85" s="2076"/>
      <c r="CN85" s="2076"/>
      <c r="CO85" s="2076"/>
      <c r="CP85" s="2076"/>
      <c r="CQ85" s="2076"/>
      <c r="CR85" s="2076"/>
      <c r="CS85" s="2076"/>
      <c r="CT85" s="2076"/>
      <c r="CU85" s="2076"/>
      <c r="CV85" s="2076"/>
      <c r="CW85" s="2076"/>
      <c r="CX85" s="2076"/>
      <c r="CY85" s="908"/>
      <c r="CZ85" s="2076"/>
      <c r="DA85" s="2076"/>
      <c r="DB85" s="2076"/>
      <c r="DC85" s="856"/>
      <c r="DD85" s="2076"/>
      <c r="DE85" s="2076"/>
      <c r="DF85" s="2076"/>
      <c r="DG85" s="2076"/>
      <c r="DH85" s="2076"/>
      <c r="DI85" s="2076"/>
      <c r="DJ85" s="2076"/>
      <c r="DK85" s="2076"/>
      <c r="DL85" s="2076"/>
      <c r="DM85" s="2076"/>
      <c r="DN85" s="2076"/>
      <c r="DO85" s="856"/>
      <c r="DP85" s="2076"/>
      <c r="DQ85" s="2076"/>
      <c r="DR85" s="712"/>
      <c r="DS85" s="712"/>
      <c r="DT85" s="712"/>
      <c r="DU85" s="712"/>
      <c r="DV85" s="2082"/>
    </row>
    <row r="86" spans="1:256" ht="13.8" hidden="1">
      <c r="A86" s="2083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76"/>
      <c r="CC86" s="2076"/>
      <c r="CD86" s="2076"/>
      <c r="CE86" s="2076"/>
      <c r="CF86" s="2076"/>
      <c r="CG86" s="2076"/>
      <c r="CH86" s="2076"/>
      <c r="CI86" s="2076"/>
      <c r="CJ86" s="2076"/>
      <c r="CK86" s="2076"/>
      <c r="CL86" s="2076"/>
      <c r="CM86" s="2076"/>
      <c r="CN86" s="2076"/>
      <c r="CO86" s="2076"/>
      <c r="CP86" s="2076"/>
      <c r="CQ86" s="2076"/>
      <c r="CR86" s="2076"/>
      <c r="CS86" s="2076"/>
      <c r="CT86" s="2076"/>
      <c r="CU86" s="2076"/>
      <c r="CV86" s="2076"/>
      <c r="CW86" s="2076"/>
      <c r="CX86" s="2076"/>
      <c r="CY86" s="908"/>
      <c r="CZ86" s="2076"/>
      <c r="DA86" s="2076"/>
      <c r="DB86" s="2076"/>
      <c r="DC86" s="856"/>
      <c r="DD86" s="2076"/>
      <c r="DE86" s="2076"/>
      <c r="DF86" s="2076"/>
      <c r="DG86" s="2076"/>
      <c r="DH86" s="2076"/>
      <c r="DI86" s="2076"/>
      <c r="DJ86" s="2076"/>
      <c r="DK86" s="2076"/>
      <c r="DL86" s="2076"/>
      <c r="DM86" s="2076"/>
      <c r="DN86" s="2076"/>
      <c r="DO86" s="856"/>
      <c r="DP86" s="2076"/>
      <c r="DQ86" s="2076"/>
      <c r="DR86" s="712"/>
      <c r="DS86" s="712"/>
      <c r="DT86" s="712"/>
      <c r="DU86" s="712"/>
      <c r="DV86" s="2082"/>
    </row>
    <row r="87" spans="1:256" ht="13.8" hidden="1">
      <c r="A87" s="2083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76"/>
      <c r="CC87" s="2076"/>
      <c r="CD87" s="2076"/>
      <c r="CE87" s="2076"/>
      <c r="CF87" s="2076"/>
      <c r="CG87" s="2076"/>
      <c r="CH87" s="2076"/>
      <c r="CI87" s="2076"/>
      <c r="CJ87" s="2076"/>
      <c r="CK87" s="2076"/>
      <c r="CL87" s="2076"/>
      <c r="CM87" s="2076"/>
      <c r="CN87" s="2076"/>
      <c r="CO87" s="2076"/>
      <c r="CP87" s="2076"/>
      <c r="CQ87" s="2076"/>
      <c r="CR87" s="2076"/>
      <c r="CS87" s="2076"/>
      <c r="CT87" s="2076"/>
      <c r="CU87" s="2076"/>
      <c r="CV87" s="2076"/>
      <c r="CW87" s="2076"/>
      <c r="CX87" s="2076"/>
      <c r="CY87" s="908"/>
      <c r="CZ87" s="2076"/>
      <c r="DA87" s="2076"/>
      <c r="DB87" s="2076"/>
      <c r="DC87" s="856"/>
      <c r="DD87" s="2076"/>
      <c r="DE87" s="2076"/>
      <c r="DF87" s="2076"/>
      <c r="DG87" s="2076"/>
      <c r="DH87" s="2076"/>
      <c r="DI87" s="2076"/>
      <c r="DJ87" s="2076"/>
      <c r="DK87" s="2076"/>
      <c r="DL87" s="2076"/>
      <c r="DM87" s="2076"/>
      <c r="DN87" s="2076"/>
      <c r="DO87" s="856"/>
      <c r="DP87" s="2076"/>
      <c r="DQ87" s="2076"/>
      <c r="DR87" s="712"/>
      <c r="DS87" s="712"/>
      <c r="DT87" s="712"/>
      <c r="DU87" s="712"/>
      <c r="DV87" s="2082"/>
    </row>
    <row r="88" spans="1:256" ht="13.8" hidden="1">
      <c r="A88" s="2083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76"/>
      <c r="CC88" s="2076"/>
      <c r="CD88" s="2076"/>
      <c r="CE88" s="2076"/>
      <c r="CF88" s="2076"/>
      <c r="CG88" s="2076"/>
      <c r="CH88" s="2076"/>
      <c r="CI88" s="2076"/>
      <c r="CJ88" s="2076"/>
      <c r="CK88" s="2076"/>
      <c r="CL88" s="2076"/>
      <c r="CM88" s="2076"/>
      <c r="CN88" s="2076"/>
      <c r="CO88" s="2076"/>
      <c r="CP88" s="2076"/>
      <c r="CQ88" s="2076"/>
      <c r="CR88" s="2076"/>
      <c r="CS88" s="2076"/>
      <c r="CT88" s="2076"/>
      <c r="CU88" s="2076"/>
      <c r="CV88" s="2076"/>
      <c r="CW88" s="2076"/>
      <c r="CX88" s="2076"/>
      <c r="CY88" s="908"/>
      <c r="CZ88" s="2076"/>
      <c r="DA88" s="2076"/>
      <c r="DB88" s="2076"/>
      <c r="DC88" s="856"/>
      <c r="DD88" s="2076"/>
      <c r="DE88" s="2076"/>
      <c r="DF88" s="2076"/>
      <c r="DG88" s="2076"/>
      <c r="DH88" s="2076"/>
      <c r="DI88" s="2076"/>
      <c r="DJ88" s="2076"/>
      <c r="DK88" s="2076"/>
      <c r="DL88" s="2076"/>
      <c r="DM88" s="2076"/>
      <c r="DN88" s="2076"/>
      <c r="DO88" s="856"/>
      <c r="DP88" s="2076"/>
      <c r="DQ88" s="2076"/>
      <c r="DR88" s="712"/>
      <c r="DS88" s="712"/>
      <c r="DT88" s="712"/>
      <c r="DU88" s="712"/>
      <c r="DV88" s="2082"/>
    </row>
    <row r="89" spans="1:256" s="767" customFormat="1" ht="13.8" hidden="1">
      <c r="A89" s="2083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76"/>
      <c r="CC89" s="2076"/>
      <c r="CD89" s="2076"/>
      <c r="CE89" s="2076"/>
      <c r="CF89" s="2076"/>
      <c r="CG89" s="2076"/>
      <c r="CH89" s="2076"/>
      <c r="CI89" s="2076"/>
      <c r="CJ89" s="2076"/>
      <c r="CK89" s="2076"/>
      <c r="CL89" s="2076"/>
      <c r="CM89" s="2076"/>
      <c r="CN89" s="2076"/>
      <c r="CO89" s="2076"/>
      <c r="CP89" s="2076"/>
      <c r="CQ89" s="2076"/>
      <c r="CR89" s="2076"/>
      <c r="CS89" s="2076"/>
      <c r="CT89" s="2076"/>
      <c r="CU89" s="2076"/>
      <c r="CV89" s="2076"/>
      <c r="CW89" s="2076"/>
      <c r="CX89" s="2076"/>
      <c r="CY89" s="908"/>
      <c r="CZ89" s="2076"/>
      <c r="DA89" s="2076"/>
      <c r="DB89" s="2076"/>
      <c r="DC89" s="856"/>
      <c r="DD89" s="2076"/>
      <c r="DE89" s="2076"/>
      <c r="DF89" s="2076"/>
      <c r="DG89" s="2076"/>
      <c r="DH89" s="2076"/>
      <c r="DI89" s="2076"/>
      <c r="DJ89" s="2076"/>
      <c r="DK89" s="2076"/>
      <c r="DL89" s="2076"/>
      <c r="DM89" s="2076"/>
      <c r="DN89" s="2076"/>
      <c r="DO89" s="856"/>
      <c r="DP89" s="2076"/>
      <c r="DQ89" s="2076"/>
      <c r="DR89" s="712"/>
      <c r="DS89" s="712"/>
      <c r="DT89" s="712"/>
      <c r="DU89" s="712"/>
      <c r="DV89" s="2082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85"/>
      <c r="B90" s="2086"/>
      <c r="C90" s="2085"/>
      <c r="D90" s="2085"/>
      <c r="E90" s="2085"/>
      <c r="F90" s="2085"/>
      <c r="G90" s="2085"/>
      <c r="H90" s="2085"/>
      <c r="I90" s="2085"/>
      <c r="J90" s="2085"/>
      <c r="K90" s="2085"/>
      <c r="L90" s="2085"/>
      <c r="M90" s="2085"/>
      <c r="N90" s="2085"/>
      <c r="O90" s="2085"/>
      <c r="P90" s="2085"/>
      <c r="Q90" s="2085"/>
      <c r="R90" s="2085"/>
      <c r="S90" s="2085"/>
      <c r="T90" s="2085"/>
      <c r="U90" s="2085"/>
      <c r="V90" s="2085"/>
      <c r="W90" s="2085"/>
      <c r="X90" s="2085"/>
      <c r="Y90" s="2085"/>
      <c r="Z90" s="2085"/>
      <c r="AA90" s="2085"/>
      <c r="AB90" s="2085"/>
      <c r="AC90" s="2085"/>
      <c r="AD90" s="2085"/>
      <c r="AE90" s="2085"/>
      <c r="AF90" s="2085"/>
      <c r="AG90" s="2085"/>
      <c r="AH90" s="2085"/>
      <c r="AI90" s="2085"/>
      <c r="AJ90" s="2085"/>
      <c r="AK90" s="2085"/>
      <c r="AL90" s="2085"/>
      <c r="AM90" s="2085"/>
      <c r="AN90" s="2085"/>
      <c r="AO90" s="2085"/>
      <c r="AP90" s="2085"/>
      <c r="AQ90" s="2085"/>
      <c r="AR90" s="2085"/>
      <c r="AS90" s="2085"/>
      <c r="AT90" s="2085"/>
      <c r="AU90" s="2085"/>
      <c r="AV90" s="2085"/>
      <c r="AW90" s="2085"/>
      <c r="AX90" s="2085"/>
      <c r="AY90" s="2085"/>
      <c r="AZ90" s="2085"/>
      <c r="BA90" s="2085"/>
      <c r="BB90" s="2085"/>
      <c r="BC90" s="2085"/>
      <c r="BD90" s="2085"/>
      <c r="BE90" s="2085"/>
      <c r="BF90" s="2085"/>
      <c r="BG90" s="2085"/>
      <c r="BH90" s="2085"/>
      <c r="BI90" s="2085"/>
      <c r="BJ90" s="2085"/>
      <c r="BK90" s="2085"/>
      <c r="BL90" s="2085"/>
      <c r="BM90" s="2085"/>
      <c r="BN90" s="2085"/>
      <c r="BO90" s="2085"/>
      <c r="BP90" s="2085"/>
      <c r="BQ90" s="2085"/>
      <c r="BR90" s="2085"/>
      <c r="BS90" s="2085"/>
      <c r="BT90" s="2085"/>
      <c r="BU90" s="2085"/>
      <c r="BV90" s="2085"/>
      <c r="BW90" s="2085"/>
      <c r="BX90" s="2085"/>
      <c r="BY90" s="2085"/>
      <c r="BZ90" s="2085"/>
      <c r="CA90" s="2085"/>
      <c r="CB90" s="2085"/>
      <c r="CC90" s="2085"/>
      <c r="CD90" s="2085"/>
      <c r="CE90" s="2076"/>
      <c r="CF90" s="2085"/>
      <c r="CG90" s="2085"/>
      <c r="CH90" s="2085"/>
      <c r="CI90" s="2085"/>
      <c r="CJ90" s="2085"/>
      <c r="CK90" s="2085"/>
      <c r="CL90" s="2085"/>
      <c r="CM90" s="2085"/>
      <c r="CN90" s="2085"/>
      <c r="CO90" s="2085"/>
      <c r="CP90" s="2085"/>
      <c r="CQ90" s="2085"/>
      <c r="CR90" s="2085"/>
      <c r="CS90" s="2085"/>
      <c r="CT90" s="2085"/>
      <c r="CU90" s="2085"/>
      <c r="CV90" s="2085"/>
      <c r="CW90" s="2085"/>
      <c r="CX90" s="2085"/>
      <c r="CY90" s="2087"/>
      <c r="CZ90" s="2085"/>
      <c r="DA90" s="2085"/>
      <c r="DB90" s="2085"/>
      <c r="DC90" s="2085"/>
      <c r="DD90" s="2085"/>
      <c r="DE90" s="2085"/>
      <c r="DF90" s="2085"/>
      <c r="DG90" s="2085"/>
      <c r="DH90" s="2085"/>
      <c r="DI90" s="2085"/>
      <c r="DJ90" s="2085"/>
      <c r="DK90" s="2085"/>
      <c r="DL90" s="2085"/>
      <c r="DM90" s="2085"/>
      <c r="DN90" s="2085"/>
      <c r="DO90" s="2085"/>
      <c r="DP90" s="2085"/>
      <c r="DQ90" s="2085"/>
      <c r="DR90" s="2085"/>
      <c r="DS90" s="2085"/>
      <c r="DT90" s="2085"/>
      <c r="DU90" s="2085"/>
      <c r="DV90" s="2088"/>
    </row>
    <row r="91" spans="1:256" s="777" customFormat="1" ht="13.8" hidden="1">
      <c r="A91" s="2093"/>
      <c r="B91" s="2094"/>
      <c r="C91" s="2095"/>
      <c r="D91" s="2095"/>
      <c r="E91" s="2095"/>
      <c r="F91" s="2095"/>
      <c r="G91" s="2095"/>
      <c r="H91" s="2095"/>
      <c r="I91" s="2095"/>
      <c r="J91" s="2095"/>
      <c r="K91" s="2095"/>
      <c r="L91" s="2095"/>
      <c r="M91" s="2095"/>
      <c r="N91" s="2095"/>
      <c r="O91" s="2095"/>
      <c r="P91" s="2095"/>
      <c r="Q91" s="2095"/>
      <c r="R91" s="2095"/>
      <c r="S91" s="2095"/>
      <c r="T91" s="2095"/>
      <c r="U91" s="2095"/>
      <c r="V91" s="2095"/>
      <c r="W91" s="2095"/>
      <c r="X91" s="2095"/>
      <c r="Y91" s="2095"/>
      <c r="Z91" s="2095"/>
      <c r="AA91" s="2095"/>
      <c r="AB91" s="2095"/>
      <c r="AC91" s="2095"/>
      <c r="AD91" s="2095"/>
      <c r="AE91" s="2095"/>
      <c r="AF91" s="2095"/>
      <c r="AG91" s="2095"/>
      <c r="AH91" s="2095"/>
      <c r="AI91" s="2095"/>
      <c r="AJ91" s="2095"/>
      <c r="AK91" s="2095"/>
      <c r="AL91" s="2095"/>
      <c r="AM91" s="2095"/>
      <c r="AN91" s="2095"/>
      <c r="AO91" s="2095"/>
      <c r="AP91" s="2095"/>
      <c r="AQ91" s="2095"/>
      <c r="AR91" s="2095"/>
      <c r="AS91" s="2095"/>
      <c r="AT91" s="2095"/>
      <c r="AU91" s="2095"/>
      <c r="AV91" s="2095"/>
      <c r="AW91" s="2095"/>
      <c r="AX91" s="2095"/>
      <c r="AY91" s="2095"/>
      <c r="AZ91" s="2095"/>
      <c r="BA91" s="2095"/>
      <c r="BB91" s="2095"/>
      <c r="BC91" s="2095"/>
      <c r="BD91" s="2095"/>
      <c r="BE91" s="2095"/>
      <c r="BF91" s="2095"/>
      <c r="BG91" s="2095"/>
      <c r="BH91" s="2095"/>
      <c r="BI91" s="2095"/>
      <c r="BJ91" s="2095"/>
      <c r="BK91" s="2095"/>
      <c r="BL91" s="2095"/>
      <c r="BM91" s="2095"/>
      <c r="BN91" s="2095"/>
      <c r="BO91" s="2095"/>
      <c r="BP91" s="2095"/>
      <c r="BQ91" s="2095"/>
      <c r="BR91" s="2095"/>
      <c r="BS91" s="2095"/>
      <c r="BT91" s="2095"/>
      <c r="BU91" s="2095"/>
      <c r="BV91" s="2095"/>
      <c r="BW91" s="2095"/>
      <c r="BX91" s="2095"/>
      <c r="BY91" s="2095"/>
      <c r="BZ91" s="2095"/>
      <c r="CA91" s="2095"/>
      <c r="CB91" s="2095"/>
      <c r="CC91" s="2095"/>
      <c r="CD91" s="2095"/>
      <c r="CE91" s="2076"/>
      <c r="CF91" s="2095"/>
      <c r="CG91" s="2095"/>
      <c r="CH91" s="2095"/>
      <c r="CI91" s="2095"/>
      <c r="CJ91" s="2095"/>
      <c r="CK91" s="2095"/>
      <c r="CL91" s="2095"/>
      <c r="CM91" s="2095"/>
      <c r="CN91" s="2095"/>
      <c r="CO91" s="2095"/>
      <c r="CP91" s="2095"/>
      <c r="CQ91" s="2095"/>
      <c r="CR91" s="2095"/>
      <c r="CS91" s="2095"/>
      <c r="CT91" s="2095"/>
      <c r="CU91" s="2095"/>
      <c r="CV91" s="2095"/>
      <c r="CW91" s="2095"/>
      <c r="CX91" s="2095"/>
      <c r="CY91" s="2096"/>
      <c r="CZ91" s="2095"/>
      <c r="DA91" s="2095"/>
      <c r="DB91" s="2095"/>
      <c r="DC91" s="2095"/>
      <c r="DD91" s="2095"/>
      <c r="DE91" s="2095"/>
      <c r="DF91" s="2095"/>
      <c r="DG91" s="2095"/>
      <c r="DH91" s="2095"/>
      <c r="DI91" s="2095"/>
      <c r="DJ91" s="2095"/>
      <c r="DK91" s="2095"/>
      <c r="DL91" s="2095"/>
      <c r="DM91" s="2095"/>
      <c r="DN91" s="2095"/>
      <c r="DO91" s="2095"/>
      <c r="DP91" s="2095"/>
      <c r="DQ91" s="2095"/>
      <c r="DR91" s="2095"/>
      <c r="DS91" s="2095"/>
      <c r="DT91" s="2095"/>
      <c r="DU91" s="2095"/>
      <c r="DV91" s="2097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89"/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199"/>
      <c r="BB92" s="1199"/>
      <c r="BC92" s="1199"/>
      <c r="BD92" s="1199"/>
      <c r="BE92" s="1199"/>
      <c r="BF92" s="1199"/>
      <c r="BG92" s="1199"/>
      <c r="BH92" s="1199"/>
      <c r="BI92" s="1199"/>
      <c r="BJ92" s="1199"/>
      <c r="BK92" s="1199"/>
      <c r="BL92" s="1199"/>
      <c r="BM92" s="1199"/>
      <c r="BN92" s="1199"/>
      <c r="BO92" s="1199"/>
      <c r="BP92" s="1199"/>
      <c r="BQ92" s="1199"/>
      <c r="BR92" s="1199"/>
      <c r="BS92" s="1199"/>
      <c r="BT92" s="1199"/>
      <c r="BU92" s="1199"/>
      <c r="BV92" s="1199"/>
      <c r="BW92" s="1199"/>
      <c r="BX92" s="1199"/>
      <c r="BY92" s="1199"/>
      <c r="BZ92" s="1199"/>
      <c r="CA92" s="1199"/>
      <c r="CB92" s="1199"/>
      <c r="CC92" s="1199"/>
      <c r="CD92" s="1199"/>
      <c r="CE92" s="2076"/>
      <c r="CF92" s="1199"/>
      <c r="CG92" s="1199"/>
      <c r="CH92" s="1199"/>
      <c r="CI92" s="1199"/>
      <c r="CJ92" s="1199"/>
      <c r="CK92" s="1199"/>
      <c r="CL92" s="1199"/>
      <c r="CM92" s="1199"/>
      <c r="CN92" s="1199"/>
      <c r="CO92" s="1199"/>
      <c r="CP92" s="1199"/>
      <c r="CQ92" s="1199"/>
      <c r="CR92" s="1199"/>
      <c r="CS92" s="1199"/>
      <c r="CT92" s="1199"/>
      <c r="CU92" s="1199"/>
      <c r="CV92" s="1199"/>
      <c r="CW92" s="1199"/>
      <c r="CX92" s="1199"/>
      <c r="CY92" s="2090"/>
      <c r="CZ92" s="1199"/>
      <c r="DA92" s="1199"/>
      <c r="DB92" s="1199"/>
      <c r="DC92" s="1199"/>
      <c r="DD92" s="1199"/>
      <c r="DE92" s="1199"/>
      <c r="DF92" s="1199"/>
      <c r="DG92" s="1199"/>
      <c r="DH92" s="1199"/>
      <c r="DI92" s="1199"/>
      <c r="DJ92" s="1199"/>
      <c r="DK92" s="1199"/>
      <c r="DL92" s="1199"/>
      <c r="DM92" s="1199"/>
      <c r="DN92" s="1199"/>
      <c r="DO92" s="1199"/>
      <c r="DP92" s="1199"/>
      <c r="DQ92" s="1199"/>
      <c r="DR92" s="1199"/>
      <c r="DS92" s="1199"/>
      <c r="DT92" s="1199"/>
      <c r="DU92" s="1199"/>
      <c r="DV92" s="2091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92"/>
      <c r="B93" s="1199"/>
      <c r="C93" s="1199"/>
      <c r="D93" s="1199"/>
      <c r="E93" s="1199"/>
      <c r="F93" s="1199"/>
      <c r="G93" s="1199"/>
      <c r="H93" s="1199"/>
      <c r="I93" s="1199"/>
      <c r="J93" s="1199"/>
      <c r="K93" s="1199"/>
      <c r="L93" s="1199"/>
      <c r="M93" s="1199"/>
      <c r="N93" s="1199"/>
      <c r="O93" s="1199"/>
      <c r="P93" s="1199"/>
      <c r="Q93" s="1199"/>
      <c r="R93" s="1199"/>
      <c r="S93" s="1199"/>
      <c r="T93" s="1199"/>
      <c r="U93" s="1199"/>
      <c r="V93" s="1199"/>
      <c r="W93" s="1199"/>
      <c r="X93" s="1199"/>
      <c r="Y93" s="1199"/>
      <c r="Z93" s="1199"/>
      <c r="AA93" s="1199"/>
      <c r="AB93" s="1199"/>
      <c r="AC93" s="1199"/>
      <c r="AD93" s="1199"/>
      <c r="AE93" s="1199"/>
      <c r="AF93" s="1199"/>
      <c r="AG93" s="1199"/>
      <c r="AH93" s="1199"/>
      <c r="AI93" s="1199"/>
      <c r="AJ93" s="1199"/>
      <c r="AK93" s="1199"/>
      <c r="AL93" s="1199"/>
      <c r="AM93" s="1199"/>
      <c r="AN93" s="1199"/>
      <c r="AO93" s="1199"/>
      <c r="AP93" s="1199"/>
      <c r="AQ93" s="1199"/>
      <c r="AR93" s="1199"/>
      <c r="AS93" s="1199"/>
      <c r="AT93" s="1199"/>
      <c r="AU93" s="1199"/>
      <c r="AV93" s="1199"/>
      <c r="AW93" s="1199"/>
      <c r="AX93" s="1199"/>
      <c r="AY93" s="1199"/>
      <c r="AZ93" s="1199"/>
      <c r="BA93" s="1199"/>
      <c r="BB93" s="1199"/>
      <c r="BC93" s="1199"/>
      <c r="BD93" s="1199"/>
      <c r="BE93" s="1199"/>
      <c r="BF93" s="1199"/>
      <c r="BG93" s="1199"/>
      <c r="BH93" s="1199"/>
      <c r="BI93" s="1199"/>
      <c r="BJ93" s="1199"/>
      <c r="BK93" s="1199"/>
      <c r="BL93" s="1199"/>
      <c r="BM93" s="1199"/>
      <c r="BN93" s="1199"/>
      <c r="BO93" s="1199"/>
      <c r="BP93" s="1199"/>
      <c r="BQ93" s="1199"/>
      <c r="BR93" s="1199"/>
      <c r="BS93" s="1199"/>
      <c r="BT93" s="1199"/>
      <c r="BU93" s="1199"/>
      <c r="BV93" s="1199"/>
      <c r="BW93" s="1199"/>
      <c r="BX93" s="1199"/>
      <c r="BY93" s="1199"/>
      <c r="BZ93" s="1199"/>
      <c r="CA93" s="1199"/>
      <c r="CB93" s="1199"/>
      <c r="CC93" s="1199"/>
      <c r="CD93" s="1199"/>
      <c r="CE93" s="2076"/>
      <c r="CF93" s="1199"/>
      <c r="CG93" s="1199"/>
      <c r="CH93" s="1199"/>
      <c r="CI93" s="1199"/>
      <c r="CJ93" s="1199"/>
      <c r="CK93" s="1199"/>
      <c r="CL93" s="1199"/>
      <c r="CM93" s="1199"/>
      <c r="CN93" s="1199"/>
      <c r="CO93" s="1199"/>
      <c r="CP93" s="1199"/>
      <c r="CQ93" s="1199"/>
      <c r="CR93" s="1199"/>
      <c r="CS93" s="1199"/>
      <c r="CT93" s="1199"/>
      <c r="CU93" s="1199"/>
      <c r="CV93" s="1199"/>
      <c r="CW93" s="1199"/>
      <c r="CX93" s="1199"/>
      <c r="CY93" s="2090"/>
      <c r="CZ93" s="1199"/>
      <c r="DA93" s="1199"/>
      <c r="DB93" s="1199"/>
      <c r="DC93" s="1199"/>
      <c r="DD93" s="1199"/>
      <c r="DE93" s="1199"/>
      <c r="DF93" s="1199"/>
      <c r="DG93" s="1199"/>
      <c r="DH93" s="1199"/>
      <c r="DI93" s="1199"/>
      <c r="DJ93" s="1199"/>
      <c r="DK93" s="1199"/>
      <c r="DL93" s="1199"/>
      <c r="DM93" s="1199"/>
      <c r="DN93" s="1199"/>
      <c r="DO93" s="1199"/>
      <c r="DP93" s="1199"/>
      <c r="DQ93" s="1199"/>
      <c r="DR93" s="1199"/>
      <c r="DS93" s="1199"/>
      <c r="DT93" s="1199"/>
      <c r="DU93" s="1199"/>
      <c r="DV93" s="2091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8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76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98"/>
    </row>
    <row r="95" spans="1:256" ht="13.8" hidden="1">
      <c r="A95" s="2083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76"/>
      <c r="CC95" s="2076"/>
      <c r="CD95" s="2076"/>
      <c r="CE95" s="2076"/>
      <c r="CF95" s="2076"/>
      <c r="CG95" s="2076"/>
      <c r="CH95" s="2076"/>
      <c r="CI95" s="2076"/>
      <c r="CJ95" s="2076"/>
      <c r="CK95" s="2076"/>
      <c r="CL95" s="2076"/>
      <c r="CM95" s="2076"/>
      <c r="CN95" s="2076"/>
      <c r="CO95" s="2076"/>
      <c r="CP95" s="2076"/>
      <c r="CQ95" s="2076"/>
      <c r="CR95" s="2076"/>
      <c r="CS95" s="2076"/>
      <c r="CT95" s="2076"/>
      <c r="CU95" s="2076"/>
      <c r="CV95" s="2076"/>
      <c r="CW95" s="2076"/>
      <c r="CX95" s="2076"/>
      <c r="CY95" s="908"/>
      <c r="CZ95" s="2076"/>
      <c r="DA95" s="2076"/>
      <c r="DB95" s="2076"/>
      <c r="DC95" s="856"/>
      <c r="DD95" s="2076"/>
      <c r="DE95" s="2076"/>
      <c r="DF95" s="2076"/>
      <c r="DG95" s="2076"/>
      <c r="DH95" s="2076"/>
      <c r="DI95" s="2076"/>
      <c r="DJ95" s="2076"/>
      <c r="DK95" s="2076"/>
      <c r="DL95" s="2076"/>
      <c r="DM95" s="2076"/>
      <c r="DN95" s="2076"/>
      <c r="DO95" s="856"/>
      <c r="DP95" s="2076"/>
      <c r="DQ95" s="2076"/>
      <c r="DR95" s="712"/>
      <c r="DS95" s="712"/>
      <c r="DT95" s="712"/>
      <c r="DU95" s="712"/>
      <c r="DV95" s="2082"/>
    </row>
    <row r="96" spans="1:256" ht="13.8" hidden="1">
      <c r="A96" s="2083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76"/>
      <c r="CC96" s="2076"/>
      <c r="CD96" s="2076"/>
      <c r="CE96" s="2076"/>
      <c r="CF96" s="2076"/>
      <c r="CG96" s="2076"/>
      <c r="CH96" s="2076"/>
      <c r="CI96" s="2076"/>
      <c r="CJ96" s="2076"/>
      <c r="CK96" s="2076"/>
      <c r="CL96" s="2076"/>
      <c r="CM96" s="2076"/>
      <c r="CN96" s="2076"/>
      <c r="CO96" s="2076"/>
      <c r="CP96" s="2076"/>
      <c r="CQ96" s="2076"/>
      <c r="CR96" s="2076"/>
      <c r="CS96" s="2076"/>
      <c r="CT96" s="2076"/>
      <c r="CU96" s="2076"/>
      <c r="CV96" s="2076"/>
      <c r="CW96" s="2076"/>
      <c r="CX96" s="2076"/>
      <c r="CY96" s="908"/>
      <c r="CZ96" s="2076"/>
      <c r="DA96" s="2076"/>
      <c r="DB96" s="2076"/>
      <c r="DC96" s="856"/>
      <c r="DD96" s="2076"/>
      <c r="DE96" s="2076"/>
      <c r="DF96" s="2076"/>
      <c r="DG96" s="2076"/>
      <c r="DH96" s="2076"/>
      <c r="DI96" s="2076"/>
      <c r="DJ96" s="2076"/>
      <c r="DK96" s="2076"/>
      <c r="DL96" s="2076"/>
      <c r="DM96" s="2076"/>
      <c r="DN96" s="2076"/>
      <c r="DO96" s="856"/>
      <c r="DP96" s="2076"/>
      <c r="DQ96" s="2076"/>
      <c r="DR96" s="712"/>
      <c r="DS96" s="712"/>
      <c r="DT96" s="712"/>
      <c r="DU96" s="712"/>
      <c r="DV96" s="2082"/>
    </row>
    <row r="97" spans="1:126" ht="13.8" hidden="1">
      <c r="A97" s="2083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76"/>
      <c r="CC97" s="2076"/>
      <c r="CD97" s="2076"/>
      <c r="CE97" s="2076"/>
      <c r="CF97" s="2076"/>
      <c r="CG97" s="2076"/>
      <c r="CH97" s="2076"/>
      <c r="CI97" s="2076"/>
      <c r="CJ97" s="2076"/>
      <c r="CK97" s="2076"/>
      <c r="CL97" s="2076"/>
      <c r="CM97" s="2076"/>
      <c r="CN97" s="2076"/>
      <c r="CO97" s="2076"/>
      <c r="CP97" s="2076"/>
      <c r="CQ97" s="2076"/>
      <c r="CR97" s="2076"/>
      <c r="CS97" s="2076"/>
      <c r="CT97" s="2076"/>
      <c r="CU97" s="2076"/>
      <c r="CV97" s="2076"/>
      <c r="CW97" s="2076"/>
      <c r="CX97" s="2076"/>
      <c r="CY97" s="908"/>
      <c r="CZ97" s="2076"/>
      <c r="DA97" s="2076"/>
      <c r="DB97" s="2076"/>
      <c r="DC97" s="856"/>
      <c r="DD97" s="2076"/>
      <c r="DE97" s="2076"/>
      <c r="DF97" s="2076"/>
      <c r="DG97" s="2076"/>
      <c r="DH97" s="2076"/>
      <c r="DI97" s="2076"/>
      <c r="DJ97" s="2076"/>
      <c r="DK97" s="2076"/>
      <c r="DL97" s="2076"/>
      <c r="DM97" s="2076"/>
      <c r="DN97" s="2076"/>
      <c r="DO97" s="856"/>
      <c r="DP97" s="2076"/>
      <c r="DQ97" s="2076"/>
      <c r="DR97" s="712"/>
      <c r="DS97" s="712"/>
      <c r="DT97" s="712"/>
      <c r="DU97" s="712"/>
      <c r="DV97" s="2082"/>
    </row>
    <row r="98" spans="1:126" ht="13.8" hidden="1">
      <c r="A98" s="2083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76"/>
      <c r="CC98" s="2076"/>
      <c r="CD98" s="2076"/>
      <c r="CE98" s="2076"/>
      <c r="CF98" s="2076"/>
      <c r="CG98" s="2076"/>
      <c r="CH98" s="2076"/>
      <c r="CI98" s="2076"/>
      <c r="CJ98" s="2076"/>
      <c r="CK98" s="2076"/>
      <c r="CL98" s="2076"/>
      <c r="CM98" s="2076"/>
      <c r="CN98" s="2076"/>
      <c r="CO98" s="2076"/>
      <c r="CP98" s="2076"/>
      <c r="CQ98" s="2076"/>
      <c r="CR98" s="2076"/>
      <c r="CS98" s="2076"/>
      <c r="CT98" s="2076"/>
      <c r="CU98" s="2076"/>
      <c r="CV98" s="2076"/>
      <c r="CW98" s="2076"/>
      <c r="CX98" s="2076"/>
      <c r="CY98" s="908"/>
      <c r="CZ98" s="2076"/>
      <c r="DA98" s="2076"/>
      <c r="DB98" s="2076"/>
      <c r="DC98" s="856"/>
      <c r="DD98" s="2076"/>
      <c r="DE98" s="2076"/>
      <c r="DF98" s="2076"/>
      <c r="DG98" s="2076"/>
      <c r="DH98" s="2076"/>
      <c r="DI98" s="2076"/>
      <c r="DJ98" s="2076"/>
      <c r="DK98" s="2076"/>
      <c r="DL98" s="2076"/>
      <c r="DM98" s="2076"/>
      <c r="DN98" s="2076"/>
      <c r="DO98" s="856"/>
      <c r="DP98" s="2076"/>
      <c r="DQ98" s="2076"/>
      <c r="DR98" s="712"/>
      <c r="DS98" s="712"/>
      <c r="DT98" s="712"/>
      <c r="DU98" s="712"/>
      <c r="DV98" s="2082"/>
    </row>
    <row r="99" spans="1:126" ht="13.8" hidden="1">
      <c r="A99" s="2083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76"/>
      <c r="CC99" s="2076"/>
      <c r="CD99" s="2076"/>
      <c r="CE99" s="2076"/>
      <c r="CF99" s="2076"/>
      <c r="CG99" s="2076"/>
      <c r="CH99" s="2076"/>
      <c r="CI99" s="2076"/>
      <c r="CJ99" s="2076"/>
      <c r="CK99" s="2076"/>
      <c r="CL99" s="2076"/>
      <c r="CM99" s="2076"/>
      <c r="CN99" s="2076"/>
      <c r="CO99" s="2076"/>
      <c r="CP99" s="2076"/>
      <c r="CQ99" s="2076"/>
      <c r="CR99" s="2076"/>
      <c r="CS99" s="2076"/>
      <c r="CT99" s="2076"/>
      <c r="CU99" s="2076"/>
      <c r="CV99" s="2076"/>
      <c r="CW99" s="2076"/>
      <c r="CX99" s="2076"/>
      <c r="CY99" s="908"/>
      <c r="CZ99" s="2076"/>
      <c r="DA99" s="2076"/>
      <c r="DB99" s="2076"/>
      <c r="DC99" s="856"/>
      <c r="DD99" s="2076"/>
      <c r="DE99" s="2076"/>
      <c r="DF99" s="2076"/>
      <c r="DG99" s="2076"/>
      <c r="DH99" s="2076"/>
      <c r="DI99" s="2076"/>
      <c r="DJ99" s="2076"/>
      <c r="DK99" s="2076"/>
      <c r="DL99" s="2076"/>
      <c r="DM99" s="2076"/>
      <c r="DN99" s="2076"/>
      <c r="DO99" s="856"/>
      <c r="DP99" s="2076"/>
      <c r="DQ99" s="2076"/>
      <c r="DR99" s="712"/>
      <c r="DS99" s="712"/>
      <c r="DT99" s="712"/>
      <c r="DU99" s="712"/>
      <c r="DV99" s="2082"/>
    </row>
    <row r="100" spans="1:126" ht="13.8" hidden="1">
      <c r="A100" s="2083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76"/>
      <c r="CC100" s="2076"/>
      <c r="CD100" s="2076"/>
      <c r="CE100" s="2076"/>
      <c r="CF100" s="2076"/>
      <c r="CG100" s="2076"/>
      <c r="CH100" s="2076"/>
      <c r="CI100" s="2076"/>
      <c r="CJ100" s="2076"/>
      <c r="CK100" s="2076"/>
      <c r="CL100" s="2076"/>
      <c r="CM100" s="2076"/>
      <c r="CN100" s="2076"/>
      <c r="CO100" s="2076"/>
      <c r="CP100" s="2076"/>
      <c r="CQ100" s="2076"/>
      <c r="CR100" s="2076"/>
      <c r="CS100" s="2076"/>
      <c r="CT100" s="2076"/>
      <c r="CU100" s="2076"/>
      <c r="CV100" s="2076"/>
      <c r="CW100" s="2076"/>
      <c r="CX100" s="2076"/>
      <c r="CY100" s="908"/>
      <c r="CZ100" s="2076"/>
      <c r="DA100" s="2076"/>
      <c r="DB100" s="2076"/>
      <c r="DC100" s="856"/>
      <c r="DD100" s="2076"/>
      <c r="DE100" s="2076"/>
      <c r="DF100" s="2076"/>
      <c r="DG100" s="2076"/>
      <c r="DH100" s="2076"/>
      <c r="DI100" s="2076"/>
      <c r="DJ100" s="2076"/>
      <c r="DK100" s="2076"/>
      <c r="DL100" s="2076"/>
      <c r="DM100" s="2076"/>
      <c r="DN100" s="2076"/>
      <c r="DO100" s="856"/>
      <c r="DP100" s="2076"/>
      <c r="DQ100" s="2076"/>
      <c r="DR100" s="712"/>
      <c r="DS100" s="712"/>
      <c r="DT100" s="712"/>
      <c r="DU100" s="712"/>
      <c r="DV100" s="2082"/>
    </row>
    <row r="101" spans="1:126" ht="13.8" hidden="1">
      <c r="A101" s="2083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76"/>
      <c r="CC101" s="2076"/>
      <c r="CD101" s="2076"/>
      <c r="CE101" s="2076"/>
      <c r="CF101" s="2076"/>
      <c r="CG101" s="2076"/>
      <c r="CH101" s="2076"/>
      <c r="CI101" s="2076"/>
      <c r="CJ101" s="2076"/>
      <c r="CK101" s="2076"/>
      <c r="CL101" s="2076"/>
      <c r="CM101" s="2076"/>
      <c r="CN101" s="2076"/>
      <c r="CO101" s="2076"/>
      <c r="CP101" s="2076"/>
      <c r="CQ101" s="2076"/>
      <c r="CR101" s="2076"/>
      <c r="CS101" s="2076"/>
      <c r="CT101" s="2076"/>
      <c r="CU101" s="2076"/>
      <c r="CV101" s="2076"/>
      <c r="CW101" s="2076"/>
      <c r="CX101" s="2076"/>
      <c r="CY101" s="908"/>
      <c r="CZ101" s="2076"/>
      <c r="DA101" s="2076"/>
      <c r="DB101" s="2076"/>
      <c r="DC101" s="856"/>
      <c r="DD101" s="2076"/>
      <c r="DE101" s="2076"/>
      <c r="DF101" s="2076"/>
      <c r="DG101" s="2076"/>
      <c r="DH101" s="2076"/>
      <c r="DI101" s="2076"/>
      <c r="DJ101" s="2076"/>
      <c r="DK101" s="2076"/>
      <c r="DL101" s="2076"/>
      <c r="DM101" s="2076"/>
      <c r="DN101" s="2076"/>
      <c r="DO101" s="856"/>
      <c r="DP101" s="2076"/>
      <c r="DQ101" s="2076"/>
      <c r="DR101" s="712"/>
      <c r="DS101" s="712"/>
      <c r="DT101" s="712"/>
      <c r="DU101" s="712"/>
      <c r="DV101" s="2082"/>
    </row>
    <row r="102" spans="1:126" ht="13.8" hidden="1">
      <c r="A102" s="2083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76"/>
      <c r="CC102" s="2076"/>
      <c r="CD102" s="2076"/>
      <c r="CE102" s="2076"/>
      <c r="CF102" s="2076"/>
      <c r="CG102" s="2076"/>
      <c r="CH102" s="2076"/>
      <c r="CI102" s="2076"/>
      <c r="CJ102" s="2076"/>
      <c r="CK102" s="2076"/>
      <c r="CL102" s="2076"/>
      <c r="CM102" s="2076"/>
      <c r="CN102" s="2076"/>
      <c r="CO102" s="2076"/>
      <c r="CP102" s="2076"/>
      <c r="CQ102" s="2076"/>
      <c r="CR102" s="2076"/>
      <c r="CS102" s="2076"/>
      <c r="CT102" s="2076"/>
      <c r="CU102" s="2076"/>
      <c r="CV102" s="2076"/>
      <c r="CW102" s="2076"/>
      <c r="CX102" s="2076"/>
      <c r="CY102" s="908"/>
      <c r="CZ102" s="2076"/>
      <c r="DA102" s="2076"/>
      <c r="DB102" s="2076"/>
      <c r="DC102" s="856"/>
      <c r="DD102" s="2076"/>
      <c r="DE102" s="2076"/>
      <c r="DF102" s="2076"/>
      <c r="DG102" s="2076"/>
      <c r="DH102" s="2076"/>
      <c r="DI102" s="2076"/>
      <c r="DJ102" s="2076"/>
      <c r="DK102" s="2076"/>
      <c r="DL102" s="2076"/>
      <c r="DM102" s="2076"/>
      <c r="DN102" s="2076"/>
      <c r="DO102" s="856"/>
      <c r="DP102" s="2076"/>
      <c r="DQ102" s="2076"/>
      <c r="DR102" s="712"/>
      <c r="DS102" s="712"/>
      <c r="DT102" s="712"/>
      <c r="DU102" s="712"/>
      <c r="DV102" s="2082"/>
    </row>
    <row r="103" spans="1:126" ht="13.8" hidden="1">
      <c r="A103" s="2083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76"/>
      <c r="CC103" s="2076"/>
      <c r="CD103" s="2076"/>
      <c r="CE103" s="2076"/>
      <c r="CF103" s="2076"/>
      <c r="CG103" s="2076"/>
      <c r="CH103" s="2076"/>
      <c r="CI103" s="2076"/>
      <c r="CJ103" s="2076"/>
      <c r="CK103" s="2076"/>
      <c r="CL103" s="2076"/>
      <c r="CM103" s="2076"/>
      <c r="CN103" s="2076"/>
      <c r="CO103" s="2076"/>
      <c r="CP103" s="2076"/>
      <c r="CQ103" s="2076"/>
      <c r="CR103" s="2076"/>
      <c r="CS103" s="2076"/>
      <c r="CT103" s="2076"/>
      <c r="CU103" s="2076"/>
      <c r="CV103" s="2076"/>
      <c r="CW103" s="2076"/>
      <c r="CX103" s="2076"/>
      <c r="CY103" s="908"/>
      <c r="CZ103" s="2076"/>
      <c r="DA103" s="2076"/>
      <c r="DB103" s="2076"/>
      <c r="DC103" s="856"/>
      <c r="DD103" s="2076"/>
      <c r="DE103" s="2076"/>
      <c r="DF103" s="2076"/>
      <c r="DG103" s="2076"/>
      <c r="DH103" s="2076"/>
      <c r="DI103" s="2076"/>
      <c r="DJ103" s="2076"/>
      <c r="DK103" s="2076"/>
      <c r="DL103" s="2076"/>
      <c r="DM103" s="2076"/>
      <c r="DN103" s="2076"/>
      <c r="DO103" s="856"/>
      <c r="DP103" s="2076"/>
      <c r="DQ103" s="2076"/>
      <c r="DR103" s="712"/>
      <c r="DS103" s="712"/>
      <c r="DT103" s="712"/>
      <c r="DU103" s="712"/>
      <c r="DV103" s="2082"/>
    </row>
    <row r="104" spans="1:126" ht="13.8" hidden="1">
      <c r="A104" s="2083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76"/>
      <c r="CC104" s="2076"/>
      <c r="CD104" s="2076"/>
      <c r="CE104" s="2076"/>
      <c r="CF104" s="2076"/>
      <c r="CG104" s="2076"/>
      <c r="CH104" s="2076"/>
      <c r="CI104" s="2076"/>
      <c r="CJ104" s="2076"/>
      <c r="CK104" s="2076"/>
      <c r="CL104" s="2076"/>
      <c r="CM104" s="2076"/>
      <c r="CN104" s="2076"/>
      <c r="CO104" s="2076"/>
      <c r="CP104" s="2076"/>
      <c r="CQ104" s="2076"/>
      <c r="CR104" s="2076"/>
      <c r="CS104" s="2076"/>
      <c r="CT104" s="2076"/>
      <c r="CU104" s="2076"/>
      <c r="CV104" s="2076"/>
      <c r="CW104" s="2076"/>
      <c r="CX104" s="2076"/>
      <c r="CY104" s="908"/>
      <c r="CZ104" s="2076"/>
      <c r="DA104" s="2076"/>
      <c r="DB104" s="2076"/>
      <c r="DC104" s="856"/>
      <c r="DD104" s="2076"/>
      <c r="DE104" s="2076"/>
      <c r="DF104" s="2076"/>
      <c r="DG104" s="2076"/>
      <c r="DH104" s="2076"/>
      <c r="DI104" s="2076"/>
      <c r="DJ104" s="2076"/>
      <c r="DK104" s="2076"/>
      <c r="DL104" s="2076"/>
      <c r="DM104" s="2076"/>
      <c r="DN104" s="2076"/>
      <c r="DO104" s="856"/>
      <c r="DP104" s="2076"/>
      <c r="DQ104" s="2076"/>
      <c r="DR104" s="712"/>
      <c r="DS104" s="712"/>
      <c r="DT104" s="712"/>
      <c r="DU104" s="712"/>
      <c r="DV104" s="2082"/>
    </row>
    <row r="105" spans="1:126" ht="13.8" hidden="1">
      <c r="A105" s="2083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76"/>
      <c r="CC105" s="2076"/>
      <c r="CD105" s="2076"/>
      <c r="CE105" s="2076"/>
      <c r="CF105" s="2076"/>
      <c r="CG105" s="2076"/>
      <c r="CH105" s="2076"/>
      <c r="CI105" s="2076"/>
      <c r="CJ105" s="2076"/>
      <c r="CK105" s="2076"/>
      <c r="CL105" s="2076"/>
      <c r="CM105" s="2076"/>
      <c r="CN105" s="2076"/>
      <c r="CO105" s="2076"/>
      <c r="CP105" s="2076"/>
      <c r="CQ105" s="2076"/>
      <c r="CR105" s="2076"/>
      <c r="CS105" s="2076"/>
      <c r="CT105" s="2076"/>
      <c r="CU105" s="2076"/>
      <c r="CV105" s="2076"/>
      <c r="CW105" s="2076"/>
      <c r="CX105" s="2076"/>
      <c r="CY105" s="908"/>
      <c r="CZ105" s="2076"/>
      <c r="DA105" s="2076"/>
      <c r="DB105" s="2076"/>
      <c r="DC105" s="856"/>
      <c r="DD105" s="2076"/>
      <c r="DE105" s="2076"/>
      <c r="DF105" s="2076"/>
      <c r="DG105" s="2076"/>
      <c r="DH105" s="2076"/>
      <c r="DI105" s="2076"/>
      <c r="DJ105" s="2076"/>
      <c r="DK105" s="2076"/>
      <c r="DL105" s="2076"/>
      <c r="DM105" s="2076"/>
      <c r="DN105" s="2076"/>
      <c r="DO105" s="856"/>
      <c r="DP105" s="2076"/>
      <c r="DQ105" s="2076"/>
      <c r="DR105" s="712"/>
      <c r="DS105" s="712"/>
      <c r="DT105" s="712"/>
      <c r="DU105" s="712"/>
      <c r="DV105" s="2082"/>
    </row>
    <row r="106" spans="1:126" ht="13.8" hidden="1">
      <c r="A106" s="2083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76"/>
      <c r="CC106" s="2076"/>
      <c r="CD106" s="2076"/>
      <c r="CE106" s="2076"/>
      <c r="CF106" s="2076"/>
      <c r="CG106" s="2076"/>
      <c r="CH106" s="2076"/>
      <c r="CI106" s="2076"/>
      <c r="CJ106" s="2076"/>
      <c r="CK106" s="2076"/>
      <c r="CL106" s="2076"/>
      <c r="CM106" s="2076"/>
      <c r="CN106" s="2076"/>
      <c r="CO106" s="2076"/>
      <c r="CP106" s="2076"/>
      <c r="CQ106" s="2076"/>
      <c r="CR106" s="2076"/>
      <c r="CS106" s="2076"/>
      <c r="CT106" s="2076"/>
      <c r="CU106" s="2076"/>
      <c r="CV106" s="2076"/>
      <c r="CW106" s="2076"/>
      <c r="CX106" s="2076"/>
      <c r="CY106" s="908"/>
      <c r="CZ106" s="2076"/>
      <c r="DA106" s="2076"/>
      <c r="DB106" s="2076"/>
      <c r="DC106" s="856"/>
      <c r="DD106" s="2076"/>
      <c r="DE106" s="2076"/>
      <c r="DF106" s="2076"/>
      <c r="DG106" s="2076"/>
      <c r="DH106" s="2076"/>
      <c r="DI106" s="2076"/>
      <c r="DJ106" s="2076"/>
      <c r="DK106" s="2076"/>
      <c r="DL106" s="2076"/>
      <c r="DM106" s="2076"/>
      <c r="DN106" s="2076"/>
      <c r="DO106" s="856"/>
      <c r="DP106" s="2076"/>
      <c r="DQ106" s="2076"/>
      <c r="DR106" s="712"/>
      <c r="DS106" s="712"/>
      <c r="DT106" s="712"/>
      <c r="DU106" s="712"/>
      <c r="DV106" s="2082"/>
    </row>
    <row r="107" spans="1:126" ht="13.8" hidden="1">
      <c r="A107" s="2083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76"/>
      <c r="CC107" s="2076"/>
      <c r="CD107" s="2076"/>
      <c r="CE107" s="2076"/>
      <c r="CF107" s="2076"/>
      <c r="CG107" s="2076"/>
      <c r="CH107" s="2076"/>
      <c r="CI107" s="2076"/>
      <c r="CJ107" s="2076"/>
      <c r="CK107" s="2076"/>
      <c r="CL107" s="2076"/>
      <c r="CM107" s="2076"/>
      <c r="CN107" s="2076"/>
      <c r="CO107" s="2076"/>
      <c r="CP107" s="2076"/>
      <c r="CQ107" s="2076"/>
      <c r="CR107" s="2076"/>
      <c r="CS107" s="2076"/>
      <c r="CT107" s="2076"/>
      <c r="CU107" s="2076"/>
      <c r="CV107" s="2076"/>
      <c r="CW107" s="2076"/>
      <c r="CX107" s="2076"/>
      <c r="CY107" s="908"/>
      <c r="CZ107" s="2076"/>
      <c r="DA107" s="2076"/>
      <c r="DB107" s="2076"/>
      <c r="DC107" s="856"/>
      <c r="DD107" s="2076"/>
      <c r="DE107" s="2076"/>
      <c r="DF107" s="2076"/>
      <c r="DG107" s="2076"/>
      <c r="DH107" s="2076"/>
      <c r="DI107" s="2076"/>
      <c r="DJ107" s="2076"/>
      <c r="DK107" s="2076"/>
      <c r="DL107" s="2076"/>
      <c r="DM107" s="2076"/>
      <c r="DN107" s="2076"/>
      <c r="DO107" s="856"/>
      <c r="DP107" s="2076"/>
      <c r="DQ107" s="2076"/>
      <c r="DR107" s="712"/>
      <c r="DS107" s="712"/>
      <c r="DT107" s="712"/>
      <c r="DU107" s="712"/>
      <c r="DV107" s="2082"/>
    </row>
    <row r="108" spans="1:126" ht="13.8" hidden="1">
      <c r="A108" s="2083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76"/>
      <c r="CC108" s="2076"/>
      <c r="CD108" s="2076"/>
      <c r="CE108" s="2076"/>
      <c r="CF108" s="2076"/>
      <c r="CG108" s="2076"/>
      <c r="CH108" s="2076"/>
      <c r="CI108" s="2076"/>
      <c r="CJ108" s="2076"/>
      <c r="CK108" s="2076"/>
      <c r="CL108" s="2076"/>
      <c r="CM108" s="2076"/>
      <c r="CN108" s="2076"/>
      <c r="CO108" s="2076"/>
      <c r="CP108" s="2076"/>
      <c r="CQ108" s="2076"/>
      <c r="CR108" s="2076"/>
      <c r="CS108" s="2076"/>
      <c r="CT108" s="2076"/>
      <c r="CU108" s="2076"/>
      <c r="CV108" s="2076"/>
      <c r="CW108" s="2076"/>
      <c r="CX108" s="2076"/>
      <c r="CY108" s="908"/>
      <c r="CZ108" s="2076"/>
      <c r="DA108" s="2076"/>
      <c r="DB108" s="2076"/>
      <c r="DC108" s="856"/>
      <c r="DD108" s="2076"/>
      <c r="DE108" s="2076"/>
      <c r="DF108" s="2076"/>
      <c r="DG108" s="2076"/>
      <c r="DH108" s="2076"/>
      <c r="DI108" s="2076"/>
      <c r="DJ108" s="2076"/>
      <c r="DK108" s="2076"/>
      <c r="DL108" s="2076"/>
      <c r="DM108" s="2076"/>
      <c r="DN108" s="2076"/>
      <c r="DO108" s="856"/>
      <c r="DP108" s="2076"/>
      <c r="DQ108" s="2076"/>
      <c r="DR108" s="712"/>
      <c r="DS108" s="712"/>
      <c r="DT108" s="712"/>
      <c r="DU108" s="712"/>
      <c r="DV108" s="2082"/>
    </row>
    <row r="109" spans="1:126" ht="13.8" hidden="1">
      <c r="A109" s="2083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76"/>
      <c r="CC109" s="2076"/>
      <c r="CD109" s="2076"/>
      <c r="CE109" s="2076"/>
      <c r="CF109" s="2076"/>
      <c r="CG109" s="2076"/>
      <c r="CH109" s="2076"/>
      <c r="CI109" s="2076"/>
      <c r="CJ109" s="2076"/>
      <c r="CK109" s="2076"/>
      <c r="CL109" s="2076"/>
      <c r="CM109" s="2076"/>
      <c r="CN109" s="2076"/>
      <c r="CO109" s="2076"/>
      <c r="CP109" s="2076"/>
      <c r="CQ109" s="2076"/>
      <c r="CR109" s="2076"/>
      <c r="CS109" s="2076"/>
      <c r="CT109" s="2076"/>
      <c r="CU109" s="2076"/>
      <c r="CV109" s="2076"/>
      <c r="CW109" s="2076"/>
      <c r="CX109" s="2076"/>
      <c r="CY109" s="908"/>
      <c r="CZ109" s="2076"/>
      <c r="DA109" s="2076"/>
      <c r="DB109" s="2076"/>
      <c r="DC109" s="856"/>
      <c r="DD109" s="2076"/>
      <c r="DE109" s="2076"/>
      <c r="DF109" s="2076"/>
      <c r="DG109" s="2076"/>
      <c r="DH109" s="2076"/>
      <c r="DI109" s="2076"/>
      <c r="DJ109" s="2076"/>
      <c r="DK109" s="2076"/>
      <c r="DL109" s="2076"/>
      <c r="DM109" s="2076"/>
      <c r="DN109" s="2076"/>
      <c r="DO109" s="856"/>
      <c r="DP109" s="2076"/>
      <c r="DQ109" s="2076"/>
      <c r="DR109" s="712"/>
      <c r="DS109" s="712"/>
      <c r="DT109" s="712"/>
      <c r="DU109" s="712"/>
      <c r="DV109" s="2082"/>
    </row>
    <row r="110" spans="1:126" ht="13.8" hidden="1">
      <c r="A110" s="2083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76"/>
      <c r="CC110" s="2076"/>
      <c r="CD110" s="2076"/>
      <c r="CE110" s="2076"/>
      <c r="CF110" s="2076"/>
      <c r="CG110" s="2076"/>
      <c r="CH110" s="2076"/>
      <c r="CI110" s="2076"/>
      <c r="CJ110" s="2076"/>
      <c r="CK110" s="2076"/>
      <c r="CL110" s="2076"/>
      <c r="CM110" s="2076"/>
      <c r="CN110" s="2076"/>
      <c r="CO110" s="2076"/>
      <c r="CP110" s="2076"/>
      <c r="CQ110" s="2076"/>
      <c r="CR110" s="2076"/>
      <c r="CS110" s="2076"/>
      <c r="CT110" s="2076"/>
      <c r="CU110" s="2076"/>
      <c r="CV110" s="2076"/>
      <c r="CW110" s="2076"/>
      <c r="CX110" s="2076"/>
      <c r="CY110" s="908"/>
      <c r="CZ110" s="2076"/>
      <c r="DA110" s="2076"/>
      <c r="DB110" s="2076"/>
      <c r="DC110" s="856"/>
      <c r="DD110" s="2076"/>
      <c r="DE110" s="2076"/>
      <c r="DF110" s="2076"/>
      <c r="DG110" s="2076"/>
      <c r="DH110" s="2076"/>
      <c r="DI110" s="2076"/>
      <c r="DJ110" s="2076"/>
      <c r="DK110" s="2076"/>
      <c r="DL110" s="2076"/>
      <c r="DM110" s="2076"/>
      <c r="DN110" s="2076"/>
      <c r="DO110" s="856"/>
      <c r="DP110" s="2076"/>
      <c r="DQ110" s="2076"/>
      <c r="DR110" s="712"/>
      <c r="DS110" s="712"/>
      <c r="DT110" s="712"/>
      <c r="DU110" s="712"/>
      <c r="DV110" s="2082"/>
    </row>
    <row r="111" spans="1:126" ht="13.8" hidden="1">
      <c r="A111" s="2083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76"/>
      <c r="CC111" s="2076"/>
      <c r="CD111" s="2076"/>
      <c r="CE111" s="2076"/>
      <c r="CF111" s="2076"/>
      <c r="CG111" s="2076"/>
      <c r="CH111" s="2076"/>
      <c r="CI111" s="2076"/>
      <c r="CJ111" s="2076"/>
      <c r="CK111" s="2076"/>
      <c r="CL111" s="2076"/>
      <c r="CM111" s="2076"/>
      <c r="CN111" s="2076"/>
      <c r="CO111" s="2076"/>
      <c r="CP111" s="2076"/>
      <c r="CQ111" s="2076"/>
      <c r="CR111" s="2076"/>
      <c r="CS111" s="2076"/>
      <c r="CT111" s="2076"/>
      <c r="CU111" s="2076"/>
      <c r="CV111" s="2076"/>
      <c r="CW111" s="2076"/>
      <c r="CX111" s="2076"/>
      <c r="CY111" s="908"/>
      <c r="CZ111" s="2076"/>
      <c r="DA111" s="2076"/>
      <c r="DB111" s="2076"/>
      <c r="DC111" s="856"/>
      <c r="DD111" s="2076"/>
      <c r="DE111" s="2076"/>
      <c r="DF111" s="2076"/>
      <c r="DG111" s="2076"/>
      <c r="DH111" s="2076"/>
      <c r="DI111" s="2076"/>
      <c r="DJ111" s="2076"/>
      <c r="DK111" s="2076"/>
      <c r="DL111" s="2076"/>
      <c r="DM111" s="2076"/>
      <c r="DN111" s="2076"/>
      <c r="DO111" s="856"/>
      <c r="DP111" s="2076"/>
      <c r="DQ111" s="2076"/>
      <c r="DR111" s="712"/>
      <c r="DS111" s="712"/>
      <c r="DT111" s="712"/>
      <c r="DU111" s="712"/>
      <c r="DV111" s="2082"/>
    </row>
    <row r="112" spans="1:126" s="641" customFormat="1" ht="13.8" hidden="1">
      <c r="A112" s="2084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99"/>
      <c r="Y112" s="847"/>
      <c r="Z112" s="847"/>
      <c r="AA112" s="2099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100"/>
      <c r="CC112" s="2100"/>
      <c r="CD112" s="2100"/>
      <c r="CE112" s="2076"/>
      <c r="CF112" s="2100"/>
      <c r="CG112" s="2100"/>
      <c r="CH112" s="2100"/>
      <c r="CI112" s="2100"/>
      <c r="CJ112" s="2100"/>
      <c r="CK112" s="2100"/>
      <c r="CL112" s="2100"/>
      <c r="CM112" s="2100"/>
      <c r="CN112" s="2100"/>
      <c r="CO112" s="2100"/>
      <c r="CP112" s="2100"/>
      <c r="CQ112" s="2100"/>
      <c r="CR112" s="2100"/>
      <c r="CS112" s="2100"/>
      <c r="CT112" s="2100"/>
      <c r="CU112" s="2100"/>
      <c r="CV112" s="2100"/>
      <c r="CW112" s="2100"/>
      <c r="CX112" s="2100"/>
      <c r="CY112" s="909"/>
      <c r="CZ112" s="2100"/>
      <c r="DA112" s="2100"/>
      <c r="DB112" s="2100"/>
      <c r="DC112" s="2099"/>
      <c r="DD112" s="2100"/>
      <c r="DE112" s="2100"/>
      <c r="DF112" s="2100"/>
      <c r="DG112" s="2100"/>
      <c r="DH112" s="2100"/>
      <c r="DI112" s="2100"/>
      <c r="DJ112" s="2100"/>
      <c r="DK112" s="2100"/>
      <c r="DL112" s="2100"/>
      <c r="DM112" s="2100"/>
      <c r="DN112" s="2100"/>
      <c r="DO112" s="2099"/>
      <c r="DP112" s="2100"/>
      <c r="DQ112" s="2100"/>
      <c r="DR112" s="848"/>
      <c r="DS112" s="848"/>
      <c r="DT112" s="848"/>
      <c r="DU112" s="848"/>
      <c r="DV112" s="2098"/>
    </row>
    <row r="113" spans="1:256" s="767" customFormat="1" ht="13.8" hidden="1">
      <c r="A113" s="2083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76"/>
      <c r="CC113" s="2076"/>
      <c r="CD113" s="2076"/>
      <c r="CE113" s="2076"/>
      <c r="CF113" s="2076"/>
      <c r="CG113" s="2076"/>
      <c r="CH113" s="2076"/>
      <c r="CI113" s="2076"/>
      <c r="CJ113" s="2076"/>
      <c r="CK113" s="2076"/>
      <c r="CL113" s="2076"/>
      <c r="CM113" s="2076"/>
      <c r="CN113" s="2076"/>
      <c r="CO113" s="2076"/>
      <c r="CP113" s="2076"/>
      <c r="CQ113" s="2076"/>
      <c r="CR113" s="2076"/>
      <c r="CS113" s="2076"/>
      <c r="CT113" s="2076"/>
      <c r="CU113" s="2076"/>
      <c r="CV113" s="2076"/>
      <c r="CW113" s="2076"/>
      <c r="CX113" s="2076"/>
      <c r="CY113" s="908"/>
      <c r="CZ113" s="2076"/>
      <c r="DA113" s="2076"/>
      <c r="DB113" s="2076"/>
      <c r="DC113" s="856"/>
      <c r="DD113" s="2076"/>
      <c r="DE113" s="2076"/>
      <c r="DF113" s="2076"/>
      <c r="DG113" s="2076"/>
      <c r="DH113" s="2076"/>
      <c r="DI113" s="2076"/>
      <c r="DJ113" s="2076"/>
      <c r="DK113" s="2076"/>
      <c r="DL113" s="2076"/>
      <c r="DM113" s="2076"/>
      <c r="DN113" s="2076"/>
      <c r="DO113" s="856"/>
      <c r="DP113" s="2076"/>
      <c r="DQ113" s="2076"/>
      <c r="DR113" s="712"/>
      <c r="DS113" s="712"/>
      <c r="DT113" s="712"/>
      <c r="DU113" s="712"/>
      <c r="DV113" s="2082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83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76"/>
      <c r="CC114" s="2076"/>
      <c r="CD114" s="2076"/>
      <c r="CE114" s="2076"/>
      <c r="CF114" s="2076"/>
      <c r="CG114" s="2076"/>
      <c r="CH114" s="2076"/>
      <c r="CI114" s="2076"/>
      <c r="CJ114" s="2076"/>
      <c r="CK114" s="2076"/>
      <c r="CL114" s="2076"/>
      <c r="CM114" s="2076"/>
      <c r="CN114" s="2076"/>
      <c r="CO114" s="2076"/>
      <c r="CP114" s="2076"/>
      <c r="CQ114" s="2076"/>
      <c r="CR114" s="2076"/>
      <c r="CS114" s="2076"/>
      <c r="CT114" s="2076"/>
      <c r="CU114" s="2076"/>
      <c r="CV114" s="2076"/>
      <c r="CW114" s="2076"/>
      <c r="CX114" s="2076"/>
      <c r="CY114" s="908"/>
      <c r="CZ114" s="2076"/>
      <c r="DA114" s="2076"/>
      <c r="DB114" s="2076"/>
      <c r="DC114" s="856"/>
      <c r="DD114" s="2076"/>
      <c r="DE114" s="2076"/>
      <c r="DF114" s="2076"/>
      <c r="DG114" s="2076"/>
      <c r="DH114" s="2076"/>
      <c r="DI114" s="2076"/>
      <c r="DJ114" s="2076"/>
      <c r="DK114" s="2076"/>
      <c r="DL114" s="2076"/>
      <c r="DM114" s="2076"/>
      <c r="DN114" s="2076"/>
      <c r="DO114" s="856"/>
      <c r="DP114" s="2076"/>
      <c r="DQ114" s="2076"/>
      <c r="DR114" s="712"/>
      <c r="DS114" s="712"/>
      <c r="DT114" s="712"/>
      <c r="DU114" s="712"/>
      <c r="DV114" s="2082"/>
    </row>
    <row r="115" spans="1:256" ht="13.8" hidden="1">
      <c r="A115" s="2083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76"/>
      <c r="CC115" s="2076"/>
      <c r="CD115" s="2076"/>
      <c r="CE115" s="2076"/>
      <c r="CF115" s="2076"/>
      <c r="CG115" s="2076"/>
      <c r="CH115" s="2076"/>
      <c r="CI115" s="2076"/>
      <c r="CJ115" s="2076"/>
      <c r="CK115" s="2076"/>
      <c r="CL115" s="2076"/>
      <c r="CM115" s="2076"/>
      <c r="CN115" s="2076"/>
      <c r="CO115" s="2076"/>
      <c r="CP115" s="2076"/>
      <c r="CQ115" s="2076"/>
      <c r="CR115" s="2076"/>
      <c r="CS115" s="2076"/>
      <c r="CT115" s="2076"/>
      <c r="CU115" s="2076"/>
      <c r="CV115" s="2076"/>
      <c r="CW115" s="2076"/>
      <c r="CX115" s="2076"/>
      <c r="CY115" s="908"/>
      <c r="CZ115" s="2076"/>
      <c r="DA115" s="2076"/>
      <c r="DB115" s="2076"/>
      <c r="DC115" s="856"/>
      <c r="DD115" s="2076"/>
      <c r="DE115" s="2076"/>
      <c r="DF115" s="2076"/>
      <c r="DG115" s="2076"/>
      <c r="DH115" s="2076"/>
      <c r="DI115" s="2076"/>
      <c r="DJ115" s="2076"/>
      <c r="DK115" s="2076"/>
      <c r="DL115" s="2076"/>
      <c r="DM115" s="2076"/>
      <c r="DN115" s="2076"/>
      <c r="DO115" s="856"/>
      <c r="DP115" s="2076"/>
      <c r="DQ115" s="2076"/>
      <c r="DR115" s="712"/>
      <c r="DS115" s="712"/>
      <c r="DT115" s="712"/>
      <c r="DU115" s="712"/>
      <c r="DV115" s="2082"/>
    </row>
    <row r="116" spans="1:256" ht="13.8" hidden="1">
      <c r="A116" s="2083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76"/>
      <c r="CC116" s="2076"/>
      <c r="CD116" s="2076"/>
      <c r="CE116" s="2076"/>
      <c r="CF116" s="2076"/>
      <c r="CG116" s="2076"/>
      <c r="CH116" s="2076"/>
      <c r="CI116" s="2076"/>
      <c r="CJ116" s="2076"/>
      <c r="CK116" s="2076"/>
      <c r="CL116" s="2076"/>
      <c r="CM116" s="2076"/>
      <c r="CN116" s="2076"/>
      <c r="CO116" s="2076"/>
      <c r="CP116" s="2076"/>
      <c r="CQ116" s="2076"/>
      <c r="CR116" s="2076"/>
      <c r="CS116" s="2076"/>
      <c r="CT116" s="2076"/>
      <c r="CU116" s="2076"/>
      <c r="CV116" s="2076"/>
      <c r="CW116" s="2076"/>
      <c r="CX116" s="2076"/>
      <c r="CY116" s="908"/>
      <c r="CZ116" s="2076"/>
      <c r="DA116" s="2076"/>
      <c r="DB116" s="2076"/>
      <c r="DC116" s="856"/>
      <c r="DD116" s="2076"/>
      <c r="DE116" s="2076"/>
      <c r="DF116" s="2076"/>
      <c r="DG116" s="2076"/>
      <c r="DH116" s="2076"/>
      <c r="DI116" s="2076"/>
      <c r="DJ116" s="2076"/>
      <c r="DK116" s="2076"/>
      <c r="DL116" s="2076"/>
      <c r="DM116" s="2076"/>
      <c r="DN116" s="2076"/>
      <c r="DO116" s="856"/>
      <c r="DP116" s="2076"/>
      <c r="DQ116" s="2076"/>
      <c r="DR116" s="712"/>
      <c r="DS116" s="712"/>
      <c r="DT116" s="712"/>
      <c r="DU116" s="712"/>
      <c r="DV116" s="2082"/>
    </row>
    <row r="117" spans="1:256" ht="13.8" hidden="1">
      <c r="A117" s="2083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76"/>
      <c r="CC117" s="2076"/>
      <c r="CD117" s="2076"/>
      <c r="CE117" s="2076"/>
      <c r="CF117" s="2076"/>
      <c r="CG117" s="2076"/>
      <c r="CH117" s="2076"/>
      <c r="CI117" s="2076"/>
      <c r="CJ117" s="2076"/>
      <c r="CK117" s="2076"/>
      <c r="CL117" s="2076"/>
      <c r="CM117" s="2076"/>
      <c r="CN117" s="2076"/>
      <c r="CO117" s="2076"/>
      <c r="CP117" s="2076"/>
      <c r="CQ117" s="2076"/>
      <c r="CR117" s="2076"/>
      <c r="CS117" s="2076"/>
      <c r="CT117" s="2076"/>
      <c r="CU117" s="2076"/>
      <c r="CV117" s="2076"/>
      <c r="CW117" s="2076"/>
      <c r="CX117" s="2076"/>
      <c r="CY117" s="908"/>
      <c r="CZ117" s="2076"/>
      <c r="DA117" s="2076"/>
      <c r="DB117" s="2076"/>
      <c r="DC117" s="856"/>
      <c r="DD117" s="2076"/>
      <c r="DE117" s="2076"/>
      <c r="DF117" s="2076"/>
      <c r="DG117" s="2076"/>
      <c r="DH117" s="2076"/>
      <c r="DI117" s="2076"/>
      <c r="DJ117" s="2076"/>
      <c r="DK117" s="2076"/>
      <c r="DL117" s="2076"/>
      <c r="DM117" s="2076"/>
      <c r="DN117" s="2076"/>
      <c r="DO117" s="856"/>
      <c r="DP117" s="2076"/>
      <c r="DQ117" s="2076"/>
      <c r="DR117" s="712"/>
      <c r="DS117" s="712"/>
      <c r="DT117" s="712"/>
      <c r="DU117" s="712"/>
      <c r="DV117" s="2082"/>
    </row>
    <row r="118" spans="1:256" ht="13.8" hidden="1">
      <c r="A118" s="2083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76"/>
      <c r="CC118" s="2076"/>
      <c r="CD118" s="2076"/>
      <c r="CE118" s="2076"/>
      <c r="CF118" s="2076"/>
      <c r="CG118" s="2076"/>
      <c r="CH118" s="2076"/>
      <c r="CI118" s="2076"/>
      <c r="CJ118" s="2076"/>
      <c r="CK118" s="2076"/>
      <c r="CL118" s="2076"/>
      <c r="CM118" s="2076"/>
      <c r="CN118" s="2076"/>
      <c r="CO118" s="2076"/>
      <c r="CP118" s="2076"/>
      <c r="CQ118" s="2076"/>
      <c r="CR118" s="2076"/>
      <c r="CS118" s="2076"/>
      <c r="CT118" s="2076"/>
      <c r="CU118" s="2076"/>
      <c r="CV118" s="2076"/>
      <c r="CW118" s="2076"/>
      <c r="CX118" s="2076"/>
      <c r="CY118" s="908"/>
      <c r="CZ118" s="2076"/>
      <c r="DA118" s="2076"/>
      <c r="DB118" s="2076"/>
      <c r="DC118" s="856"/>
      <c r="DD118" s="2076"/>
      <c r="DE118" s="2076"/>
      <c r="DF118" s="2076"/>
      <c r="DG118" s="2076"/>
      <c r="DH118" s="2076"/>
      <c r="DI118" s="2076"/>
      <c r="DJ118" s="2076"/>
      <c r="DK118" s="2076"/>
      <c r="DL118" s="2076"/>
      <c r="DM118" s="2076"/>
      <c r="DN118" s="2076"/>
      <c r="DO118" s="856"/>
      <c r="DP118" s="2076"/>
      <c r="DQ118" s="2076"/>
      <c r="DR118" s="712"/>
      <c r="DS118" s="712"/>
      <c r="DT118" s="712"/>
      <c r="DU118" s="712"/>
      <c r="DV118" s="2082"/>
    </row>
    <row r="119" spans="1:256" ht="13.8" hidden="1">
      <c r="A119" s="2083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76"/>
      <c r="CC119" s="2076"/>
      <c r="CD119" s="2076"/>
      <c r="CE119" s="2076"/>
      <c r="CF119" s="2076"/>
      <c r="CG119" s="2076"/>
      <c r="CH119" s="2076"/>
      <c r="CI119" s="2076"/>
      <c r="CJ119" s="2076"/>
      <c r="CK119" s="2076"/>
      <c r="CL119" s="2076"/>
      <c r="CM119" s="2076"/>
      <c r="CN119" s="2076"/>
      <c r="CO119" s="2076"/>
      <c r="CP119" s="2076"/>
      <c r="CQ119" s="2076"/>
      <c r="CR119" s="2076"/>
      <c r="CS119" s="2076"/>
      <c r="CT119" s="2076"/>
      <c r="CU119" s="2076"/>
      <c r="CV119" s="2076"/>
      <c r="CW119" s="2076"/>
      <c r="CX119" s="2076"/>
      <c r="CY119" s="908"/>
      <c r="CZ119" s="2076"/>
      <c r="DA119" s="2076"/>
      <c r="DB119" s="2076"/>
      <c r="DC119" s="856"/>
      <c r="DD119" s="2076"/>
      <c r="DE119" s="2076"/>
      <c r="DF119" s="2076"/>
      <c r="DG119" s="2076"/>
      <c r="DH119" s="2076"/>
      <c r="DI119" s="2076"/>
      <c r="DJ119" s="2076"/>
      <c r="DK119" s="2076"/>
      <c r="DL119" s="2076"/>
      <c r="DM119" s="2076"/>
      <c r="DN119" s="2076"/>
      <c r="DO119" s="856"/>
      <c r="DP119" s="2076"/>
      <c r="DQ119" s="2076"/>
      <c r="DR119" s="712"/>
      <c r="DS119" s="712"/>
      <c r="DT119" s="712"/>
      <c r="DU119" s="712"/>
      <c r="DV119" s="2082"/>
    </row>
    <row r="120" spans="1:256" s="767" customFormat="1" ht="13.8" hidden="1">
      <c r="A120" s="2083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76"/>
      <c r="CC120" s="2076"/>
      <c r="CD120" s="2076"/>
      <c r="CE120" s="2076"/>
      <c r="CF120" s="2076"/>
      <c r="CG120" s="2076"/>
      <c r="CH120" s="2076"/>
      <c r="CI120" s="2076"/>
      <c r="CJ120" s="2076"/>
      <c r="CK120" s="2076"/>
      <c r="CL120" s="2076"/>
      <c r="CM120" s="2076"/>
      <c r="CN120" s="2076"/>
      <c r="CO120" s="2076"/>
      <c r="CP120" s="2076"/>
      <c r="CQ120" s="2076"/>
      <c r="CR120" s="2076"/>
      <c r="CS120" s="2076"/>
      <c r="CT120" s="2076"/>
      <c r="CU120" s="2076"/>
      <c r="CV120" s="2076"/>
      <c r="CW120" s="2076"/>
      <c r="CX120" s="2076"/>
      <c r="CY120" s="908"/>
      <c r="CZ120" s="2076"/>
      <c r="DA120" s="2076"/>
      <c r="DB120" s="2076"/>
      <c r="DC120" s="856"/>
      <c r="DD120" s="2076"/>
      <c r="DE120" s="2076"/>
      <c r="DF120" s="2076"/>
      <c r="DG120" s="2076"/>
      <c r="DH120" s="2076"/>
      <c r="DI120" s="2076"/>
      <c r="DJ120" s="2076"/>
      <c r="DK120" s="2076"/>
      <c r="DL120" s="2076"/>
      <c r="DM120" s="2076"/>
      <c r="DN120" s="2076"/>
      <c r="DO120" s="856"/>
      <c r="DP120" s="2076"/>
      <c r="DQ120" s="2076"/>
      <c r="DR120" s="712"/>
      <c r="DS120" s="712"/>
      <c r="DT120" s="712"/>
      <c r="DU120" s="712"/>
      <c r="DV120" s="2082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85"/>
      <c r="B121" s="2086"/>
      <c r="C121" s="2085"/>
      <c r="D121" s="2085"/>
      <c r="E121" s="2085"/>
      <c r="F121" s="2085"/>
      <c r="G121" s="2085"/>
      <c r="H121" s="2085"/>
      <c r="I121" s="2085"/>
      <c r="J121" s="2085"/>
      <c r="K121" s="2085"/>
      <c r="L121" s="2085"/>
      <c r="M121" s="2085"/>
      <c r="N121" s="2085"/>
      <c r="O121" s="2085"/>
      <c r="P121" s="2085"/>
      <c r="Q121" s="2085"/>
      <c r="R121" s="2085"/>
      <c r="S121" s="2085"/>
      <c r="T121" s="2085"/>
      <c r="U121" s="2085"/>
      <c r="V121" s="2085"/>
      <c r="W121" s="2085"/>
      <c r="X121" s="2085"/>
      <c r="Y121" s="2085"/>
      <c r="Z121" s="2085"/>
      <c r="AA121" s="2085"/>
      <c r="AB121" s="2085"/>
      <c r="AC121" s="2085"/>
      <c r="AD121" s="2085"/>
      <c r="AE121" s="2085"/>
      <c r="AF121" s="2085"/>
      <c r="AG121" s="2085"/>
      <c r="AH121" s="2085"/>
      <c r="AI121" s="2085"/>
      <c r="AJ121" s="2085"/>
      <c r="AK121" s="2085"/>
      <c r="AL121" s="2085"/>
      <c r="AM121" s="2085"/>
      <c r="AN121" s="2085"/>
      <c r="AO121" s="2085"/>
      <c r="AP121" s="2085"/>
      <c r="AQ121" s="2085"/>
      <c r="AR121" s="2085"/>
      <c r="AS121" s="2085"/>
      <c r="AT121" s="2085"/>
      <c r="AU121" s="2085"/>
      <c r="AV121" s="2085"/>
      <c r="AW121" s="2085"/>
      <c r="AX121" s="2085"/>
      <c r="AY121" s="2085"/>
      <c r="AZ121" s="2085"/>
      <c r="BA121" s="2085"/>
      <c r="BB121" s="2085"/>
      <c r="BC121" s="2085"/>
      <c r="BD121" s="2085"/>
      <c r="BE121" s="2085"/>
      <c r="BF121" s="2085"/>
      <c r="BG121" s="2085"/>
      <c r="BH121" s="2085"/>
      <c r="BI121" s="2085"/>
      <c r="BJ121" s="2085"/>
      <c r="BK121" s="2085"/>
      <c r="BL121" s="2085"/>
      <c r="BM121" s="2085"/>
      <c r="BN121" s="2085"/>
      <c r="BO121" s="2085"/>
      <c r="BP121" s="2085"/>
      <c r="BQ121" s="2085"/>
      <c r="BR121" s="2085"/>
      <c r="BS121" s="2085"/>
      <c r="BT121" s="2085"/>
      <c r="BU121" s="2085"/>
      <c r="BV121" s="2085"/>
      <c r="BW121" s="2085"/>
      <c r="BX121" s="2085"/>
      <c r="BY121" s="2085"/>
      <c r="BZ121" s="2085"/>
      <c r="CA121" s="2085"/>
      <c r="CB121" s="2085"/>
      <c r="CC121" s="2085"/>
      <c r="CD121" s="2085"/>
      <c r="CE121" s="2076"/>
      <c r="CF121" s="2085"/>
      <c r="CG121" s="2085"/>
      <c r="CH121" s="2085"/>
      <c r="CI121" s="2085"/>
      <c r="CJ121" s="2085"/>
      <c r="CK121" s="2085"/>
      <c r="CL121" s="2085"/>
      <c r="CM121" s="2085"/>
      <c r="CN121" s="2085"/>
      <c r="CO121" s="2085"/>
      <c r="CP121" s="2085"/>
      <c r="CQ121" s="2085"/>
      <c r="CR121" s="2085"/>
      <c r="CS121" s="2085"/>
      <c r="CT121" s="2085"/>
      <c r="CU121" s="2085"/>
      <c r="CV121" s="2085"/>
      <c r="CW121" s="2085"/>
      <c r="CX121" s="2085"/>
      <c r="CY121" s="2087"/>
      <c r="CZ121" s="2085"/>
      <c r="DA121" s="2085"/>
      <c r="DB121" s="2085"/>
      <c r="DC121" s="2085"/>
      <c r="DD121" s="2085"/>
      <c r="DE121" s="2085"/>
      <c r="DF121" s="2085"/>
      <c r="DG121" s="2085"/>
      <c r="DH121" s="2085"/>
      <c r="DI121" s="2085"/>
      <c r="DJ121" s="2085"/>
      <c r="DK121" s="2085"/>
      <c r="DL121" s="2085"/>
      <c r="DM121" s="2085"/>
      <c r="DN121" s="2085"/>
      <c r="DO121" s="2085"/>
      <c r="DP121" s="2085"/>
      <c r="DQ121" s="2085"/>
      <c r="DR121" s="2085"/>
      <c r="DS121" s="2085"/>
      <c r="DT121" s="2085"/>
      <c r="DU121" s="2085"/>
      <c r="DV121" s="2088"/>
    </row>
    <row r="122" spans="1:256" s="632" customFormat="1" ht="18" hidden="1" customHeight="1">
      <c r="A122" s="2092"/>
      <c r="B122" s="1199"/>
      <c r="C122" s="1199"/>
      <c r="D122" s="1199"/>
      <c r="E122" s="1199"/>
      <c r="F122" s="1199"/>
      <c r="G122" s="1199"/>
      <c r="H122" s="1199"/>
      <c r="I122" s="1199"/>
      <c r="J122" s="1199"/>
      <c r="K122" s="1199"/>
      <c r="L122" s="1199"/>
      <c r="M122" s="1199"/>
      <c r="N122" s="1199"/>
      <c r="O122" s="1199"/>
      <c r="P122" s="1199"/>
      <c r="Q122" s="1199"/>
      <c r="R122" s="1199"/>
      <c r="S122" s="1199"/>
      <c r="T122" s="1199"/>
      <c r="U122" s="1199"/>
      <c r="V122" s="1199"/>
      <c r="W122" s="1199"/>
      <c r="X122" s="1199"/>
      <c r="Y122" s="1199"/>
      <c r="Z122" s="1199"/>
      <c r="AA122" s="1199"/>
      <c r="AB122" s="1199"/>
      <c r="AC122" s="1199"/>
      <c r="AD122" s="1199"/>
      <c r="AE122" s="1199"/>
      <c r="AF122" s="1199"/>
      <c r="AG122" s="1199"/>
      <c r="AH122" s="1199"/>
      <c r="AI122" s="1199"/>
      <c r="AJ122" s="1199"/>
      <c r="AK122" s="1199"/>
      <c r="AL122" s="1199"/>
      <c r="AM122" s="1199"/>
      <c r="AN122" s="1199"/>
      <c r="AO122" s="1199"/>
      <c r="AP122" s="1199"/>
      <c r="AQ122" s="1199"/>
      <c r="AR122" s="1199"/>
      <c r="AS122" s="1199"/>
      <c r="AT122" s="1199"/>
      <c r="AU122" s="1199"/>
      <c r="AV122" s="1199"/>
      <c r="AW122" s="1199"/>
      <c r="AX122" s="1199"/>
      <c r="AY122" s="1199"/>
      <c r="AZ122" s="1199"/>
      <c r="BA122" s="1199"/>
      <c r="BB122" s="1199"/>
      <c r="BC122" s="1199"/>
      <c r="BD122" s="1199"/>
      <c r="BE122" s="1199"/>
      <c r="BF122" s="1199"/>
      <c r="BG122" s="1199"/>
      <c r="BH122" s="1199"/>
      <c r="BI122" s="1199"/>
      <c r="BJ122" s="1199"/>
      <c r="BK122" s="1199"/>
      <c r="BL122" s="1199"/>
      <c r="BM122" s="1199"/>
      <c r="BN122" s="1199"/>
      <c r="BO122" s="1199"/>
      <c r="BP122" s="1199"/>
      <c r="BQ122" s="1199"/>
      <c r="BR122" s="1199"/>
      <c r="BS122" s="1199"/>
      <c r="BT122" s="1199"/>
      <c r="BU122" s="1199"/>
      <c r="BV122" s="1199"/>
      <c r="BW122" s="1199"/>
      <c r="BX122" s="1199"/>
      <c r="BY122" s="1199"/>
      <c r="BZ122" s="1199"/>
      <c r="CA122" s="1199"/>
      <c r="CB122" s="1199"/>
      <c r="CC122" s="1199"/>
      <c r="CD122" s="1199"/>
      <c r="CE122" s="2076"/>
      <c r="CF122" s="1199"/>
      <c r="CG122" s="1199"/>
      <c r="CH122" s="1199"/>
      <c r="CI122" s="1199"/>
      <c r="CJ122" s="1199"/>
      <c r="CK122" s="1199"/>
      <c r="CL122" s="1199"/>
      <c r="CM122" s="1199"/>
      <c r="CN122" s="1199"/>
      <c r="CO122" s="1199"/>
      <c r="CP122" s="1199"/>
      <c r="CQ122" s="1199"/>
      <c r="CR122" s="1199"/>
      <c r="CS122" s="1199"/>
      <c r="CT122" s="1199"/>
      <c r="CU122" s="1199"/>
      <c r="CV122" s="1199"/>
      <c r="CW122" s="1199"/>
      <c r="CX122" s="1199"/>
      <c r="CY122" s="2090"/>
      <c r="CZ122" s="1199"/>
      <c r="DA122" s="1199"/>
      <c r="DB122" s="1199"/>
      <c r="DC122" s="1199"/>
      <c r="DD122" s="1199"/>
      <c r="DE122" s="1199"/>
      <c r="DF122" s="1199"/>
      <c r="DG122" s="1199"/>
      <c r="DH122" s="1199"/>
      <c r="DI122" s="1199"/>
      <c r="DJ122" s="1199"/>
      <c r="DK122" s="1199"/>
      <c r="DL122" s="1199"/>
      <c r="DM122" s="1199"/>
      <c r="DN122" s="1199"/>
      <c r="DO122" s="1199"/>
      <c r="DP122" s="1199"/>
      <c r="DQ122" s="1199"/>
      <c r="DR122" s="1199"/>
      <c r="DS122" s="1199"/>
      <c r="DT122" s="1199"/>
      <c r="DU122" s="1199"/>
      <c r="DV122" s="2091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101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76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102"/>
      <c r="IR123" s="851"/>
      <c r="IS123" s="851"/>
      <c r="IT123" s="851"/>
      <c r="IU123" s="851"/>
      <c r="IV123" s="851"/>
    </row>
    <row r="124" spans="1:256" s="850" customFormat="1" ht="13.8" hidden="1">
      <c r="A124" s="2101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76"/>
      <c r="CC124" s="2076"/>
      <c r="CD124" s="2076"/>
      <c r="CE124" s="2076"/>
      <c r="CF124" s="2076"/>
      <c r="CG124" s="2076"/>
      <c r="CH124" s="2076"/>
      <c r="CI124" s="2076"/>
      <c r="CJ124" s="2076"/>
      <c r="CK124" s="2076"/>
      <c r="CL124" s="2076"/>
      <c r="CM124" s="2076"/>
      <c r="CN124" s="2076"/>
      <c r="CO124" s="2076"/>
      <c r="CP124" s="2076"/>
      <c r="CQ124" s="2076"/>
      <c r="CR124" s="2076"/>
      <c r="CS124" s="2076"/>
      <c r="CT124" s="2076"/>
      <c r="CU124" s="2076"/>
      <c r="CV124" s="2076"/>
      <c r="CW124" s="2076"/>
      <c r="CX124" s="2076"/>
      <c r="CY124" s="908"/>
      <c r="CZ124" s="2076"/>
      <c r="DA124" s="2076"/>
      <c r="DB124" s="2076"/>
      <c r="DC124" s="856"/>
      <c r="DD124" s="2076"/>
      <c r="DE124" s="2076"/>
      <c r="DF124" s="2076"/>
      <c r="DG124" s="2076"/>
      <c r="DH124" s="2076"/>
      <c r="DI124" s="2076"/>
      <c r="DJ124" s="2076"/>
      <c r="DK124" s="2076"/>
      <c r="DL124" s="2076"/>
      <c r="DM124" s="2076"/>
      <c r="DN124" s="2076"/>
      <c r="DO124" s="856"/>
      <c r="DP124" s="2076"/>
      <c r="DQ124" s="2076"/>
      <c r="DR124" s="856"/>
      <c r="DS124" s="856"/>
      <c r="DT124" s="856"/>
      <c r="DU124" s="856"/>
      <c r="DV124" s="2102"/>
      <c r="IR124" s="851"/>
      <c r="IS124" s="851"/>
      <c r="IT124" s="851"/>
      <c r="IU124" s="851"/>
      <c r="IV124" s="851"/>
    </row>
    <row r="125" spans="1:256" s="850" customFormat="1" ht="13.8" hidden="1">
      <c r="A125" s="2101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76"/>
      <c r="CC125" s="2076"/>
      <c r="CD125" s="2076"/>
      <c r="CE125" s="2076"/>
      <c r="CF125" s="2076"/>
      <c r="CG125" s="2076"/>
      <c r="CH125" s="2076"/>
      <c r="CI125" s="2076"/>
      <c r="CJ125" s="2076"/>
      <c r="CK125" s="2076"/>
      <c r="CL125" s="2076"/>
      <c r="CM125" s="2076"/>
      <c r="CN125" s="2076"/>
      <c r="CO125" s="2076"/>
      <c r="CP125" s="2076"/>
      <c r="CQ125" s="2076"/>
      <c r="CR125" s="2076"/>
      <c r="CS125" s="2076"/>
      <c r="CT125" s="2076"/>
      <c r="CU125" s="2076"/>
      <c r="CV125" s="2076"/>
      <c r="CW125" s="2076"/>
      <c r="CX125" s="2076"/>
      <c r="CY125" s="908"/>
      <c r="CZ125" s="2076"/>
      <c r="DA125" s="2076"/>
      <c r="DB125" s="2076"/>
      <c r="DC125" s="856"/>
      <c r="DD125" s="2076"/>
      <c r="DE125" s="2076"/>
      <c r="DF125" s="2076"/>
      <c r="DG125" s="2076"/>
      <c r="DH125" s="2076"/>
      <c r="DI125" s="2076"/>
      <c r="DJ125" s="2076"/>
      <c r="DK125" s="2076"/>
      <c r="DL125" s="2076"/>
      <c r="DM125" s="2076"/>
      <c r="DN125" s="2076"/>
      <c r="DO125" s="856"/>
      <c r="DP125" s="2076"/>
      <c r="DQ125" s="2076"/>
      <c r="DR125" s="856"/>
      <c r="DS125" s="856"/>
      <c r="DT125" s="856"/>
      <c r="DU125" s="856"/>
      <c r="DV125" s="2102"/>
      <c r="IR125" s="851"/>
      <c r="IS125" s="851"/>
      <c r="IT125" s="851"/>
      <c r="IU125" s="851"/>
      <c r="IV125" s="851"/>
    </row>
    <row r="126" spans="1:256" s="850" customFormat="1" ht="13.8" hidden="1">
      <c r="A126" s="2101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76"/>
      <c r="CC126" s="2076"/>
      <c r="CD126" s="2076"/>
      <c r="CE126" s="2076"/>
      <c r="CF126" s="2076"/>
      <c r="CG126" s="2076"/>
      <c r="CH126" s="2076"/>
      <c r="CI126" s="2076"/>
      <c r="CJ126" s="2076"/>
      <c r="CK126" s="2076"/>
      <c r="CL126" s="2076"/>
      <c r="CM126" s="2076"/>
      <c r="CN126" s="2076"/>
      <c r="CO126" s="2076"/>
      <c r="CP126" s="2076"/>
      <c r="CQ126" s="2076"/>
      <c r="CR126" s="2076"/>
      <c r="CS126" s="2076"/>
      <c r="CT126" s="2076"/>
      <c r="CU126" s="2076"/>
      <c r="CV126" s="2076"/>
      <c r="CW126" s="2076"/>
      <c r="CX126" s="2076"/>
      <c r="CY126" s="908"/>
      <c r="CZ126" s="2076"/>
      <c r="DA126" s="2076"/>
      <c r="DB126" s="2076"/>
      <c r="DC126" s="856"/>
      <c r="DD126" s="2076"/>
      <c r="DE126" s="2076"/>
      <c r="DF126" s="2076"/>
      <c r="DG126" s="2076"/>
      <c r="DH126" s="2076"/>
      <c r="DI126" s="2076"/>
      <c r="DJ126" s="2076"/>
      <c r="DK126" s="2076"/>
      <c r="DL126" s="2076"/>
      <c r="DM126" s="2076"/>
      <c r="DN126" s="2076"/>
      <c r="DO126" s="856"/>
      <c r="DP126" s="2076"/>
      <c r="DQ126" s="2076"/>
      <c r="DR126" s="856"/>
      <c r="DS126" s="856"/>
      <c r="DT126" s="856"/>
      <c r="DU126" s="856"/>
      <c r="DV126" s="2102"/>
      <c r="IR126" s="851"/>
      <c r="IS126" s="851"/>
      <c r="IT126" s="851"/>
      <c r="IU126" s="851"/>
      <c r="IV126" s="851"/>
    </row>
    <row r="127" spans="1:256" s="850" customFormat="1" ht="13.8" hidden="1">
      <c r="A127" s="2101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76"/>
      <c r="CC127" s="2076"/>
      <c r="CD127" s="2076"/>
      <c r="CE127" s="2076"/>
      <c r="CF127" s="2076"/>
      <c r="CG127" s="2076"/>
      <c r="CH127" s="2076"/>
      <c r="CI127" s="2076"/>
      <c r="CJ127" s="2076"/>
      <c r="CK127" s="2076"/>
      <c r="CL127" s="2076"/>
      <c r="CM127" s="2076"/>
      <c r="CN127" s="2076"/>
      <c r="CO127" s="2076"/>
      <c r="CP127" s="2076"/>
      <c r="CQ127" s="2076"/>
      <c r="CR127" s="2076"/>
      <c r="CS127" s="2076"/>
      <c r="CT127" s="2076"/>
      <c r="CU127" s="2076"/>
      <c r="CV127" s="2076"/>
      <c r="CW127" s="2076"/>
      <c r="CX127" s="2076"/>
      <c r="CY127" s="908"/>
      <c r="CZ127" s="2076"/>
      <c r="DA127" s="2076"/>
      <c r="DB127" s="2076"/>
      <c r="DC127" s="856"/>
      <c r="DD127" s="2076"/>
      <c r="DE127" s="2076"/>
      <c r="DF127" s="2076"/>
      <c r="DG127" s="2076"/>
      <c r="DH127" s="2076"/>
      <c r="DI127" s="2076"/>
      <c r="DJ127" s="2076"/>
      <c r="DK127" s="2076"/>
      <c r="DL127" s="2076"/>
      <c r="DM127" s="2076"/>
      <c r="DN127" s="2076"/>
      <c r="DO127" s="856"/>
      <c r="DP127" s="2076"/>
      <c r="DQ127" s="2076"/>
      <c r="DR127" s="856"/>
      <c r="DS127" s="856"/>
      <c r="DT127" s="856"/>
      <c r="DU127" s="856"/>
      <c r="DV127" s="2102"/>
      <c r="IR127" s="851"/>
      <c r="IS127" s="851"/>
      <c r="IT127" s="851"/>
      <c r="IU127" s="851"/>
      <c r="IV127" s="851"/>
    </row>
    <row r="128" spans="1:256" s="850" customFormat="1" ht="13.8" hidden="1">
      <c r="A128" s="2101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76"/>
      <c r="CC128" s="2076"/>
      <c r="CD128" s="2076"/>
      <c r="CE128" s="2076"/>
      <c r="CF128" s="2076"/>
      <c r="CG128" s="2076"/>
      <c r="CH128" s="2076"/>
      <c r="CI128" s="2076"/>
      <c r="CJ128" s="2076"/>
      <c r="CK128" s="2076"/>
      <c r="CL128" s="2076"/>
      <c r="CM128" s="2076"/>
      <c r="CN128" s="2076"/>
      <c r="CO128" s="2076"/>
      <c r="CP128" s="2076"/>
      <c r="CQ128" s="2076"/>
      <c r="CR128" s="2076"/>
      <c r="CS128" s="2076"/>
      <c r="CT128" s="2076"/>
      <c r="CU128" s="2076"/>
      <c r="CV128" s="2076"/>
      <c r="CW128" s="2076"/>
      <c r="CX128" s="2076"/>
      <c r="CY128" s="908"/>
      <c r="CZ128" s="2076"/>
      <c r="DA128" s="2076"/>
      <c r="DB128" s="2076"/>
      <c r="DC128" s="856"/>
      <c r="DD128" s="2076"/>
      <c r="DE128" s="2076"/>
      <c r="DF128" s="2076"/>
      <c r="DG128" s="2076"/>
      <c r="DH128" s="2076"/>
      <c r="DI128" s="2076"/>
      <c r="DJ128" s="2076"/>
      <c r="DK128" s="2076"/>
      <c r="DL128" s="2076"/>
      <c r="DM128" s="2076"/>
      <c r="DN128" s="2076"/>
      <c r="DO128" s="856"/>
      <c r="DP128" s="2076"/>
      <c r="DQ128" s="2076"/>
      <c r="DR128" s="856"/>
      <c r="DS128" s="856"/>
      <c r="DT128" s="856"/>
      <c r="DU128" s="856"/>
      <c r="DV128" s="2102"/>
      <c r="IR128" s="851"/>
      <c r="IS128" s="851"/>
      <c r="IT128" s="851"/>
      <c r="IU128" s="851"/>
      <c r="IV128" s="851"/>
    </row>
    <row r="129" spans="1:256" s="850" customFormat="1" ht="13.8" hidden="1">
      <c r="A129" s="2101"/>
      <c r="B129" s="2103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76"/>
      <c r="CC129" s="2076"/>
      <c r="CD129" s="2076"/>
      <c r="CE129" s="2076"/>
      <c r="CF129" s="2076"/>
      <c r="CG129" s="2076"/>
      <c r="CH129" s="2076"/>
      <c r="CI129" s="2076"/>
      <c r="CJ129" s="2076"/>
      <c r="CK129" s="2076"/>
      <c r="CL129" s="2076"/>
      <c r="CM129" s="2076"/>
      <c r="CN129" s="2076"/>
      <c r="CO129" s="2076"/>
      <c r="CP129" s="2076"/>
      <c r="CQ129" s="2076"/>
      <c r="CR129" s="2076"/>
      <c r="CS129" s="2076"/>
      <c r="CT129" s="2076"/>
      <c r="CU129" s="2076"/>
      <c r="CV129" s="2076"/>
      <c r="CW129" s="2076"/>
      <c r="CX129" s="2076"/>
      <c r="CY129" s="908"/>
      <c r="CZ129" s="2076"/>
      <c r="DA129" s="2076"/>
      <c r="DB129" s="2076"/>
      <c r="DC129" s="856"/>
      <c r="DD129" s="2076"/>
      <c r="DE129" s="2076"/>
      <c r="DF129" s="2076"/>
      <c r="DG129" s="2076"/>
      <c r="DH129" s="2076"/>
      <c r="DI129" s="2076"/>
      <c r="DJ129" s="2076"/>
      <c r="DK129" s="2076"/>
      <c r="DL129" s="2076"/>
      <c r="DM129" s="2076"/>
      <c r="DN129" s="2076"/>
      <c r="DO129" s="856"/>
      <c r="DP129" s="2076"/>
      <c r="DQ129" s="2076"/>
      <c r="DR129" s="856"/>
      <c r="DS129" s="856"/>
      <c r="DT129" s="856"/>
      <c r="DU129" s="856"/>
      <c r="DV129" s="2102"/>
      <c r="IR129" s="851"/>
      <c r="IS129" s="851"/>
      <c r="IT129" s="851"/>
      <c r="IU129" s="851"/>
      <c r="IV129" s="851"/>
    </row>
    <row r="130" spans="1:256" s="850" customFormat="1" ht="13.8" hidden="1">
      <c r="A130" s="2101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76"/>
      <c r="CC130" s="2076"/>
      <c r="CD130" s="2076"/>
      <c r="CE130" s="2076"/>
      <c r="CF130" s="2076"/>
      <c r="CG130" s="2076"/>
      <c r="CH130" s="2076"/>
      <c r="CI130" s="2076"/>
      <c r="CJ130" s="2076"/>
      <c r="CK130" s="2076"/>
      <c r="CL130" s="2076"/>
      <c r="CM130" s="2076"/>
      <c r="CN130" s="2076"/>
      <c r="CO130" s="2076"/>
      <c r="CP130" s="2076"/>
      <c r="CQ130" s="2076"/>
      <c r="CR130" s="2076"/>
      <c r="CS130" s="2076"/>
      <c r="CT130" s="2076"/>
      <c r="CU130" s="2076"/>
      <c r="CV130" s="2076"/>
      <c r="CW130" s="2076"/>
      <c r="CX130" s="2076"/>
      <c r="CY130" s="908"/>
      <c r="CZ130" s="2076"/>
      <c r="DA130" s="2076"/>
      <c r="DB130" s="2076"/>
      <c r="DC130" s="856"/>
      <c r="DD130" s="2076"/>
      <c r="DE130" s="2076"/>
      <c r="DF130" s="2076"/>
      <c r="DG130" s="2076"/>
      <c r="DH130" s="2076"/>
      <c r="DI130" s="2076"/>
      <c r="DJ130" s="2076"/>
      <c r="DK130" s="2076"/>
      <c r="DL130" s="2076"/>
      <c r="DM130" s="2076"/>
      <c r="DN130" s="2076"/>
      <c r="DO130" s="856"/>
      <c r="DP130" s="2076"/>
      <c r="DQ130" s="2076"/>
      <c r="DR130" s="856"/>
      <c r="DS130" s="856"/>
      <c r="DT130" s="856"/>
      <c r="DU130" s="856"/>
      <c r="DV130" s="2102"/>
      <c r="IR130" s="851"/>
      <c r="IS130" s="851"/>
      <c r="IT130" s="851"/>
      <c r="IU130" s="851"/>
      <c r="IV130" s="851"/>
    </row>
    <row r="131" spans="1:256" s="850" customFormat="1" ht="13.8" hidden="1">
      <c r="A131" s="2101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76"/>
      <c r="CC131" s="2076"/>
      <c r="CD131" s="2076"/>
      <c r="CE131" s="2076"/>
      <c r="CF131" s="2076"/>
      <c r="CG131" s="2076"/>
      <c r="CH131" s="2076"/>
      <c r="CI131" s="2076"/>
      <c r="CJ131" s="2076"/>
      <c r="CK131" s="2076"/>
      <c r="CL131" s="2076"/>
      <c r="CM131" s="2076"/>
      <c r="CN131" s="2076"/>
      <c r="CO131" s="2076"/>
      <c r="CP131" s="2076"/>
      <c r="CQ131" s="2076"/>
      <c r="CR131" s="2076"/>
      <c r="CS131" s="2076"/>
      <c r="CT131" s="2076"/>
      <c r="CU131" s="2076"/>
      <c r="CV131" s="2076"/>
      <c r="CW131" s="2076"/>
      <c r="CX131" s="2076"/>
      <c r="CY131" s="908"/>
      <c r="CZ131" s="2076"/>
      <c r="DA131" s="2076"/>
      <c r="DB131" s="2076"/>
      <c r="DC131" s="856"/>
      <c r="DD131" s="2076"/>
      <c r="DE131" s="2076"/>
      <c r="DF131" s="2076"/>
      <c r="DG131" s="2076"/>
      <c r="DH131" s="2076"/>
      <c r="DI131" s="2076"/>
      <c r="DJ131" s="2076"/>
      <c r="DK131" s="2076"/>
      <c r="DL131" s="2076"/>
      <c r="DM131" s="2076"/>
      <c r="DN131" s="2076"/>
      <c r="DO131" s="856"/>
      <c r="DP131" s="2076"/>
      <c r="DQ131" s="2076"/>
      <c r="DR131" s="856"/>
      <c r="DS131" s="856"/>
      <c r="DT131" s="856"/>
      <c r="DU131" s="856"/>
      <c r="DV131" s="2102"/>
      <c r="IR131" s="851"/>
      <c r="IS131" s="851"/>
      <c r="IT131" s="851"/>
      <c r="IU131" s="851"/>
      <c r="IV131" s="851"/>
    </row>
    <row r="132" spans="1:256" s="852" customFormat="1" ht="13.8" hidden="1">
      <c r="A132" s="2104"/>
      <c r="B132" s="2105"/>
      <c r="C132" s="2105"/>
      <c r="D132" s="2105"/>
      <c r="E132" s="2105"/>
      <c r="F132" s="2105"/>
      <c r="G132" s="2105"/>
      <c r="H132" s="2105"/>
      <c r="I132" s="2105"/>
      <c r="J132" s="2105"/>
      <c r="K132" s="2105"/>
      <c r="L132" s="2105"/>
      <c r="M132" s="2105"/>
      <c r="N132" s="2105"/>
      <c r="O132" s="2106"/>
      <c r="P132" s="2106"/>
      <c r="Q132" s="2106"/>
      <c r="R132" s="2099"/>
      <c r="S132" s="2099"/>
      <c r="T132" s="2099"/>
      <c r="U132" s="2099"/>
      <c r="V132" s="2099"/>
      <c r="W132" s="2099"/>
      <c r="X132" s="2099"/>
      <c r="Y132" s="847"/>
      <c r="Z132" s="847"/>
      <c r="AA132" s="2099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100"/>
      <c r="CC132" s="2100"/>
      <c r="CD132" s="2100"/>
      <c r="CE132" s="2076"/>
      <c r="CF132" s="2100"/>
      <c r="CG132" s="2100"/>
      <c r="CH132" s="2100"/>
      <c r="CI132" s="2100"/>
      <c r="CJ132" s="2100"/>
      <c r="CK132" s="2100"/>
      <c r="CL132" s="2100"/>
      <c r="CM132" s="2100"/>
      <c r="CN132" s="2100"/>
      <c r="CO132" s="2100"/>
      <c r="CP132" s="2100"/>
      <c r="CQ132" s="2100"/>
      <c r="CR132" s="2100"/>
      <c r="CS132" s="2100"/>
      <c r="CT132" s="2100"/>
      <c r="CU132" s="2100"/>
      <c r="CV132" s="2100"/>
      <c r="CW132" s="2100"/>
      <c r="CX132" s="2100"/>
      <c r="CY132" s="909"/>
      <c r="CZ132" s="2100"/>
      <c r="DA132" s="2100"/>
      <c r="DB132" s="2100"/>
      <c r="DC132" s="2099"/>
      <c r="DD132" s="2100"/>
      <c r="DE132" s="2100"/>
      <c r="DF132" s="2100"/>
      <c r="DG132" s="2100"/>
      <c r="DH132" s="2100"/>
      <c r="DI132" s="2100"/>
      <c r="DJ132" s="2100"/>
      <c r="DK132" s="2100"/>
      <c r="DL132" s="2100"/>
      <c r="DM132" s="2100"/>
      <c r="DN132" s="2100"/>
      <c r="DO132" s="2099"/>
      <c r="DP132" s="2100"/>
      <c r="DQ132" s="2100"/>
      <c r="DR132" s="2099"/>
      <c r="DS132" s="2099"/>
      <c r="DT132" s="2099"/>
      <c r="DU132" s="2099"/>
      <c r="DV132" s="2107"/>
      <c r="IR132" s="853"/>
      <c r="IS132" s="853"/>
      <c r="IT132" s="853"/>
      <c r="IU132" s="853"/>
      <c r="IV132" s="853"/>
    </row>
    <row r="133" spans="1:256" s="850" customFormat="1" ht="13.8" hidden="1">
      <c r="A133" s="2101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76"/>
      <c r="CC133" s="2076"/>
      <c r="CD133" s="2076"/>
      <c r="CE133" s="2076"/>
      <c r="CF133" s="2076"/>
      <c r="CG133" s="2076"/>
      <c r="CH133" s="2076"/>
      <c r="CI133" s="2076"/>
      <c r="CJ133" s="2076"/>
      <c r="CK133" s="2076"/>
      <c r="CL133" s="2076"/>
      <c r="CM133" s="2076"/>
      <c r="CN133" s="2076"/>
      <c r="CO133" s="2076"/>
      <c r="CP133" s="2076"/>
      <c r="CQ133" s="2076"/>
      <c r="CR133" s="2076"/>
      <c r="CS133" s="2076"/>
      <c r="CT133" s="2076"/>
      <c r="CU133" s="2076"/>
      <c r="CV133" s="2076"/>
      <c r="CW133" s="2076"/>
      <c r="CX133" s="2076"/>
      <c r="CY133" s="908"/>
      <c r="CZ133" s="2076"/>
      <c r="DA133" s="2076"/>
      <c r="DB133" s="2076"/>
      <c r="DC133" s="856"/>
      <c r="DD133" s="2076"/>
      <c r="DE133" s="2076"/>
      <c r="DF133" s="2076"/>
      <c r="DG133" s="2076"/>
      <c r="DH133" s="2076"/>
      <c r="DI133" s="2076"/>
      <c r="DJ133" s="2076"/>
      <c r="DK133" s="2076"/>
      <c r="DL133" s="2076"/>
      <c r="DM133" s="2076"/>
      <c r="DN133" s="2076"/>
      <c r="DO133" s="856"/>
      <c r="DP133" s="2076"/>
      <c r="DQ133" s="2076"/>
      <c r="DR133" s="856"/>
      <c r="DS133" s="856"/>
      <c r="DT133" s="856"/>
      <c r="DU133" s="856"/>
      <c r="DV133" s="2102"/>
      <c r="IR133" s="851"/>
      <c r="IS133" s="851"/>
      <c r="IT133" s="851"/>
      <c r="IU133" s="851"/>
      <c r="IV133" s="851"/>
    </row>
    <row r="134" spans="1:256" s="850" customFormat="1" ht="13.8" hidden="1">
      <c r="A134" s="2101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76"/>
      <c r="CC134" s="2076"/>
      <c r="CD134" s="2076"/>
      <c r="CE134" s="2076"/>
      <c r="CF134" s="2076"/>
      <c r="CG134" s="2076"/>
      <c r="CH134" s="2076"/>
      <c r="CI134" s="2076"/>
      <c r="CJ134" s="2076"/>
      <c r="CK134" s="2076"/>
      <c r="CL134" s="2076"/>
      <c r="CM134" s="2076"/>
      <c r="CN134" s="2076"/>
      <c r="CO134" s="2076"/>
      <c r="CP134" s="2076"/>
      <c r="CQ134" s="2076"/>
      <c r="CR134" s="2076"/>
      <c r="CS134" s="2076"/>
      <c r="CT134" s="2076"/>
      <c r="CU134" s="2076"/>
      <c r="CV134" s="2076"/>
      <c r="CW134" s="2076"/>
      <c r="CX134" s="2076"/>
      <c r="CY134" s="908"/>
      <c r="CZ134" s="2076"/>
      <c r="DA134" s="2076"/>
      <c r="DB134" s="2076"/>
      <c r="DC134" s="856"/>
      <c r="DD134" s="2076"/>
      <c r="DE134" s="2076"/>
      <c r="DF134" s="2076"/>
      <c r="DG134" s="2076"/>
      <c r="DH134" s="2076"/>
      <c r="DI134" s="2076"/>
      <c r="DJ134" s="2076"/>
      <c r="DK134" s="2076"/>
      <c r="DL134" s="2076"/>
      <c r="DM134" s="2076"/>
      <c r="DN134" s="2076"/>
      <c r="DO134" s="856"/>
      <c r="DP134" s="2076"/>
      <c r="DQ134" s="2076"/>
      <c r="DR134" s="856"/>
      <c r="DS134" s="856"/>
      <c r="DT134" s="856"/>
      <c r="DU134" s="856"/>
      <c r="DV134" s="2102"/>
      <c r="IR134" s="851"/>
      <c r="IS134" s="851"/>
      <c r="IT134" s="851"/>
      <c r="IU134" s="851"/>
      <c r="IV134" s="851"/>
    </row>
    <row r="135" spans="1:256" s="850" customFormat="1" ht="13.8" hidden="1">
      <c r="A135" s="2101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76"/>
      <c r="CC135" s="2076"/>
      <c r="CD135" s="2076"/>
      <c r="CE135" s="2076"/>
      <c r="CF135" s="2076"/>
      <c r="CG135" s="2076"/>
      <c r="CH135" s="2076"/>
      <c r="CI135" s="2076"/>
      <c r="CJ135" s="2076"/>
      <c r="CK135" s="2076"/>
      <c r="CL135" s="2076"/>
      <c r="CM135" s="2076"/>
      <c r="CN135" s="2076"/>
      <c r="CO135" s="2076"/>
      <c r="CP135" s="2076"/>
      <c r="CQ135" s="2076"/>
      <c r="CR135" s="2076"/>
      <c r="CS135" s="2076"/>
      <c r="CT135" s="2076"/>
      <c r="CU135" s="2076"/>
      <c r="CV135" s="2076"/>
      <c r="CW135" s="2076"/>
      <c r="CX135" s="2076"/>
      <c r="CY135" s="908"/>
      <c r="CZ135" s="2076"/>
      <c r="DA135" s="2076"/>
      <c r="DB135" s="2076"/>
      <c r="DC135" s="856"/>
      <c r="DD135" s="2076"/>
      <c r="DE135" s="2076"/>
      <c r="DF135" s="2076"/>
      <c r="DG135" s="2076"/>
      <c r="DH135" s="2076"/>
      <c r="DI135" s="2076"/>
      <c r="DJ135" s="2076"/>
      <c r="DK135" s="2076"/>
      <c r="DL135" s="2076"/>
      <c r="DM135" s="2076"/>
      <c r="DN135" s="2076"/>
      <c r="DO135" s="856"/>
      <c r="DP135" s="2076"/>
      <c r="DQ135" s="2076"/>
      <c r="DR135" s="856"/>
      <c r="DS135" s="856"/>
      <c r="DT135" s="856"/>
      <c r="DU135" s="856"/>
      <c r="DV135" s="2102"/>
      <c r="IR135" s="851"/>
      <c r="IS135" s="851"/>
      <c r="IT135" s="851"/>
      <c r="IU135" s="851"/>
      <c r="IV135" s="851"/>
    </row>
    <row r="136" spans="1:256" s="850" customFormat="1" ht="13.8" hidden="1">
      <c r="A136" s="2101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76"/>
      <c r="CC136" s="2076"/>
      <c r="CD136" s="2076"/>
      <c r="CE136" s="2076"/>
      <c r="CF136" s="2076"/>
      <c r="CG136" s="2076"/>
      <c r="CH136" s="2076"/>
      <c r="CI136" s="2076"/>
      <c r="CJ136" s="2076"/>
      <c r="CK136" s="2076"/>
      <c r="CL136" s="2076"/>
      <c r="CM136" s="2076"/>
      <c r="CN136" s="2076"/>
      <c r="CO136" s="2076"/>
      <c r="CP136" s="2076"/>
      <c r="CQ136" s="2076"/>
      <c r="CR136" s="2076"/>
      <c r="CS136" s="2076"/>
      <c r="CT136" s="2076"/>
      <c r="CU136" s="2076"/>
      <c r="CV136" s="2076"/>
      <c r="CW136" s="2076"/>
      <c r="CX136" s="2076"/>
      <c r="CY136" s="908"/>
      <c r="CZ136" s="2076"/>
      <c r="DA136" s="2076"/>
      <c r="DB136" s="2076"/>
      <c r="DC136" s="856"/>
      <c r="DD136" s="2076"/>
      <c r="DE136" s="2076"/>
      <c r="DF136" s="2076"/>
      <c r="DG136" s="2076"/>
      <c r="DH136" s="2076"/>
      <c r="DI136" s="2076"/>
      <c r="DJ136" s="2076"/>
      <c r="DK136" s="2076"/>
      <c r="DL136" s="2076"/>
      <c r="DM136" s="2076"/>
      <c r="DN136" s="2076"/>
      <c r="DO136" s="856"/>
      <c r="DP136" s="2076"/>
      <c r="DQ136" s="2076"/>
      <c r="DR136" s="856"/>
      <c r="DS136" s="856"/>
      <c r="DT136" s="856"/>
      <c r="DU136" s="856"/>
      <c r="DV136" s="2102"/>
      <c r="IR136" s="851"/>
      <c r="IS136" s="851"/>
      <c r="IT136" s="851"/>
      <c r="IU136" s="851"/>
      <c r="IV136" s="851"/>
    </row>
    <row r="137" spans="1:256" s="850" customFormat="1" ht="13.8" hidden="1">
      <c r="A137" s="2101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76"/>
      <c r="CC137" s="2076"/>
      <c r="CD137" s="2076"/>
      <c r="CE137" s="2076"/>
      <c r="CF137" s="2076"/>
      <c r="CG137" s="2076"/>
      <c r="CH137" s="2076"/>
      <c r="CI137" s="2076"/>
      <c r="CJ137" s="2076"/>
      <c r="CK137" s="2076"/>
      <c r="CL137" s="2076"/>
      <c r="CM137" s="2076"/>
      <c r="CN137" s="2076"/>
      <c r="CO137" s="2076"/>
      <c r="CP137" s="2076"/>
      <c r="CQ137" s="2076"/>
      <c r="CR137" s="2076"/>
      <c r="CS137" s="2076"/>
      <c r="CT137" s="2076"/>
      <c r="CU137" s="2076"/>
      <c r="CV137" s="2076"/>
      <c r="CW137" s="2076"/>
      <c r="CX137" s="2076"/>
      <c r="CY137" s="908"/>
      <c r="CZ137" s="2076"/>
      <c r="DA137" s="2076"/>
      <c r="DB137" s="2076"/>
      <c r="DC137" s="856"/>
      <c r="DD137" s="2076"/>
      <c r="DE137" s="2076"/>
      <c r="DF137" s="2076"/>
      <c r="DG137" s="2076"/>
      <c r="DH137" s="2076"/>
      <c r="DI137" s="2076"/>
      <c r="DJ137" s="2076"/>
      <c r="DK137" s="2076"/>
      <c r="DL137" s="2076"/>
      <c r="DM137" s="2076"/>
      <c r="DN137" s="2076"/>
      <c r="DO137" s="856"/>
      <c r="DP137" s="2076"/>
      <c r="DQ137" s="2076"/>
      <c r="DR137" s="856"/>
      <c r="DS137" s="856"/>
      <c r="DT137" s="856"/>
      <c r="DU137" s="856"/>
      <c r="DV137" s="2102"/>
    </row>
    <row r="138" spans="1:256" s="850" customFormat="1" ht="13.8" hidden="1">
      <c r="A138" s="2101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76"/>
      <c r="CC138" s="2076"/>
      <c r="CD138" s="2076"/>
      <c r="CE138" s="2076"/>
      <c r="CF138" s="2076"/>
      <c r="CG138" s="2076"/>
      <c r="CH138" s="2076"/>
      <c r="CI138" s="2076"/>
      <c r="CJ138" s="2076"/>
      <c r="CK138" s="2076"/>
      <c r="CL138" s="2076"/>
      <c r="CM138" s="2076"/>
      <c r="CN138" s="2076"/>
      <c r="CO138" s="2076"/>
      <c r="CP138" s="2076"/>
      <c r="CQ138" s="2076"/>
      <c r="CR138" s="2076"/>
      <c r="CS138" s="2076"/>
      <c r="CT138" s="2076"/>
      <c r="CU138" s="2076"/>
      <c r="CV138" s="2076"/>
      <c r="CW138" s="2076"/>
      <c r="CX138" s="2076"/>
      <c r="CY138" s="908"/>
      <c r="CZ138" s="2076"/>
      <c r="DA138" s="2076"/>
      <c r="DB138" s="2076"/>
      <c r="DC138" s="856"/>
      <c r="DD138" s="2076"/>
      <c r="DE138" s="2076"/>
      <c r="DF138" s="2076"/>
      <c r="DG138" s="2076"/>
      <c r="DH138" s="2076"/>
      <c r="DI138" s="2076"/>
      <c r="DJ138" s="2076"/>
      <c r="DK138" s="2076"/>
      <c r="DL138" s="2076"/>
      <c r="DM138" s="2076"/>
      <c r="DN138" s="2076"/>
      <c r="DO138" s="856"/>
      <c r="DP138" s="2076"/>
      <c r="DQ138" s="2076"/>
      <c r="DR138" s="856"/>
      <c r="DS138" s="856"/>
      <c r="DT138" s="856"/>
      <c r="DU138" s="856"/>
      <c r="DV138" s="2102"/>
    </row>
    <row r="139" spans="1:256" s="850" customFormat="1" ht="13.8" hidden="1">
      <c r="A139" s="2101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76"/>
      <c r="CC139" s="2076"/>
      <c r="CD139" s="2076"/>
      <c r="CE139" s="2076"/>
      <c r="CF139" s="2076"/>
      <c r="CG139" s="2076"/>
      <c r="CH139" s="2076"/>
      <c r="CI139" s="2076"/>
      <c r="CJ139" s="2076"/>
      <c r="CK139" s="2076"/>
      <c r="CL139" s="2076"/>
      <c r="CM139" s="2076"/>
      <c r="CN139" s="2076"/>
      <c r="CO139" s="2076"/>
      <c r="CP139" s="2076"/>
      <c r="CQ139" s="2076"/>
      <c r="CR139" s="2076"/>
      <c r="CS139" s="2076"/>
      <c r="CT139" s="2076"/>
      <c r="CU139" s="2076"/>
      <c r="CV139" s="2076"/>
      <c r="CW139" s="2076"/>
      <c r="CX139" s="2076"/>
      <c r="CY139" s="908"/>
      <c r="CZ139" s="2076"/>
      <c r="DA139" s="2076"/>
      <c r="DB139" s="2076"/>
      <c r="DC139" s="856"/>
      <c r="DD139" s="2076"/>
      <c r="DE139" s="2076"/>
      <c r="DF139" s="2076"/>
      <c r="DG139" s="2076"/>
      <c r="DH139" s="2076"/>
      <c r="DI139" s="2076"/>
      <c r="DJ139" s="2076"/>
      <c r="DK139" s="2076"/>
      <c r="DL139" s="2076"/>
      <c r="DM139" s="2076"/>
      <c r="DN139" s="2076"/>
      <c r="DO139" s="856"/>
      <c r="DP139" s="2076"/>
      <c r="DQ139" s="2076"/>
      <c r="DR139" s="856"/>
      <c r="DS139" s="856"/>
      <c r="DT139" s="856"/>
      <c r="DU139" s="856"/>
      <c r="DV139" s="2102"/>
    </row>
    <row r="140" spans="1:256" s="857" customFormat="1" ht="13.8" hidden="1">
      <c r="A140" s="2101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76"/>
      <c r="CC140" s="2076"/>
      <c r="CD140" s="2076"/>
      <c r="CE140" s="2076"/>
      <c r="CF140" s="2076"/>
      <c r="CG140" s="2076"/>
      <c r="CH140" s="2076"/>
      <c r="CI140" s="2076"/>
      <c r="CJ140" s="2076"/>
      <c r="CK140" s="2076"/>
      <c r="CL140" s="2076"/>
      <c r="CM140" s="2076"/>
      <c r="CN140" s="2076"/>
      <c r="CO140" s="2076"/>
      <c r="CP140" s="2076"/>
      <c r="CQ140" s="2076"/>
      <c r="CR140" s="2076"/>
      <c r="CS140" s="2076"/>
      <c r="CT140" s="2076"/>
      <c r="CU140" s="2076"/>
      <c r="CV140" s="2076"/>
      <c r="CW140" s="2076"/>
      <c r="CX140" s="2076"/>
      <c r="CY140" s="908"/>
      <c r="CZ140" s="2076"/>
      <c r="DA140" s="2076"/>
      <c r="DB140" s="2076"/>
      <c r="DC140" s="856"/>
      <c r="DD140" s="2076"/>
      <c r="DE140" s="2076"/>
      <c r="DF140" s="2076"/>
      <c r="DG140" s="2076"/>
      <c r="DH140" s="2076"/>
      <c r="DI140" s="2076"/>
      <c r="DJ140" s="2076"/>
      <c r="DK140" s="2076"/>
      <c r="DL140" s="2076"/>
      <c r="DM140" s="2076"/>
      <c r="DN140" s="2076"/>
      <c r="DO140" s="856"/>
      <c r="DP140" s="2076"/>
      <c r="DQ140" s="2076"/>
      <c r="DR140" s="856"/>
      <c r="DS140" s="856"/>
      <c r="DT140" s="856"/>
      <c r="DU140" s="856"/>
      <c r="DV140" s="2102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85"/>
      <c r="B141" s="2086"/>
      <c r="C141" s="2085"/>
      <c r="D141" s="2085"/>
      <c r="E141" s="2085"/>
      <c r="F141" s="2085"/>
      <c r="G141" s="2085"/>
      <c r="H141" s="2085"/>
      <c r="I141" s="2085"/>
      <c r="J141" s="2085"/>
      <c r="K141" s="2085"/>
      <c r="L141" s="2085"/>
      <c r="M141" s="2085"/>
      <c r="N141" s="2085"/>
      <c r="O141" s="2085"/>
      <c r="P141" s="2085"/>
      <c r="Q141" s="2085"/>
      <c r="R141" s="2085"/>
      <c r="S141" s="2085"/>
      <c r="T141" s="2085"/>
      <c r="U141" s="2085"/>
      <c r="V141" s="2085"/>
      <c r="W141" s="2085"/>
      <c r="X141" s="2085"/>
      <c r="Y141" s="2085"/>
      <c r="Z141" s="2085"/>
      <c r="AA141" s="2085"/>
      <c r="AB141" s="2085"/>
      <c r="AC141" s="2085"/>
      <c r="AD141" s="2085"/>
      <c r="AE141" s="2085"/>
      <c r="AF141" s="2085"/>
      <c r="AG141" s="2085"/>
      <c r="AH141" s="2085"/>
      <c r="AI141" s="2085"/>
      <c r="AJ141" s="2085"/>
      <c r="AK141" s="2085"/>
      <c r="AL141" s="2085"/>
      <c r="AM141" s="2085"/>
      <c r="AN141" s="2085"/>
      <c r="AO141" s="2085"/>
      <c r="AP141" s="2085"/>
      <c r="AQ141" s="2085"/>
      <c r="AR141" s="2085"/>
      <c r="AS141" s="2085"/>
      <c r="AT141" s="2085"/>
      <c r="AU141" s="2085"/>
      <c r="AV141" s="2085"/>
      <c r="AW141" s="2085"/>
      <c r="AX141" s="2085"/>
      <c r="AY141" s="2085"/>
      <c r="AZ141" s="2085"/>
      <c r="BA141" s="2085"/>
      <c r="BB141" s="2085"/>
      <c r="BC141" s="2085"/>
      <c r="BD141" s="2085"/>
      <c r="BE141" s="2085"/>
      <c r="BF141" s="2085"/>
      <c r="BG141" s="2085"/>
      <c r="BH141" s="2085"/>
      <c r="BI141" s="2085"/>
      <c r="BJ141" s="2085"/>
      <c r="BK141" s="2085"/>
      <c r="BL141" s="2085"/>
      <c r="BM141" s="2085"/>
      <c r="BN141" s="2085"/>
      <c r="BO141" s="2085"/>
      <c r="BP141" s="2085"/>
      <c r="BQ141" s="2085"/>
      <c r="BR141" s="2085"/>
      <c r="BS141" s="2085"/>
      <c r="BT141" s="2085"/>
      <c r="BU141" s="2085"/>
      <c r="BV141" s="2085"/>
      <c r="BW141" s="2085"/>
      <c r="BX141" s="2085"/>
      <c r="BY141" s="2085"/>
      <c r="BZ141" s="2085"/>
      <c r="CA141" s="2085"/>
      <c r="CB141" s="2085"/>
      <c r="CC141" s="2085"/>
      <c r="CD141" s="2085"/>
      <c r="CE141" s="2076"/>
      <c r="CF141" s="2085"/>
      <c r="CG141" s="2085"/>
      <c r="CH141" s="2085"/>
      <c r="CI141" s="2085"/>
      <c r="CJ141" s="2085"/>
      <c r="CK141" s="2085"/>
      <c r="CL141" s="2085"/>
      <c r="CM141" s="2085"/>
      <c r="CN141" s="2085"/>
      <c r="CO141" s="2085"/>
      <c r="CP141" s="2085"/>
      <c r="CQ141" s="2085"/>
      <c r="CR141" s="2085"/>
      <c r="CS141" s="2085"/>
      <c r="CT141" s="2085"/>
      <c r="CU141" s="2085"/>
      <c r="CV141" s="2085"/>
      <c r="CW141" s="2085"/>
      <c r="CX141" s="2085"/>
      <c r="CY141" s="2087"/>
      <c r="CZ141" s="2085"/>
      <c r="DA141" s="2085"/>
      <c r="DB141" s="2085"/>
      <c r="DC141" s="2085"/>
      <c r="DD141" s="2085"/>
      <c r="DE141" s="2085"/>
      <c r="DF141" s="2085"/>
      <c r="DG141" s="2085"/>
      <c r="DH141" s="2085"/>
      <c r="DI141" s="2085"/>
      <c r="DJ141" s="2085"/>
      <c r="DK141" s="2085"/>
      <c r="DL141" s="2085"/>
      <c r="DM141" s="2085"/>
      <c r="DN141" s="2085"/>
      <c r="DO141" s="2085"/>
      <c r="DP141" s="2085"/>
      <c r="DQ141" s="2085"/>
      <c r="DR141" s="2085"/>
      <c r="DS141" s="2085"/>
      <c r="DT141" s="2085"/>
      <c r="DU141" s="2085"/>
      <c r="DV141" s="2088"/>
    </row>
    <row r="142" spans="1:256" s="777" customFormat="1" ht="13.8" hidden="1">
      <c r="A142" s="2093"/>
      <c r="B142" s="2094"/>
      <c r="C142" s="2095"/>
      <c r="D142" s="2095"/>
      <c r="E142" s="2095"/>
      <c r="F142" s="2095"/>
      <c r="G142" s="2095"/>
      <c r="H142" s="2095"/>
      <c r="I142" s="2095"/>
      <c r="J142" s="2095"/>
      <c r="K142" s="2095"/>
      <c r="L142" s="2095"/>
      <c r="M142" s="2095"/>
      <c r="N142" s="2095"/>
      <c r="O142" s="2095"/>
      <c r="P142" s="2095"/>
      <c r="Q142" s="2095"/>
      <c r="R142" s="2095"/>
      <c r="S142" s="2095"/>
      <c r="T142" s="2095"/>
      <c r="U142" s="2095"/>
      <c r="V142" s="2095"/>
      <c r="W142" s="2095"/>
      <c r="X142" s="2095"/>
      <c r="Y142" s="2095"/>
      <c r="Z142" s="2095"/>
      <c r="AA142" s="2095"/>
      <c r="AB142" s="2095"/>
      <c r="AC142" s="2095"/>
      <c r="AD142" s="2095"/>
      <c r="AE142" s="2095"/>
      <c r="AF142" s="2095"/>
      <c r="AG142" s="2095"/>
      <c r="AH142" s="2095"/>
      <c r="AI142" s="2095"/>
      <c r="AJ142" s="2095"/>
      <c r="AK142" s="2095"/>
      <c r="AL142" s="2095"/>
      <c r="AM142" s="2095"/>
      <c r="AN142" s="2095"/>
      <c r="AO142" s="2095"/>
      <c r="AP142" s="2095"/>
      <c r="AQ142" s="2095"/>
      <c r="AR142" s="2095"/>
      <c r="AS142" s="2095"/>
      <c r="AT142" s="2095"/>
      <c r="AU142" s="2095"/>
      <c r="AV142" s="2095"/>
      <c r="AW142" s="2095"/>
      <c r="AX142" s="2095"/>
      <c r="AY142" s="2095"/>
      <c r="AZ142" s="2095"/>
      <c r="BA142" s="2095"/>
      <c r="BB142" s="2095"/>
      <c r="BC142" s="2095"/>
      <c r="BD142" s="2095"/>
      <c r="BE142" s="2095"/>
      <c r="BF142" s="2095"/>
      <c r="BG142" s="2095"/>
      <c r="BH142" s="2095"/>
      <c r="BI142" s="2095"/>
      <c r="BJ142" s="2095"/>
      <c r="BK142" s="2095"/>
      <c r="BL142" s="2095"/>
      <c r="BM142" s="2095"/>
      <c r="BN142" s="2095"/>
      <c r="BO142" s="2095"/>
      <c r="BP142" s="2095"/>
      <c r="BQ142" s="2095"/>
      <c r="BR142" s="2095"/>
      <c r="BS142" s="2095"/>
      <c r="BT142" s="2095"/>
      <c r="BU142" s="2095"/>
      <c r="BV142" s="2095"/>
      <c r="BW142" s="2095"/>
      <c r="BX142" s="2095"/>
      <c r="BY142" s="2095"/>
      <c r="BZ142" s="2095"/>
      <c r="CA142" s="2095"/>
      <c r="CB142" s="2095"/>
      <c r="CC142" s="2095"/>
      <c r="CD142" s="2095"/>
      <c r="CE142" s="2076"/>
      <c r="CF142" s="2095"/>
      <c r="CG142" s="2095"/>
      <c r="CH142" s="2095"/>
      <c r="CI142" s="2095"/>
      <c r="CJ142" s="2095"/>
      <c r="CK142" s="2095"/>
      <c r="CL142" s="2095"/>
      <c r="CM142" s="2095"/>
      <c r="CN142" s="2095"/>
      <c r="CO142" s="2095"/>
      <c r="CP142" s="2095"/>
      <c r="CQ142" s="2095"/>
      <c r="CR142" s="2095"/>
      <c r="CS142" s="2095"/>
      <c r="CT142" s="2095"/>
      <c r="CU142" s="2095"/>
      <c r="CV142" s="2095"/>
      <c r="CW142" s="2095"/>
      <c r="CX142" s="2095"/>
      <c r="CY142" s="2096"/>
      <c r="CZ142" s="2095"/>
      <c r="DA142" s="2095"/>
      <c r="DB142" s="2095"/>
      <c r="DC142" s="2095"/>
      <c r="DD142" s="2095"/>
      <c r="DE142" s="2095"/>
      <c r="DF142" s="2095"/>
      <c r="DG142" s="2095"/>
      <c r="DH142" s="2095"/>
      <c r="DI142" s="2095"/>
      <c r="DJ142" s="2095"/>
      <c r="DK142" s="2095"/>
      <c r="DL142" s="2095"/>
      <c r="DM142" s="2095"/>
      <c r="DN142" s="2095"/>
      <c r="DO142" s="2095"/>
      <c r="DP142" s="2095"/>
      <c r="DQ142" s="2095"/>
      <c r="DR142" s="2095"/>
      <c r="DS142" s="2095"/>
      <c r="DT142" s="2095"/>
      <c r="DU142" s="2095"/>
      <c r="DV142" s="2097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89"/>
      <c r="B143" s="1199"/>
      <c r="C143" s="1199"/>
      <c r="D143" s="1199"/>
      <c r="E143" s="1199"/>
      <c r="F143" s="1199"/>
      <c r="G143" s="1199"/>
      <c r="H143" s="1199"/>
      <c r="I143" s="1199"/>
      <c r="J143" s="1199"/>
      <c r="K143" s="1199"/>
      <c r="L143" s="1199"/>
      <c r="M143" s="1199"/>
      <c r="N143" s="1199"/>
      <c r="O143" s="1199"/>
      <c r="P143" s="1199"/>
      <c r="Q143" s="1199"/>
      <c r="R143" s="1199"/>
      <c r="S143" s="1199"/>
      <c r="T143" s="1199"/>
      <c r="U143" s="1199"/>
      <c r="V143" s="1199"/>
      <c r="W143" s="1199"/>
      <c r="X143" s="1199"/>
      <c r="Y143" s="1199"/>
      <c r="Z143" s="1199"/>
      <c r="AA143" s="1199"/>
      <c r="AB143" s="1199"/>
      <c r="AC143" s="1199"/>
      <c r="AD143" s="1199"/>
      <c r="AE143" s="1199"/>
      <c r="AF143" s="1199"/>
      <c r="AG143" s="1199"/>
      <c r="AH143" s="1199"/>
      <c r="AI143" s="1199"/>
      <c r="AJ143" s="1199"/>
      <c r="AK143" s="1199"/>
      <c r="AL143" s="1199"/>
      <c r="AM143" s="1199"/>
      <c r="AN143" s="1199"/>
      <c r="AO143" s="1199"/>
      <c r="AP143" s="1199"/>
      <c r="AQ143" s="1199"/>
      <c r="AR143" s="1199"/>
      <c r="AS143" s="1199"/>
      <c r="AT143" s="1199"/>
      <c r="AU143" s="1199"/>
      <c r="AV143" s="1199"/>
      <c r="AW143" s="1199"/>
      <c r="AX143" s="1199"/>
      <c r="AY143" s="1199"/>
      <c r="AZ143" s="1199"/>
      <c r="BA143" s="1199"/>
      <c r="BB143" s="1199"/>
      <c r="BC143" s="1199"/>
      <c r="BD143" s="1199"/>
      <c r="BE143" s="1199"/>
      <c r="BF143" s="1199"/>
      <c r="BG143" s="1199"/>
      <c r="BH143" s="1199"/>
      <c r="BI143" s="1199"/>
      <c r="BJ143" s="1199"/>
      <c r="BK143" s="1199"/>
      <c r="BL143" s="1199"/>
      <c r="BM143" s="1199"/>
      <c r="BN143" s="1199"/>
      <c r="BO143" s="1199"/>
      <c r="BP143" s="1199"/>
      <c r="BQ143" s="1199"/>
      <c r="BR143" s="1199"/>
      <c r="BS143" s="1199"/>
      <c r="BT143" s="1199"/>
      <c r="BU143" s="1199"/>
      <c r="BV143" s="1199"/>
      <c r="BW143" s="1199"/>
      <c r="BX143" s="1199"/>
      <c r="BY143" s="1199"/>
      <c r="BZ143" s="1199"/>
      <c r="CA143" s="1199"/>
      <c r="CB143" s="1199"/>
      <c r="CC143" s="1199"/>
      <c r="CD143" s="1199"/>
      <c r="CE143" s="2076"/>
      <c r="CF143" s="1199"/>
      <c r="CG143" s="1199"/>
      <c r="CH143" s="1199"/>
      <c r="CI143" s="1199"/>
      <c r="CJ143" s="1199"/>
      <c r="CK143" s="1199"/>
      <c r="CL143" s="1199"/>
      <c r="CM143" s="1199"/>
      <c r="CN143" s="1199"/>
      <c r="CO143" s="1199"/>
      <c r="CP143" s="1199"/>
      <c r="CQ143" s="1199"/>
      <c r="CR143" s="1199"/>
      <c r="CS143" s="1199"/>
      <c r="CT143" s="1199"/>
      <c r="CU143" s="1199"/>
      <c r="CV143" s="1199"/>
      <c r="CW143" s="1199"/>
      <c r="CX143" s="1199"/>
      <c r="CY143" s="2090"/>
      <c r="CZ143" s="1199"/>
      <c r="DA143" s="1199"/>
      <c r="DB143" s="1199"/>
      <c r="DC143" s="1199"/>
      <c r="DD143" s="1199"/>
      <c r="DE143" s="1199"/>
      <c r="DF143" s="1199"/>
      <c r="DG143" s="1199"/>
      <c r="DH143" s="1199"/>
      <c r="DI143" s="1199"/>
      <c r="DJ143" s="1199"/>
      <c r="DK143" s="1199"/>
      <c r="DL143" s="1199"/>
      <c r="DM143" s="1199"/>
      <c r="DN143" s="1199"/>
      <c r="DO143" s="1199"/>
      <c r="DP143" s="1199"/>
      <c r="DQ143" s="1199"/>
      <c r="DR143" s="1199"/>
      <c r="DS143" s="1199"/>
      <c r="DT143" s="1199"/>
      <c r="DU143" s="1199"/>
      <c r="DV143" s="2091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92"/>
      <c r="B144" s="1199"/>
      <c r="C144" s="1199"/>
      <c r="D144" s="1199"/>
      <c r="E144" s="1199"/>
      <c r="F144" s="1199"/>
      <c r="G144" s="1199"/>
      <c r="H144" s="1199"/>
      <c r="I144" s="1199"/>
      <c r="J144" s="1199"/>
      <c r="K144" s="1199"/>
      <c r="L144" s="1199"/>
      <c r="M144" s="1199"/>
      <c r="N144" s="1199"/>
      <c r="O144" s="1199"/>
      <c r="P144" s="1199"/>
      <c r="Q144" s="1199"/>
      <c r="R144" s="1199"/>
      <c r="S144" s="1199"/>
      <c r="T144" s="1199"/>
      <c r="U144" s="1199"/>
      <c r="V144" s="1199"/>
      <c r="W144" s="1199"/>
      <c r="X144" s="1199"/>
      <c r="Y144" s="1199"/>
      <c r="Z144" s="1199"/>
      <c r="AA144" s="1199"/>
      <c r="AB144" s="1199"/>
      <c r="AC144" s="1199"/>
      <c r="AD144" s="1199"/>
      <c r="AE144" s="1199"/>
      <c r="AF144" s="1199"/>
      <c r="AG144" s="1199"/>
      <c r="AH144" s="1199"/>
      <c r="AI144" s="1199"/>
      <c r="AJ144" s="1199"/>
      <c r="AK144" s="1199"/>
      <c r="AL144" s="1199"/>
      <c r="AM144" s="1199"/>
      <c r="AN144" s="1199"/>
      <c r="AO144" s="1199"/>
      <c r="AP144" s="1199"/>
      <c r="AQ144" s="1199"/>
      <c r="AR144" s="1199"/>
      <c r="AS144" s="1199"/>
      <c r="AT144" s="1199"/>
      <c r="AU144" s="1199"/>
      <c r="AV144" s="1199"/>
      <c r="AW144" s="1199"/>
      <c r="AX144" s="1199"/>
      <c r="AY144" s="1199"/>
      <c r="AZ144" s="1199"/>
      <c r="BA144" s="1199"/>
      <c r="BB144" s="1199"/>
      <c r="BC144" s="1199"/>
      <c r="BD144" s="1199"/>
      <c r="BE144" s="1199"/>
      <c r="BF144" s="1199"/>
      <c r="BG144" s="1199"/>
      <c r="BH144" s="1199"/>
      <c r="BI144" s="1199"/>
      <c r="BJ144" s="1199"/>
      <c r="BK144" s="1199"/>
      <c r="BL144" s="1199"/>
      <c r="BM144" s="1199"/>
      <c r="BN144" s="1199"/>
      <c r="BO144" s="1199"/>
      <c r="BP144" s="1199"/>
      <c r="BQ144" s="1199"/>
      <c r="BR144" s="1199"/>
      <c r="BS144" s="1199"/>
      <c r="BT144" s="1199"/>
      <c r="BU144" s="1199"/>
      <c r="BV144" s="1199"/>
      <c r="BW144" s="1199"/>
      <c r="BX144" s="1199"/>
      <c r="BY144" s="1199"/>
      <c r="BZ144" s="1199"/>
      <c r="CA144" s="1199"/>
      <c r="CB144" s="1199"/>
      <c r="CC144" s="1199"/>
      <c r="CD144" s="1199"/>
      <c r="CE144" s="2076"/>
      <c r="CF144" s="1199"/>
      <c r="CG144" s="1199"/>
      <c r="CH144" s="1199"/>
      <c r="CI144" s="1199"/>
      <c r="CJ144" s="1199"/>
      <c r="CK144" s="1199"/>
      <c r="CL144" s="1199"/>
      <c r="CM144" s="1199"/>
      <c r="CN144" s="1199"/>
      <c r="CO144" s="1199"/>
      <c r="CP144" s="1199"/>
      <c r="CQ144" s="1199"/>
      <c r="CR144" s="1199"/>
      <c r="CS144" s="1199"/>
      <c r="CT144" s="1199"/>
      <c r="CU144" s="1199"/>
      <c r="CV144" s="1199"/>
      <c r="CW144" s="1199"/>
      <c r="CX144" s="1199"/>
      <c r="CY144" s="2090"/>
      <c r="CZ144" s="1199"/>
      <c r="DA144" s="1199"/>
      <c r="DB144" s="1199"/>
      <c r="DC144" s="1199"/>
      <c r="DD144" s="1199"/>
      <c r="DE144" s="1199"/>
      <c r="DF144" s="1199"/>
      <c r="DG144" s="1199"/>
      <c r="DH144" s="1199"/>
      <c r="DI144" s="1199"/>
      <c r="DJ144" s="1199"/>
      <c r="DK144" s="1199"/>
      <c r="DL144" s="1199"/>
      <c r="DM144" s="1199"/>
      <c r="DN144" s="1199"/>
      <c r="DO144" s="1199"/>
      <c r="DP144" s="1199"/>
      <c r="DQ144" s="1199"/>
      <c r="DR144" s="1199"/>
      <c r="DS144" s="1199"/>
      <c r="DT144" s="1199"/>
      <c r="DU144" s="1199"/>
      <c r="DV144" s="2091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83"/>
      <c r="B145" s="2108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76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82"/>
      <c r="IR145" s="629"/>
      <c r="IS145" s="629"/>
      <c r="IT145" s="629"/>
      <c r="IU145" s="629"/>
      <c r="IV145" s="629"/>
    </row>
    <row r="146" spans="1:256" ht="13.8" hidden="1">
      <c r="A146" s="2083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76"/>
      <c r="CC146" s="2076"/>
      <c r="CD146" s="2076"/>
      <c r="CE146" s="2076"/>
      <c r="CF146" s="2076"/>
      <c r="CG146" s="2076"/>
      <c r="CH146" s="2076"/>
      <c r="CI146" s="2076"/>
      <c r="CJ146" s="2076"/>
      <c r="CK146" s="2076"/>
      <c r="CL146" s="2076"/>
      <c r="CM146" s="2076"/>
      <c r="CN146" s="2076"/>
      <c r="CO146" s="2076"/>
      <c r="CP146" s="2076"/>
      <c r="CQ146" s="2076"/>
      <c r="CR146" s="2076"/>
      <c r="CS146" s="2076"/>
      <c r="CT146" s="2076"/>
      <c r="CU146" s="2076"/>
      <c r="CV146" s="2076"/>
      <c r="CW146" s="2076"/>
      <c r="CX146" s="2076"/>
      <c r="CY146" s="908"/>
      <c r="CZ146" s="2076"/>
      <c r="DA146" s="2076"/>
      <c r="DB146" s="2076"/>
      <c r="DC146" s="856"/>
      <c r="DD146" s="2076"/>
      <c r="DE146" s="2076"/>
      <c r="DF146" s="2076"/>
      <c r="DG146" s="2076"/>
      <c r="DH146" s="2076"/>
      <c r="DI146" s="2076"/>
      <c r="DJ146" s="2076"/>
      <c r="DK146" s="2076"/>
      <c r="DL146" s="2076"/>
      <c r="DM146" s="2076"/>
      <c r="DN146" s="2076"/>
      <c r="DO146" s="856"/>
      <c r="DP146" s="2076"/>
      <c r="DQ146" s="2076"/>
      <c r="DR146" s="856"/>
      <c r="DS146" s="856"/>
      <c r="DT146" s="856"/>
      <c r="DU146" s="856"/>
      <c r="DV146" s="2082"/>
    </row>
    <row r="147" spans="1:256" ht="13.8" hidden="1">
      <c r="A147" s="2083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76"/>
      <c r="CC147" s="2076"/>
      <c r="CD147" s="2076"/>
      <c r="CE147" s="2076"/>
      <c r="CF147" s="2076"/>
      <c r="CG147" s="2076"/>
      <c r="CH147" s="2076"/>
      <c r="CI147" s="2076"/>
      <c r="CJ147" s="2076"/>
      <c r="CK147" s="2076"/>
      <c r="CL147" s="2076"/>
      <c r="CM147" s="2076"/>
      <c r="CN147" s="2076"/>
      <c r="CO147" s="2076"/>
      <c r="CP147" s="2076"/>
      <c r="CQ147" s="2076"/>
      <c r="CR147" s="2076"/>
      <c r="CS147" s="2076"/>
      <c r="CT147" s="2076"/>
      <c r="CU147" s="2076"/>
      <c r="CV147" s="2076"/>
      <c r="CW147" s="2076"/>
      <c r="CX147" s="2076"/>
      <c r="CY147" s="908"/>
      <c r="CZ147" s="2076"/>
      <c r="DA147" s="2076"/>
      <c r="DB147" s="2076"/>
      <c r="DC147" s="856"/>
      <c r="DD147" s="2076"/>
      <c r="DE147" s="2076"/>
      <c r="DF147" s="2076"/>
      <c r="DG147" s="2076"/>
      <c r="DH147" s="2076"/>
      <c r="DI147" s="2076"/>
      <c r="DJ147" s="2076"/>
      <c r="DK147" s="2076"/>
      <c r="DL147" s="2076"/>
      <c r="DM147" s="2076"/>
      <c r="DN147" s="2076"/>
      <c r="DO147" s="856"/>
      <c r="DP147" s="2076"/>
      <c r="DQ147" s="2076"/>
      <c r="DR147" s="856"/>
      <c r="DS147" s="856"/>
      <c r="DT147" s="856"/>
      <c r="DU147" s="856"/>
      <c r="DV147" s="2082"/>
    </row>
    <row r="148" spans="1:256" ht="13.8" hidden="1">
      <c r="A148" s="2083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76"/>
      <c r="CC148" s="2076"/>
      <c r="CD148" s="2076"/>
      <c r="CE148" s="2076"/>
      <c r="CF148" s="2076"/>
      <c r="CG148" s="2076"/>
      <c r="CH148" s="2076"/>
      <c r="CI148" s="2076"/>
      <c r="CJ148" s="2076"/>
      <c r="CK148" s="2076"/>
      <c r="CL148" s="2076"/>
      <c r="CM148" s="2076"/>
      <c r="CN148" s="2076"/>
      <c r="CO148" s="2076"/>
      <c r="CP148" s="2076"/>
      <c r="CQ148" s="2076"/>
      <c r="CR148" s="2076"/>
      <c r="CS148" s="2076"/>
      <c r="CT148" s="2076"/>
      <c r="CU148" s="2076"/>
      <c r="CV148" s="2076"/>
      <c r="CW148" s="2076"/>
      <c r="CX148" s="2076"/>
      <c r="CY148" s="908"/>
      <c r="CZ148" s="2076"/>
      <c r="DA148" s="2076"/>
      <c r="DB148" s="2076"/>
      <c r="DC148" s="856"/>
      <c r="DD148" s="2076"/>
      <c r="DE148" s="2076"/>
      <c r="DF148" s="2076"/>
      <c r="DG148" s="2076"/>
      <c r="DH148" s="2076"/>
      <c r="DI148" s="2076"/>
      <c r="DJ148" s="2076"/>
      <c r="DK148" s="2076"/>
      <c r="DL148" s="2076"/>
      <c r="DM148" s="2076"/>
      <c r="DN148" s="2076"/>
      <c r="DO148" s="856"/>
      <c r="DP148" s="2076"/>
      <c r="DQ148" s="2076"/>
      <c r="DR148" s="856"/>
      <c r="DS148" s="856"/>
      <c r="DT148" s="856"/>
      <c r="DU148" s="856"/>
      <c r="DV148" s="2082"/>
    </row>
    <row r="149" spans="1:256" ht="13.8" hidden="1">
      <c r="A149" s="2083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76"/>
      <c r="CC149" s="2076"/>
      <c r="CD149" s="2076"/>
      <c r="CE149" s="2076"/>
      <c r="CF149" s="2076"/>
      <c r="CG149" s="2076"/>
      <c r="CH149" s="2076"/>
      <c r="CI149" s="2076"/>
      <c r="CJ149" s="2076"/>
      <c r="CK149" s="2076"/>
      <c r="CL149" s="2076"/>
      <c r="CM149" s="2076"/>
      <c r="CN149" s="2076"/>
      <c r="CO149" s="2076"/>
      <c r="CP149" s="2076"/>
      <c r="CQ149" s="2076"/>
      <c r="CR149" s="2076"/>
      <c r="CS149" s="2076"/>
      <c r="CT149" s="2076"/>
      <c r="CU149" s="2076"/>
      <c r="CV149" s="2076"/>
      <c r="CW149" s="2076"/>
      <c r="CX149" s="2076"/>
      <c r="CY149" s="908"/>
      <c r="CZ149" s="2076"/>
      <c r="DA149" s="2076"/>
      <c r="DB149" s="2076"/>
      <c r="DC149" s="856"/>
      <c r="DD149" s="2076"/>
      <c r="DE149" s="2076"/>
      <c r="DF149" s="2076"/>
      <c r="DG149" s="2076"/>
      <c r="DH149" s="2076"/>
      <c r="DI149" s="2076"/>
      <c r="DJ149" s="2076"/>
      <c r="DK149" s="2076"/>
      <c r="DL149" s="2076"/>
      <c r="DM149" s="2076"/>
      <c r="DN149" s="2076"/>
      <c r="DO149" s="856"/>
      <c r="DP149" s="2076"/>
      <c r="DQ149" s="2076"/>
      <c r="DR149" s="856"/>
      <c r="DS149" s="856"/>
      <c r="DT149" s="856"/>
      <c r="DU149" s="856"/>
      <c r="DV149" s="2082"/>
    </row>
    <row r="150" spans="1:256" ht="13.8" hidden="1">
      <c r="A150" s="2083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76"/>
      <c r="CC150" s="2076"/>
      <c r="CD150" s="2076"/>
      <c r="CE150" s="2076"/>
      <c r="CF150" s="2076"/>
      <c r="CG150" s="2076"/>
      <c r="CH150" s="2076"/>
      <c r="CI150" s="2076"/>
      <c r="CJ150" s="2076"/>
      <c r="CK150" s="2076"/>
      <c r="CL150" s="2076"/>
      <c r="CM150" s="2076"/>
      <c r="CN150" s="2076"/>
      <c r="CO150" s="2076"/>
      <c r="CP150" s="2076"/>
      <c r="CQ150" s="2076"/>
      <c r="CR150" s="2076"/>
      <c r="CS150" s="2076"/>
      <c r="CT150" s="2076"/>
      <c r="CU150" s="2076"/>
      <c r="CV150" s="2076"/>
      <c r="CW150" s="2076"/>
      <c r="CX150" s="2076"/>
      <c r="CY150" s="908"/>
      <c r="CZ150" s="2076"/>
      <c r="DA150" s="2076"/>
      <c r="DB150" s="2076"/>
      <c r="DC150" s="856"/>
      <c r="DD150" s="2076"/>
      <c r="DE150" s="2076"/>
      <c r="DF150" s="2076"/>
      <c r="DG150" s="2076"/>
      <c r="DH150" s="2076"/>
      <c r="DI150" s="2076"/>
      <c r="DJ150" s="2076"/>
      <c r="DK150" s="2076"/>
      <c r="DL150" s="2076"/>
      <c r="DM150" s="2076"/>
      <c r="DN150" s="2076"/>
      <c r="DO150" s="856"/>
      <c r="DP150" s="2076"/>
      <c r="DQ150" s="2076"/>
      <c r="DR150" s="856"/>
      <c r="DS150" s="856"/>
      <c r="DT150" s="856"/>
      <c r="DU150" s="856"/>
      <c r="DV150" s="2082"/>
    </row>
    <row r="151" spans="1:256" ht="13.8" hidden="1">
      <c r="A151" s="2083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76"/>
      <c r="CC151" s="2076"/>
      <c r="CD151" s="2076"/>
      <c r="CE151" s="2076"/>
      <c r="CF151" s="2076"/>
      <c r="CG151" s="2076"/>
      <c r="CH151" s="2076"/>
      <c r="CI151" s="2076"/>
      <c r="CJ151" s="2076"/>
      <c r="CK151" s="2076"/>
      <c r="CL151" s="2076"/>
      <c r="CM151" s="2076"/>
      <c r="CN151" s="2076"/>
      <c r="CO151" s="2076"/>
      <c r="CP151" s="2076"/>
      <c r="CQ151" s="2076"/>
      <c r="CR151" s="2076"/>
      <c r="CS151" s="2076"/>
      <c r="CT151" s="2076"/>
      <c r="CU151" s="2076"/>
      <c r="CV151" s="2076"/>
      <c r="CW151" s="2076"/>
      <c r="CX151" s="2076"/>
      <c r="CY151" s="908"/>
      <c r="CZ151" s="2076"/>
      <c r="DA151" s="2076"/>
      <c r="DB151" s="2076"/>
      <c r="DC151" s="856"/>
      <c r="DD151" s="2076"/>
      <c r="DE151" s="2076"/>
      <c r="DF151" s="2076"/>
      <c r="DG151" s="2076"/>
      <c r="DH151" s="2076"/>
      <c r="DI151" s="2076"/>
      <c r="DJ151" s="2076"/>
      <c r="DK151" s="2076"/>
      <c r="DL151" s="2076"/>
      <c r="DM151" s="2076"/>
      <c r="DN151" s="2076"/>
      <c r="DO151" s="856"/>
      <c r="DP151" s="2076"/>
      <c r="DQ151" s="2076"/>
      <c r="DR151" s="856"/>
      <c r="DS151" s="856"/>
      <c r="DT151" s="856"/>
      <c r="DU151" s="856"/>
      <c r="DV151" s="2082"/>
    </row>
    <row r="152" spans="1:256" ht="13.8" hidden="1">
      <c r="A152" s="2083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76"/>
      <c r="CC152" s="2076"/>
      <c r="CD152" s="2076"/>
      <c r="CE152" s="2076"/>
      <c r="CF152" s="2076"/>
      <c r="CG152" s="2076"/>
      <c r="CH152" s="2076"/>
      <c r="CI152" s="2076"/>
      <c r="CJ152" s="2076"/>
      <c r="CK152" s="2076"/>
      <c r="CL152" s="2076"/>
      <c r="CM152" s="2076"/>
      <c r="CN152" s="2076"/>
      <c r="CO152" s="2076"/>
      <c r="CP152" s="2076"/>
      <c r="CQ152" s="2076"/>
      <c r="CR152" s="2076"/>
      <c r="CS152" s="2076"/>
      <c r="CT152" s="2076"/>
      <c r="CU152" s="2076"/>
      <c r="CV152" s="2076"/>
      <c r="CW152" s="2076"/>
      <c r="CX152" s="2076"/>
      <c r="CY152" s="908"/>
      <c r="CZ152" s="2076"/>
      <c r="DA152" s="2076"/>
      <c r="DB152" s="2076"/>
      <c r="DC152" s="856"/>
      <c r="DD152" s="2076"/>
      <c r="DE152" s="2076"/>
      <c r="DF152" s="2076"/>
      <c r="DG152" s="2076"/>
      <c r="DH152" s="2076"/>
      <c r="DI152" s="2076"/>
      <c r="DJ152" s="2076"/>
      <c r="DK152" s="2076"/>
      <c r="DL152" s="2076"/>
      <c r="DM152" s="2076"/>
      <c r="DN152" s="2076"/>
      <c r="DO152" s="856"/>
      <c r="DP152" s="2076"/>
      <c r="DQ152" s="2076"/>
      <c r="DR152" s="856"/>
      <c r="DS152" s="856"/>
      <c r="DT152" s="856"/>
      <c r="DU152" s="856"/>
      <c r="DV152" s="2082"/>
    </row>
    <row r="153" spans="1:256" ht="13.8" hidden="1">
      <c r="A153" s="2083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76"/>
      <c r="CC153" s="2076"/>
      <c r="CD153" s="2076"/>
      <c r="CE153" s="2076"/>
      <c r="CF153" s="2076"/>
      <c r="CG153" s="2076"/>
      <c r="CH153" s="2076"/>
      <c r="CI153" s="2076"/>
      <c r="CJ153" s="2076"/>
      <c r="CK153" s="2076"/>
      <c r="CL153" s="2076"/>
      <c r="CM153" s="2076"/>
      <c r="CN153" s="2076"/>
      <c r="CO153" s="2076"/>
      <c r="CP153" s="2076"/>
      <c r="CQ153" s="2076"/>
      <c r="CR153" s="2076"/>
      <c r="CS153" s="2076"/>
      <c r="CT153" s="2076"/>
      <c r="CU153" s="2076"/>
      <c r="CV153" s="2076"/>
      <c r="CW153" s="2076"/>
      <c r="CX153" s="2076"/>
      <c r="CY153" s="908"/>
      <c r="CZ153" s="2076"/>
      <c r="DA153" s="2076"/>
      <c r="DB153" s="2076"/>
      <c r="DC153" s="856"/>
      <c r="DD153" s="2076"/>
      <c r="DE153" s="2076"/>
      <c r="DF153" s="2076"/>
      <c r="DG153" s="2076"/>
      <c r="DH153" s="2076"/>
      <c r="DI153" s="2076"/>
      <c r="DJ153" s="2076"/>
      <c r="DK153" s="2076"/>
      <c r="DL153" s="2076"/>
      <c r="DM153" s="2076"/>
      <c r="DN153" s="2076"/>
      <c r="DO153" s="856"/>
      <c r="DP153" s="2076"/>
      <c r="DQ153" s="2076"/>
      <c r="DR153" s="856"/>
      <c r="DS153" s="856"/>
      <c r="DT153" s="856"/>
      <c r="DU153" s="856"/>
      <c r="DV153" s="2082"/>
    </row>
    <row r="154" spans="1:256" ht="13.8" hidden="1">
      <c r="A154" s="2083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76"/>
      <c r="CC154" s="2076"/>
      <c r="CD154" s="2076"/>
      <c r="CE154" s="2076"/>
      <c r="CF154" s="2076"/>
      <c r="CG154" s="2076"/>
      <c r="CH154" s="2076"/>
      <c r="CI154" s="2076"/>
      <c r="CJ154" s="2076"/>
      <c r="CK154" s="2076"/>
      <c r="CL154" s="2076"/>
      <c r="CM154" s="2076"/>
      <c r="CN154" s="2076"/>
      <c r="CO154" s="2076"/>
      <c r="CP154" s="2076"/>
      <c r="CQ154" s="2076"/>
      <c r="CR154" s="2076"/>
      <c r="CS154" s="2076"/>
      <c r="CT154" s="2076"/>
      <c r="CU154" s="2076"/>
      <c r="CV154" s="2076"/>
      <c r="CW154" s="2076"/>
      <c r="CX154" s="2076"/>
      <c r="CY154" s="908"/>
      <c r="CZ154" s="2076"/>
      <c r="DA154" s="2076"/>
      <c r="DB154" s="2076"/>
      <c r="DC154" s="856"/>
      <c r="DD154" s="2076"/>
      <c r="DE154" s="2076"/>
      <c r="DF154" s="2076"/>
      <c r="DG154" s="2076"/>
      <c r="DH154" s="2076"/>
      <c r="DI154" s="2076"/>
      <c r="DJ154" s="2076"/>
      <c r="DK154" s="2076"/>
      <c r="DL154" s="2076"/>
      <c r="DM154" s="2076"/>
      <c r="DN154" s="2076"/>
      <c r="DO154" s="856"/>
      <c r="DP154" s="2076"/>
      <c r="DQ154" s="2076"/>
      <c r="DR154" s="856"/>
      <c r="DS154" s="856"/>
      <c r="DT154" s="856"/>
      <c r="DU154" s="856"/>
      <c r="DV154" s="2082"/>
    </row>
    <row r="155" spans="1:256" ht="13.8" hidden="1">
      <c r="A155" s="2083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76"/>
      <c r="CC155" s="2076"/>
      <c r="CD155" s="2076"/>
      <c r="CE155" s="2076"/>
      <c r="CF155" s="2076"/>
      <c r="CG155" s="2076"/>
      <c r="CH155" s="2076"/>
      <c r="CI155" s="2076"/>
      <c r="CJ155" s="2076"/>
      <c r="CK155" s="2076"/>
      <c r="CL155" s="2076"/>
      <c r="CM155" s="2076"/>
      <c r="CN155" s="2076"/>
      <c r="CO155" s="2076"/>
      <c r="CP155" s="2076"/>
      <c r="CQ155" s="2076"/>
      <c r="CR155" s="2076"/>
      <c r="CS155" s="2076"/>
      <c r="CT155" s="2076"/>
      <c r="CU155" s="2076"/>
      <c r="CV155" s="2076"/>
      <c r="CW155" s="2076"/>
      <c r="CX155" s="2076"/>
      <c r="CY155" s="908"/>
      <c r="CZ155" s="2076"/>
      <c r="DA155" s="2076"/>
      <c r="DB155" s="2076"/>
      <c r="DC155" s="856"/>
      <c r="DD155" s="2076"/>
      <c r="DE155" s="2076"/>
      <c r="DF155" s="2076"/>
      <c r="DG155" s="2076"/>
      <c r="DH155" s="2076"/>
      <c r="DI155" s="2076"/>
      <c r="DJ155" s="2076"/>
      <c r="DK155" s="2076"/>
      <c r="DL155" s="2076"/>
      <c r="DM155" s="2076"/>
      <c r="DN155" s="2076"/>
      <c r="DO155" s="856"/>
      <c r="DP155" s="2076"/>
      <c r="DQ155" s="2076"/>
      <c r="DR155" s="856"/>
      <c r="DS155" s="856"/>
      <c r="DT155" s="856"/>
      <c r="DU155" s="856"/>
      <c r="DV155" s="2082"/>
    </row>
    <row r="156" spans="1:256" ht="13.8" hidden="1">
      <c r="A156" s="2083"/>
      <c r="B156" s="2108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76"/>
      <c r="CC156" s="2076"/>
      <c r="CD156" s="2076"/>
      <c r="CE156" s="2076"/>
      <c r="CF156" s="2076"/>
      <c r="CG156" s="2076"/>
      <c r="CH156" s="2076"/>
      <c r="CI156" s="2076"/>
      <c r="CJ156" s="2076"/>
      <c r="CK156" s="2076"/>
      <c r="CL156" s="2076"/>
      <c r="CM156" s="2076"/>
      <c r="CN156" s="2076"/>
      <c r="CO156" s="2076"/>
      <c r="CP156" s="2076"/>
      <c r="CQ156" s="2076"/>
      <c r="CR156" s="2076"/>
      <c r="CS156" s="2076"/>
      <c r="CT156" s="2076"/>
      <c r="CU156" s="2076"/>
      <c r="CV156" s="2076"/>
      <c r="CW156" s="2076"/>
      <c r="CX156" s="2076"/>
      <c r="CY156" s="908"/>
      <c r="CZ156" s="2076"/>
      <c r="DA156" s="2076"/>
      <c r="DB156" s="2076"/>
      <c r="DC156" s="856"/>
      <c r="DD156" s="2076"/>
      <c r="DE156" s="2076"/>
      <c r="DF156" s="2076"/>
      <c r="DG156" s="2076"/>
      <c r="DH156" s="2076"/>
      <c r="DI156" s="2076"/>
      <c r="DJ156" s="2076"/>
      <c r="DK156" s="2076"/>
      <c r="DL156" s="2076"/>
      <c r="DM156" s="2076"/>
      <c r="DN156" s="2076"/>
      <c r="DO156" s="856"/>
      <c r="DP156" s="2076"/>
      <c r="DQ156" s="2076"/>
      <c r="DR156" s="856"/>
      <c r="DS156" s="856"/>
      <c r="DT156" s="856"/>
      <c r="DU156" s="856"/>
      <c r="DV156" s="2082"/>
    </row>
    <row r="157" spans="1:256" ht="13.8" hidden="1">
      <c r="A157" s="2083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76"/>
      <c r="CC157" s="2076"/>
      <c r="CD157" s="2076"/>
      <c r="CE157" s="2076"/>
      <c r="CF157" s="2076"/>
      <c r="CG157" s="2076"/>
      <c r="CH157" s="2076"/>
      <c r="CI157" s="2076"/>
      <c r="CJ157" s="2076"/>
      <c r="CK157" s="2076"/>
      <c r="CL157" s="2076"/>
      <c r="CM157" s="2076"/>
      <c r="CN157" s="2076"/>
      <c r="CO157" s="2076"/>
      <c r="CP157" s="2076"/>
      <c r="CQ157" s="2076"/>
      <c r="CR157" s="2076"/>
      <c r="CS157" s="2076"/>
      <c r="CT157" s="2076"/>
      <c r="CU157" s="2076"/>
      <c r="CV157" s="2076"/>
      <c r="CW157" s="2076"/>
      <c r="CX157" s="2076"/>
      <c r="CY157" s="908"/>
      <c r="CZ157" s="2076"/>
      <c r="DA157" s="2076"/>
      <c r="DB157" s="2076"/>
      <c r="DC157" s="856"/>
      <c r="DD157" s="2076"/>
      <c r="DE157" s="2076"/>
      <c r="DF157" s="2076"/>
      <c r="DG157" s="2076"/>
      <c r="DH157" s="2076"/>
      <c r="DI157" s="2076"/>
      <c r="DJ157" s="2076"/>
      <c r="DK157" s="2076"/>
      <c r="DL157" s="2076"/>
      <c r="DM157" s="2076"/>
      <c r="DN157" s="2076"/>
      <c r="DO157" s="856"/>
      <c r="DP157" s="2076"/>
      <c r="DQ157" s="2076"/>
      <c r="DR157" s="856"/>
      <c r="DS157" s="856"/>
      <c r="DT157" s="856"/>
      <c r="DU157" s="856"/>
      <c r="DV157" s="2082"/>
    </row>
    <row r="158" spans="1:256" ht="13.8" hidden="1">
      <c r="A158" s="2083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76"/>
      <c r="CC158" s="2076"/>
      <c r="CD158" s="2076"/>
      <c r="CE158" s="2076"/>
      <c r="CF158" s="2076"/>
      <c r="CG158" s="2076"/>
      <c r="CH158" s="2076"/>
      <c r="CI158" s="2076"/>
      <c r="CJ158" s="2076"/>
      <c r="CK158" s="2076"/>
      <c r="CL158" s="2076"/>
      <c r="CM158" s="2076"/>
      <c r="CN158" s="2076"/>
      <c r="CO158" s="2076"/>
      <c r="CP158" s="2076"/>
      <c r="CQ158" s="2076"/>
      <c r="CR158" s="2076"/>
      <c r="CS158" s="2076"/>
      <c r="CT158" s="2076"/>
      <c r="CU158" s="2076"/>
      <c r="CV158" s="2076"/>
      <c r="CW158" s="2076"/>
      <c r="CX158" s="2076"/>
      <c r="CY158" s="908"/>
      <c r="CZ158" s="2076"/>
      <c r="DA158" s="2076"/>
      <c r="DB158" s="2076"/>
      <c r="DC158" s="856"/>
      <c r="DD158" s="2076"/>
      <c r="DE158" s="2076"/>
      <c r="DF158" s="2076"/>
      <c r="DG158" s="2076"/>
      <c r="DH158" s="2076"/>
      <c r="DI158" s="2076"/>
      <c r="DJ158" s="2076"/>
      <c r="DK158" s="2076"/>
      <c r="DL158" s="2076"/>
      <c r="DM158" s="2076"/>
      <c r="DN158" s="2076"/>
      <c r="DO158" s="856"/>
      <c r="DP158" s="2076"/>
      <c r="DQ158" s="2076"/>
      <c r="DR158" s="856"/>
      <c r="DS158" s="856"/>
      <c r="DT158" s="856"/>
      <c r="DU158" s="856"/>
      <c r="DV158" s="2082"/>
    </row>
    <row r="159" spans="1:256" ht="13.8" hidden="1">
      <c r="A159" s="2083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76"/>
      <c r="CC159" s="2076"/>
      <c r="CD159" s="2076"/>
      <c r="CE159" s="2076"/>
      <c r="CF159" s="2076"/>
      <c r="CG159" s="2076"/>
      <c r="CH159" s="2076"/>
      <c r="CI159" s="2076"/>
      <c r="CJ159" s="2076"/>
      <c r="CK159" s="2076"/>
      <c r="CL159" s="2076"/>
      <c r="CM159" s="2076"/>
      <c r="CN159" s="2076"/>
      <c r="CO159" s="2076"/>
      <c r="CP159" s="2076"/>
      <c r="CQ159" s="2076"/>
      <c r="CR159" s="2076"/>
      <c r="CS159" s="2076"/>
      <c r="CT159" s="2076"/>
      <c r="CU159" s="2076"/>
      <c r="CV159" s="2076"/>
      <c r="CW159" s="2076"/>
      <c r="CX159" s="2076"/>
      <c r="CY159" s="908"/>
      <c r="CZ159" s="2076"/>
      <c r="DA159" s="2076"/>
      <c r="DB159" s="2076"/>
      <c r="DC159" s="856"/>
      <c r="DD159" s="2076"/>
      <c r="DE159" s="2076"/>
      <c r="DF159" s="2076"/>
      <c r="DG159" s="2076"/>
      <c r="DH159" s="2076"/>
      <c r="DI159" s="2076"/>
      <c r="DJ159" s="2076"/>
      <c r="DK159" s="2076"/>
      <c r="DL159" s="2076"/>
      <c r="DM159" s="2076"/>
      <c r="DN159" s="2076"/>
      <c r="DO159" s="856"/>
      <c r="DP159" s="2076"/>
      <c r="DQ159" s="2076"/>
      <c r="DR159" s="856"/>
      <c r="DS159" s="856"/>
      <c r="DT159" s="856"/>
      <c r="DU159" s="856"/>
      <c r="DV159" s="2082"/>
    </row>
    <row r="160" spans="1:256" ht="13.8" hidden="1">
      <c r="A160" s="2083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76"/>
      <c r="CC160" s="2076"/>
      <c r="CD160" s="2076"/>
      <c r="CE160" s="2076"/>
      <c r="CF160" s="2076"/>
      <c r="CG160" s="2076"/>
      <c r="CH160" s="2076"/>
      <c r="CI160" s="2076"/>
      <c r="CJ160" s="2076"/>
      <c r="CK160" s="2076"/>
      <c r="CL160" s="2076"/>
      <c r="CM160" s="2076"/>
      <c r="CN160" s="2076"/>
      <c r="CO160" s="2076"/>
      <c r="CP160" s="2076"/>
      <c r="CQ160" s="2076"/>
      <c r="CR160" s="2076"/>
      <c r="CS160" s="2076"/>
      <c r="CT160" s="2076"/>
      <c r="CU160" s="2076"/>
      <c r="CV160" s="2076"/>
      <c r="CW160" s="2076"/>
      <c r="CX160" s="2076"/>
      <c r="CY160" s="908"/>
      <c r="CZ160" s="2076"/>
      <c r="DA160" s="2076"/>
      <c r="DB160" s="2076"/>
      <c r="DC160" s="856"/>
      <c r="DD160" s="2076"/>
      <c r="DE160" s="2076"/>
      <c r="DF160" s="2076"/>
      <c r="DG160" s="2076"/>
      <c r="DH160" s="2076"/>
      <c r="DI160" s="2076"/>
      <c r="DJ160" s="2076"/>
      <c r="DK160" s="2076"/>
      <c r="DL160" s="2076"/>
      <c r="DM160" s="2076"/>
      <c r="DN160" s="2076"/>
      <c r="DO160" s="856"/>
      <c r="DP160" s="2076"/>
      <c r="DQ160" s="2076"/>
      <c r="DR160" s="856"/>
      <c r="DS160" s="856"/>
      <c r="DT160" s="856"/>
      <c r="DU160" s="856"/>
      <c r="DV160" s="2082"/>
    </row>
    <row r="161" spans="1:256" s="767" customFormat="1" ht="13.8" hidden="1">
      <c r="A161" s="2083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76"/>
      <c r="CC161" s="2076"/>
      <c r="CD161" s="2076"/>
      <c r="CE161" s="2076"/>
      <c r="CF161" s="2076"/>
      <c r="CG161" s="2076"/>
      <c r="CH161" s="2076"/>
      <c r="CI161" s="2076"/>
      <c r="CJ161" s="2076"/>
      <c r="CK161" s="2076"/>
      <c r="CL161" s="2076"/>
      <c r="CM161" s="2076"/>
      <c r="CN161" s="2076"/>
      <c r="CO161" s="2076"/>
      <c r="CP161" s="2076"/>
      <c r="CQ161" s="2076"/>
      <c r="CR161" s="2076"/>
      <c r="CS161" s="2076"/>
      <c r="CT161" s="2076"/>
      <c r="CU161" s="2076"/>
      <c r="CV161" s="2076"/>
      <c r="CW161" s="2076"/>
      <c r="CX161" s="2076"/>
      <c r="CY161" s="908"/>
      <c r="CZ161" s="2076"/>
      <c r="DA161" s="2076"/>
      <c r="DB161" s="2076"/>
      <c r="DC161" s="856"/>
      <c r="DD161" s="2076"/>
      <c r="DE161" s="2076"/>
      <c r="DF161" s="2076"/>
      <c r="DG161" s="2076"/>
      <c r="DH161" s="2076"/>
      <c r="DI161" s="2076"/>
      <c r="DJ161" s="2076"/>
      <c r="DK161" s="2076"/>
      <c r="DL161" s="2076"/>
      <c r="DM161" s="2076"/>
      <c r="DN161" s="2076"/>
      <c r="DO161" s="856"/>
      <c r="DP161" s="2076"/>
      <c r="DQ161" s="2076"/>
      <c r="DR161" s="856"/>
      <c r="DS161" s="856"/>
      <c r="DT161" s="856"/>
      <c r="DU161" s="856"/>
      <c r="DV161" s="2082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93"/>
      <c r="B162" s="2094"/>
      <c r="C162" s="2095"/>
      <c r="D162" s="2095"/>
      <c r="E162" s="2095"/>
      <c r="F162" s="2095"/>
      <c r="G162" s="2095"/>
      <c r="H162" s="2095"/>
      <c r="I162" s="2095"/>
      <c r="J162" s="2095"/>
      <c r="K162" s="2095"/>
      <c r="L162" s="2095"/>
      <c r="M162" s="2095"/>
      <c r="N162" s="2095"/>
      <c r="O162" s="2095"/>
      <c r="P162" s="2095"/>
      <c r="Q162" s="2095"/>
      <c r="R162" s="2095"/>
      <c r="S162" s="2095"/>
      <c r="T162" s="2095"/>
      <c r="U162" s="2095"/>
      <c r="V162" s="2095"/>
      <c r="W162" s="2095"/>
      <c r="X162" s="2095"/>
      <c r="Y162" s="2095"/>
      <c r="Z162" s="2095"/>
      <c r="AA162" s="2095"/>
      <c r="AB162" s="2095"/>
      <c r="AC162" s="2095"/>
      <c r="AD162" s="2095"/>
      <c r="AE162" s="2095"/>
      <c r="AF162" s="2095"/>
      <c r="AG162" s="2095"/>
      <c r="AH162" s="2095"/>
      <c r="AI162" s="2095"/>
      <c r="AJ162" s="2095"/>
      <c r="AK162" s="2095"/>
      <c r="AL162" s="2095"/>
      <c r="AM162" s="2095"/>
      <c r="AN162" s="2095"/>
      <c r="AO162" s="2095"/>
      <c r="AP162" s="2095"/>
      <c r="AQ162" s="2095"/>
      <c r="AR162" s="2095"/>
      <c r="AS162" s="2095"/>
      <c r="AT162" s="2095"/>
      <c r="AU162" s="2095"/>
      <c r="AV162" s="2095"/>
      <c r="AW162" s="2095"/>
      <c r="AX162" s="2095"/>
      <c r="AY162" s="2095"/>
      <c r="AZ162" s="2095"/>
      <c r="BA162" s="2095"/>
      <c r="BB162" s="2095"/>
      <c r="BC162" s="2095"/>
      <c r="BD162" s="2095"/>
      <c r="BE162" s="2095"/>
      <c r="BF162" s="2095"/>
      <c r="BG162" s="2095"/>
      <c r="BH162" s="2095"/>
      <c r="BI162" s="2095"/>
      <c r="BJ162" s="2095"/>
      <c r="BK162" s="2095"/>
      <c r="BL162" s="2095"/>
      <c r="BM162" s="2095"/>
      <c r="BN162" s="2095"/>
      <c r="BO162" s="2095"/>
      <c r="BP162" s="2095"/>
      <c r="BQ162" s="2095"/>
      <c r="BR162" s="2095"/>
      <c r="BS162" s="2095"/>
      <c r="BT162" s="2095"/>
      <c r="BU162" s="2095"/>
      <c r="BV162" s="2095"/>
      <c r="BW162" s="2095"/>
      <c r="BX162" s="2095"/>
      <c r="BY162" s="2095"/>
      <c r="BZ162" s="2095"/>
      <c r="CA162" s="2095"/>
      <c r="CB162" s="2095"/>
      <c r="CC162" s="2095"/>
      <c r="CD162" s="2095"/>
      <c r="CE162" s="2076"/>
      <c r="CF162" s="2095"/>
      <c r="CG162" s="2095"/>
      <c r="CH162" s="2095"/>
      <c r="CI162" s="2095"/>
      <c r="CJ162" s="2095"/>
      <c r="CK162" s="2095"/>
      <c r="CL162" s="2095"/>
      <c r="CM162" s="2095"/>
      <c r="CN162" s="2095"/>
      <c r="CO162" s="2095"/>
      <c r="CP162" s="2095"/>
      <c r="CQ162" s="2095"/>
      <c r="CR162" s="2095"/>
      <c r="CS162" s="2095"/>
      <c r="CT162" s="2095"/>
      <c r="CU162" s="2095"/>
      <c r="CV162" s="2095"/>
      <c r="CW162" s="2095"/>
      <c r="CX162" s="2095"/>
      <c r="CY162" s="2096"/>
      <c r="CZ162" s="2095"/>
      <c r="DA162" s="2095"/>
      <c r="DB162" s="2095"/>
      <c r="DC162" s="2095"/>
      <c r="DD162" s="2095"/>
      <c r="DE162" s="2095"/>
      <c r="DF162" s="2095"/>
      <c r="DG162" s="2095"/>
      <c r="DH162" s="2095"/>
      <c r="DI162" s="2095"/>
      <c r="DJ162" s="2095"/>
      <c r="DK162" s="2095"/>
      <c r="DL162" s="2095"/>
      <c r="DM162" s="2095"/>
      <c r="DN162" s="2095"/>
      <c r="DO162" s="2095"/>
      <c r="DP162" s="2095"/>
      <c r="DQ162" s="2095"/>
      <c r="DR162" s="2095"/>
      <c r="DS162" s="2095"/>
      <c r="DT162" s="2095"/>
      <c r="DU162" s="2095"/>
      <c r="DV162" s="2097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109"/>
      <c r="B163" s="2110"/>
      <c r="C163" s="2110"/>
      <c r="D163" s="2110"/>
      <c r="E163" s="2110"/>
      <c r="F163" s="2110"/>
      <c r="G163" s="2110"/>
      <c r="H163" s="2110"/>
      <c r="I163" s="2110"/>
      <c r="J163" s="2110"/>
      <c r="K163" s="2110"/>
      <c r="L163" s="2110"/>
      <c r="M163" s="2110"/>
      <c r="N163" s="2110"/>
      <c r="O163" s="2110"/>
      <c r="P163" s="2110"/>
      <c r="Q163" s="2110"/>
      <c r="R163" s="2110"/>
      <c r="S163" s="2111"/>
      <c r="T163" s="2111"/>
      <c r="U163" s="2111"/>
      <c r="V163" s="2111"/>
      <c r="W163" s="2111"/>
      <c r="X163" s="2111"/>
      <c r="Y163" s="2111"/>
      <c r="Z163" s="2111"/>
      <c r="AA163" s="2111"/>
      <c r="AB163" s="2111"/>
      <c r="AC163" s="2111"/>
      <c r="AD163" s="2111"/>
      <c r="AE163" s="2111"/>
      <c r="AF163" s="2111"/>
      <c r="AG163" s="2111"/>
      <c r="AH163" s="2111"/>
      <c r="AI163" s="2111"/>
      <c r="AJ163" s="2111"/>
      <c r="AK163" s="2111"/>
      <c r="AL163" s="2111"/>
      <c r="AM163" s="2111"/>
      <c r="AN163" s="2111"/>
      <c r="AO163" s="2111"/>
      <c r="AP163" s="2111"/>
      <c r="AQ163" s="2111"/>
      <c r="AR163" s="2111"/>
      <c r="AS163" s="2111"/>
      <c r="AT163" s="2111"/>
      <c r="AU163" s="2111"/>
      <c r="AV163" s="2111"/>
      <c r="AW163" s="2111"/>
      <c r="AX163" s="2111"/>
      <c r="AY163" s="2111"/>
      <c r="AZ163" s="2111"/>
      <c r="BA163" s="2111"/>
      <c r="BB163" s="2111"/>
      <c r="BC163" s="2111"/>
      <c r="BD163" s="2111"/>
      <c r="BE163" s="2111"/>
      <c r="BF163" s="2111"/>
      <c r="BG163" s="2111"/>
      <c r="BH163" s="2111"/>
      <c r="BI163" s="2111"/>
      <c r="BJ163" s="2111"/>
      <c r="BK163" s="2111"/>
      <c r="BL163" s="2111"/>
      <c r="BM163" s="2111"/>
      <c r="BN163" s="2111"/>
      <c r="BO163" s="2111"/>
      <c r="BP163" s="2111"/>
      <c r="BQ163" s="2111"/>
      <c r="BR163" s="2111"/>
      <c r="BS163" s="2111"/>
      <c r="BT163" s="2111"/>
      <c r="BU163" s="2111"/>
      <c r="BV163" s="2111"/>
      <c r="BW163" s="2111"/>
      <c r="BX163" s="2111"/>
      <c r="BY163" s="2111"/>
      <c r="BZ163" s="2111"/>
      <c r="CA163" s="2111"/>
      <c r="CB163" s="2111"/>
      <c r="CC163" s="2111"/>
      <c r="CD163" s="2111"/>
      <c r="CE163" s="2076"/>
      <c r="CF163" s="2111"/>
      <c r="CG163" s="2111"/>
      <c r="CH163" s="2111"/>
      <c r="CI163" s="2111"/>
      <c r="CJ163" s="2111"/>
      <c r="CK163" s="2111"/>
      <c r="CL163" s="2111"/>
      <c r="CM163" s="2111"/>
      <c r="CN163" s="2111"/>
      <c r="CO163" s="2111"/>
      <c r="CP163" s="2111"/>
      <c r="CQ163" s="2111"/>
      <c r="CR163" s="2111"/>
      <c r="CS163" s="2111"/>
      <c r="CT163" s="2111"/>
      <c r="CU163" s="2111"/>
      <c r="CV163" s="2111"/>
      <c r="CW163" s="2111"/>
      <c r="CX163" s="2111"/>
      <c r="CY163" s="2112"/>
      <c r="CZ163" s="2111"/>
      <c r="DA163" s="2111"/>
      <c r="DB163" s="2111"/>
      <c r="DC163" s="2111"/>
      <c r="DD163" s="2111"/>
      <c r="DE163" s="2111"/>
      <c r="DF163" s="2111"/>
      <c r="DG163" s="2111"/>
      <c r="DH163" s="2111"/>
      <c r="DI163" s="2111"/>
      <c r="DJ163" s="2111"/>
      <c r="DK163" s="2111"/>
      <c r="DL163" s="2111"/>
      <c r="DM163" s="2111"/>
      <c r="DN163" s="2111"/>
      <c r="DO163" s="2111"/>
      <c r="DP163" s="2111"/>
      <c r="DQ163" s="2111"/>
      <c r="DR163" s="2111"/>
      <c r="DS163" s="2111"/>
      <c r="DT163" s="2111"/>
      <c r="DU163" s="2111"/>
      <c r="DV163" s="2113"/>
      <c r="IR163" s="616"/>
      <c r="IS163" s="616"/>
      <c r="IT163" s="616"/>
      <c r="IU163" s="616"/>
      <c r="IV163" s="616"/>
    </row>
    <row r="164" spans="1:256" ht="17.25" hidden="1" customHeight="1">
      <c r="A164" s="2083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76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114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82"/>
      <c r="IR164" s="629"/>
      <c r="IS164" s="629"/>
      <c r="IT164" s="629"/>
      <c r="IU164" s="629"/>
      <c r="IV164" s="629"/>
    </row>
    <row r="165" spans="1:256" ht="18.75" hidden="1" customHeight="1">
      <c r="A165" s="2115"/>
      <c r="B165" s="2116"/>
      <c r="C165" s="2117"/>
      <c r="D165" s="2117"/>
      <c r="E165" s="2117"/>
      <c r="F165" s="2117"/>
      <c r="G165" s="2117"/>
      <c r="H165" s="2117"/>
      <c r="I165" s="2117"/>
      <c r="J165" s="2117"/>
      <c r="K165" s="2117"/>
      <c r="L165" s="2117"/>
      <c r="M165" s="2117"/>
      <c r="N165" s="2117"/>
      <c r="O165" s="2117"/>
      <c r="P165" s="2117"/>
      <c r="Q165" s="2117"/>
      <c r="R165" s="2117"/>
      <c r="S165" s="2117"/>
      <c r="T165" s="2117"/>
      <c r="U165" s="2117"/>
      <c r="V165" s="2117"/>
      <c r="W165" s="2117"/>
      <c r="X165" s="2117"/>
      <c r="Y165" s="2117"/>
      <c r="Z165" s="2117"/>
      <c r="AA165" s="2117"/>
      <c r="AB165" s="2117"/>
      <c r="AC165" s="2117"/>
      <c r="AD165" s="2117"/>
      <c r="AE165" s="2117"/>
      <c r="AF165" s="2117"/>
      <c r="AG165" s="2117"/>
      <c r="AH165" s="2117"/>
      <c r="AI165" s="2117"/>
      <c r="AJ165" s="2117"/>
      <c r="AK165" s="2117"/>
      <c r="AL165" s="2117"/>
      <c r="AM165" s="2117"/>
      <c r="AN165" s="2117"/>
      <c r="AO165" s="2117"/>
      <c r="AP165" s="2117"/>
      <c r="AQ165" s="2117"/>
      <c r="AR165" s="2117"/>
      <c r="AS165" s="2117"/>
      <c r="AT165" s="2117"/>
      <c r="AU165" s="2117"/>
      <c r="AV165" s="2117"/>
      <c r="AW165" s="2117"/>
      <c r="AX165" s="2117"/>
      <c r="AY165" s="2117"/>
      <c r="AZ165" s="2117"/>
      <c r="BA165" s="2117"/>
      <c r="BB165" s="2117"/>
      <c r="BC165" s="2117"/>
      <c r="BD165" s="2117"/>
      <c r="BE165" s="2117"/>
      <c r="BF165" s="2117"/>
      <c r="BG165" s="2117"/>
      <c r="BH165" s="2117"/>
      <c r="BI165" s="2117"/>
      <c r="BJ165" s="2117"/>
      <c r="BK165" s="2117"/>
      <c r="BL165" s="2117"/>
      <c r="BM165" s="2117"/>
      <c r="BN165" s="2117"/>
      <c r="BO165" s="2117"/>
      <c r="BP165" s="2117"/>
      <c r="BQ165" s="2117"/>
      <c r="BR165" s="2117"/>
      <c r="BS165" s="2117"/>
      <c r="BT165" s="2117"/>
      <c r="BU165" s="2117"/>
      <c r="BV165" s="2117"/>
      <c r="BW165" s="2117"/>
      <c r="BX165" s="2117"/>
      <c r="BY165" s="2117"/>
      <c r="BZ165" s="2117"/>
      <c r="CA165" s="2117"/>
      <c r="CB165" s="2117"/>
      <c r="CC165" s="2117"/>
      <c r="CD165" s="2117"/>
      <c r="CE165" s="2076"/>
      <c r="CF165" s="2117"/>
      <c r="CG165" s="2117"/>
      <c r="CH165" s="2117"/>
      <c r="CI165" s="2117"/>
      <c r="CJ165" s="2117"/>
      <c r="CK165" s="2117"/>
      <c r="CL165" s="2117"/>
      <c r="CM165" s="2117"/>
      <c r="CN165" s="2117"/>
      <c r="CO165" s="2117"/>
      <c r="CP165" s="2117"/>
      <c r="CQ165" s="2117"/>
      <c r="CR165" s="2117"/>
      <c r="CS165" s="2117"/>
      <c r="CT165" s="2117"/>
      <c r="CU165" s="2117"/>
      <c r="CV165" s="2117"/>
      <c r="CW165" s="2117"/>
      <c r="CX165" s="2117"/>
      <c r="CY165" s="2118"/>
      <c r="CZ165" s="2117"/>
      <c r="DA165" s="2117"/>
      <c r="DB165" s="2117"/>
      <c r="DC165" s="2117"/>
      <c r="DD165" s="2117"/>
      <c r="DE165" s="2117"/>
      <c r="DF165" s="2117"/>
      <c r="DG165" s="2117"/>
      <c r="DH165" s="2117"/>
      <c r="DI165" s="2117"/>
      <c r="DJ165" s="2117"/>
      <c r="DK165" s="2117"/>
      <c r="DL165" s="2117"/>
      <c r="DM165" s="2117"/>
      <c r="DN165" s="2117"/>
      <c r="DO165" s="2117"/>
      <c r="DP165" s="2117"/>
      <c r="DQ165" s="2117"/>
      <c r="DR165" s="2117"/>
      <c r="DS165" s="2117"/>
      <c r="DT165" s="2117"/>
      <c r="DU165" s="2117"/>
      <c r="DV165" s="2113"/>
    </row>
    <row r="166" spans="1:256" s="632" customFormat="1" ht="18" hidden="1" customHeight="1">
      <c r="A166" s="2089"/>
      <c r="B166" s="1199"/>
      <c r="C166" s="1199"/>
      <c r="D166" s="1199"/>
      <c r="E166" s="1199"/>
      <c r="F166" s="1199"/>
      <c r="G166" s="1199"/>
      <c r="H166" s="1199"/>
      <c r="I166" s="1199"/>
      <c r="J166" s="1199"/>
      <c r="K166" s="1199"/>
      <c r="L166" s="1199"/>
      <c r="M166" s="1199"/>
      <c r="N166" s="1199"/>
      <c r="O166" s="1199"/>
      <c r="P166" s="1199"/>
      <c r="Q166" s="1199"/>
      <c r="R166" s="1199"/>
      <c r="S166" s="1199"/>
      <c r="T166" s="1199"/>
      <c r="U166" s="1199"/>
      <c r="V166" s="1199"/>
      <c r="W166" s="1199"/>
      <c r="X166" s="1199"/>
      <c r="Y166" s="1199"/>
      <c r="Z166" s="1199"/>
      <c r="AA166" s="1199"/>
      <c r="AB166" s="1199"/>
      <c r="AC166" s="1199"/>
      <c r="AD166" s="1199"/>
      <c r="AE166" s="1199"/>
      <c r="AF166" s="1199"/>
      <c r="AG166" s="1199"/>
      <c r="AH166" s="1199"/>
      <c r="AI166" s="1199"/>
      <c r="AJ166" s="1199"/>
      <c r="AK166" s="1199"/>
      <c r="AL166" s="1199"/>
      <c r="AM166" s="1199"/>
      <c r="AN166" s="1199"/>
      <c r="AO166" s="1199"/>
      <c r="AP166" s="1199"/>
      <c r="AQ166" s="1199"/>
      <c r="AR166" s="1199"/>
      <c r="AS166" s="1199"/>
      <c r="AT166" s="1199"/>
      <c r="AU166" s="1199"/>
      <c r="AV166" s="1199"/>
      <c r="AW166" s="1199"/>
      <c r="AX166" s="1199"/>
      <c r="AY166" s="1199"/>
      <c r="AZ166" s="1199"/>
      <c r="BA166" s="1199"/>
      <c r="BB166" s="1199"/>
      <c r="BC166" s="1199"/>
      <c r="BD166" s="1199"/>
      <c r="BE166" s="1199"/>
      <c r="BF166" s="1199"/>
      <c r="BG166" s="1199"/>
      <c r="BH166" s="1199"/>
      <c r="BI166" s="1199"/>
      <c r="BJ166" s="1199"/>
      <c r="BK166" s="1199"/>
      <c r="BL166" s="1199"/>
      <c r="BM166" s="1199"/>
      <c r="BN166" s="1199"/>
      <c r="BO166" s="1199"/>
      <c r="BP166" s="1199"/>
      <c r="BQ166" s="1199"/>
      <c r="BR166" s="1199"/>
      <c r="BS166" s="1199"/>
      <c r="BT166" s="1199"/>
      <c r="BU166" s="1199"/>
      <c r="BV166" s="1199"/>
      <c r="BW166" s="1199"/>
      <c r="BX166" s="1199"/>
      <c r="BY166" s="1199"/>
      <c r="BZ166" s="1199"/>
      <c r="CA166" s="1199"/>
      <c r="CB166" s="1199"/>
      <c r="CC166" s="1199"/>
      <c r="CD166" s="1199"/>
      <c r="CE166" s="2076"/>
      <c r="CF166" s="1199"/>
      <c r="CG166" s="1199"/>
      <c r="CH166" s="1199"/>
      <c r="CI166" s="1199"/>
      <c r="CJ166" s="1199"/>
      <c r="CK166" s="1199"/>
      <c r="CL166" s="1199"/>
      <c r="CM166" s="1199"/>
      <c r="CN166" s="1199"/>
      <c r="CO166" s="1199"/>
      <c r="CP166" s="1199"/>
      <c r="CQ166" s="1199"/>
      <c r="CR166" s="1199"/>
      <c r="CS166" s="1199"/>
      <c r="CT166" s="1199"/>
      <c r="CU166" s="1199"/>
      <c r="CV166" s="1199"/>
      <c r="CW166" s="1199"/>
      <c r="CX166" s="1199"/>
      <c r="CY166" s="2090"/>
      <c r="CZ166" s="1199"/>
      <c r="DA166" s="1199"/>
      <c r="DB166" s="1199"/>
      <c r="DC166" s="1199"/>
      <c r="DD166" s="1199"/>
      <c r="DE166" s="1199"/>
      <c r="DF166" s="1199"/>
      <c r="DG166" s="1199"/>
      <c r="DH166" s="1199"/>
      <c r="DI166" s="1199"/>
      <c r="DJ166" s="1199"/>
      <c r="DK166" s="1199"/>
      <c r="DL166" s="1199"/>
      <c r="DM166" s="1199"/>
      <c r="DN166" s="1199"/>
      <c r="DO166" s="1199"/>
      <c r="DP166" s="1199"/>
      <c r="DQ166" s="1199"/>
      <c r="DR166" s="1199"/>
      <c r="DS166" s="1199"/>
      <c r="DT166" s="1199"/>
      <c r="DU166" s="1199"/>
      <c r="DV166" s="2091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119"/>
      <c r="B167" s="1199"/>
      <c r="C167" s="1199"/>
      <c r="D167" s="1199"/>
      <c r="E167" s="1199"/>
      <c r="F167" s="1199"/>
      <c r="G167" s="1199"/>
      <c r="H167" s="1199"/>
      <c r="I167" s="1199"/>
      <c r="J167" s="1199"/>
      <c r="K167" s="1199"/>
      <c r="L167" s="1199"/>
      <c r="M167" s="1199"/>
      <c r="N167" s="1199"/>
      <c r="O167" s="1199"/>
      <c r="P167" s="1199"/>
      <c r="Q167" s="1199"/>
      <c r="R167" s="1199"/>
      <c r="S167" s="1199"/>
      <c r="T167" s="1199"/>
      <c r="U167" s="1199"/>
      <c r="V167" s="1199"/>
      <c r="W167" s="1199"/>
      <c r="X167" s="1199"/>
      <c r="Y167" s="1199"/>
      <c r="Z167" s="1199"/>
      <c r="AA167" s="1199"/>
      <c r="AB167" s="1199"/>
      <c r="AC167" s="1199"/>
      <c r="AD167" s="1199"/>
      <c r="AE167" s="1199"/>
      <c r="AF167" s="1199"/>
      <c r="AG167" s="1199"/>
      <c r="AH167" s="1199"/>
      <c r="AI167" s="1199"/>
      <c r="AJ167" s="1199"/>
      <c r="AK167" s="1199"/>
      <c r="AL167" s="1199"/>
      <c r="AM167" s="1199"/>
      <c r="AN167" s="1199"/>
      <c r="AO167" s="1199"/>
      <c r="AP167" s="1199"/>
      <c r="AQ167" s="1199"/>
      <c r="AR167" s="1199"/>
      <c r="AS167" s="1199"/>
      <c r="AT167" s="1199"/>
      <c r="AU167" s="1199"/>
      <c r="AV167" s="1199"/>
      <c r="AW167" s="1199"/>
      <c r="AX167" s="1199"/>
      <c r="AY167" s="1199"/>
      <c r="AZ167" s="1199"/>
      <c r="BA167" s="1199"/>
      <c r="BB167" s="1199"/>
      <c r="BC167" s="1199"/>
      <c r="BD167" s="1199"/>
      <c r="BE167" s="1199"/>
      <c r="BF167" s="1199"/>
      <c r="BG167" s="1199"/>
      <c r="BH167" s="1199"/>
      <c r="BI167" s="1199"/>
      <c r="BJ167" s="1199"/>
      <c r="BK167" s="1199"/>
      <c r="BL167" s="1199"/>
      <c r="BM167" s="1199"/>
      <c r="BN167" s="1199"/>
      <c r="BO167" s="1199"/>
      <c r="BP167" s="1199"/>
      <c r="BQ167" s="1199"/>
      <c r="BR167" s="1199"/>
      <c r="BS167" s="1199"/>
      <c r="BT167" s="1199"/>
      <c r="BU167" s="1199"/>
      <c r="BV167" s="1199"/>
      <c r="BW167" s="1199"/>
      <c r="BX167" s="1199"/>
      <c r="BY167" s="1199"/>
      <c r="BZ167" s="1199"/>
      <c r="CA167" s="1199"/>
      <c r="CB167" s="1199"/>
      <c r="CC167" s="1199"/>
      <c r="CD167" s="1199"/>
      <c r="CE167" s="2076"/>
      <c r="CF167" s="1199"/>
      <c r="CG167" s="1199"/>
      <c r="CH167" s="1199"/>
      <c r="CI167" s="1199"/>
      <c r="CJ167" s="1199"/>
      <c r="CK167" s="1199"/>
      <c r="CL167" s="1199"/>
      <c r="CM167" s="1199"/>
      <c r="CN167" s="1199"/>
      <c r="CO167" s="1199"/>
      <c r="CP167" s="1199"/>
      <c r="CQ167" s="1199"/>
      <c r="CR167" s="1199"/>
      <c r="CS167" s="1199"/>
      <c r="CT167" s="1199"/>
      <c r="CU167" s="1199"/>
      <c r="CV167" s="1199"/>
      <c r="CW167" s="1199"/>
      <c r="CX167" s="1199"/>
      <c r="CY167" s="2090"/>
      <c r="CZ167" s="1199"/>
      <c r="DA167" s="1199"/>
      <c r="DB167" s="1199"/>
      <c r="DC167" s="1199"/>
      <c r="DD167" s="1199"/>
      <c r="DE167" s="1199"/>
      <c r="DF167" s="1199"/>
      <c r="DG167" s="1199"/>
      <c r="DH167" s="1199"/>
      <c r="DI167" s="1199"/>
      <c r="DJ167" s="1199"/>
      <c r="DK167" s="1199"/>
      <c r="DL167" s="1199"/>
      <c r="DM167" s="1199"/>
      <c r="DN167" s="1199"/>
      <c r="DO167" s="1199"/>
      <c r="DP167" s="1199"/>
      <c r="DQ167" s="1199"/>
      <c r="DR167" s="1199"/>
      <c r="DS167" s="1199"/>
      <c r="DT167" s="1199"/>
      <c r="DU167" s="1199"/>
      <c r="DV167" s="2091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92"/>
      <c r="B168" s="1199"/>
      <c r="C168" s="1199"/>
      <c r="D168" s="1199"/>
      <c r="E168" s="1199"/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/>
      <c r="P168" s="1199"/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199"/>
      <c r="AB168" s="1199"/>
      <c r="AC168" s="1199"/>
      <c r="AD168" s="1199"/>
      <c r="AE168" s="1199"/>
      <c r="AF168" s="1199"/>
      <c r="AG168" s="1199"/>
      <c r="AH168" s="1199"/>
      <c r="AI168" s="1199"/>
      <c r="AJ168" s="1199"/>
      <c r="AK168" s="1199"/>
      <c r="AL168" s="1199"/>
      <c r="AM168" s="1199"/>
      <c r="AN168" s="1199"/>
      <c r="AO168" s="1199"/>
      <c r="AP168" s="1199"/>
      <c r="AQ168" s="1199"/>
      <c r="AR168" s="1199"/>
      <c r="AS168" s="1199"/>
      <c r="AT168" s="1199"/>
      <c r="AU168" s="1199"/>
      <c r="AV168" s="1199"/>
      <c r="AW168" s="1199"/>
      <c r="AX168" s="1199"/>
      <c r="AY168" s="1199"/>
      <c r="AZ168" s="1199"/>
      <c r="BA168" s="1199"/>
      <c r="BB168" s="1199"/>
      <c r="BC168" s="1199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1199"/>
      <c r="BV168" s="1199"/>
      <c r="BW168" s="1199"/>
      <c r="BX168" s="1199"/>
      <c r="BY168" s="1199"/>
      <c r="BZ168" s="1199"/>
      <c r="CA168" s="1199"/>
      <c r="CB168" s="1199"/>
      <c r="CC168" s="1199"/>
      <c r="CD168" s="1199"/>
      <c r="CE168" s="2076"/>
      <c r="CF168" s="1199"/>
      <c r="CG168" s="1199"/>
      <c r="CH168" s="1199"/>
      <c r="CI168" s="1199"/>
      <c r="CJ168" s="1199"/>
      <c r="CK168" s="1199"/>
      <c r="CL168" s="1199"/>
      <c r="CM168" s="1199"/>
      <c r="CN168" s="1199"/>
      <c r="CO168" s="1199"/>
      <c r="CP168" s="1199"/>
      <c r="CQ168" s="1199"/>
      <c r="CR168" s="1199"/>
      <c r="CS168" s="1199"/>
      <c r="CT168" s="1199"/>
      <c r="CU168" s="1199"/>
      <c r="CV168" s="1199"/>
      <c r="CW168" s="1199"/>
      <c r="CX168" s="1199"/>
      <c r="CY168" s="2090"/>
      <c r="CZ168" s="1199"/>
      <c r="DA168" s="1199"/>
      <c r="DB168" s="1199"/>
      <c r="DC168" s="1199"/>
      <c r="DD168" s="1199"/>
      <c r="DE168" s="1199"/>
      <c r="DF168" s="1199"/>
      <c r="DG168" s="1199"/>
      <c r="DH168" s="1199"/>
      <c r="DI168" s="1199"/>
      <c r="DJ168" s="1199"/>
      <c r="DK168" s="1199"/>
      <c r="DL168" s="1199"/>
      <c r="DM168" s="1199"/>
      <c r="DN168" s="1199"/>
      <c r="DO168" s="1199"/>
      <c r="DP168" s="1199"/>
      <c r="DQ168" s="1199"/>
      <c r="DR168" s="1199"/>
      <c r="DS168" s="1199"/>
      <c r="DT168" s="1199"/>
      <c r="DU168" s="1199"/>
      <c r="DV168" s="2091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83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76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82"/>
      <c r="IR169" s="629"/>
      <c r="IS169" s="629"/>
      <c r="IT169" s="629"/>
      <c r="IU169" s="629"/>
      <c r="IV169" s="629"/>
    </row>
    <row r="170" spans="1:256" ht="17.25" hidden="1" customHeight="1">
      <c r="A170" s="2083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76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82"/>
    </row>
    <row r="171" spans="1:256" ht="17.25" hidden="1" customHeight="1">
      <c r="A171" s="2083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76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82"/>
    </row>
    <row r="172" spans="1:256" ht="17.25" hidden="1" customHeight="1">
      <c r="A172" s="2083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76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82"/>
    </row>
    <row r="173" spans="1:256" ht="17.25" hidden="1" customHeight="1">
      <c r="A173" s="2083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76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82"/>
    </row>
    <row r="174" spans="1:256" ht="17.25" hidden="1" customHeight="1">
      <c r="A174" s="2083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76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82"/>
    </row>
    <row r="175" spans="1:256" ht="17.25" hidden="1" customHeight="1">
      <c r="A175" s="2083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76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82"/>
    </row>
    <row r="176" spans="1:256" ht="17.25" hidden="1" customHeight="1">
      <c r="A176" s="2083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76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82"/>
    </row>
    <row r="177" spans="1:256" s="767" customFormat="1" ht="17.25" hidden="1" customHeight="1">
      <c r="A177" s="2083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76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82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120"/>
      <c r="B178" s="2121"/>
      <c r="C178" s="2120"/>
      <c r="D178" s="2120"/>
      <c r="E178" s="2120"/>
      <c r="F178" s="2120"/>
      <c r="G178" s="2120"/>
      <c r="H178" s="2120"/>
      <c r="I178" s="2120"/>
      <c r="J178" s="2120"/>
      <c r="K178" s="2120"/>
      <c r="L178" s="2120"/>
      <c r="M178" s="2120"/>
      <c r="N178" s="2120"/>
      <c r="O178" s="2120"/>
      <c r="P178" s="2120"/>
      <c r="Q178" s="2120"/>
      <c r="R178" s="2120"/>
      <c r="S178" s="2120"/>
      <c r="T178" s="2120"/>
      <c r="U178" s="2120"/>
      <c r="V178" s="2120"/>
      <c r="W178" s="2120"/>
      <c r="X178" s="2120"/>
      <c r="Y178" s="2120"/>
      <c r="Z178" s="2120"/>
      <c r="AA178" s="2120"/>
      <c r="AB178" s="2120"/>
      <c r="AC178" s="2120"/>
      <c r="AD178" s="2120"/>
      <c r="AE178" s="2120"/>
      <c r="AF178" s="2120"/>
      <c r="AG178" s="2120"/>
      <c r="AH178" s="2120"/>
      <c r="AI178" s="2120"/>
      <c r="AJ178" s="2120"/>
      <c r="AK178" s="2120"/>
      <c r="AL178" s="2120"/>
      <c r="AM178" s="2120"/>
      <c r="AN178" s="2120"/>
      <c r="AO178" s="2120"/>
      <c r="AP178" s="2120"/>
      <c r="AQ178" s="2120"/>
      <c r="AR178" s="2120"/>
      <c r="AS178" s="2120"/>
      <c r="AT178" s="2120"/>
      <c r="AU178" s="2120"/>
      <c r="AV178" s="2120"/>
      <c r="AW178" s="2120"/>
      <c r="AX178" s="2120"/>
      <c r="AY178" s="2120"/>
      <c r="AZ178" s="2120"/>
      <c r="BA178" s="2120"/>
      <c r="BB178" s="2120"/>
      <c r="BC178" s="2120"/>
      <c r="BD178" s="2120"/>
      <c r="BE178" s="2120"/>
      <c r="BF178" s="2120"/>
      <c r="BG178" s="2120"/>
      <c r="BH178" s="2120"/>
      <c r="BI178" s="2120"/>
      <c r="BJ178" s="2120"/>
      <c r="BK178" s="2120"/>
      <c r="BL178" s="2120"/>
      <c r="BM178" s="2120"/>
      <c r="BN178" s="2120"/>
      <c r="BO178" s="2120"/>
      <c r="BP178" s="2120"/>
      <c r="BQ178" s="2120"/>
      <c r="BR178" s="2120"/>
      <c r="BS178" s="2120"/>
      <c r="BT178" s="2120"/>
      <c r="BU178" s="2120"/>
      <c r="BV178" s="2120"/>
      <c r="BW178" s="2120"/>
      <c r="BX178" s="2120"/>
      <c r="BY178" s="2120"/>
      <c r="BZ178" s="2120"/>
      <c r="CA178" s="2120"/>
      <c r="CB178" s="2120"/>
      <c r="CC178" s="2120"/>
      <c r="CD178" s="2120"/>
      <c r="CE178" s="2076"/>
      <c r="CF178" s="2120"/>
      <c r="CG178" s="2120"/>
      <c r="CH178" s="2120"/>
      <c r="CI178" s="2120"/>
      <c r="CJ178" s="2120"/>
      <c r="CK178" s="2120"/>
      <c r="CL178" s="2120"/>
      <c r="CM178" s="2120"/>
      <c r="CN178" s="2120"/>
      <c r="CO178" s="2120"/>
      <c r="CP178" s="2120"/>
      <c r="CQ178" s="2120"/>
      <c r="CR178" s="2120"/>
      <c r="CS178" s="2120"/>
      <c r="CT178" s="2120"/>
      <c r="CU178" s="2120"/>
      <c r="CV178" s="2120"/>
      <c r="CW178" s="2120"/>
      <c r="CX178" s="2120"/>
      <c r="CY178" s="2087"/>
      <c r="CZ178" s="2120"/>
      <c r="DA178" s="2120"/>
      <c r="DB178" s="2120"/>
      <c r="DC178" s="2120"/>
      <c r="DD178" s="2120"/>
      <c r="DE178" s="2120"/>
      <c r="DF178" s="2120"/>
      <c r="DG178" s="2120"/>
      <c r="DH178" s="2120"/>
      <c r="DI178" s="2120"/>
      <c r="DJ178" s="2120"/>
      <c r="DK178" s="2120"/>
      <c r="DL178" s="2120"/>
      <c r="DM178" s="2120"/>
      <c r="DN178" s="2120"/>
      <c r="DO178" s="2120"/>
      <c r="DP178" s="2120"/>
      <c r="DQ178" s="2120"/>
      <c r="DR178" s="2120"/>
      <c r="DS178" s="2120"/>
      <c r="DT178" s="2120"/>
      <c r="DU178" s="2122"/>
      <c r="DV178" s="2123"/>
    </row>
    <row r="179" spans="1:256" s="632" customFormat="1" ht="18" hidden="1" customHeight="1">
      <c r="A179" s="2092"/>
      <c r="B179" s="1199"/>
      <c r="C179" s="1199"/>
      <c r="D179" s="1199"/>
      <c r="E179" s="1199"/>
      <c r="F179" s="1199"/>
      <c r="G179" s="1199"/>
      <c r="H179" s="1199"/>
      <c r="I179" s="1199"/>
      <c r="J179" s="1199"/>
      <c r="K179" s="1199"/>
      <c r="L179" s="1199"/>
      <c r="M179" s="1199"/>
      <c r="N179" s="1199"/>
      <c r="O179" s="1199"/>
      <c r="P179" s="1199"/>
      <c r="Q179" s="1199"/>
      <c r="R179" s="1199"/>
      <c r="S179" s="1199"/>
      <c r="T179" s="1199"/>
      <c r="U179" s="1199"/>
      <c r="V179" s="1199"/>
      <c r="W179" s="1199"/>
      <c r="X179" s="1199"/>
      <c r="Y179" s="1199"/>
      <c r="Z179" s="1199"/>
      <c r="AA179" s="1199"/>
      <c r="AB179" s="1199"/>
      <c r="AC179" s="1199"/>
      <c r="AD179" s="1199"/>
      <c r="AE179" s="1199"/>
      <c r="AF179" s="1199"/>
      <c r="AG179" s="1199"/>
      <c r="AH179" s="1199"/>
      <c r="AI179" s="1199"/>
      <c r="AJ179" s="1199"/>
      <c r="AK179" s="1199"/>
      <c r="AL179" s="1199"/>
      <c r="AM179" s="1199"/>
      <c r="AN179" s="1199"/>
      <c r="AO179" s="1199"/>
      <c r="AP179" s="1199"/>
      <c r="AQ179" s="1199"/>
      <c r="AR179" s="1199"/>
      <c r="AS179" s="1199"/>
      <c r="AT179" s="1199"/>
      <c r="AU179" s="1199"/>
      <c r="AV179" s="1199"/>
      <c r="AW179" s="1199"/>
      <c r="AX179" s="1199"/>
      <c r="AY179" s="1199"/>
      <c r="AZ179" s="1199"/>
      <c r="BA179" s="1199"/>
      <c r="BB179" s="1199"/>
      <c r="BC179" s="1199"/>
      <c r="BD179" s="1199"/>
      <c r="BE179" s="1199"/>
      <c r="BF179" s="1199"/>
      <c r="BG179" s="1199"/>
      <c r="BH179" s="1199"/>
      <c r="BI179" s="1199"/>
      <c r="BJ179" s="1199"/>
      <c r="BK179" s="1199"/>
      <c r="BL179" s="1199"/>
      <c r="BM179" s="1199"/>
      <c r="BN179" s="1199"/>
      <c r="BO179" s="1199"/>
      <c r="BP179" s="1199"/>
      <c r="BQ179" s="1199"/>
      <c r="BR179" s="1199"/>
      <c r="BS179" s="1199"/>
      <c r="BT179" s="1199"/>
      <c r="BU179" s="1199"/>
      <c r="BV179" s="1199"/>
      <c r="BW179" s="1199"/>
      <c r="BX179" s="1199"/>
      <c r="BY179" s="1199"/>
      <c r="BZ179" s="1199"/>
      <c r="CA179" s="1199"/>
      <c r="CB179" s="1199"/>
      <c r="CC179" s="1199"/>
      <c r="CD179" s="1199"/>
      <c r="CE179" s="2076"/>
      <c r="CF179" s="1199"/>
      <c r="CG179" s="1199"/>
      <c r="CH179" s="1199"/>
      <c r="CI179" s="1199"/>
      <c r="CJ179" s="1199"/>
      <c r="CK179" s="1199"/>
      <c r="CL179" s="1199"/>
      <c r="CM179" s="1199"/>
      <c r="CN179" s="1199"/>
      <c r="CO179" s="1199"/>
      <c r="CP179" s="1199"/>
      <c r="CQ179" s="1199"/>
      <c r="CR179" s="1199"/>
      <c r="CS179" s="1199"/>
      <c r="CT179" s="1199"/>
      <c r="CU179" s="1199"/>
      <c r="CV179" s="1199"/>
      <c r="CW179" s="1199"/>
      <c r="CX179" s="1199"/>
      <c r="CY179" s="2090"/>
      <c r="CZ179" s="1199"/>
      <c r="DA179" s="1199"/>
      <c r="DB179" s="1199"/>
      <c r="DC179" s="1199"/>
      <c r="DD179" s="1199"/>
      <c r="DE179" s="1199"/>
      <c r="DF179" s="1199"/>
      <c r="DG179" s="1199"/>
      <c r="DH179" s="1199"/>
      <c r="DI179" s="1199"/>
      <c r="DJ179" s="1199"/>
      <c r="DK179" s="1199"/>
      <c r="DL179" s="1199"/>
      <c r="DM179" s="1199"/>
      <c r="DN179" s="1199"/>
      <c r="DO179" s="1199"/>
      <c r="DP179" s="1199"/>
      <c r="DQ179" s="1199"/>
      <c r="DR179" s="1199"/>
      <c r="DS179" s="1199"/>
      <c r="DT179" s="1199"/>
      <c r="DU179" s="1199"/>
      <c r="DV179" s="2091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83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76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82"/>
      <c r="IR180" s="629"/>
      <c r="IS180" s="629"/>
      <c r="IT180" s="629"/>
      <c r="IU180" s="629"/>
      <c r="IV180" s="629"/>
    </row>
    <row r="181" spans="1:256" ht="17.25" hidden="1" customHeight="1">
      <c r="A181" s="2083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76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82"/>
    </row>
    <row r="182" spans="1:256" ht="17.25" hidden="1" customHeight="1">
      <c r="A182" s="2083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76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82"/>
    </row>
    <row r="183" spans="1:256" ht="17.25" hidden="1" customHeight="1">
      <c r="A183" s="2083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76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82"/>
    </row>
    <row r="184" spans="1:256" ht="17.25" hidden="1" customHeight="1">
      <c r="A184" s="2083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76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82"/>
    </row>
    <row r="185" spans="1:256" ht="17.25" hidden="1" customHeight="1">
      <c r="A185" s="2083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76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82"/>
    </row>
    <row r="186" spans="1:256" ht="17.25" hidden="1" customHeight="1">
      <c r="A186" s="2083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76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82"/>
    </row>
    <row r="187" spans="1:256" s="767" customFormat="1" ht="17.25" hidden="1" customHeight="1">
      <c r="A187" s="2083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76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82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120"/>
      <c r="B188" s="2121"/>
      <c r="C188" s="2120"/>
      <c r="D188" s="2120"/>
      <c r="E188" s="2120"/>
      <c r="F188" s="2120"/>
      <c r="G188" s="2120"/>
      <c r="H188" s="2120"/>
      <c r="I188" s="2120"/>
      <c r="J188" s="2120"/>
      <c r="K188" s="2120"/>
      <c r="L188" s="2120"/>
      <c r="M188" s="2120"/>
      <c r="N188" s="2120"/>
      <c r="O188" s="2120"/>
      <c r="P188" s="2120"/>
      <c r="Q188" s="2120"/>
      <c r="R188" s="2120"/>
      <c r="S188" s="2120"/>
      <c r="T188" s="2120"/>
      <c r="U188" s="2120"/>
      <c r="V188" s="2120"/>
      <c r="W188" s="2120"/>
      <c r="X188" s="2120"/>
      <c r="Y188" s="2120"/>
      <c r="Z188" s="2120"/>
      <c r="AA188" s="2120"/>
      <c r="AB188" s="2120"/>
      <c r="AC188" s="2120"/>
      <c r="AD188" s="2120"/>
      <c r="AE188" s="2120"/>
      <c r="AF188" s="2120"/>
      <c r="AG188" s="2120"/>
      <c r="AH188" s="2120"/>
      <c r="AI188" s="2120"/>
      <c r="AJ188" s="2120"/>
      <c r="AK188" s="2120"/>
      <c r="AL188" s="2120"/>
      <c r="AM188" s="2120"/>
      <c r="AN188" s="2120"/>
      <c r="AO188" s="2120"/>
      <c r="AP188" s="2120"/>
      <c r="AQ188" s="2120"/>
      <c r="AR188" s="2120"/>
      <c r="AS188" s="2120"/>
      <c r="AT188" s="2120"/>
      <c r="AU188" s="2120"/>
      <c r="AV188" s="2120"/>
      <c r="AW188" s="2120"/>
      <c r="AX188" s="2120"/>
      <c r="AY188" s="2120"/>
      <c r="AZ188" s="2120"/>
      <c r="BA188" s="2120"/>
      <c r="BB188" s="2120"/>
      <c r="BC188" s="2120"/>
      <c r="BD188" s="2120"/>
      <c r="BE188" s="2120"/>
      <c r="BF188" s="2120"/>
      <c r="BG188" s="2120"/>
      <c r="BH188" s="2120"/>
      <c r="BI188" s="2120"/>
      <c r="BJ188" s="2120"/>
      <c r="BK188" s="2120"/>
      <c r="BL188" s="2120"/>
      <c r="BM188" s="2120"/>
      <c r="BN188" s="2120"/>
      <c r="BO188" s="2120"/>
      <c r="BP188" s="2120"/>
      <c r="BQ188" s="2120"/>
      <c r="BR188" s="2120"/>
      <c r="BS188" s="2120"/>
      <c r="BT188" s="2120"/>
      <c r="BU188" s="2120"/>
      <c r="BV188" s="2120"/>
      <c r="BW188" s="2120"/>
      <c r="BX188" s="2120"/>
      <c r="BY188" s="2120"/>
      <c r="BZ188" s="2120"/>
      <c r="CA188" s="2120"/>
      <c r="CB188" s="2120"/>
      <c r="CC188" s="2120"/>
      <c r="CD188" s="2120"/>
      <c r="CE188" s="2076"/>
      <c r="CF188" s="2120"/>
      <c r="CG188" s="2120"/>
      <c r="CH188" s="2120"/>
      <c r="CI188" s="2120"/>
      <c r="CJ188" s="2120"/>
      <c r="CK188" s="2120"/>
      <c r="CL188" s="2120"/>
      <c r="CM188" s="2120"/>
      <c r="CN188" s="2120"/>
      <c r="CO188" s="2120"/>
      <c r="CP188" s="2120"/>
      <c r="CQ188" s="2120"/>
      <c r="CR188" s="2120"/>
      <c r="CS188" s="2120"/>
      <c r="CT188" s="2120"/>
      <c r="CU188" s="2120"/>
      <c r="CV188" s="2120"/>
      <c r="CW188" s="2120"/>
      <c r="CX188" s="2120"/>
      <c r="CY188" s="2087"/>
      <c r="CZ188" s="2120"/>
      <c r="DA188" s="2120"/>
      <c r="DB188" s="2120"/>
      <c r="DC188" s="2120"/>
      <c r="DD188" s="2120"/>
      <c r="DE188" s="2120"/>
      <c r="DF188" s="2120"/>
      <c r="DG188" s="2120"/>
      <c r="DH188" s="2120"/>
      <c r="DI188" s="2120"/>
      <c r="DJ188" s="2120"/>
      <c r="DK188" s="2120"/>
      <c r="DL188" s="2120"/>
      <c r="DM188" s="2120"/>
      <c r="DN188" s="2120"/>
      <c r="DO188" s="2120"/>
      <c r="DP188" s="2120"/>
      <c r="DQ188" s="2120"/>
      <c r="DR188" s="2120"/>
      <c r="DS188" s="2120"/>
      <c r="DT188" s="2120"/>
      <c r="DU188" s="2122"/>
      <c r="DV188" s="2123"/>
    </row>
    <row r="189" spans="1:256" s="632" customFormat="1" ht="18" hidden="1" customHeight="1">
      <c r="A189" s="2092"/>
      <c r="B189" s="1199"/>
      <c r="C189" s="1199"/>
      <c r="D189" s="1199"/>
      <c r="E189" s="1199"/>
      <c r="F189" s="1199"/>
      <c r="G189" s="1199"/>
      <c r="H189" s="1199"/>
      <c r="I189" s="1199"/>
      <c r="J189" s="1199"/>
      <c r="K189" s="1199"/>
      <c r="L189" s="1199"/>
      <c r="M189" s="1199"/>
      <c r="N189" s="1199"/>
      <c r="O189" s="1199"/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199"/>
      <c r="AB189" s="1199"/>
      <c r="AC189" s="1199"/>
      <c r="AD189" s="1199"/>
      <c r="AE189" s="1199"/>
      <c r="AF189" s="1199"/>
      <c r="AG189" s="1199"/>
      <c r="AH189" s="1199"/>
      <c r="AI189" s="1199"/>
      <c r="AJ189" s="1199"/>
      <c r="AK189" s="1199"/>
      <c r="AL189" s="1199"/>
      <c r="AM189" s="1199"/>
      <c r="AN189" s="1199"/>
      <c r="AO189" s="1199"/>
      <c r="AP189" s="1199"/>
      <c r="AQ189" s="1199"/>
      <c r="AR189" s="1199"/>
      <c r="AS189" s="1199"/>
      <c r="AT189" s="1199"/>
      <c r="AU189" s="1199"/>
      <c r="AV189" s="1199"/>
      <c r="AW189" s="1199"/>
      <c r="AX189" s="1199"/>
      <c r="AY189" s="1199"/>
      <c r="AZ189" s="1199"/>
      <c r="BA189" s="1199"/>
      <c r="BB189" s="1199"/>
      <c r="BC189" s="1199"/>
      <c r="BD189" s="1199"/>
      <c r="BE189" s="1199"/>
      <c r="BF189" s="1199"/>
      <c r="BG189" s="1199"/>
      <c r="BH189" s="1199"/>
      <c r="BI189" s="1199"/>
      <c r="BJ189" s="1199"/>
      <c r="BK189" s="1199"/>
      <c r="BL189" s="1199"/>
      <c r="BM189" s="1199"/>
      <c r="BN189" s="1199"/>
      <c r="BO189" s="1199"/>
      <c r="BP189" s="1199"/>
      <c r="BQ189" s="1199"/>
      <c r="BR189" s="1199"/>
      <c r="BS189" s="1199"/>
      <c r="BT189" s="1199"/>
      <c r="BU189" s="1199"/>
      <c r="BV189" s="1199"/>
      <c r="BW189" s="1199"/>
      <c r="BX189" s="1199"/>
      <c r="BY189" s="1199"/>
      <c r="BZ189" s="1199"/>
      <c r="CA189" s="1199"/>
      <c r="CB189" s="1199"/>
      <c r="CC189" s="1199"/>
      <c r="CD189" s="1199"/>
      <c r="CE189" s="2076"/>
      <c r="CF189" s="1199"/>
      <c r="CG189" s="1199"/>
      <c r="CH189" s="1199"/>
      <c r="CI189" s="1199"/>
      <c r="CJ189" s="1199"/>
      <c r="CK189" s="1199"/>
      <c r="CL189" s="1199"/>
      <c r="CM189" s="1199"/>
      <c r="CN189" s="1199"/>
      <c r="CO189" s="1199"/>
      <c r="CP189" s="1199"/>
      <c r="CQ189" s="1199"/>
      <c r="CR189" s="1199"/>
      <c r="CS189" s="1199"/>
      <c r="CT189" s="1199"/>
      <c r="CU189" s="1199"/>
      <c r="CV189" s="1199"/>
      <c r="CW189" s="1199"/>
      <c r="CX189" s="1199"/>
      <c r="CY189" s="2090"/>
      <c r="CZ189" s="1199"/>
      <c r="DA189" s="1199"/>
      <c r="DB189" s="1199"/>
      <c r="DC189" s="1199"/>
      <c r="DD189" s="1199"/>
      <c r="DE189" s="1199"/>
      <c r="DF189" s="1199"/>
      <c r="DG189" s="1199"/>
      <c r="DH189" s="1199"/>
      <c r="DI189" s="1199"/>
      <c r="DJ189" s="1199"/>
      <c r="DK189" s="1199"/>
      <c r="DL189" s="1199"/>
      <c r="DM189" s="1199"/>
      <c r="DN189" s="1199"/>
      <c r="DO189" s="1199"/>
      <c r="DP189" s="1199"/>
      <c r="DQ189" s="1199"/>
      <c r="DR189" s="1199"/>
      <c r="DS189" s="1199"/>
      <c r="DT189" s="1199"/>
      <c r="DU189" s="1199"/>
      <c r="DV189" s="2091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83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76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82"/>
      <c r="IR190" s="629"/>
      <c r="IS190" s="629"/>
      <c r="IT190" s="629"/>
      <c r="IU190" s="629"/>
      <c r="IV190" s="629"/>
    </row>
    <row r="191" spans="1:256" ht="17.25" hidden="1" customHeight="1">
      <c r="A191" s="2083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76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82"/>
    </row>
    <row r="192" spans="1:256" ht="17.25" hidden="1" customHeight="1">
      <c r="A192" s="2083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76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82"/>
    </row>
    <row r="193" spans="1:256" ht="17.25" hidden="1" customHeight="1">
      <c r="A193" s="2083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76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82"/>
    </row>
    <row r="194" spans="1:256" ht="17.25" hidden="1" customHeight="1">
      <c r="A194" s="2083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76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82"/>
    </row>
    <row r="195" spans="1:256" ht="17.25" hidden="1" customHeight="1">
      <c r="A195" s="2083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76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82"/>
    </row>
    <row r="196" spans="1:256" s="767" customFormat="1" ht="17.25" hidden="1" customHeight="1">
      <c r="A196" s="2083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76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82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120"/>
      <c r="B197" s="2121"/>
      <c r="C197" s="2120"/>
      <c r="D197" s="2120"/>
      <c r="E197" s="2120"/>
      <c r="F197" s="2120"/>
      <c r="G197" s="2120"/>
      <c r="H197" s="2120"/>
      <c r="I197" s="2120"/>
      <c r="J197" s="2120"/>
      <c r="K197" s="2120"/>
      <c r="L197" s="2120"/>
      <c r="M197" s="2120"/>
      <c r="N197" s="2120"/>
      <c r="O197" s="2120"/>
      <c r="P197" s="2120"/>
      <c r="Q197" s="2120"/>
      <c r="R197" s="2120"/>
      <c r="S197" s="2120"/>
      <c r="T197" s="2120"/>
      <c r="U197" s="2120"/>
      <c r="V197" s="2120"/>
      <c r="W197" s="2120"/>
      <c r="X197" s="2120"/>
      <c r="Y197" s="2120"/>
      <c r="Z197" s="2120"/>
      <c r="AA197" s="2120"/>
      <c r="AB197" s="2120"/>
      <c r="AC197" s="2120"/>
      <c r="AD197" s="2120"/>
      <c r="AE197" s="2120"/>
      <c r="AF197" s="2120"/>
      <c r="AG197" s="2120"/>
      <c r="AH197" s="2120"/>
      <c r="AI197" s="2120"/>
      <c r="AJ197" s="2120"/>
      <c r="AK197" s="2120"/>
      <c r="AL197" s="2120"/>
      <c r="AM197" s="2120"/>
      <c r="AN197" s="2120"/>
      <c r="AO197" s="2120"/>
      <c r="AP197" s="2120"/>
      <c r="AQ197" s="2120"/>
      <c r="AR197" s="2120"/>
      <c r="AS197" s="2120"/>
      <c r="AT197" s="2120"/>
      <c r="AU197" s="2120"/>
      <c r="AV197" s="2120"/>
      <c r="AW197" s="2120"/>
      <c r="AX197" s="2120"/>
      <c r="AY197" s="2120"/>
      <c r="AZ197" s="2120"/>
      <c r="BA197" s="2120"/>
      <c r="BB197" s="2120"/>
      <c r="BC197" s="2120"/>
      <c r="BD197" s="2120"/>
      <c r="BE197" s="2120"/>
      <c r="BF197" s="2120"/>
      <c r="BG197" s="2120"/>
      <c r="BH197" s="2120"/>
      <c r="BI197" s="2120"/>
      <c r="BJ197" s="2120"/>
      <c r="BK197" s="2120"/>
      <c r="BL197" s="2120"/>
      <c r="BM197" s="2120"/>
      <c r="BN197" s="2120"/>
      <c r="BO197" s="2120"/>
      <c r="BP197" s="2120"/>
      <c r="BQ197" s="2120"/>
      <c r="BR197" s="2120"/>
      <c r="BS197" s="2120"/>
      <c r="BT197" s="2120"/>
      <c r="BU197" s="2120"/>
      <c r="BV197" s="2120"/>
      <c r="BW197" s="2120"/>
      <c r="BX197" s="2120"/>
      <c r="BY197" s="2120"/>
      <c r="BZ197" s="2120"/>
      <c r="CA197" s="2120"/>
      <c r="CB197" s="2120"/>
      <c r="CC197" s="2120"/>
      <c r="CD197" s="2120"/>
      <c r="CE197" s="2076"/>
      <c r="CF197" s="2120"/>
      <c r="CG197" s="2120"/>
      <c r="CH197" s="2120"/>
      <c r="CI197" s="2120"/>
      <c r="CJ197" s="2120"/>
      <c r="CK197" s="2120"/>
      <c r="CL197" s="2120"/>
      <c r="CM197" s="2120"/>
      <c r="CN197" s="2120"/>
      <c r="CO197" s="2120"/>
      <c r="CP197" s="2120"/>
      <c r="CQ197" s="2120"/>
      <c r="CR197" s="2120"/>
      <c r="CS197" s="2120"/>
      <c r="CT197" s="2120"/>
      <c r="CU197" s="2120"/>
      <c r="CV197" s="2120"/>
      <c r="CW197" s="2120"/>
      <c r="CX197" s="2120"/>
      <c r="CY197" s="2087"/>
      <c r="CZ197" s="2120"/>
      <c r="DA197" s="2120"/>
      <c r="DB197" s="2120"/>
      <c r="DC197" s="2120"/>
      <c r="DD197" s="2120"/>
      <c r="DE197" s="2120"/>
      <c r="DF197" s="2120"/>
      <c r="DG197" s="2120"/>
      <c r="DH197" s="2120"/>
      <c r="DI197" s="2120"/>
      <c r="DJ197" s="2120"/>
      <c r="DK197" s="2120"/>
      <c r="DL197" s="2120"/>
      <c r="DM197" s="2120"/>
      <c r="DN197" s="2120"/>
      <c r="DO197" s="2120"/>
      <c r="DP197" s="2120"/>
      <c r="DQ197" s="2120"/>
      <c r="DR197" s="2120"/>
      <c r="DS197" s="2120"/>
      <c r="DT197" s="2120"/>
      <c r="DU197" s="2122"/>
      <c r="DV197" s="2123"/>
    </row>
    <row r="198" spans="1:256" s="632" customFormat="1" ht="18" hidden="1" customHeight="1">
      <c r="A198" s="2092"/>
      <c r="B198" s="1199"/>
      <c r="C198" s="1199"/>
      <c r="D198" s="1199"/>
      <c r="E198" s="1199"/>
      <c r="F198" s="1199"/>
      <c r="G198" s="1199"/>
      <c r="H198" s="1199"/>
      <c r="I198" s="1199"/>
      <c r="J198" s="1199"/>
      <c r="K198" s="1199"/>
      <c r="L198" s="1199"/>
      <c r="M198" s="1199"/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199"/>
      <c r="AB198" s="1199"/>
      <c r="AC198" s="1199"/>
      <c r="AD198" s="1199"/>
      <c r="AE198" s="1199"/>
      <c r="AF198" s="1199"/>
      <c r="AG198" s="1199"/>
      <c r="AH198" s="1199"/>
      <c r="AI198" s="1199"/>
      <c r="AJ198" s="1199"/>
      <c r="AK198" s="1199"/>
      <c r="AL198" s="1199"/>
      <c r="AM198" s="1199"/>
      <c r="AN198" s="1199"/>
      <c r="AO198" s="1199"/>
      <c r="AP198" s="1199"/>
      <c r="AQ198" s="1199"/>
      <c r="AR198" s="1199"/>
      <c r="AS198" s="1199"/>
      <c r="AT198" s="1199"/>
      <c r="AU198" s="1199"/>
      <c r="AV198" s="1199"/>
      <c r="AW198" s="1199"/>
      <c r="AX198" s="1199"/>
      <c r="AY198" s="1199"/>
      <c r="AZ198" s="1199"/>
      <c r="BA198" s="1199"/>
      <c r="BB198" s="1199"/>
      <c r="BC198" s="1199"/>
      <c r="BD198" s="1199"/>
      <c r="BE198" s="1199"/>
      <c r="BF198" s="1199"/>
      <c r="BG198" s="1199"/>
      <c r="BH198" s="1199"/>
      <c r="BI198" s="1199"/>
      <c r="BJ198" s="1199"/>
      <c r="BK198" s="1199"/>
      <c r="BL198" s="1199"/>
      <c r="BM198" s="1199"/>
      <c r="BN198" s="1199"/>
      <c r="BO198" s="1199"/>
      <c r="BP198" s="1199"/>
      <c r="BQ198" s="1199"/>
      <c r="BR198" s="1199"/>
      <c r="BS198" s="1199"/>
      <c r="BT198" s="1199"/>
      <c r="BU198" s="1199"/>
      <c r="BV198" s="1199"/>
      <c r="BW198" s="1199"/>
      <c r="BX198" s="1199"/>
      <c r="BY198" s="1199"/>
      <c r="BZ198" s="1199"/>
      <c r="CA198" s="1199"/>
      <c r="CB198" s="1199"/>
      <c r="CC198" s="1199"/>
      <c r="CD198" s="1199"/>
      <c r="CE198" s="2076"/>
      <c r="CF198" s="1199"/>
      <c r="CG198" s="1199"/>
      <c r="CH198" s="1199"/>
      <c r="CI198" s="1199"/>
      <c r="CJ198" s="1199"/>
      <c r="CK198" s="1199"/>
      <c r="CL198" s="1199"/>
      <c r="CM198" s="1199"/>
      <c r="CN198" s="1199"/>
      <c r="CO198" s="1199"/>
      <c r="CP198" s="1199"/>
      <c r="CQ198" s="1199"/>
      <c r="CR198" s="1199"/>
      <c r="CS198" s="1199"/>
      <c r="CT198" s="1199"/>
      <c r="CU198" s="1199"/>
      <c r="CV198" s="1199"/>
      <c r="CW198" s="1199"/>
      <c r="CX198" s="1199"/>
      <c r="CY198" s="2090"/>
      <c r="CZ198" s="1199"/>
      <c r="DA198" s="1199"/>
      <c r="DB198" s="1199"/>
      <c r="DC198" s="1199"/>
      <c r="DD198" s="1199"/>
      <c r="DE198" s="1199"/>
      <c r="DF198" s="1199"/>
      <c r="DG198" s="1199"/>
      <c r="DH198" s="1199"/>
      <c r="DI198" s="1199"/>
      <c r="DJ198" s="1199"/>
      <c r="DK198" s="1199"/>
      <c r="DL198" s="1199"/>
      <c r="DM198" s="1199"/>
      <c r="DN198" s="1199"/>
      <c r="DO198" s="1199"/>
      <c r="DP198" s="1199"/>
      <c r="DQ198" s="1199"/>
      <c r="DR198" s="1199"/>
      <c r="DS198" s="1199"/>
      <c r="DT198" s="1199"/>
      <c r="DU198" s="1199"/>
      <c r="DV198" s="2091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83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76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82"/>
      <c r="IR199" s="629"/>
      <c r="IS199" s="629"/>
      <c r="IT199" s="629"/>
      <c r="IU199" s="629"/>
      <c r="IV199" s="629"/>
    </row>
    <row r="200" spans="1:256" ht="17.25" hidden="1" customHeight="1">
      <c r="A200" s="2083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76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82"/>
    </row>
    <row r="201" spans="1:256" ht="17.25" hidden="1" customHeight="1">
      <c r="A201" s="2083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76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82"/>
    </row>
    <row r="202" spans="1:256" ht="17.25" hidden="1" customHeight="1">
      <c r="A202" s="2083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76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82"/>
    </row>
    <row r="203" spans="1:256" ht="17.25" hidden="1" customHeight="1">
      <c r="A203" s="2083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76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82"/>
    </row>
    <row r="204" spans="1:256" ht="17.25" hidden="1" customHeight="1">
      <c r="A204" s="2083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76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82"/>
    </row>
    <row r="205" spans="1:256" ht="17.25" hidden="1" customHeight="1">
      <c r="A205" s="2083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76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82"/>
    </row>
    <row r="206" spans="1:256" ht="17.25" hidden="1" customHeight="1">
      <c r="A206" s="2083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76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82"/>
    </row>
    <row r="207" spans="1:256" ht="17.25" hidden="1" customHeight="1">
      <c r="A207" s="2083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76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82"/>
    </row>
    <row r="208" spans="1:256" ht="17.25" hidden="1" customHeight="1">
      <c r="A208" s="2083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76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82"/>
    </row>
    <row r="209" spans="1:256" s="767" customFormat="1" ht="17.25" hidden="1" customHeight="1">
      <c r="A209" s="2083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76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82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120"/>
      <c r="B210" s="2121"/>
      <c r="C210" s="2120"/>
      <c r="D210" s="2120"/>
      <c r="E210" s="2120"/>
      <c r="F210" s="2120"/>
      <c r="G210" s="2120"/>
      <c r="H210" s="2120"/>
      <c r="I210" s="2120"/>
      <c r="J210" s="2120"/>
      <c r="K210" s="2120"/>
      <c r="L210" s="2120"/>
      <c r="M210" s="2120"/>
      <c r="N210" s="2120"/>
      <c r="O210" s="2120"/>
      <c r="P210" s="2120"/>
      <c r="Q210" s="2120"/>
      <c r="R210" s="2120"/>
      <c r="S210" s="2120"/>
      <c r="T210" s="2120"/>
      <c r="U210" s="2120"/>
      <c r="V210" s="2120"/>
      <c r="W210" s="2120"/>
      <c r="X210" s="2120"/>
      <c r="Y210" s="2120"/>
      <c r="Z210" s="2120"/>
      <c r="AA210" s="2120"/>
      <c r="AB210" s="2120"/>
      <c r="AC210" s="2120"/>
      <c r="AD210" s="2120"/>
      <c r="AE210" s="2120"/>
      <c r="AF210" s="2120"/>
      <c r="AG210" s="2120"/>
      <c r="AH210" s="2120"/>
      <c r="AI210" s="2120"/>
      <c r="AJ210" s="2120"/>
      <c r="AK210" s="2120"/>
      <c r="AL210" s="2120"/>
      <c r="AM210" s="2120"/>
      <c r="AN210" s="2120"/>
      <c r="AO210" s="2120"/>
      <c r="AP210" s="2120"/>
      <c r="AQ210" s="2120"/>
      <c r="AR210" s="2120"/>
      <c r="AS210" s="2120"/>
      <c r="AT210" s="2120"/>
      <c r="AU210" s="2120"/>
      <c r="AV210" s="2120"/>
      <c r="AW210" s="2120"/>
      <c r="AX210" s="2120"/>
      <c r="AY210" s="2120"/>
      <c r="AZ210" s="2120"/>
      <c r="BA210" s="2120"/>
      <c r="BB210" s="2120"/>
      <c r="BC210" s="2120"/>
      <c r="BD210" s="2120"/>
      <c r="BE210" s="2120"/>
      <c r="BF210" s="2120"/>
      <c r="BG210" s="2120"/>
      <c r="BH210" s="2120"/>
      <c r="BI210" s="2120"/>
      <c r="BJ210" s="2120"/>
      <c r="BK210" s="2120"/>
      <c r="BL210" s="2120"/>
      <c r="BM210" s="2120"/>
      <c r="BN210" s="2120"/>
      <c r="BO210" s="2120"/>
      <c r="BP210" s="2120"/>
      <c r="BQ210" s="2120"/>
      <c r="BR210" s="2120"/>
      <c r="BS210" s="2120"/>
      <c r="BT210" s="2120"/>
      <c r="BU210" s="2120"/>
      <c r="BV210" s="2120"/>
      <c r="BW210" s="2120"/>
      <c r="BX210" s="2120"/>
      <c r="BY210" s="2120"/>
      <c r="BZ210" s="2120"/>
      <c r="CA210" s="2120"/>
      <c r="CB210" s="2120"/>
      <c r="CC210" s="2120"/>
      <c r="CD210" s="2120"/>
      <c r="CE210" s="2076"/>
      <c r="CF210" s="2120"/>
      <c r="CG210" s="2120"/>
      <c r="CH210" s="2120"/>
      <c r="CI210" s="2120"/>
      <c r="CJ210" s="2120"/>
      <c r="CK210" s="2120"/>
      <c r="CL210" s="2120"/>
      <c r="CM210" s="2120"/>
      <c r="CN210" s="2120"/>
      <c r="CO210" s="2120"/>
      <c r="CP210" s="2120"/>
      <c r="CQ210" s="2120"/>
      <c r="CR210" s="2120"/>
      <c r="CS210" s="2120"/>
      <c r="CT210" s="2120"/>
      <c r="CU210" s="2120"/>
      <c r="CV210" s="2120"/>
      <c r="CW210" s="2120"/>
      <c r="CX210" s="2120"/>
      <c r="CY210" s="2087"/>
      <c r="CZ210" s="2120"/>
      <c r="DA210" s="2120"/>
      <c r="DB210" s="2120"/>
      <c r="DC210" s="2120"/>
      <c r="DD210" s="2120"/>
      <c r="DE210" s="2120"/>
      <c r="DF210" s="2120"/>
      <c r="DG210" s="2120"/>
      <c r="DH210" s="2120"/>
      <c r="DI210" s="2120"/>
      <c r="DJ210" s="2120"/>
      <c r="DK210" s="2120"/>
      <c r="DL210" s="2120"/>
      <c r="DM210" s="2120"/>
      <c r="DN210" s="2120"/>
      <c r="DO210" s="2120"/>
      <c r="DP210" s="2120"/>
      <c r="DQ210" s="2120"/>
      <c r="DR210" s="2120"/>
      <c r="DS210" s="2120"/>
      <c r="DT210" s="2120"/>
      <c r="DU210" s="2122"/>
      <c r="DV210" s="2123"/>
    </row>
    <row r="211" spans="1:256" s="632" customFormat="1" ht="18" hidden="1" customHeight="1">
      <c r="A211" s="2092"/>
      <c r="B211" s="1199"/>
      <c r="C211" s="1199"/>
      <c r="D211" s="1199"/>
      <c r="E211" s="1199"/>
      <c r="F211" s="1199"/>
      <c r="G211" s="1199"/>
      <c r="H211" s="1199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199"/>
      <c r="AB211" s="1199"/>
      <c r="AC211" s="1199"/>
      <c r="AD211" s="1199"/>
      <c r="AE211" s="1199"/>
      <c r="AF211" s="1199"/>
      <c r="AG211" s="1199"/>
      <c r="AH211" s="1199"/>
      <c r="AI211" s="1199"/>
      <c r="AJ211" s="1199"/>
      <c r="AK211" s="1199"/>
      <c r="AL211" s="1199"/>
      <c r="AM211" s="1199"/>
      <c r="AN211" s="1199"/>
      <c r="AO211" s="1199"/>
      <c r="AP211" s="1199"/>
      <c r="AQ211" s="1199"/>
      <c r="AR211" s="1199"/>
      <c r="AS211" s="1199"/>
      <c r="AT211" s="1199"/>
      <c r="AU211" s="1199"/>
      <c r="AV211" s="1199"/>
      <c r="AW211" s="1199"/>
      <c r="AX211" s="1199"/>
      <c r="AY211" s="1199"/>
      <c r="AZ211" s="1199"/>
      <c r="BA211" s="1199"/>
      <c r="BB211" s="1199"/>
      <c r="BC211" s="1199"/>
      <c r="BD211" s="1199"/>
      <c r="BE211" s="1199"/>
      <c r="BF211" s="1199"/>
      <c r="BG211" s="1199"/>
      <c r="BH211" s="1199"/>
      <c r="BI211" s="1199"/>
      <c r="BJ211" s="1199"/>
      <c r="BK211" s="1199"/>
      <c r="BL211" s="1199"/>
      <c r="BM211" s="1199"/>
      <c r="BN211" s="1199"/>
      <c r="BO211" s="1199"/>
      <c r="BP211" s="1199"/>
      <c r="BQ211" s="1199"/>
      <c r="BR211" s="1199"/>
      <c r="BS211" s="1199"/>
      <c r="BT211" s="1199"/>
      <c r="BU211" s="1199"/>
      <c r="BV211" s="1199"/>
      <c r="BW211" s="1199"/>
      <c r="BX211" s="1199"/>
      <c r="BY211" s="1199"/>
      <c r="BZ211" s="1199"/>
      <c r="CA211" s="1199"/>
      <c r="CB211" s="1199"/>
      <c r="CC211" s="1199"/>
      <c r="CD211" s="1199"/>
      <c r="CE211" s="2076"/>
      <c r="CF211" s="1199"/>
      <c r="CG211" s="1199"/>
      <c r="CH211" s="1199"/>
      <c r="CI211" s="1199"/>
      <c r="CJ211" s="1199"/>
      <c r="CK211" s="1199"/>
      <c r="CL211" s="1199"/>
      <c r="CM211" s="1199"/>
      <c r="CN211" s="1199"/>
      <c r="CO211" s="1199"/>
      <c r="CP211" s="1199"/>
      <c r="CQ211" s="1199"/>
      <c r="CR211" s="1199"/>
      <c r="CS211" s="1199"/>
      <c r="CT211" s="1199"/>
      <c r="CU211" s="1199"/>
      <c r="CV211" s="1199"/>
      <c r="CW211" s="1199"/>
      <c r="CX211" s="1199"/>
      <c r="CY211" s="2090"/>
      <c r="CZ211" s="1199"/>
      <c r="DA211" s="1199"/>
      <c r="DB211" s="1199"/>
      <c r="DC211" s="1199"/>
      <c r="DD211" s="1199"/>
      <c r="DE211" s="1199"/>
      <c r="DF211" s="1199"/>
      <c r="DG211" s="1199"/>
      <c r="DH211" s="1199"/>
      <c r="DI211" s="1199"/>
      <c r="DJ211" s="1199"/>
      <c r="DK211" s="1199"/>
      <c r="DL211" s="1199"/>
      <c r="DM211" s="1199"/>
      <c r="DN211" s="1199"/>
      <c r="DO211" s="1199"/>
      <c r="DP211" s="1199"/>
      <c r="DQ211" s="1199"/>
      <c r="DR211" s="1199"/>
      <c r="DS211" s="1199"/>
      <c r="DT211" s="1199"/>
      <c r="DU211" s="1199"/>
      <c r="DV211" s="2091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83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76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82"/>
      <c r="IR212" s="629"/>
      <c r="IS212" s="629"/>
      <c r="IT212" s="629"/>
      <c r="IU212" s="629"/>
      <c r="IV212" s="629"/>
    </row>
    <row r="213" spans="1:256" ht="17.25" hidden="1" customHeight="1">
      <c r="A213" s="2083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76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82"/>
    </row>
    <row r="214" spans="1:256" ht="17.25" hidden="1" customHeight="1">
      <c r="A214" s="2083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76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82"/>
    </row>
    <row r="215" spans="1:256" ht="17.25" hidden="1" customHeight="1">
      <c r="A215" s="2083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76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82"/>
    </row>
    <row r="216" spans="1:256" s="767" customFormat="1" ht="17.25" hidden="1" customHeight="1">
      <c r="A216" s="2083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76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82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120"/>
      <c r="B217" s="2121"/>
      <c r="C217" s="2120"/>
      <c r="D217" s="2120"/>
      <c r="E217" s="2120"/>
      <c r="F217" s="2120"/>
      <c r="G217" s="2120"/>
      <c r="H217" s="2120"/>
      <c r="I217" s="2120"/>
      <c r="J217" s="2120"/>
      <c r="K217" s="2120"/>
      <c r="L217" s="2120"/>
      <c r="M217" s="2120"/>
      <c r="N217" s="2120"/>
      <c r="O217" s="2120"/>
      <c r="P217" s="2120"/>
      <c r="Q217" s="2120"/>
      <c r="R217" s="2120"/>
      <c r="S217" s="2120"/>
      <c r="T217" s="2120"/>
      <c r="U217" s="2120"/>
      <c r="V217" s="2120"/>
      <c r="W217" s="2120"/>
      <c r="X217" s="2120"/>
      <c r="Y217" s="2120"/>
      <c r="Z217" s="2120"/>
      <c r="AA217" s="2120"/>
      <c r="AB217" s="2120"/>
      <c r="AC217" s="2120"/>
      <c r="AD217" s="2120"/>
      <c r="AE217" s="2120"/>
      <c r="AF217" s="2120"/>
      <c r="AG217" s="2120"/>
      <c r="AH217" s="2120"/>
      <c r="AI217" s="2120"/>
      <c r="AJ217" s="2120"/>
      <c r="AK217" s="2120"/>
      <c r="AL217" s="2120"/>
      <c r="AM217" s="2120"/>
      <c r="AN217" s="2120"/>
      <c r="AO217" s="2120"/>
      <c r="AP217" s="2120"/>
      <c r="AQ217" s="2120"/>
      <c r="AR217" s="2120"/>
      <c r="AS217" s="2120"/>
      <c r="AT217" s="2120"/>
      <c r="AU217" s="2120"/>
      <c r="AV217" s="2120"/>
      <c r="AW217" s="2120"/>
      <c r="AX217" s="2120"/>
      <c r="AY217" s="2120"/>
      <c r="AZ217" s="2120"/>
      <c r="BA217" s="2120"/>
      <c r="BB217" s="2120"/>
      <c r="BC217" s="2120"/>
      <c r="BD217" s="2120"/>
      <c r="BE217" s="2120"/>
      <c r="BF217" s="2120"/>
      <c r="BG217" s="2120"/>
      <c r="BH217" s="2120"/>
      <c r="BI217" s="2120"/>
      <c r="BJ217" s="2120"/>
      <c r="BK217" s="2120"/>
      <c r="BL217" s="2120"/>
      <c r="BM217" s="2120"/>
      <c r="BN217" s="2120"/>
      <c r="BO217" s="2120"/>
      <c r="BP217" s="2120"/>
      <c r="BQ217" s="2120"/>
      <c r="BR217" s="2120"/>
      <c r="BS217" s="2120"/>
      <c r="BT217" s="2120"/>
      <c r="BU217" s="2120"/>
      <c r="BV217" s="2120"/>
      <c r="BW217" s="2120"/>
      <c r="BX217" s="2120"/>
      <c r="BY217" s="2120"/>
      <c r="BZ217" s="2120"/>
      <c r="CA217" s="2120"/>
      <c r="CB217" s="2120"/>
      <c r="CC217" s="2120"/>
      <c r="CD217" s="2120"/>
      <c r="CE217" s="2076"/>
      <c r="CF217" s="2120"/>
      <c r="CG217" s="2120"/>
      <c r="CH217" s="2120"/>
      <c r="CI217" s="2120"/>
      <c r="CJ217" s="2120"/>
      <c r="CK217" s="2120"/>
      <c r="CL217" s="2120"/>
      <c r="CM217" s="2120"/>
      <c r="CN217" s="2120"/>
      <c r="CO217" s="2120"/>
      <c r="CP217" s="2120"/>
      <c r="CQ217" s="2120"/>
      <c r="CR217" s="2120"/>
      <c r="CS217" s="2120"/>
      <c r="CT217" s="2120"/>
      <c r="CU217" s="2120"/>
      <c r="CV217" s="2120"/>
      <c r="CW217" s="2120"/>
      <c r="CX217" s="2120"/>
      <c r="CY217" s="2087"/>
      <c r="CZ217" s="2120"/>
      <c r="DA217" s="2120"/>
      <c r="DB217" s="2120"/>
      <c r="DC217" s="2120"/>
      <c r="DD217" s="2120"/>
      <c r="DE217" s="2120"/>
      <c r="DF217" s="2120"/>
      <c r="DG217" s="2120"/>
      <c r="DH217" s="2120"/>
      <c r="DI217" s="2120"/>
      <c r="DJ217" s="2120"/>
      <c r="DK217" s="2120"/>
      <c r="DL217" s="2120"/>
      <c r="DM217" s="2120"/>
      <c r="DN217" s="2120"/>
      <c r="DO217" s="2120"/>
      <c r="DP217" s="2120"/>
      <c r="DQ217" s="2120"/>
      <c r="DR217" s="2120"/>
      <c r="DS217" s="2120"/>
      <c r="DT217" s="2120"/>
      <c r="DU217" s="2122"/>
      <c r="DV217" s="2123"/>
    </row>
    <row r="218" spans="1:256" s="632" customFormat="1" ht="18" hidden="1" customHeight="1">
      <c r="A218" s="2092"/>
      <c r="B218" s="1199"/>
      <c r="C218" s="1199"/>
      <c r="D218" s="1199"/>
      <c r="E218" s="1199"/>
      <c r="F218" s="1199"/>
      <c r="G218" s="1199"/>
      <c r="H218" s="1199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199"/>
      <c r="AB218" s="1199"/>
      <c r="AC218" s="1199"/>
      <c r="AD218" s="1199"/>
      <c r="AE218" s="1199"/>
      <c r="AF218" s="1199"/>
      <c r="AG218" s="1199"/>
      <c r="AH218" s="1199"/>
      <c r="AI218" s="1199"/>
      <c r="AJ218" s="1199"/>
      <c r="AK218" s="1199"/>
      <c r="AL218" s="1199"/>
      <c r="AM218" s="1199"/>
      <c r="AN218" s="1199"/>
      <c r="AO218" s="1199"/>
      <c r="AP218" s="1199"/>
      <c r="AQ218" s="1199"/>
      <c r="AR218" s="1199"/>
      <c r="AS218" s="1199"/>
      <c r="AT218" s="1199"/>
      <c r="AU218" s="1199"/>
      <c r="AV218" s="1199"/>
      <c r="AW218" s="1199"/>
      <c r="AX218" s="1199"/>
      <c r="AY218" s="1199"/>
      <c r="AZ218" s="1199"/>
      <c r="BA218" s="1199"/>
      <c r="BB218" s="1199"/>
      <c r="BC218" s="1199"/>
      <c r="BD218" s="1199"/>
      <c r="BE218" s="1199"/>
      <c r="BF218" s="1199"/>
      <c r="BG218" s="1199"/>
      <c r="BH218" s="1199"/>
      <c r="BI218" s="1199"/>
      <c r="BJ218" s="1199"/>
      <c r="BK218" s="1199"/>
      <c r="BL218" s="1199"/>
      <c r="BM218" s="1199"/>
      <c r="BN218" s="1199"/>
      <c r="BO218" s="1199"/>
      <c r="BP218" s="1199"/>
      <c r="BQ218" s="1199"/>
      <c r="BR218" s="1199"/>
      <c r="BS218" s="1199"/>
      <c r="BT218" s="1199"/>
      <c r="BU218" s="1199"/>
      <c r="BV218" s="1199"/>
      <c r="BW218" s="1199"/>
      <c r="BX218" s="1199"/>
      <c r="BY218" s="1199"/>
      <c r="BZ218" s="1199"/>
      <c r="CA218" s="1199"/>
      <c r="CB218" s="1199"/>
      <c r="CC218" s="1199"/>
      <c r="CD218" s="1199"/>
      <c r="CE218" s="2076"/>
      <c r="CF218" s="1199"/>
      <c r="CG218" s="1199"/>
      <c r="CH218" s="1199"/>
      <c r="CI218" s="1199"/>
      <c r="CJ218" s="1199"/>
      <c r="CK218" s="1199"/>
      <c r="CL218" s="1199"/>
      <c r="CM218" s="1199"/>
      <c r="CN218" s="1199"/>
      <c r="CO218" s="1199"/>
      <c r="CP218" s="1199"/>
      <c r="CQ218" s="1199"/>
      <c r="CR218" s="1199"/>
      <c r="CS218" s="1199"/>
      <c r="CT218" s="1199"/>
      <c r="CU218" s="1199"/>
      <c r="CV218" s="1199"/>
      <c r="CW218" s="1199"/>
      <c r="CX218" s="1199"/>
      <c r="CY218" s="2090"/>
      <c r="CZ218" s="1199"/>
      <c r="DA218" s="1199"/>
      <c r="DB218" s="1199"/>
      <c r="DC218" s="1199"/>
      <c r="DD218" s="1199"/>
      <c r="DE218" s="1199"/>
      <c r="DF218" s="1199"/>
      <c r="DG218" s="1199"/>
      <c r="DH218" s="1199"/>
      <c r="DI218" s="1199"/>
      <c r="DJ218" s="1199"/>
      <c r="DK218" s="1199"/>
      <c r="DL218" s="1199"/>
      <c r="DM218" s="1199"/>
      <c r="DN218" s="1199"/>
      <c r="DO218" s="1199"/>
      <c r="DP218" s="1199"/>
      <c r="DQ218" s="1199"/>
      <c r="DR218" s="1199"/>
      <c r="DS218" s="1199"/>
      <c r="DT218" s="1199"/>
      <c r="DU218" s="1199"/>
      <c r="DV218" s="2091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83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76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82"/>
      <c r="IR219" s="629"/>
      <c r="IS219" s="629"/>
      <c r="IT219" s="629"/>
      <c r="IU219" s="629"/>
      <c r="IV219" s="629"/>
    </row>
    <row r="220" spans="1:256" ht="17.25" hidden="1" customHeight="1">
      <c r="A220" s="2083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76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82"/>
    </row>
    <row r="221" spans="1:256" ht="17.25" hidden="1" customHeight="1">
      <c r="A221" s="2083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76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82"/>
    </row>
    <row r="222" spans="1:256" ht="17.25" hidden="1" customHeight="1">
      <c r="A222" s="2083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76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82"/>
    </row>
    <row r="223" spans="1:256" s="767" customFormat="1" ht="17.25" hidden="1" customHeight="1">
      <c r="A223" s="2083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76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82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120"/>
      <c r="B224" s="2121"/>
      <c r="C224" s="2120"/>
      <c r="D224" s="2120"/>
      <c r="E224" s="2120"/>
      <c r="F224" s="2120"/>
      <c r="G224" s="2120"/>
      <c r="H224" s="2120"/>
      <c r="I224" s="2120"/>
      <c r="J224" s="2120"/>
      <c r="K224" s="2120"/>
      <c r="L224" s="2120"/>
      <c r="M224" s="2120"/>
      <c r="N224" s="2120"/>
      <c r="O224" s="2120"/>
      <c r="P224" s="2120"/>
      <c r="Q224" s="2120"/>
      <c r="R224" s="2120"/>
      <c r="S224" s="2120"/>
      <c r="T224" s="2120"/>
      <c r="U224" s="2120"/>
      <c r="V224" s="2120"/>
      <c r="W224" s="2120"/>
      <c r="X224" s="2120"/>
      <c r="Y224" s="2120"/>
      <c r="Z224" s="2120"/>
      <c r="AA224" s="2120"/>
      <c r="AB224" s="2120"/>
      <c r="AC224" s="2120"/>
      <c r="AD224" s="2120"/>
      <c r="AE224" s="2120"/>
      <c r="AF224" s="2120"/>
      <c r="AG224" s="2120"/>
      <c r="AH224" s="2120"/>
      <c r="AI224" s="2120"/>
      <c r="AJ224" s="2120"/>
      <c r="AK224" s="2120"/>
      <c r="AL224" s="2120"/>
      <c r="AM224" s="2120"/>
      <c r="AN224" s="2120"/>
      <c r="AO224" s="2120"/>
      <c r="AP224" s="2120"/>
      <c r="AQ224" s="2120"/>
      <c r="AR224" s="2120"/>
      <c r="AS224" s="2120"/>
      <c r="AT224" s="2120"/>
      <c r="AU224" s="2120"/>
      <c r="AV224" s="2120"/>
      <c r="AW224" s="2120"/>
      <c r="AX224" s="2120"/>
      <c r="AY224" s="2120"/>
      <c r="AZ224" s="2120"/>
      <c r="BA224" s="2120"/>
      <c r="BB224" s="2120"/>
      <c r="BC224" s="2120"/>
      <c r="BD224" s="2120"/>
      <c r="BE224" s="2120"/>
      <c r="BF224" s="2120"/>
      <c r="BG224" s="2120"/>
      <c r="BH224" s="2120"/>
      <c r="BI224" s="2120"/>
      <c r="BJ224" s="2120"/>
      <c r="BK224" s="2120"/>
      <c r="BL224" s="2120"/>
      <c r="BM224" s="2120"/>
      <c r="BN224" s="2120"/>
      <c r="BO224" s="2120"/>
      <c r="BP224" s="2120"/>
      <c r="BQ224" s="2120"/>
      <c r="BR224" s="2120"/>
      <c r="BS224" s="2120"/>
      <c r="BT224" s="2120"/>
      <c r="BU224" s="2120"/>
      <c r="BV224" s="2120"/>
      <c r="BW224" s="2120"/>
      <c r="BX224" s="2120"/>
      <c r="BY224" s="2120"/>
      <c r="BZ224" s="2120"/>
      <c r="CA224" s="2120"/>
      <c r="CB224" s="2120"/>
      <c r="CC224" s="2120"/>
      <c r="CD224" s="2120"/>
      <c r="CE224" s="2076"/>
      <c r="CF224" s="2120"/>
      <c r="CG224" s="2120"/>
      <c r="CH224" s="2120"/>
      <c r="CI224" s="2120"/>
      <c r="CJ224" s="2120"/>
      <c r="CK224" s="2120"/>
      <c r="CL224" s="2120"/>
      <c r="CM224" s="2120"/>
      <c r="CN224" s="2120"/>
      <c r="CO224" s="2120"/>
      <c r="CP224" s="2120"/>
      <c r="CQ224" s="2120"/>
      <c r="CR224" s="2120"/>
      <c r="CS224" s="2120"/>
      <c r="CT224" s="2120"/>
      <c r="CU224" s="2120"/>
      <c r="CV224" s="2120"/>
      <c r="CW224" s="2120"/>
      <c r="CX224" s="2120"/>
      <c r="CY224" s="2087"/>
      <c r="CZ224" s="2120"/>
      <c r="DA224" s="2120"/>
      <c r="DB224" s="2120"/>
      <c r="DC224" s="2120"/>
      <c r="DD224" s="2120"/>
      <c r="DE224" s="2120"/>
      <c r="DF224" s="2120"/>
      <c r="DG224" s="2120"/>
      <c r="DH224" s="2120"/>
      <c r="DI224" s="2120"/>
      <c r="DJ224" s="2120"/>
      <c r="DK224" s="2120"/>
      <c r="DL224" s="2120"/>
      <c r="DM224" s="2120"/>
      <c r="DN224" s="2120"/>
      <c r="DO224" s="2120"/>
      <c r="DP224" s="2120"/>
      <c r="DQ224" s="2120"/>
      <c r="DR224" s="2120"/>
      <c r="DS224" s="2120"/>
      <c r="DT224" s="2120"/>
      <c r="DU224" s="2122"/>
      <c r="DV224" s="2123"/>
    </row>
    <row r="225" spans="1:256" s="632" customFormat="1" ht="18" hidden="1" customHeight="1">
      <c r="A225" s="2092"/>
      <c r="B225" s="1199"/>
      <c r="C225" s="1199"/>
      <c r="D225" s="1199"/>
      <c r="E225" s="1199"/>
      <c r="F225" s="1199"/>
      <c r="G225" s="1199"/>
      <c r="H225" s="1199"/>
      <c r="I225" s="1199"/>
      <c r="J225" s="1199"/>
      <c r="K225" s="1199"/>
      <c r="L225" s="1199"/>
      <c r="M225" s="1199"/>
      <c r="N225" s="1199"/>
      <c r="O225" s="1199"/>
      <c r="P225" s="1199"/>
      <c r="Q225" s="1199"/>
      <c r="R225" s="1199"/>
      <c r="S225" s="1199"/>
      <c r="T225" s="1199"/>
      <c r="U225" s="1199"/>
      <c r="V225" s="1199"/>
      <c r="W225" s="1199"/>
      <c r="X225" s="1199"/>
      <c r="Y225" s="1199"/>
      <c r="Z225" s="1199"/>
      <c r="AA225" s="1199"/>
      <c r="AB225" s="1199"/>
      <c r="AC225" s="1199"/>
      <c r="AD225" s="1199"/>
      <c r="AE225" s="1199"/>
      <c r="AF225" s="1199"/>
      <c r="AG225" s="1199"/>
      <c r="AH225" s="1199"/>
      <c r="AI225" s="1199"/>
      <c r="AJ225" s="1199"/>
      <c r="AK225" s="1199"/>
      <c r="AL225" s="1199"/>
      <c r="AM225" s="1199"/>
      <c r="AN225" s="1199"/>
      <c r="AO225" s="1199"/>
      <c r="AP225" s="1199"/>
      <c r="AQ225" s="1199"/>
      <c r="AR225" s="1199"/>
      <c r="AS225" s="1199"/>
      <c r="AT225" s="1199"/>
      <c r="AU225" s="1199"/>
      <c r="AV225" s="1199"/>
      <c r="AW225" s="1199"/>
      <c r="AX225" s="1199"/>
      <c r="AY225" s="1199"/>
      <c r="AZ225" s="1199"/>
      <c r="BA225" s="1199"/>
      <c r="BB225" s="1199"/>
      <c r="BC225" s="1199"/>
      <c r="BD225" s="1199"/>
      <c r="BE225" s="1199"/>
      <c r="BF225" s="1199"/>
      <c r="BG225" s="1199"/>
      <c r="BH225" s="1199"/>
      <c r="BI225" s="1199"/>
      <c r="BJ225" s="1199"/>
      <c r="BK225" s="1199"/>
      <c r="BL225" s="1199"/>
      <c r="BM225" s="1199"/>
      <c r="BN225" s="1199"/>
      <c r="BO225" s="1199"/>
      <c r="BP225" s="1199"/>
      <c r="BQ225" s="1199"/>
      <c r="BR225" s="1199"/>
      <c r="BS225" s="1199"/>
      <c r="BT225" s="1199"/>
      <c r="BU225" s="1199"/>
      <c r="BV225" s="1199"/>
      <c r="BW225" s="1199"/>
      <c r="BX225" s="1199"/>
      <c r="BY225" s="1199"/>
      <c r="BZ225" s="1199"/>
      <c r="CA225" s="1199"/>
      <c r="CB225" s="1199"/>
      <c r="CC225" s="1199"/>
      <c r="CD225" s="1199"/>
      <c r="CE225" s="2076"/>
      <c r="CF225" s="1199"/>
      <c r="CG225" s="1199"/>
      <c r="CH225" s="1199"/>
      <c r="CI225" s="1199"/>
      <c r="CJ225" s="1199"/>
      <c r="CK225" s="1199"/>
      <c r="CL225" s="1199"/>
      <c r="CM225" s="1199"/>
      <c r="CN225" s="1199"/>
      <c r="CO225" s="1199"/>
      <c r="CP225" s="1199"/>
      <c r="CQ225" s="1199"/>
      <c r="CR225" s="1199"/>
      <c r="CS225" s="1199"/>
      <c r="CT225" s="1199"/>
      <c r="CU225" s="1199"/>
      <c r="CV225" s="1199"/>
      <c r="CW225" s="1199"/>
      <c r="CX225" s="1199"/>
      <c r="CY225" s="2090"/>
      <c r="CZ225" s="1199"/>
      <c r="DA225" s="1199"/>
      <c r="DB225" s="1199"/>
      <c r="DC225" s="1199"/>
      <c r="DD225" s="1199"/>
      <c r="DE225" s="1199"/>
      <c r="DF225" s="1199"/>
      <c r="DG225" s="1199"/>
      <c r="DH225" s="1199"/>
      <c r="DI225" s="1199"/>
      <c r="DJ225" s="1199"/>
      <c r="DK225" s="1199"/>
      <c r="DL225" s="1199"/>
      <c r="DM225" s="1199"/>
      <c r="DN225" s="1199"/>
      <c r="DO225" s="1199"/>
      <c r="DP225" s="1199"/>
      <c r="DQ225" s="1199"/>
      <c r="DR225" s="1199"/>
      <c r="DS225" s="1199"/>
      <c r="DT225" s="1199"/>
      <c r="DU225" s="1199"/>
      <c r="DV225" s="2091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83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76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82"/>
      <c r="IR226" s="629"/>
      <c r="IS226" s="629"/>
      <c r="IT226" s="629"/>
      <c r="IU226" s="629"/>
      <c r="IV226" s="629"/>
    </row>
    <row r="227" spans="1:256" ht="17.25" hidden="1" customHeight="1">
      <c r="A227" s="2083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76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82"/>
    </row>
    <row r="228" spans="1:256" ht="17.25" hidden="1" customHeight="1">
      <c r="A228" s="2083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76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82"/>
    </row>
    <row r="229" spans="1:256" ht="17.25" hidden="1" customHeight="1">
      <c r="A229" s="2083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76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82"/>
    </row>
    <row r="230" spans="1:256" ht="17.25" hidden="1" customHeight="1">
      <c r="A230" s="2083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76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82"/>
    </row>
    <row r="231" spans="1:256" ht="17.25" hidden="1" customHeight="1">
      <c r="A231" s="2083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76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82"/>
    </row>
    <row r="232" spans="1:256" ht="17.25" hidden="1" customHeight="1">
      <c r="A232" s="2083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76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82"/>
    </row>
    <row r="233" spans="1:256" ht="17.25" hidden="1" customHeight="1">
      <c r="A233" s="2083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76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82"/>
    </row>
    <row r="234" spans="1:256" ht="17.25" hidden="1" customHeight="1">
      <c r="A234" s="2083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76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82"/>
    </row>
    <row r="235" spans="1:256" ht="17.25" hidden="1" customHeight="1">
      <c r="A235" s="2083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76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82"/>
    </row>
    <row r="236" spans="1:256" s="767" customFormat="1" ht="17.25" hidden="1" customHeight="1">
      <c r="A236" s="2083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76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82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120"/>
      <c r="B237" s="2121"/>
      <c r="C237" s="2120"/>
      <c r="D237" s="2120"/>
      <c r="E237" s="2120"/>
      <c r="F237" s="2120"/>
      <c r="G237" s="2120"/>
      <c r="H237" s="2120"/>
      <c r="I237" s="2120"/>
      <c r="J237" s="2120"/>
      <c r="K237" s="2120"/>
      <c r="L237" s="2120"/>
      <c r="M237" s="2120"/>
      <c r="N237" s="2120"/>
      <c r="O237" s="2120"/>
      <c r="P237" s="2120"/>
      <c r="Q237" s="2120"/>
      <c r="R237" s="2120"/>
      <c r="S237" s="2120"/>
      <c r="T237" s="2120"/>
      <c r="U237" s="2120"/>
      <c r="V237" s="2120"/>
      <c r="W237" s="2120"/>
      <c r="X237" s="2120"/>
      <c r="Y237" s="2120"/>
      <c r="Z237" s="2120"/>
      <c r="AA237" s="2120"/>
      <c r="AB237" s="2120"/>
      <c r="AC237" s="2120"/>
      <c r="AD237" s="2120"/>
      <c r="AE237" s="2120"/>
      <c r="AF237" s="2120"/>
      <c r="AG237" s="2120"/>
      <c r="AH237" s="2120"/>
      <c r="AI237" s="2120"/>
      <c r="AJ237" s="2120"/>
      <c r="AK237" s="2120"/>
      <c r="AL237" s="2120"/>
      <c r="AM237" s="2120"/>
      <c r="AN237" s="2120"/>
      <c r="AO237" s="2120"/>
      <c r="AP237" s="2120"/>
      <c r="AQ237" s="2120"/>
      <c r="AR237" s="2120"/>
      <c r="AS237" s="2120"/>
      <c r="AT237" s="2120"/>
      <c r="AU237" s="2120"/>
      <c r="AV237" s="2120"/>
      <c r="AW237" s="2120"/>
      <c r="AX237" s="2120"/>
      <c r="AY237" s="2120"/>
      <c r="AZ237" s="2120"/>
      <c r="BA237" s="2120"/>
      <c r="BB237" s="2120"/>
      <c r="BC237" s="2120"/>
      <c r="BD237" s="2120"/>
      <c r="BE237" s="2120"/>
      <c r="BF237" s="2120"/>
      <c r="BG237" s="2120"/>
      <c r="BH237" s="2120"/>
      <c r="BI237" s="2120"/>
      <c r="BJ237" s="2120"/>
      <c r="BK237" s="2120"/>
      <c r="BL237" s="2120"/>
      <c r="BM237" s="2120"/>
      <c r="BN237" s="2120"/>
      <c r="BO237" s="2120"/>
      <c r="BP237" s="2120"/>
      <c r="BQ237" s="2120"/>
      <c r="BR237" s="2120"/>
      <c r="BS237" s="2120"/>
      <c r="BT237" s="2120"/>
      <c r="BU237" s="2120"/>
      <c r="BV237" s="2120"/>
      <c r="BW237" s="2120"/>
      <c r="BX237" s="2120"/>
      <c r="BY237" s="2120"/>
      <c r="BZ237" s="2120"/>
      <c r="CA237" s="2120"/>
      <c r="CB237" s="2120"/>
      <c r="CC237" s="2120"/>
      <c r="CD237" s="2120"/>
      <c r="CE237" s="2076"/>
      <c r="CF237" s="2120"/>
      <c r="CG237" s="2120"/>
      <c r="CH237" s="2120"/>
      <c r="CI237" s="2120"/>
      <c r="CJ237" s="2120"/>
      <c r="CK237" s="2120"/>
      <c r="CL237" s="2120"/>
      <c r="CM237" s="2120"/>
      <c r="CN237" s="2120"/>
      <c r="CO237" s="2120"/>
      <c r="CP237" s="2120"/>
      <c r="CQ237" s="2120"/>
      <c r="CR237" s="2120"/>
      <c r="CS237" s="2120"/>
      <c r="CT237" s="2120"/>
      <c r="CU237" s="2120"/>
      <c r="CV237" s="2120"/>
      <c r="CW237" s="2120"/>
      <c r="CX237" s="2120"/>
      <c r="CY237" s="2087"/>
      <c r="CZ237" s="2120"/>
      <c r="DA237" s="2120"/>
      <c r="DB237" s="2120"/>
      <c r="DC237" s="2120"/>
      <c r="DD237" s="2120"/>
      <c r="DE237" s="2120"/>
      <c r="DF237" s="2120"/>
      <c r="DG237" s="2120"/>
      <c r="DH237" s="2120"/>
      <c r="DI237" s="2120"/>
      <c r="DJ237" s="2120"/>
      <c r="DK237" s="2120"/>
      <c r="DL237" s="2120"/>
      <c r="DM237" s="2120"/>
      <c r="DN237" s="2120"/>
      <c r="DO237" s="2120"/>
      <c r="DP237" s="2120"/>
      <c r="DQ237" s="2120"/>
      <c r="DR237" s="2120"/>
      <c r="DS237" s="2120"/>
      <c r="DT237" s="2120"/>
      <c r="DU237" s="2122"/>
      <c r="DV237" s="2123"/>
    </row>
    <row r="238" spans="1:256" s="632" customFormat="1" ht="18" hidden="1" customHeight="1">
      <c r="A238" s="2092"/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/>
      <c r="N238" s="1199"/>
      <c r="O238" s="1199"/>
      <c r="P238" s="1199"/>
      <c r="Q238" s="1199"/>
      <c r="R238" s="1199"/>
      <c r="S238" s="1199"/>
      <c r="T238" s="1199"/>
      <c r="U238" s="1199"/>
      <c r="V238" s="1199"/>
      <c r="W238" s="1199"/>
      <c r="X238" s="1199"/>
      <c r="Y238" s="1199"/>
      <c r="Z238" s="1199"/>
      <c r="AA238" s="1199"/>
      <c r="AB238" s="1199"/>
      <c r="AC238" s="1199"/>
      <c r="AD238" s="1199"/>
      <c r="AE238" s="1199"/>
      <c r="AF238" s="1199"/>
      <c r="AG238" s="1199"/>
      <c r="AH238" s="1199"/>
      <c r="AI238" s="1199"/>
      <c r="AJ238" s="1199"/>
      <c r="AK238" s="1199"/>
      <c r="AL238" s="1199"/>
      <c r="AM238" s="1199"/>
      <c r="AN238" s="1199"/>
      <c r="AO238" s="1199"/>
      <c r="AP238" s="1199"/>
      <c r="AQ238" s="1199"/>
      <c r="AR238" s="1199"/>
      <c r="AS238" s="1199"/>
      <c r="AT238" s="1199"/>
      <c r="AU238" s="1199"/>
      <c r="AV238" s="1199"/>
      <c r="AW238" s="1199"/>
      <c r="AX238" s="1199"/>
      <c r="AY238" s="1199"/>
      <c r="AZ238" s="1199"/>
      <c r="BA238" s="1199"/>
      <c r="BB238" s="1199"/>
      <c r="BC238" s="1199"/>
      <c r="BD238" s="1199"/>
      <c r="BE238" s="1199"/>
      <c r="BF238" s="1199"/>
      <c r="BG238" s="1199"/>
      <c r="BH238" s="1199"/>
      <c r="BI238" s="1199"/>
      <c r="BJ238" s="1199"/>
      <c r="BK238" s="1199"/>
      <c r="BL238" s="1199"/>
      <c r="BM238" s="1199"/>
      <c r="BN238" s="1199"/>
      <c r="BO238" s="1199"/>
      <c r="BP238" s="1199"/>
      <c r="BQ238" s="1199"/>
      <c r="BR238" s="1199"/>
      <c r="BS238" s="1199"/>
      <c r="BT238" s="1199"/>
      <c r="BU238" s="1199"/>
      <c r="BV238" s="1199"/>
      <c r="BW238" s="1199"/>
      <c r="BX238" s="1199"/>
      <c r="BY238" s="1199"/>
      <c r="BZ238" s="1199"/>
      <c r="CA238" s="1199"/>
      <c r="CB238" s="1199"/>
      <c r="CC238" s="1199"/>
      <c r="CD238" s="1199"/>
      <c r="CE238" s="2076"/>
      <c r="CF238" s="1199"/>
      <c r="CG238" s="1199"/>
      <c r="CH238" s="1199"/>
      <c r="CI238" s="1199"/>
      <c r="CJ238" s="1199"/>
      <c r="CK238" s="1199"/>
      <c r="CL238" s="1199"/>
      <c r="CM238" s="1199"/>
      <c r="CN238" s="1199"/>
      <c r="CO238" s="1199"/>
      <c r="CP238" s="1199"/>
      <c r="CQ238" s="1199"/>
      <c r="CR238" s="1199"/>
      <c r="CS238" s="1199"/>
      <c r="CT238" s="1199"/>
      <c r="CU238" s="1199"/>
      <c r="CV238" s="1199"/>
      <c r="CW238" s="1199"/>
      <c r="CX238" s="1199"/>
      <c r="CY238" s="2090"/>
      <c r="CZ238" s="1199"/>
      <c r="DA238" s="1199"/>
      <c r="DB238" s="1199"/>
      <c r="DC238" s="1199"/>
      <c r="DD238" s="1199"/>
      <c r="DE238" s="1199"/>
      <c r="DF238" s="1199"/>
      <c r="DG238" s="1199"/>
      <c r="DH238" s="1199"/>
      <c r="DI238" s="1199"/>
      <c r="DJ238" s="1199"/>
      <c r="DK238" s="1199"/>
      <c r="DL238" s="1199"/>
      <c r="DM238" s="1199"/>
      <c r="DN238" s="1199"/>
      <c r="DO238" s="1199"/>
      <c r="DP238" s="1199"/>
      <c r="DQ238" s="1199"/>
      <c r="DR238" s="1199"/>
      <c r="DS238" s="1199"/>
      <c r="DT238" s="1199"/>
      <c r="DU238" s="1199"/>
      <c r="DV238" s="2091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83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76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82"/>
      <c r="IR239" s="629"/>
      <c r="IS239" s="629"/>
      <c r="IT239" s="629"/>
      <c r="IU239" s="629"/>
      <c r="IV239" s="629"/>
    </row>
    <row r="240" spans="1:256" ht="17.25" hidden="1" customHeight="1">
      <c r="A240" s="2083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76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82"/>
    </row>
    <row r="241" spans="1:256" ht="17.25" hidden="1" customHeight="1">
      <c r="A241" s="2083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76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82"/>
    </row>
    <row r="242" spans="1:256" ht="17.25" hidden="1" customHeight="1">
      <c r="A242" s="2083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76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82"/>
    </row>
    <row r="243" spans="1:256" ht="17.25" hidden="1" customHeight="1">
      <c r="A243" s="2083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76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82"/>
    </row>
    <row r="244" spans="1:256" ht="17.25" hidden="1" customHeight="1">
      <c r="A244" s="2083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76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82"/>
    </row>
    <row r="245" spans="1:256" ht="17.25" hidden="1" customHeight="1">
      <c r="A245" s="2083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76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82"/>
    </row>
    <row r="246" spans="1:256" ht="17.25" hidden="1" customHeight="1">
      <c r="A246" s="2083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76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82"/>
    </row>
    <row r="247" spans="1:256" ht="17.25" hidden="1" customHeight="1">
      <c r="A247" s="2083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76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82"/>
    </row>
    <row r="248" spans="1:256" ht="17.25" hidden="1" customHeight="1">
      <c r="A248" s="2083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76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82"/>
    </row>
    <row r="249" spans="1:256" ht="17.25" hidden="1" customHeight="1">
      <c r="A249" s="2083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76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82"/>
    </row>
    <row r="250" spans="1:256" ht="17.25" hidden="1" customHeight="1">
      <c r="A250" s="2083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76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82"/>
    </row>
    <row r="251" spans="1:256" ht="17.25" hidden="1" customHeight="1">
      <c r="A251" s="2083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76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82"/>
    </row>
    <row r="252" spans="1:256" ht="17.25" hidden="1" customHeight="1">
      <c r="A252" s="2083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76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82"/>
    </row>
    <row r="253" spans="1:256" ht="17.25" hidden="1" customHeight="1">
      <c r="A253" s="2083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76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82"/>
    </row>
    <row r="254" spans="1:256" ht="17.25" hidden="1" customHeight="1">
      <c r="A254" s="2083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76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82"/>
    </row>
    <row r="255" spans="1:256" s="767" customFormat="1" ht="17.25" hidden="1" customHeight="1">
      <c r="A255" s="2083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76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82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120"/>
      <c r="B256" s="2121"/>
      <c r="C256" s="2120"/>
      <c r="D256" s="2120"/>
      <c r="E256" s="2120"/>
      <c r="F256" s="2120"/>
      <c r="G256" s="2120"/>
      <c r="H256" s="2120"/>
      <c r="I256" s="2120"/>
      <c r="J256" s="2120"/>
      <c r="K256" s="2120"/>
      <c r="L256" s="2120"/>
      <c r="M256" s="2120"/>
      <c r="N256" s="2120"/>
      <c r="O256" s="2120"/>
      <c r="P256" s="2120"/>
      <c r="Q256" s="2120"/>
      <c r="R256" s="2120"/>
      <c r="S256" s="2120"/>
      <c r="T256" s="2120"/>
      <c r="U256" s="2120"/>
      <c r="V256" s="2120"/>
      <c r="W256" s="2120"/>
      <c r="X256" s="2120"/>
      <c r="Y256" s="2120"/>
      <c r="Z256" s="2120"/>
      <c r="AA256" s="2120"/>
      <c r="AB256" s="2120"/>
      <c r="AC256" s="2120"/>
      <c r="AD256" s="2120"/>
      <c r="AE256" s="2120"/>
      <c r="AF256" s="2120"/>
      <c r="AG256" s="2120"/>
      <c r="AH256" s="2120"/>
      <c r="AI256" s="2120"/>
      <c r="AJ256" s="2120"/>
      <c r="AK256" s="2120"/>
      <c r="AL256" s="2120"/>
      <c r="AM256" s="2120"/>
      <c r="AN256" s="2120"/>
      <c r="AO256" s="2120"/>
      <c r="AP256" s="2120"/>
      <c r="AQ256" s="2120"/>
      <c r="AR256" s="2120"/>
      <c r="AS256" s="2120"/>
      <c r="AT256" s="2120"/>
      <c r="AU256" s="2120"/>
      <c r="AV256" s="2120"/>
      <c r="AW256" s="2120"/>
      <c r="AX256" s="2120"/>
      <c r="AY256" s="2120"/>
      <c r="AZ256" s="2120"/>
      <c r="BA256" s="2120"/>
      <c r="BB256" s="2120"/>
      <c r="BC256" s="2120"/>
      <c r="BD256" s="2120"/>
      <c r="BE256" s="2120"/>
      <c r="BF256" s="2120"/>
      <c r="BG256" s="2120"/>
      <c r="BH256" s="2120"/>
      <c r="BI256" s="2120"/>
      <c r="BJ256" s="2120"/>
      <c r="BK256" s="2120"/>
      <c r="BL256" s="2120"/>
      <c r="BM256" s="2120"/>
      <c r="BN256" s="2120"/>
      <c r="BO256" s="2120"/>
      <c r="BP256" s="2120"/>
      <c r="BQ256" s="2120"/>
      <c r="BR256" s="2120"/>
      <c r="BS256" s="2120"/>
      <c r="BT256" s="2120"/>
      <c r="BU256" s="2120"/>
      <c r="BV256" s="2120"/>
      <c r="BW256" s="2120"/>
      <c r="BX256" s="2120"/>
      <c r="BY256" s="2120"/>
      <c r="BZ256" s="2120"/>
      <c r="CA256" s="2120"/>
      <c r="CB256" s="2120"/>
      <c r="CC256" s="2120"/>
      <c r="CD256" s="2120"/>
      <c r="CE256" s="2076"/>
      <c r="CF256" s="2120"/>
      <c r="CG256" s="2120"/>
      <c r="CH256" s="2120"/>
      <c r="CI256" s="2120"/>
      <c r="CJ256" s="2120"/>
      <c r="CK256" s="2120"/>
      <c r="CL256" s="2120"/>
      <c r="CM256" s="2120"/>
      <c r="CN256" s="2120"/>
      <c r="CO256" s="2120"/>
      <c r="CP256" s="2120"/>
      <c r="CQ256" s="2120"/>
      <c r="CR256" s="2120"/>
      <c r="CS256" s="2120"/>
      <c r="CT256" s="2120"/>
      <c r="CU256" s="2120"/>
      <c r="CV256" s="2120"/>
      <c r="CW256" s="2120"/>
      <c r="CX256" s="2120"/>
      <c r="CY256" s="2087"/>
      <c r="CZ256" s="2120"/>
      <c r="DA256" s="2120"/>
      <c r="DB256" s="2120"/>
      <c r="DC256" s="2120"/>
      <c r="DD256" s="2120"/>
      <c r="DE256" s="2120"/>
      <c r="DF256" s="2120"/>
      <c r="DG256" s="2120"/>
      <c r="DH256" s="2120"/>
      <c r="DI256" s="2120"/>
      <c r="DJ256" s="2120"/>
      <c r="DK256" s="2120"/>
      <c r="DL256" s="2120"/>
      <c r="DM256" s="2120"/>
      <c r="DN256" s="2120"/>
      <c r="DO256" s="2120"/>
      <c r="DP256" s="2120"/>
      <c r="DQ256" s="2120"/>
      <c r="DR256" s="2120"/>
      <c r="DS256" s="2120"/>
      <c r="DT256" s="2120"/>
      <c r="DU256" s="2122"/>
      <c r="DV256" s="2123"/>
    </row>
    <row r="257" spans="1:256" s="641" customFormat="1" ht="18.75" hidden="1" customHeight="1">
      <c r="A257" s="2124"/>
      <c r="B257" s="2110"/>
      <c r="C257" s="2110"/>
      <c r="D257" s="2110"/>
      <c r="E257" s="2110"/>
      <c r="F257" s="2110"/>
      <c r="G257" s="2110"/>
      <c r="H257" s="2110"/>
      <c r="I257" s="2110"/>
      <c r="J257" s="2110"/>
      <c r="K257" s="2110"/>
      <c r="L257" s="2110"/>
      <c r="M257" s="2110"/>
      <c r="N257" s="2110"/>
      <c r="O257" s="2110"/>
      <c r="P257" s="2110"/>
      <c r="Q257" s="2110"/>
      <c r="R257" s="2110"/>
      <c r="S257" s="2110"/>
      <c r="T257" s="2110"/>
      <c r="U257" s="2110"/>
      <c r="V257" s="2110"/>
      <c r="W257" s="2110"/>
      <c r="X257" s="2110"/>
      <c r="Y257" s="2110"/>
      <c r="Z257" s="2110"/>
      <c r="AA257" s="2110"/>
      <c r="AB257" s="2110"/>
      <c r="AC257" s="2110"/>
      <c r="AD257" s="2110"/>
      <c r="AE257" s="2110"/>
      <c r="AF257" s="2110"/>
      <c r="AG257" s="2110"/>
      <c r="AH257" s="2110"/>
      <c r="AI257" s="2110"/>
      <c r="AJ257" s="2110"/>
      <c r="AK257" s="2110"/>
      <c r="AL257" s="2110"/>
      <c r="AM257" s="2110"/>
      <c r="AN257" s="2110"/>
      <c r="AO257" s="2110"/>
      <c r="AP257" s="2110"/>
      <c r="AQ257" s="2110"/>
      <c r="AR257" s="2110"/>
      <c r="AS257" s="2110"/>
      <c r="AT257" s="2110"/>
      <c r="AU257" s="2110"/>
      <c r="AV257" s="2110"/>
      <c r="AW257" s="2110"/>
      <c r="AX257" s="2110"/>
      <c r="AY257" s="2110"/>
      <c r="AZ257" s="2110"/>
      <c r="BA257" s="2110"/>
      <c r="BB257" s="2110"/>
      <c r="BC257" s="2110"/>
      <c r="BD257" s="2110"/>
      <c r="BE257" s="2110"/>
      <c r="BF257" s="2110"/>
      <c r="BG257" s="2110"/>
      <c r="BH257" s="2110"/>
      <c r="BI257" s="2110"/>
      <c r="BJ257" s="2110"/>
      <c r="BK257" s="2110"/>
      <c r="BL257" s="2110"/>
      <c r="BM257" s="2110"/>
      <c r="BN257" s="2110"/>
      <c r="BO257" s="2110"/>
      <c r="BP257" s="2110"/>
      <c r="BQ257" s="2110"/>
      <c r="BR257" s="2110"/>
      <c r="BS257" s="2110"/>
      <c r="BT257" s="2110"/>
      <c r="BU257" s="2110"/>
      <c r="BV257" s="2110"/>
      <c r="BW257" s="2110"/>
      <c r="BX257" s="2110"/>
      <c r="BY257" s="2110"/>
      <c r="BZ257" s="2110"/>
      <c r="CA257" s="2110"/>
      <c r="CB257" s="2110"/>
      <c r="CC257" s="2110"/>
      <c r="CD257" s="2110"/>
      <c r="CE257" s="2076"/>
      <c r="CF257" s="2110"/>
      <c r="CG257" s="2110"/>
      <c r="CH257" s="2110"/>
      <c r="CI257" s="2110"/>
      <c r="CJ257" s="2110"/>
      <c r="CK257" s="2110"/>
      <c r="CL257" s="2110"/>
      <c r="CM257" s="2110"/>
      <c r="CN257" s="2110"/>
      <c r="CO257" s="2110"/>
      <c r="CP257" s="2110"/>
      <c r="CQ257" s="2110"/>
      <c r="CR257" s="2110"/>
      <c r="CS257" s="2110"/>
      <c r="CT257" s="2110"/>
      <c r="CU257" s="2110"/>
      <c r="CV257" s="2110"/>
      <c r="CW257" s="2110"/>
      <c r="CX257" s="2110"/>
      <c r="CY257" s="2125"/>
      <c r="CZ257" s="2110"/>
      <c r="DA257" s="2110"/>
      <c r="DB257" s="2110"/>
      <c r="DC257" s="2110"/>
      <c r="DD257" s="2110"/>
      <c r="DE257" s="2110"/>
      <c r="DF257" s="2110"/>
      <c r="DG257" s="2110"/>
      <c r="DH257" s="2110"/>
      <c r="DI257" s="2110"/>
      <c r="DJ257" s="2110"/>
      <c r="DK257" s="2110"/>
      <c r="DL257" s="2110"/>
      <c r="DM257" s="2110"/>
      <c r="DN257" s="2110"/>
      <c r="DO257" s="2110"/>
      <c r="DP257" s="2110"/>
      <c r="DQ257" s="2110"/>
      <c r="DR257" s="2110"/>
      <c r="DS257" s="2110"/>
      <c r="DT257" s="2110"/>
      <c r="DU257" s="2110"/>
      <c r="DV257" s="2113"/>
      <c r="IR257" s="616"/>
      <c r="IS257" s="616"/>
      <c r="IT257" s="616"/>
      <c r="IU257" s="616"/>
      <c r="IV257" s="616"/>
    </row>
    <row r="258" spans="1:256" s="632" customFormat="1" ht="18" hidden="1" customHeight="1">
      <c r="A258" s="2119"/>
      <c r="B258" s="1199"/>
      <c r="C258" s="1199"/>
      <c r="D258" s="1199"/>
      <c r="E258" s="1199"/>
      <c r="F258" s="1199"/>
      <c r="G258" s="1199"/>
      <c r="H258" s="1199"/>
      <c r="I258" s="1199"/>
      <c r="J258" s="1199"/>
      <c r="K258" s="1199"/>
      <c r="L258" s="1199"/>
      <c r="M258" s="1199"/>
      <c r="N258" s="1199"/>
      <c r="O258" s="1199"/>
      <c r="P258" s="1199"/>
      <c r="Q258" s="1199"/>
      <c r="R258" s="1199"/>
      <c r="S258" s="1199"/>
      <c r="T258" s="1199"/>
      <c r="U258" s="1199"/>
      <c r="V258" s="1199"/>
      <c r="W258" s="1199"/>
      <c r="X258" s="1199"/>
      <c r="Y258" s="1199"/>
      <c r="Z258" s="1199"/>
      <c r="AA258" s="1199"/>
      <c r="AB258" s="1199"/>
      <c r="AC258" s="1199"/>
      <c r="AD258" s="1199"/>
      <c r="AE258" s="1199"/>
      <c r="AF258" s="1199"/>
      <c r="AG258" s="1199"/>
      <c r="AH258" s="1199"/>
      <c r="AI258" s="1199"/>
      <c r="AJ258" s="1199"/>
      <c r="AK258" s="1199"/>
      <c r="AL258" s="1199"/>
      <c r="AM258" s="1199"/>
      <c r="AN258" s="1199"/>
      <c r="AO258" s="1199"/>
      <c r="AP258" s="1199"/>
      <c r="AQ258" s="1199"/>
      <c r="AR258" s="1199"/>
      <c r="AS258" s="1199"/>
      <c r="AT258" s="1199"/>
      <c r="AU258" s="1199"/>
      <c r="AV258" s="1199"/>
      <c r="AW258" s="1199"/>
      <c r="AX258" s="1199"/>
      <c r="AY258" s="1199"/>
      <c r="AZ258" s="1199"/>
      <c r="BA258" s="1199"/>
      <c r="BB258" s="1199"/>
      <c r="BC258" s="1199"/>
      <c r="BD258" s="1199"/>
      <c r="BE258" s="1199"/>
      <c r="BF258" s="1199"/>
      <c r="BG258" s="1199"/>
      <c r="BH258" s="1199"/>
      <c r="BI258" s="1199"/>
      <c r="BJ258" s="1199"/>
      <c r="BK258" s="1199"/>
      <c r="BL258" s="1199"/>
      <c r="BM258" s="1199"/>
      <c r="BN258" s="1199"/>
      <c r="BO258" s="1199"/>
      <c r="BP258" s="1199"/>
      <c r="BQ258" s="1199"/>
      <c r="BR258" s="1199"/>
      <c r="BS258" s="1199"/>
      <c r="BT258" s="1199"/>
      <c r="BU258" s="1199"/>
      <c r="BV258" s="1199"/>
      <c r="BW258" s="1199"/>
      <c r="BX258" s="1199"/>
      <c r="BY258" s="1199"/>
      <c r="BZ258" s="1199"/>
      <c r="CA258" s="1199"/>
      <c r="CB258" s="1199"/>
      <c r="CC258" s="1199"/>
      <c r="CD258" s="1199"/>
      <c r="CE258" s="2076"/>
      <c r="CF258" s="1199"/>
      <c r="CG258" s="1199"/>
      <c r="CH258" s="1199"/>
      <c r="CI258" s="1199"/>
      <c r="CJ258" s="1199"/>
      <c r="CK258" s="1199"/>
      <c r="CL258" s="1199"/>
      <c r="CM258" s="1199"/>
      <c r="CN258" s="1199"/>
      <c r="CO258" s="1199"/>
      <c r="CP258" s="1199"/>
      <c r="CQ258" s="1199"/>
      <c r="CR258" s="1199"/>
      <c r="CS258" s="1199"/>
      <c r="CT258" s="1199"/>
      <c r="CU258" s="1199"/>
      <c r="CV258" s="1199"/>
      <c r="CW258" s="1199"/>
      <c r="CX258" s="1199"/>
      <c r="CY258" s="2090"/>
      <c r="CZ258" s="1199"/>
      <c r="DA258" s="1199"/>
      <c r="DB258" s="1199"/>
      <c r="DC258" s="1199"/>
      <c r="DD258" s="1199"/>
      <c r="DE258" s="1199"/>
      <c r="DF258" s="1199"/>
      <c r="DG258" s="1199"/>
      <c r="DH258" s="1199"/>
      <c r="DI258" s="1199"/>
      <c r="DJ258" s="1199"/>
      <c r="DK258" s="1199"/>
      <c r="DL258" s="1199"/>
      <c r="DM258" s="1199"/>
      <c r="DN258" s="1199"/>
      <c r="DO258" s="1199"/>
      <c r="DP258" s="1199"/>
      <c r="DQ258" s="1199"/>
      <c r="DR258" s="1199"/>
      <c r="DS258" s="1199"/>
      <c r="DT258" s="1199"/>
      <c r="DU258" s="1199"/>
      <c r="DV258" s="2091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92"/>
      <c r="B259" s="1199"/>
      <c r="C259" s="1199"/>
      <c r="D259" s="1199"/>
      <c r="E259" s="1199"/>
      <c r="F259" s="1199"/>
      <c r="G259" s="1199"/>
      <c r="H259" s="1199"/>
      <c r="I259" s="1199"/>
      <c r="J259" s="1199"/>
      <c r="K259" s="1199"/>
      <c r="L259" s="1199"/>
      <c r="M259" s="1199"/>
      <c r="N259" s="1199"/>
      <c r="O259" s="1199"/>
      <c r="P259" s="1199"/>
      <c r="Q259" s="1199"/>
      <c r="R259" s="1199"/>
      <c r="S259" s="1199"/>
      <c r="T259" s="1199"/>
      <c r="U259" s="1199"/>
      <c r="V259" s="1199"/>
      <c r="W259" s="1199"/>
      <c r="X259" s="1199"/>
      <c r="Y259" s="1199"/>
      <c r="Z259" s="1199"/>
      <c r="AA259" s="1199"/>
      <c r="AB259" s="1199"/>
      <c r="AC259" s="1199"/>
      <c r="AD259" s="1199"/>
      <c r="AE259" s="1199"/>
      <c r="AF259" s="1199"/>
      <c r="AG259" s="1199"/>
      <c r="AH259" s="1199"/>
      <c r="AI259" s="1199"/>
      <c r="AJ259" s="1199"/>
      <c r="AK259" s="1199"/>
      <c r="AL259" s="1199"/>
      <c r="AM259" s="1199"/>
      <c r="AN259" s="1199"/>
      <c r="AO259" s="1199"/>
      <c r="AP259" s="1199"/>
      <c r="AQ259" s="1199"/>
      <c r="AR259" s="1199"/>
      <c r="AS259" s="1199"/>
      <c r="AT259" s="1199"/>
      <c r="AU259" s="1199"/>
      <c r="AV259" s="1199"/>
      <c r="AW259" s="1199"/>
      <c r="AX259" s="1199"/>
      <c r="AY259" s="1199"/>
      <c r="AZ259" s="1199"/>
      <c r="BA259" s="1199"/>
      <c r="BB259" s="1199"/>
      <c r="BC259" s="1199"/>
      <c r="BD259" s="1199"/>
      <c r="BE259" s="1199"/>
      <c r="BF259" s="1199"/>
      <c r="BG259" s="1199"/>
      <c r="BH259" s="1199"/>
      <c r="BI259" s="1199"/>
      <c r="BJ259" s="1199"/>
      <c r="BK259" s="1199"/>
      <c r="BL259" s="1199"/>
      <c r="BM259" s="1199"/>
      <c r="BN259" s="1199"/>
      <c r="BO259" s="1199"/>
      <c r="BP259" s="1199"/>
      <c r="BQ259" s="1199"/>
      <c r="BR259" s="1199"/>
      <c r="BS259" s="1199"/>
      <c r="BT259" s="1199"/>
      <c r="BU259" s="1199"/>
      <c r="BV259" s="1199"/>
      <c r="BW259" s="1199"/>
      <c r="BX259" s="1199"/>
      <c r="BY259" s="1199"/>
      <c r="BZ259" s="1199"/>
      <c r="CA259" s="1199"/>
      <c r="CB259" s="1199"/>
      <c r="CC259" s="1199"/>
      <c r="CD259" s="1199"/>
      <c r="CE259" s="2076"/>
      <c r="CF259" s="1199"/>
      <c r="CG259" s="1199"/>
      <c r="CH259" s="1199"/>
      <c r="CI259" s="1199"/>
      <c r="CJ259" s="1199"/>
      <c r="CK259" s="1199"/>
      <c r="CL259" s="1199"/>
      <c r="CM259" s="1199"/>
      <c r="CN259" s="1199"/>
      <c r="CO259" s="1199"/>
      <c r="CP259" s="1199"/>
      <c r="CQ259" s="1199"/>
      <c r="CR259" s="1199"/>
      <c r="CS259" s="1199"/>
      <c r="CT259" s="1199"/>
      <c r="CU259" s="1199"/>
      <c r="CV259" s="1199"/>
      <c r="CW259" s="1199"/>
      <c r="CX259" s="1199"/>
      <c r="CY259" s="2090"/>
      <c r="CZ259" s="1199"/>
      <c r="DA259" s="1199"/>
      <c r="DB259" s="1199"/>
      <c r="DC259" s="1199"/>
      <c r="DD259" s="1199"/>
      <c r="DE259" s="1199"/>
      <c r="DF259" s="1199"/>
      <c r="DG259" s="1199"/>
      <c r="DH259" s="1199"/>
      <c r="DI259" s="1199"/>
      <c r="DJ259" s="1199"/>
      <c r="DK259" s="1199"/>
      <c r="DL259" s="1199"/>
      <c r="DM259" s="1199"/>
      <c r="DN259" s="1199"/>
      <c r="DO259" s="1199"/>
      <c r="DP259" s="1199"/>
      <c r="DQ259" s="1199"/>
      <c r="DR259" s="1199"/>
      <c r="DS259" s="1199"/>
      <c r="DT259" s="1199"/>
      <c r="DU259" s="1199"/>
      <c r="DV259" s="2091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83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76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82"/>
      <c r="IR260" s="629"/>
      <c r="IS260" s="629"/>
      <c r="IT260" s="629"/>
      <c r="IU260" s="629"/>
      <c r="IV260" s="629"/>
    </row>
    <row r="261" spans="1:256" ht="17.25" hidden="1" customHeight="1">
      <c r="A261" s="2083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76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82"/>
    </row>
    <row r="262" spans="1:256" ht="17.25" hidden="1" customHeight="1">
      <c r="A262" s="2083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76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82"/>
    </row>
    <row r="263" spans="1:256" ht="17.25" hidden="1" customHeight="1">
      <c r="A263" s="2083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76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82"/>
    </row>
    <row r="264" spans="1:256" ht="17.25" hidden="1" customHeight="1">
      <c r="A264" s="2083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76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82"/>
    </row>
    <row r="265" spans="1:256" ht="17.25" hidden="1" customHeight="1">
      <c r="A265" s="2083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76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82"/>
    </row>
    <row r="266" spans="1:256" ht="17.25" hidden="1" customHeight="1">
      <c r="A266" s="2083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76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82"/>
    </row>
    <row r="267" spans="1:256" ht="17.25" hidden="1" customHeight="1">
      <c r="A267" s="2083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76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82"/>
    </row>
    <row r="268" spans="1:256" ht="17.25" hidden="1" customHeight="1">
      <c r="A268" s="2083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76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82"/>
    </row>
    <row r="269" spans="1:256" ht="17.25" hidden="1" customHeight="1">
      <c r="A269" s="2083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76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82"/>
    </row>
    <row r="270" spans="1:256" ht="17.25" hidden="1" customHeight="1">
      <c r="A270" s="2083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76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82"/>
    </row>
    <row r="271" spans="1:256" ht="17.25" hidden="1" customHeight="1">
      <c r="A271" s="2083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76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82"/>
    </row>
    <row r="272" spans="1:256" ht="17.25" hidden="1" customHeight="1">
      <c r="A272" s="2083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76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82"/>
    </row>
    <row r="273" spans="1:256" ht="17.25" hidden="1" customHeight="1">
      <c r="A273" s="2083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76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82"/>
    </row>
    <row r="274" spans="1:256" ht="17.25" hidden="1" customHeight="1">
      <c r="A274" s="2083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76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82"/>
    </row>
    <row r="275" spans="1:256" s="767" customFormat="1" ht="17.25" hidden="1" customHeight="1">
      <c r="A275" s="2083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76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82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120"/>
      <c r="B276" s="2121"/>
      <c r="C276" s="2120"/>
      <c r="D276" s="2120"/>
      <c r="E276" s="2120"/>
      <c r="F276" s="2120"/>
      <c r="G276" s="2120"/>
      <c r="H276" s="2120"/>
      <c r="I276" s="2120"/>
      <c r="J276" s="2120"/>
      <c r="K276" s="2120"/>
      <c r="L276" s="2120"/>
      <c r="M276" s="2120"/>
      <c r="N276" s="2120"/>
      <c r="O276" s="2120"/>
      <c r="P276" s="2120"/>
      <c r="Q276" s="2120"/>
      <c r="R276" s="2120"/>
      <c r="S276" s="2120"/>
      <c r="T276" s="2120"/>
      <c r="U276" s="2120"/>
      <c r="V276" s="2120"/>
      <c r="W276" s="2120"/>
      <c r="X276" s="2120"/>
      <c r="Y276" s="2120"/>
      <c r="Z276" s="2120"/>
      <c r="AA276" s="2120"/>
      <c r="AB276" s="2120"/>
      <c r="AC276" s="2120"/>
      <c r="AD276" s="2120"/>
      <c r="AE276" s="2120"/>
      <c r="AF276" s="2120"/>
      <c r="AG276" s="2120"/>
      <c r="AH276" s="2120"/>
      <c r="AI276" s="2120"/>
      <c r="AJ276" s="2120"/>
      <c r="AK276" s="2120"/>
      <c r="AL276" s="2120"/>
      <c r="AM276" s="2120"/>
      <c r="AN276" s="2120"/>
      <c r="AO276" s="2120"/>
      <c r="AP276" s="2120"/>
      <c r="AQ276" s="2120"/>
      <c r="AR276" s="2120"/>
      <c r="AS276" s="2120"/>
      <c r="AT276" s="2120"/>
      <c r="AU276" s="2120"/>
      <c r="AV276" s="2120"/>
      <c r="AW276" s="2120"/>
      <c r="AX276" s="2120"/>
      <c r="AY276" s="2120"/>
      <c r="AZ276" s="2120"/>
      <c r="BA276" s="2120"/>
      <c r="BB276" s="2120"/>
      <c r="BC276" s="2120"/>
      <c r="BD276" s="2120"/>
      <c r="BE276" s="2120"/>
      <c r="BF276" s="2120"/>
      <c r="BG276" s="2120"/>
      <c r="BH276" s="2120"/>
      <c r="BI276" s="2120"/>
      <c r="BJ276" s="2120"/>
      <c r="BK276" s="2120"/>
      <c r="BL276" s="2120"/>
      <c r="BM276" s="2120"/>
      <c r="BN276" s="2120"/>
      <c r="BO276" s="2120"/>
      <c r="BP276" s="2120"/>
      <c r="BQ276" s="2120"/>
      <c r="BR276" s="2120"/>
      <c r="BS276" s="2120"/>
      <c r="BT276" s="2120"/>
      <c r="BU276" s="2120"/>
      <c r="BV276" s="2120"/>
      <c r="BW276" s="2120"/>
      <c r="BX276" s="2120"/>
      <c r="BY276" s="2120"/>
      <c r="BZ276" s="2120"/>
      <c r="CA276" s="2120"/>
      <c r="CB276" s="2120"/>
      <c r="CC276" s="2120"/>
      <c r="CD276" s="2120"/>
      <c r="CE276" s="2076"/>
      <c r="CF276" s="2120"/>
      <c r="CG276" s="2120"/>
      <c r="CH276" s="2120"/>
      <c r="CI276" s="2120"/>
      <c r="CJ276" s="2120"/>
      <c r="CK276" s="2120"/>
      <c r="CL276" s="2120"/>
      <c r="CM276" s="2120"/>
      <c r="CN276" s="2120"/>
      <c r="CO276" s="2120"/>
      <c r="CP276" s="2120"/>
      <c r="CQ276" s="2120"/>
      <c r="CR276" s="2120"/>
      <c r="CS276" s="2120"/>
      <c r="CT276" s="2120"/>
      <c r="CU276" s="2120"/>
      <c r="CV276" s="2120"/>
      <c r="CW276" s="2120"/>
      <c r="CX276" s="2120"/>
      <c r="CY276" s="2087"/>
      <c r="CZ276" s="2120"/>
      <c r="DA276" s="2120"/>
      <c r="DB276" s="2120"/>
      <c r="DC276" s="2120"/>
      <c r="DD276" s="2120"/>
      <c r="DE276" s="2120"/>
      <c r="DF276" s="2120"/>
      <c r="DG276" s="2120"/>
      <c r="DH276" s="2120"/>
      <c r="DI276" s="2120"/>
      <c r="DJ276" s="2120"/>
      <c r="DK276" s="2120"/>
      <c r="DL276" s="2120"/>
      <c r="DM276" s="2120"/>
      <c r="DN276" s="2120"/>
      <c r="DO276" s="2120"/>
      <c r="DP276" s="2120"/>
      <c r="DQ276" s="2120"/>
      <c r="DR276" s="2120"/>
      <c r="DS276" s="2120"/>
      <c r="DT276" s="2120"/>
      <c r="DU276" s="2122"/>
      <c r="DV276" s="2123"/>
    </row>
    <row r="277" spans="1:256" s="632" customFormat="1" ht="18" hidden="1" customHeight="1">
      <c r="A277" s="2092"/>
      <c r="B277" s="1199"/>
      <c r="C277" s="1199"/>
      <c r="D277" s="1199"/>
      <c r="E277" s="1199"/>
      <c r="F277" s="1199"/>
      <c r="G277" s="1199"/>
      <c r="H277" s="1199"/>
      <c r="I277" s="1199"/>
      <c r="J277" s="1199"/>
      <c r="K277" s="1199"/>
      <c r="L277" s="1199"/>
      <c r="M277" s="1199"/>
      <c r="N277" s="1199"/>
      <c r="O277" s="1199"/>
      <c r="P277" s="1199"/>
      <c r="Q277" s="1199"/>
      <c r="R277" s="1199"/>
      <c r="S277" s="1199"/>
      <c r="T277" s="1199"/>
      <c r="U277" s="1199"/>
      <c r="V277" s="1199"/>
      <c r="W277" s="1199"/>
      <c r="X277" s="1199"/>
      <c r="Y277" s="1199"/>
      <c r="Z277" s="1199"/>
      <c r="AA277" s="1199"/>
      <c r="AB277" s="1199"/>
      <c r="AC277" s="1199"/>
      <c r="AD277" s="1199"/>
      <c r="AE277" s="1199"/>
      <c r="AF277" s="1199"/>
      <c r="AG277" s="1199"/>
      <c r="AH277" s="1199"/>
      <c r="AI277" s="1199"/>
      <c r="AJ277" s="1199"/>
      <c r="AK277" s="1199"/>
      <c r="AL277" s="1199"/>
      <c r="AM277" s="1199"/>
      <c r="AN277" s="1199"/>
      <c r="AO277" s="1199"/>
      <c r="AP277" s="1199"/>
      <c r="AQ277" s="1199"/>
      <c r="AR277" s="1199"/>
      <c r="AS277" s="1199"/>
      <c r="AT277" s="1199"/>
      <c r="AU277" s="1199"/>
      <c r="AV277" s="1199"/>
      <c r="AW277" s="1199"/>
      <c r="AX277" s="1199"/>
      <c r="AY277" s="1199"/>
      <c r="AZ277" s="1199"/>
      <c r="BA277" s="1199"/>
      <c r="BB277" s="1199"/>
      <c r="BC277" s="1199"/>
      <c r="BD277" s="1199"/>
      <c r="BE277" s="1199"/>
      <c r="BF277" s="1199"/>
      <c r="BG277" s="1199"/>
      <c r="BH277" s="1199"/>
      <c r="BI277" s="1199"/>
      <c r="BJ277" s="1199"/>
      <c r="BK277" s="1199"/>
      <c r="BL277" s="1199"/>
      <c r="BM277" s="1199"/>
      <c r="BN277" s="1199"/>
      <c r="BO277" s="1199"/>
      <c r="BP277" s="1199"/>
      <c r="BQ277" s="1199"/>
      <c r="BR277" s="1199"/>
      <c r="BS277" s="1199"/>
      <c r="BT277" s="1199"/>
      <c r="BU277" s="1199"/>
      <c r="BV277" s="1199"/>
      <c r="BW277" s="1199"/>
      <c r="BX277" s="1199"/>
      <c r="BY277" s="1199"/>
      <c r="BZ277" s="1199"/>
      <c r="CA277" s="1199"/>
      <c r="CB277" s="1199"/>
      <c r="CC277" s="1199"/>
      <c r="CD277" s="1199"/>
      <c r="CE277" s="2076"/>
      <c r="CF277" s="1199"/>
      <c r="CG277" s="1199"/>
      <c r="CH277" s="1199"/>
      <c r="CI277" s="1199"/>
      <c r="CJ277" s="1199"/>
      <c r="CK277" s="1199"/>
      <c r="CL277" s="1199"/>
      <c r="CM277" s="1199"/>
      <c r="CN277" s="1199"/>
      <c r="CO277" s="1199"/>
      <c r="CP277" s="1199"/>
      <c r="CQ277" s="1199"/>
      <c r="CR277" s="1199"/>
      <c r="CS277" s="1199"/>
      <c r="CT277" s="1199"/>
      <c r="CU277" s="1199"/>
      <c r="CV277" s="1199"/>
      <c r="CW277" s="1199"/>
      <c r="CX277" s="1199"/>
      <c r="CY277" s="2090"/>
      <c r="CZ277" s="1199"/>
      <c r="DA277" s="1199"/>
      <c r="DB277" s="1199"/>
      <c r="DC277" s="1199"/>
      <c r="DD277" s="1199"/>
      <c r="DE277" s="1199"/>
      <c r="DF277" s="1199"/>
      <c r="DG277" s="1199"/>
      <c r="DH277" s="1199"/>
      <c r="DI277" s="1199"/>
      <c r="DJ277" s="1199"/>
      <c r="DK277" s="1199"/>
      <c r="DL277" s="1199"/>
      <c r="DM277" s="1199"/>
      <c r="DN277" s="1199"/>
      <c r="DO277" s="1199"/>
      <c r="DP277" s="1199"/>
      <c r="DQ277" s="1199"/>
      <c r="DR277" s="1199"/>
      <c r="DS277" s="1199"/>
      <c r="DT277" s="1199"/>
      <c r="DU277" s="1199"/>
      <c r="DV277" s="2091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83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76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82"/>
      <c r="IR278" s="629"/>
      <c r="IS278" s="629"/>
      <c r="IT278" s="629"/>
      <c r="IU278" s="629"/>
      <c r="IV278" s="629"/>
    </row>
    <row r="279" spans="1:256" ht="17.25" hidden="1" customHeight="1">
      <c r="A279" s="2083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76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82"/>
    </row>
    <row r="280" spans="1:256" ht="17.25" hidden="1" customHeight="1">
      <c r="A280" s="2083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76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82"/>
    </row>
    <row r="281" spans="1:256" ht="17.25" hidden="1" customHeight="1">
      <c r="A281" s="2083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76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82"/>
    </row>
    <row r="282" spans="1:256" s="767" customFormat="1" ht="17.25" hidden="1" customHeight="1">
      <c r="A282" s="2083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76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82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120"/>
      <c r="B283" s="2121"/>
      <c r="C283" s="2120"/>
      <c r="D283" s="2120"/>
      <c r="E283" s="2120"/>
      <c r="F283" s="2120"/>
      <c r="G283" s="2120"/>
      <c r="H283" s="2120"/>
      <c r="I283" s="2120"/>
      <c r="J283" s="2120"/>
      <c r="K283" s="2120"/>
      <c r="L283" s="2120"/>
      <c r="M283" s="2120"/>
      <c r="N283" s="2120"/>
      <c r="O283" s="2120"/>
      <c r="P283" s="2120"/>
      <c r="Q283" s="2120"/>
      <c r="R283" s="2120"/>
      <c r="S283" s="2120"/>
      <c r="T283" s="2120"/>
      <c r="U283" s="2120"/>
      <c r="V283" s="2120"/>
      <c r="W283" s="2120"/>
      <c r="X283" s="2120"/>
      <c r="Y283" s="2120"/>
      <c r="Z283" s="2120"/>
      <c r="AA283" s="2120"/>
      <c r="AB283" s="2120"/>
      <c r="AC283" s="2120"/>
      <c r="AD283" s="2120"/>
      <c r="AE283" s="2120"/>
      <c r="AF283" s="2120"/>
      <c r="AG283" s="2120"/>
      <c r="AH283" s="2120"/>
      <c r="AI283" s="2120"/>
      <c r="AJ283" s="2120"/>
      <c r="AK283" s="2120"/>
      <c r="AL283" s="2120"/>
      <c r="AM283" s="2120"/>
      <c r="AN283" s="2120"/>
      <c r="AO283" s="2120"/>
      <c r="AP283" s="2120"/>
      <c r="AQ283" s="2120"/>
      <c r="AR283" s="2120"/>
      <c r="AS283" s="2120"/>
      <c r="AT283" s="2120"/>
      <c r="AU283" s="2120"/>
      <c r="AV283" s="2120"/>
      <c r="AW283" s="2120"/>
      <c r="AX283" s="2120"/>
      <c r="AY283" s="2120"/>
      <c r="AZ283" s="2120"/>
      <c r="BA283" s="2120"/>
      <c r="BB283" s="2120"/>
      <c r="BC283" s="2120"/>
      <c r="BD283" s="2120"/>
      <c r="BE283" s="2120"/>
      <c r="BF283" s="2120"/>
      <c r="BG283" s="2120"/>
      <c r="BH283" s="2120"/>
      <c r="BI283" s="2120"/>
      <c r="BJ283" s="2120"/>
      <c r="BK283" s="2120"/>
      <c r="BL283" s="2120"/>
      <c r="BM283" s="2120"/>
      <c r="BN283" s="2120"/>
      <c r="BO283" s="2120"/>
      <c r="BP283" s="2120"/>
      <c r="BQ283" s="2120"/>
      <c r="BR283" s="2120"/>
      <c r="BS283" s="2120"/>
      <c r="BT283" s="2120"/>
      <c r="BU283" s="2120"/>
      <c r="BV283" s="2120"/>
      <c r="BW283" s="2120"/>
      <c r="BX283" s="2120"/>
      <c r="BY283" s="2120"/>
      <c r="BZ283" s="2120"/>
      <c r="CA283" s="2120"/>
      <c r="CB283" s="2120"/>
      <c r="CC283" s="2120"/>
      <c r="CD283" s="2120"/>
      <c r="CE283" s="2076"/>
      <c r="CF283" s="2120"/>
      <c r="CG283" s="2120"/>
      <c r="CH283" s="2120"/>
      <c r="CI283" s="2120"/>
      <c r="CJ283" s="2120"/>
      <c r="CK283" s="2120"/>
      <c r="CL283" s="2120"/>
      <c r="CM283" s="2120"/>
      <c r="CN283" s="2120"/>
      <c r="CO283" s="2120"/>
      <c r="CP283" s="2120"/>
      <c r="CQ283" s="2120"/>
      <c r="CR283" s="2120"/>
      <c r="CS283" s="2120"/>
      <c r="CT283" s="2120"/>
      <c r="CU283" s="2120"/>
      <c r="CV283" s="2120"/>
      <c r="CW283" s="2120"/>
      <c r="CX283" s="2120"/>
      <c r="CY283" s="2087"/>
      <c r="CZ283" s="2120"/>
      <c r="DA283" s="2120"/>
      <c r="DB283" s="2120"/>
      <c r="DC283" s="2120"/>
      <c r="DD283" s="2120"/>
      <c r="DE283" s="2120"/>
      <c r="DF283" s="2120"/>
      <c r="DG283" s="2120"/>
      <c r="DH283" s="2120"/>
      <c r="DI283" s="2120"/>
      <c r="DJ283" s="2120"/>
      <c r="DK283" s="2120"/>
      <c r="DL283" s="2120"/>
      <c r="DM283" s="2120"/>
      <c r="DN283" s="2120"/>
      <c r="DO283" s="2120"/>
      <c r="DP283" s="2120"/>
      <c r="DQ283" s="2120"/>
      <c r="DR283" s="2120"/>
      <c r="DS283" s="2120"/>
      <c r="DT283" s="2120"/>
      <c r="DU283" s="2122"/>
      <c r="DV283" s="2123"/>
    </row>
    <row r="284" spans="1:256" s="632" customFormat="1" ht="18" hidden="1" customHeight="1">
      <c r="A284" s="2092"/>
      <c r="B284" s="1199"/>
      <c r="C284" s="1199"/>
      <c r="D284" s="1199"/>
      <c r="E284" s="1199"/>
      <c r="F284" s="1199"/>
      <c r="G284" s="1199"/>
      <c r="H284" s="1199"/>
      <c r="I284" s="1199"/>
      <c r="J284" s="1199"/>
      <c r="K284" s="1199"/>
      <c r="L284" s="1199"/>
      <c r="M284" s="1199"/>
      <c r="N284" s="1199"/>
      <c r="O284" s="1199"/>
      <c r="P284" s="1199"/>
      <c r="Q284" s="1199"/>
      <c r="R284" s="1199"/>
      <c r="S284" s="1199"/>
      <c r="T284" s="1199"/>
      <c r="U284" s="1199"/>
      <c r="V284" s="1199"/>
      <c r="W284" s="1199"/>
      <c r="X284" s="1199"/>
      <c r="Y284" s="1199"/>
      <c r="Z284" s="1199"/>
      <c r="AA284" s="1199"/>
      <c r="AB284" s="1199"/>
      <c r="AC284" s="1199"/>
      <c r="AD284" s="1199"/>
      <c r="AE284" s="1199"/>
      <c r="AF284" s="1199"/>
      <c r="AG284" s="1199"/>
      <c r="AH284" s="1199"/>
      <c r="AI284" s="1199"/>
      <c r="AJ284" s="1199"/>
      <c r="AK284" s="1199"/>
      <c r="AL284" s="1199"/>
      <c r="AM284" s="1199"/>
      <c r="AN284" s="1199"/>
      <c r="AO284" s="1199"/>
      <c r="AP284" s="1199"/>
      <c r="AQ284" s="1199"/>
      <c r="AR284" s="1199"/>
      <c r="AS284" s="1199"/>
      <c r="AT284" s="1199"/>
      <c r="AU284" s="1199"/>
      <c r="AV284" s="1199"/>
      <c r="AW284" s="1199"/>
      <c r="AX284" s="1199"/>
      <c r="AY284" s="1199"/>
      <c r="AZ284" s="1199"/>
      <c r="BA284" s="1199"/>
      <c r="BB284" s="1199"/>
      <c r="BC284" s="1199"/>
      <c r="BD284" s="1199"/>
      <c r="BE284" s="1199"/>
      <c r="BF284" s="1199"/>
      <c r="BG284" s="1199"/>
      <c r="BH284" s="1199"/>
      <c r="BI284" s="1199"/>
      <c r="BJ284" s="1199"/>
      <c r="BK284" s="1199"/>
      <c r="BL284" s="1199"/>
      <c r="BM284" s="1199"/>
      <c r="BN284" s="1199"/>
      <c r="BO284" s="1199"/>
      <c r="BP284" s="1199"/>
      <c r="BQ284" s="1199"/>
      <c r="BR284" s="1199"/>
      <c r="BS284" s="1199"/>
      <c r="BT284" s="1199"/>
      <c r="BU284" s="1199"/>
      <c r="BV284" s="1199"/>
      <c r="BW284" s="1199"/>
      <c r="BX284" s="1199"/>
      <c r="BY284" s="1199"/>
      <c r="BZ284" s="1199"/>
      <c r="CA284" s="1199"/>
      <c r="CB284" s="1199"/>
      <c r="CC284" s="1199"/>
      <c r="CD284" s="1199"/>
      <c r="CE284" s="2076"/>
      <c r="CF284" s="1199"/>
      <c r="CG284" s="1199"/>
      <c r="CH284" s="1199"/>
      <c r="CI284" s="1199"/>
      <c r="CJ284" s="1199"/>
      <c r="CK284" s="1199"/>
      <c r="CL284" s="1199"/>
      <c r="CM284" s="1199"/>
      <c r="CN284" s="1199"/>
      <c r="CO284" s="1199"/>
      <c r="CP284" s="1199"/>
      <c r="CQ284" s="1199"/>
      <c r="CR284" s="1199"/>
      <c r="CS284" s="1199"/>
      <c r="CT284" s="1199"/>
      <c r="CU284" s="1199"/>
      <c r="CV284" s="1199"/>
      <c r="CW284" s="1199"/>
      <c r="CX284" s="1199"/>
      <c r="CY284" s="2090"/>
      <c r="CZ284" s="1199"/>
      <c r="DA284" s="1199"/>
      <c r="DB284" s="1199"/>
      <c r="DC284" s="1199"/>
      <c r="DD284" s="1199"/>
      <c r="DE284" s="1199"/>
      <c r="DF284" s="1199"/>
      <c r="DG284" s="1199"/>
      <c r="DH284" s="1199"/>
      <c r="DI284" s="1199"/>
      <c r="DJ284" s="1199"/>
      <c r="DK284" s="1199"/>
      <c r="DL284" s="1199"/>
      <c r="DM284" s="1199"/>
      <c r="DN284" s="1199"/>
      <c r="DO284" s="1199"/>
      <c r="DP284" s="1199"/>
      <c r="DQ284" s="1199"/>
      <c r="DR284" s="1199"/>
      <c r="DS284" s="1199"/>
      <c r="DT284" s="1199"/>
      <c r="DU284" s="1199"/>
      <c r="DV284" s="2091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83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76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82"/>
      <c r="IR285" s="629"/>
      <c r="IS285" s="629"/>
      <c r="IT285" s="629"/>
      <c r="IU285" s="629"/>
      <c r="IV285" s="629"/>
    </row>
    <row r="286" spans="1:256" ht="17.25" hidden="1" customHeight="1">
      <c r="A286" s="2083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76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82"/>
    </row>
    <row r="287" spans="1:256" ht="17.25" hidden="1" customHeight="1">
      <c r="A287" s="2083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76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82"/>
    </row>
    <row r="288" spans="1:256" ht="17.25" hidden="1" customHeight="1">
      <c r="A288" s="2083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76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82"/>
    </row>
    <row r="289" spans="1:256" ht="17.25" hidden="1" customHeight="1">
      <c r="A289" s="2083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76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82"/>
    </row>
    <row r="290" spans="1:256" ht="17.25" hidden="1" customHeight="1">
      <c r="A290" s="2083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76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82"/>
    </row>
    <row r="291" spans="1:256" ht="17.25" hidden="1" customHeight="1">
      <c r="A291" s="2083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76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82"/>
    </row>
    <row r="292" spans="1:256" ht="17.25" hidden="1" customHeight="1">
      <c r="A292" s="2083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76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82"/>
    </row>
    <row r="293" spans="1:256" ht="17.25" hidden="1" customHeight="1">
      <c r="A293" s="2083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76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82"/>
    </row>
    <row r="294" spans="1:256" ht="17.25" hidden="1" customHeight="1">
      <c r="A294" s="2083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76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82"/>
    </row>
    <row r="295" spans="1:256" ht="17.25" hidden="1" customHeight="1">
      <c r="A295" s="2083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76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82"/>
    </row>
    <row r="296" spans="1:256" ht="17.25" hidden="1" customHeight="1">
      <c r="A296" s="2083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76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82"/>
    </row>
    <row r="297" spans="1:256" ht="17.25" hidden="1" customHeight="1">
      <c r="A297" s="2083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76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82"/>
    </row>
    <row r="298" spans="1:256" ht="17.25" hidden="1" customHeight="1">
      <c r="A298" s="2083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76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82"/>
    </row>
    <row r="299" spans="1:256" ht="17.25" hidden="1" customHeight="1">
      <c r="A299" s="2083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76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82"/>
    </row>
    <row r="300" spans="1:256" ht="17.25" hidden="1" customHeight="1">
      <c r="A300" s="2083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76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82"/>
    </row>
    <row r="301" spans="1:256" s="767" customFormat="1" ht="17.25" hidden="1" customHeight="1">
      <c r="A301" s="2083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76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82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120"/>
      <c r="B302" s="2121"/>
      <c r="C302" s="2120"/>
      <c r="D302" s="2120"/>
      <c r="E302" s="2120"/>
      <c r="F302" s="2120"/>
      <c r="G302" s="2120"/>
      <c r="H302" s="2120"/>
      <c r="I302" s="2120"/>
      <c r="J302" s="2120"/>
      <c r="K302" s="2120"/>
      <c r="L302" s="2120"/>
      <c r="M302" s="2120"/>
      <c r="N302" s="2120"/>
      <c r="O302" s="2120"/>
      <c r="P302" s="2120"/>
      <c r="Q302" s="2120"/>
      <c r="R302" s="2120"/>
      <c r="S302" s="2120"/>
      <c r="T302" s="2120"/>
      <c r="U302" s="2120"/>
      <c r="V302" s="2120"/>
      <c r="W302" s="2120"/>
      <c r="X302" s="2120"/>
      <c r="Y302" s="2120"/>
      <c r="Z302" s="2120"/>
      <c r="AA302" s="2120"/>
      <c r="AB302" s="2120"/>
      <c r="AC302" s="2120"/>
      <c r="AD302" s="2120"/>
      <c r="AE302" s="2120"/>
      <c r="AF302" s="2120"/>
      <c r="AG302" s="2120"/>
      <c r="AH302" s="2120"/>
      <c r="AI302" s="2120"/>
      <c r="AJ302" s="2120"/>
      <c r="AK302" s="2120"/>
      <c r="AL302" s="2120"/>
      <c r="AM302" s="2120"/>
      <c r="AN302" s="2120"/>
      <c r="AO302" s="2120"/>
      <c r="AP302" s="2120"/>
      <c r="AQ302" s="2120"/>
      <c r="AR302" s="2120"/>
      <c r="AS302" s="2120"/>
      <c r="AT302" s="2120"/>
      <c r="AU302" s="2120"/>
      <c r="AV302" s="2120"/>
      <c r="AW302" s="2120"/>
      <c r="AX302" s="2120"/>
      <c r="AY302" s="2120"/>
      <c r="AZ302" s="2120"/>
      <c r="BA302" s="2120"/>
      <c r="BB302" s="2120"/>
      <c r="BC302" s="2120"/>
      <c r="BD302" s="2120"/>
      <c r="BE302" s="2120"/>
      <c r="BF302" s="2120"/>
      <c r="BG302" s="2120"/>
      <c r="BH302" s="2120"/>
      <c r="BI302" s="2120"/>
      <c r="BJ302" s="2120"/>
      <c r="BK302" s="2120"/>
      <c r="BL302" s="2120"/>
      <c r="BM302" s="2120"/>
      <c r="BN302" s="2120"/>
      <c r="BO302" s="2120"/>
      <c r="BP302" s="2120"/>
      <c r="BQ302" s="2120"/>
      <c r="BR302" s="2120"/>
      <c r="BS302" s="2120"/>
      <c r="BT302" s="2120"/>
      <c r="BU302" s="2120"/>
      <c r="BV302" s="2120"/>
      <c r="BW302" s="2120"/>
      <c r="BX302" s="2120"/>
      <c r="BY302" s="2120"/>
      <c r="BZ302" s="2120"/>
      <c r="CA302" s="2120"/>
      <c r="CB302" s="2120"/>
      <c r="CC302" s="2120"/>
      <c r="CD302" s="2120"/>
      <c r="CE302" s="2076"/>
      <c r="CF302" s="2120"/>
      <c r="CG302" s="2120"/>
      <c r="CH302" s="2120"/>
      <c r="CI302" s="2120"/>
      <c r="CJ302" s="2120"/>
      <c r="CK302" s="2120"/>
      <c r="CL302" s="2120"/>
      <c r="CM302" s="2120"/>
      <c r="CN302" s="2120"/>
      <c r="CO302" s="2120"/>
      <c r="CP302" s="2120"/>
      <c r="CQ302" s="2120"/>
      <c r="CR302" s="2120"/>
      <c r="CS302" s="2120"/>
      <c r="CT302" s="2120"/>
      <c r="CU302" s="2120"/>
      <c r="CV302" s="2120"/>
      <c r="CW302" s="2120"/>
      <c r="CX302" s="2120"/>
      <c r="CY302" s="2087"/>
      <c r="CZ302" s="2120"/>
      <c r="DA302" s="2120"/>
      <c r="DB302" s="2120"/>
      <c r="DC302" s="2120"/>
      <c r="DD302" s="2120"/>
      <c r="DE302" s="2120"/>
      <c r="DF302" s="2120"/>
      <c r="DG302" s="2120"/>
      <c r="DH302" s="2120"/>
      <c r="DI302" s="2120"/>
      <c r="DJ302" s="2120"/>
      <c r="DK302" s="2120"/>
      <c r="DL302" s="2120"/>
      <c r="DM302" s="2120"/>
      <c r="DN302" s="2120"/>
      <c r="DO302" s="2120"/>
      <c r="DP302" s="2120"/>
      <c r="DQ302" s="2120"/>
      <c r="DR302" s="2120"/>
      <c r="DS302" s="2120"/>
      <c r="DT302" s="2120"/>
      <c r="DU302" s="2122"/>
      <c r="DV302" s="2123"/>
    </row>
    <row r="303" spans="1:256" s="632" customFormat="1" ht="18" hidden="1" customHeight="1">
      <c r="A303" s="2092"/>
      <c r="B303" s="1199"/>
      <c r="C303" s="1199"/>
      <c r="D303" s="1199"/>
      <c r="E303" s="1199"/>
      <c r="F303" s="1199"/>
      <c r="G303" s="1199"/>
      <c r="H303" s="1199"/>
      <c r="I303" s="1199"/>
      <c r="J303" s="1199"/>
      <c r="K303" s="1199"/>
      <c r="L303" s="1199"/>
      <c r="M303" s="1199"/>
      <c r="N303" s="1199"/>
      <c r="O303" s="1199"/>
      <c r="P303" s="1199"/>
      <c r="Q303" s="1199"/>
      <c r="R303" s="1199"/>
      <c r="S303" s="1199"/>
      <c r="T303" s="1199"/>
      <c r="U303" s="1199"/>
      <c r="V303" s="1199"/>
      <c r="W303" s="1199"/>
      <c r="X303" s="1199"/>
      <c r="Y303" s="1199"/>
      <c r="Z303" s="1199"/>
      <c r="AA303" s="1199"/>
      <c r="AB303" s="1199"/>
      <c r="AC303" s="1199"/>
      <c r="AD303" s="1199"/>
      <c r="AE303" s="1199"/>
      <c r="AF303" s="1199"/>
      <c r="AG303" s="1199"/>
      <c r="AH303" s="1199"/>
      <c r="AI303" s="1199"/>
      <c r="AJ303" s="1199"/>
      <c r="AK303" s="1199"/>
      <c r="AL303" s="1199"/>
      <c r="AM303" s="1199"/>
      <c r="AN303" s="1199"/>
      <c r="AO303" s="1199"/>
      <c r="AP303" s="1199"/>
      <c r="AQ303" s="1199"/>
      <c r="AR303" s="1199"/>
      <c r="AS303" s="1199"/>
      <c r="AT303" s="1199"/>
      <c r="AU303" s="1199"/>
      <c r="AV303" s="1199"/>
      <c r="AW303" s="1199"/>
      <c r="AX303" s="1199"/>
      <c r="AY303" s="1199"/>
      <c r="AZ303" s="1199"/>
      <c r="BA303" s="1199"/>
      <c r="BB303" s="1199"/>
      <c r="BC303" s="1199"/>
      <c r="BD303" s="1199"/>
      <c r="BE303" s="1199"/>
      <c r="BF303" s="1199"/>
      <c r="BG303" s="1199"/>
      <c r="BH303" s="1199"/>
      <c r="BI303" s="1199"/>
      <c r="BJ303" s="1199"/>
      <c r="BK303" s="1199"/>
      <c r="BL303" s="1199"/>
      <c r="BM303" s="1199"/>
      <c r="BN303" s="1199"/>
      <c r="BO303" s="1199"/>
      <c r="BP303" s="1199"/>
      <c r="BQ303" s="1199"/>
      <c r="BR303" s="1199"/>
      <c r="BS303" s="1199"/>
      <c r="BT303" s="1199"/>
      <c r="BU303" s="1199"/>
      <c r="BV303" s="1199"/>
      <c r="BW303" s="1199"/>
      <c r="BX303" s="1199"/>
      <c r="BY303" s="1199"/>
      <c r="BZ303" s="1199"/>
      <c r="CA303" s="1199"/>
      <c r="CB303" s="1199"/>
      <c r="CC303" s="1199"/>
      <c r="CD303" s="1199"/>
      <c r="CE303" s="2076"/>
      <c r="CF303" s="1199"/>
      <c r="CG303" s="1199"/>
      <c r="CH303" s="1199"/>
      <c r="CI303" s="1199"/>
      <c r="CJ303" s="1199"/>
      <c r="CK303" s="1199"/>
      <c r="CL303" s="1199"/>
      <c r="CM303" s="1199"/>
      <c r="CN303" s="1199"/>
      <c r="CO303" s="1199"/>
      <c r="CP303" s="1199"/>
      <c r="CQ303" s="1199"/>
      <c r="CR303" s="1199"/>
      <c r="CS303" s="1199"/>
      <c r="CT303" s="1199"/>
      <c r="CU303" s="1199"/>
      <c r="CV303" s="1199"/>
      <c r="CW303" s="1199"/>
      <c r="CX303" s="1199"/>
      <c r="CY303" s="2090"/>
      <c r="CZ303" s="1199"/>
      <c r="DA303" s="1199"/>
      <c r="DB303" s="1199"/>
      <c r="DC303" s="1199"/>
      <c r="DD303" s="1199"/>
      <c r="DE303" s="1199"/>
      <c r="DF303" s="1199"/>
      <c r="DG303" s="1199"/>
      <c r="DH303" s="1199"/>
      <c r="DI303" s="1199"/>
      <c r="DJ303" s="1199"/>
      <c r="DK303" s="1199"/>
      <c r="DL303" s="1199"/>
      <c r="DM303" s="1199"/>
      <c r="DN303" s="1199"/>
      <c r="DO303" s="1199"/>
      <c r="DP303" s="1199"/>
      <c r="DQ303" s="1199"/>
      <c r="DR303" s="1199"/>
      <c r="DS303" s="1199"/>
      <c r="DT303" s="1199"/>
      <c r="DU303" s="1199"/>
      <c r="DV303" s="2091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83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76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82"/>
      <c r="IR304" s="629"/>
      <c r="IS304" s="629"/>
      <c r="IT304" s="629"/>
      <c r="IU304" s="629"/>
      <c r="IV304" s="629"/>
    </row>
    <row r="305" spans="1:256" ht="17.25" hidden="1" customHeight="1">
      <c r="A305" s="2083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76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82"/>
    </row>
    <row r="306" spans="1:256" ht="17.25" hidden="1" customHeight="1">
      <c r="A306" s="2083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76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82"/>
    </row>
    <row r="307" spans="1:256" ht="17.25" hidden="1" customHeight="1">
      <c r="A307" s="2083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76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82"/>
    </row>
    <row r="308" spans="1:256" ht="17.25" hidden="1" customHeight="1">
      <c r="A308" s="2083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76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82"/>
    </row>
    <row r="309" spans="1:256" ht="17.25" hidden="1" customHeight="1">
      <c r="A309" s="2083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76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82"/>
    </row>
    <row r="310" spans="1:256" ht="17.25" hidden="1" customHeight="1">
      <c r="A310" s="2083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76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82"/>
    </row>
    <row r="311" spans="1:256" ht="17.25" hidden="1" customHeight="1">
      <c r="A311" s="2083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76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82"/>
    </row>
    <row r="312" spans="1:256" ht="17.25" hidden="1" customHeight="1">
      <c r="A312" s="2083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76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82"/>
    </row>
    <row r="313" spans="1:256" s="767" customFormat="1" ht="17.25" hidden="1" customHeight="1">
      <c r="A313" s="2083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76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82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120"/>
      <c r="B314" s="2121"/>
      <c r="C314" s="2120"/>
      <c r="D314" s="2120"/>
      <c r="E314" s="2120"/>
      <c r="F314" s="2120"/>
      <c r="G314" s="2120"/>
      <c r="H314" s="2120"/>
      <c r="I314" s="2120"/>
      <c r="J314" s="2120"/>
      <c r="K314" s="2120"/>
      <c r="L314" s="2120"/>
      <c r="M314" s="2120"/>
      <c r="N314" s="2120"/>
      <c r="O314" s="2120"/>
      <c r="P314" s="2120"/>
      <c r="Q314" s="2120"/>
      <c r="R314" s="2120"/>
      <c r="S314" s="2120"/>
      <c r="T314" s="2120"/>
      <c r="U314" s="2120"/>
      <c r="V314" s="2120"/>
      <c r="W314" s="2120"/>
      <c r="X314" s="2120"/>
      <c r="Y314" s="2120"/>
      <c r="Z314" s="2120"/>
      <c r="AA314" s="2120"/>
      <c r="AB314" s="2120"/>
      <c r="AC314" s="2120"/>
      <c r="AD314" s="2120"/>
      <c r="AE314" s="2120"/>
      <c r="AF314" s="2120"/>
      <c r="AG314" s="2120"/>
      <c r="AH314" s="2120"/>
      <c r="AI314" s="2120"/>
      <c r="AJ314" s="2120"/>
      <c r="AK314" s="2120"/>
      <c r="AL314" s="2120"/>
      <c r="AM314" s="2120"/>
      <c r="AN314" s="2120"/>
      <c r="AO314" s="2120"/>
      <c r="AP314" s="2120"/>
      <c r="AQ314" s="2120"/>
      <c r="AR314" s="2120"/>
      <c r="AS314" s="2120"/>
      <c r="AT314" s="2120"/>
      <c r="AU314" s="2120"/>
      <c r="AV314" s="2120"/>
      <c r="AW314" s="2120"/>
      <c r="AX314" s="2120"/>
      <c r="AY314" s="2120"/>
      <c r="AZ314" s="2120"/>
      <c r="BA314" s="2120"/>
      <c r="BB314" s="2120"/>
      <c r="BC314" s="2120"/>
      <c r="BD314" s="2120"/>
      <c r="BE314" s="2120"/>
      <c r="BF314" s="2120"/>
      <c r="BG314" s="2120"/>
      <c r="BH314" s="2120"/>
      <c r="BI314" s="2120"/>
      <c r="BJ314" s="2120"/>
      <c r="BK314" s="2120"/>
      <c r="BL314" s="2120"/>
      <c r="BM314" s="2120"/>
      <c r="BN314" s="2120"/>
      <c r="BO314" s="2120"/>
      <c r="BP314" s="2120"/>
      <c r="BQ314" s="2120"/>
      <c r="BR314" s="2120"/>
      <c r="BS314" s="2120"/>
      <c r="BT314" s="2120"/>
      <c r="BU314" s="2120"/>
      <c r="BV314" s="2120"/>
      <c r="BW314" s="2120"/>
      <c r="BX314" s="2120"/>
      <c r="BY314" s="2120"/>
      <c r="BZ314" s="2120"/>
      <c r="CA314" s="2120"/>
      <c r="CB314" s="2120"/>
      <c r="CC314" s="2120"/>
      <c r="CD314" s="2120"/>
      <c r="CE314" s="2076"/>
      <c r="CF314" s="2120"/>
      <c r="CG314" s="2120"/>
      <c r="CH314" s="2120"/>
      <c r="CI314" s="2120"/>
      <c r="CJ314" s="2120"/>
      <c r="CK314" s="2120"/>
      <c r="CL314" s="2120"/>
      <c r="CM314" s="2120"/>
      <c r="CN314" s="2120"/>
      <c r="CO314" s="2120"/>
      <c r="CP314" s="2120"/>
      <c r="CQ314" s="2120"/>
      <c r="CR314" s="2120"/>
      <c r="CS314" s="2120"/>
      <c r="CT314" s="2120"/>
      <c r="CU314" s="2120"/>
      <c r="CV314" s="2120"/>
      <c r="CW314" s="2120"/>
      <c r="CX314" s="2120"/>
      <c r="CY314" s="2087"/>
      <c r="CZ314" s="2120"/>
      <c r="DA314" s="2120"/>
      <c r="DB314" s="2120"/>
      <c r="DC314" s="2120"/>
      <c r="DD314" s="2120"/>
      <c r="DE314" s="2120"/>
      <c r="DF314" s="2120"/>
      <c r="DG314" s="2120"/>
      <c r="DH314" s="2120"/>
      <c r="DI314" s="2120"/>
      <c r="DJ314" s="2120"/>
      <c r="DK314" s="2120"/>
      <c r="DL314" s="2120"/>
      <c r="DM314" s="2120"/>
      <c r="DN314" s="2120"/>
      <c r="DO314" s="2120"/>
      <c r="DP314" s="2120"/>
      <c r="DQ314" s="2120"/>
      <c r="DR314" s="2120"/>
      <c r="DS314" s="2120"/>
      <c r="DT314" s="2120"/>
      <c r="DU314" s="2122"/>
      <c r="DV314" s="2123"/>
    </row>
    <row r="315" spans="1:256" s="632" customFormat="1" ht="18" hidden="1" customHeight="1">
      <c r="A315" s="2092"/>
      <c r="B315" s="1199"/>
      <c r="C315" s="1199"/>
      <c r="D315" s="1199"/>
      <c r="E315" s="1199"/>
      <c r="F315" s="1199"/>
      <c r="G315" s="1199"/>
      <c r="H315" s="1199"/>
      <c r="I315" s="1199"/>
      <c r="J315" s="1199"/>
      <c r="K315" s="1199"/>
      <c r="L315" s="1199"/>
      <c r="M315" s="1199"/>
      <c r="N315" s="1199"/>
      <c r="O315" s="1199"/>
      <c r="P315" s="1199"/>
      <c r="Q315" s="1199"/>
      <c r="R315" s="1199"/>
      <c r="S315" s="1199"/>
      <c r="T315" s="1199"/>
      <c r="U315" s="1199"/>
      <c r="V315" s="1199"/>
      <c r="W315" s="1199"/>
      <c r="X315" s="1199"/>
      <c r="Y315" s="1199"/>
      <c r="Z315" s="1199"/>
      <c r="AA315" s="1199"/>
      <c r="AB315" s="1199"/>
      <c r="AC315" s="1199"/>
      <c r="AD315" s="1199"/>
      <c r="AE315" s="1199"/>
      <c r="AF315" s="1199"/>
      <c r="AG315" s="1199"/>
      <c r="AH315" s="1199"/>
      <c r="AI315" s="1199"/>
      <c r="AJ315" s="1199"/>
      <c r="AK315" s="1199"/>
      <c r="AL315" s="1199"/>
      <c r="AM315" s="1199"/>
      <c r="AN315" s="1199"/>
      <c r="AO315" s="1199"/>
      <c r="AP315" s="1199"/>
      <c r="AQ315" s="1199"/>
      <c r="AR315" s="1199"/>
      <c r="AS315" s="1199"/>
      <c r="AT315" s="1199"/>
      <c r="AU315" s="1199"/>
      <c r="AV315" s="1199"/>
      <c r="AW315" s="1199"/>
      <c r="AX315" s="1199"/>
      <c r="AY315" s="1199"/>
      <c r="AZ315" s="1199"/>
      <c r="BA315" s="1199"/>
      <c r="BB315" s="1199"/>
      <c r="BC315" s="1199"/>
      <c r="BD315" s="1199"/>
      <c r="BE315" s="1199"/>
      <c r="BF315" s="1199"/>
      <c r="BG315" s="1199"/>
      <c r="BH315" s="1199"/>
      <c r="BI315" s="1199"/>
      <c r="BJ315" s="1199"/>
      <c r="BK315" s="1199"/>
      <c r="BL315" s="1199"/>
      <c r="BM315" s="1199"/>
      <c r="BN315" s="1199"/>
      <c r="BO315" s="1199"/>
      <c r="BP315" s="1199"/>
      <c r="BQ315" s="1199"/>
      <c r="BR315" s="1199"/>
      <c r="BS315" s="1199"/>
      <c r="BT315" s="1199"/>
      <c r="BU315" s="1199"/>
      <c r="BV315" s="1199"/>
      <c r="BW315" s="1199"/>
      <c r="BX315" s="1199"/>
      <c r="BY315" s="1199"/>
      <c r="BZ315" s="1199"/>
      <c r="CA315" s="1199"/>
      <c r="CB315" s="1199"/>
      <c r="CC315" s="1199"/>
      <c r="CD315" s="1199"/>
      <c r="CE315" s="2076"/>
      <c r="CF315" s="1199"/>
      <c r="CG315" s="1199"/>
      <c r="CH315" s="1199"/>
      <c r="CI315" s="1199"/>
      <c r="CJ315" s="1199"/>
      <c r="CK315" s="1199"/>
      <c r="CL315" s="1199"/>
      <c r="CM315" s="1199"/>
      <c r="CN315" s="1199"/>
      <c r="CO315" s="1199"/>
      <c r="CP315" s="1199"/>
      <c r="CQ315" s="1199"/>
      <c r="CR315" s="1199"/>
      <c r="CS315" s="1199"/>
      <c r="CT315" s="1199"/>
      <c r="CU315" s="1199"/>
      <c r="CV315" s="1199"/>
      <c r="CW315" s="1199"/>
      <c r="CX315" s="1199"/>
      <c r="CY315" s="2090"/>
      <c r="CZ315" s="1199"/>
      <c r="DA315" s="1199"/>
      <c r="DB315" s="1199"/>
      <c r="DC315" s="1199"/>
      <c r="DD315" s="1199"/>
      <c r="DE315" s="1199"/>
      <c r="DF315" s="1199"/>
      <c r="DG315" s="1199"/>
      <c r="DH315" s="1199"/>
      <c r="DI315" s="1199"/>
      <c r="DJ315" s="1199"/>
      <c r="DK315" s="1199"/>
      <c r="DL315" s="1199"/>
      <c r="DM315" s="1199"/>
      <c r="DN315" s="1199"/>
      <c r="DO315" s="1199"/>
      <c r="DP315" s="1199"/>
      <c r="DQ315" s="1199"/>
      <c r="DR315" s="1199"/>
      <c r="DS315" s="1199"/>
      <c r="DT315" s="1199"/>
      <c r="DU315" s="1199"/>
      <c r="DV315" s="2091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83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76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82"/>
      <c r="IR316" s="629"/>
      <c r="IS316" s="629"/>
      <c r="IT316" s="629"/>
      <c r="IU316" s="629"/>
      <c r="IV316" s="629"/>
    </row>
    <row r="317" spans="1:256" ht="17.25" hidden="1" customHeight="1">
      <c r="A317" s="2083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76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82"/>
    </row>
    <row r="318" spans="1:256" ht="17.25" hidden="1" customHeight="1">
      <c r="A318" s="2083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76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82"/>
    </row>
    <row r="319" spans="1:256" ht="17.25" hidden="1" customHeight="1">
      <c r="A319" s="2083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76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82"/>
    </row>
    <row r="320" spans="1:256" s="767" customFormat="1" ht="17.25" hidden="1" customHeight="1">
      <c r="A320" s="2083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76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82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120"/>
      <c r="B321" s="2121"/>
      <c r="C321" s="2120"/>
      <c r="D321" s="2120"/>
      <c r="E321" s="2120"/>
      <c r="F321" s="2120"/>
      <c r="G321" s="2120"/>
      <c r="H321" s="2120"/>
      <c r="I321" s="2120"/>
      <c r="J321" s="2120"/>
      <c r="K321" s="2120"/>
      <c r="L321" s="2120"/>
      <c r="M321" s="2120"/>
      <c r="N321" s="2120"/>
      <c r="O321" s="2120"/>
      <c r="P321" s="2120"/>
      <c r="Q321" s="2120"/>
      <c r="R321" s="2120"/>
      <c r="S321" s="2120"/>
      <c r="T321" s="2120"/>
      <c r="U321" s="2120"/>
      <c r="V321" s="2120"/>
      <c r="W321" s="2120"/>
      <c r="X321" s="2120"/>
      <c r="Y321" s="2120"/>
      <c r="Z321" s="2120"/>
      <c r="AA321" s="2120"/>
      <c r="AB321" s="2120"/>
      <c r="AC321" s="2120"/>
      <c r="AD321" s="2120"/>
      <c r="AE321" s="2120"/>
      <c r="AF321" s="2120"/>
      <c r="AG321" s="2120"/>
      <c r="AH321" s="2120"/>
      <c r="AI321" s="2120"/>
      <c r="AJ321" s="2120"/>
      <c r="AK321" s="2120"/>
      <c r="AL321" s="2120"/>
      <c r="AM321" s="2120"/>
      <c r="AN321" s="2120"/>
      <c r="AO321" s="2120"/>
      <c r="AP321" s="2120"/>
      <c r="AQ321" s="2120"/>
      <c r="AR321" s="2120"/>
      <c r="AS321" s="2120"/>
      <c r="AT321" s="2120"/>
      <c r="AU321" s="2120"/>
      <c r="AV321" s="2120"/>
      <c r="AW321" s="2120"/>
      <c r="AX321" s="2120"/>
      <c r="AY321" s="2120"/>
      <c r="AZ321" s="2120"/>
      <c r="BA321" s="2120"/>
      <c r="BB321" s="2120"/>
      <c r="BC321" s="2120"/>
      <c r="BD321" s="2120"/>
      <c r="BE321" s="2120"/>
      <c r="BF321" s="2120"/>
      <c r="BG321" s="2120"/>
      <c r="BH321" s="2120"/>
      <c r="BI321" s="2120"/>
      <c r="BJ321" s="2120"/>
      <c r="BK321" s="2120"/>
      <c r="BL321" s="2120"/>
      <c r="BM321" s="2120"/>
      <c r="BN321" s="2120"/>
      <c r="BO321" s="2120"/>
      <c r="BP321" s="2120"/>
      <c r="BQ321" s="2120"/>
      <c r="BR321" s="2120"/>
      <c r="BS321" s="2120"/>
      <c r="BT321" s="2120"/>
      <c r="BU321" s="2120"/>
      <c r="BV321" s="2120"/>
      <c r="BW321" s="2120"/>
      <c r="BX321" s="2120"/>
      <c r="BY321" s="2120"/>
      <c r="BZ321" s="2120"/>
      <c r="CA321" s="2120"/>
      <c r="CB321" s="2120"/>
      <c r="CC321" s="2120"/>
      <c r="CD321" s="2120"/>
      <c r="CE321" s="2076"/>
      <c r="CF321" s="2120"/>
      <c r="CG321" s="2120"/>
      <c r="CH321" s="2120"/>
      <c r="CI321" s="2120"/>
      <c r="CJ321" s="2120"/>
      <c r="CK321" s="2120"/>
      <c r="CL321" s="2120"/>
      <c r="CM321" s="2120"/>
      <c r="CN321" s="2120"/>
      <c r="CO321" s="2120"/>
      <c r="CP321" s="2120"/>
      <c r="CQ321" s="2120"/>
      <c r="CR321" s="2120"/>
      <c r="CS321" s="2120"/>
      <c r="CT321" s="2120"/>
      <c r="CU321" s="2120"/>
      <c r="CV321" s="2120"/>
      <c r="CW321" s="2120"/>
      <c r="CX321" s="2120"/>
      <c r="CY321" s="2087"/>
      <c r="CZ321" s="2120"/>
      <c r="DA321" s="2120"/>
      <c r="DB321" s="2120"/>
      <c r="DC321" s="2120"/>
      <c r="DD321" s="2120"/>
      <c r="DE321" s="2120"/>
      <c r="DF321" s="2120"/>
      <c r="DG321" s="2120"/>
      <c r="DH321" s="2120"/>
      <c r="DI321" s="2120"/>
      <c r="DJ321" s="2120"/>
      <c r="DK321" s="2120"/>
      <c r="DL321" s="2120"/>
      <c r="DM321" s="2120"/>
      <c r="DN321" s="2120"/>
      <c r="DO321" s="2120"/>
      <c r="DP321" s="2120"/>
      <c r="DQ321" s="2120"/>
      <c r="DR321" s="2120"/>
      <c r="DS321" s="2120"/>
      <c r="DT321" s="2120"/>
      <c r="DU321" s="2122"/>
      <c r="DV321" s="2123"/>
    </row>
    <row r="322" spans="1:256" s="632" customFormat="1" ht="18" hidden="1" customHeight="1">
      <c r="A322" s="2092"/>
      <c r="B322" s="1199"/>
      <c r="C322" s="1199"/>
      <c r="D322" s="1199"/>
      <c r="E322" s="1199"/>
      <c r="F322" s="1199"/>
      <c r="G322" s="1199"/>
      <c r="H322" s="1199"/>
      <c r="I322" s="1199"/>
      <c r="J322" s="1199"/>
      <c r="K322" s="1199"/>
      <c r="L322" s="1199"/>
      <c r="M322" s="1199"/>
      <c r="N322" s="1199"/>
      <c r="O322" s="1199"/>
      <c r="P322" s="1199"/>
      <c r="Q322" s="1199"/>
      <c r="R322" s="1199"/>
      <c r="S322" s="1199"/>
      <c r="T322" s="1199"/>
      <c r="U322" s="1199"/>
      <c r="V322" s="1199"/>
      <c r="W322" s="1199"/>
      <c r="X322" s="1199"/>
      <c r="Y322" s="1199"/>
      <c r="Z322" s="1199"/>
      <c r="AA322" s="1199"/>
      <c r="AB322" s="1199"/>
      <c r="AC322" s="1199"/>
      <c r="AD322" s="1199"/>
      <c r="AE322" s="1199"/>
      <c r="AF322" s="1199"/>
      <c r="AG322" s="1199"/>
      <c r="AH322" s="1199"/>
      <c r="AI322" s="1199"/>
      <c r="AJ322" s="1199"/>
      <c r="AK322" s="1199"/>
      <c r="AL322" s="1199"/>
      <c r="AM322" s="1199"/>
      <c r="AN322" s="1199"/>
      <c r="AO322" s="1199"/>
      <c r="AP322" s="1199"/>
      <c r="AQ322" s="1199"/>
      <c r="AR322" s="1199"/>
      <c r="AS322" s="1199"/>
      <c r="AT322" s="1199"/>
      <c r="AU322" s="1199"/>
      <c r="AV322" s="1199"/>
      <c r="AW322" s="1199"/>
      <c r="AX322" s="1199"/>
      <c r="AY322" s="1199"/>
      <c r="AZ322" s="1199"/>
      <c r="BA322" s="1199"/>
      <c r="BB322" s="1199"/>
      <c r="BC322" s="1199"/>
      <c r="BD322" s="1199"/>
      <c r="BE322" s="1199"/>
      <c r="BF322" s="1199"/>
      <c r="BG322" s="1199"/>
      <c r="BH322" s="1199"/>
      <c r="BI322" s="1199"/>
      <c r="BJ322" s="1199"/>
      <c r="BK322" s="1199"/>
      <c r="BL322" s="1199"/>
      <c r="BM322" s="1199"/>
      <c r="BN322" s="1199"/>
      <c r="BO322" s="1199"/>
      <c r="BP322" s="1199"/>
      <c r="BQ322" s="1199"/>
      <c r="BR322" s="1199"/>
      <c r="BS322" s="1199"/>
      <c r="BT322" s="1199"/>
      <c r="BU322" s="1199"/>
      <c r="BV322" s="1199"/>
      <c r="BW322" s="1199"/>
      <c r="BX322" s="1199"/>
      <c r="BY322" s="1199"/>
      <c r="BZ322" s="1199"/>
      <c r="CA322" s="1199"/>
      <c r="CB322" s="1199"/>
      <c r="CC322" s="1199"/>
      <c r="CD322" s="1199"/>
      <c r="CE322" s="2076"/>
      <c r="CF322" s="1199"/>
      <c r="CG322" s="1199"/>
      <c r="CH322" s="1199"/>
      <c r="CI322" s="1199"/>
      <c r="CJ322" s="1199"/>
      <c r="CK322" s="1199"/>
      <c r="CL322" s="1199"/>
      <c r="CM322" s="1199"/>
      <c r="CN322" s="1199"/>
      <c r="CO322" s="1199"/>
      <c r="CP322" s="1199"/>
      <c r="CQ322" s="1199"/>
      <c r="CR322" s="1199"/>
      <c r="CS322" s="1199"/>
      <c r="CT322" s="1199"/>
      <c r="CU322" s="1199"/>
      <c r="CV322" s="1199"/>
      <c r="CW322" s="1199"/>
      <c r="CX322" s="1199"/>
      <c r="CY322" s="2090"/>
      <c r="CZ322" s="1199"/>
      <c r="DA322" s="1199"/>
      <c r="DB322" s="1199"/>
      <c r="DC322" s="1199"/>
      <c r="DD322" s="1199"/>
      <c r="DE322" s="1199"/>
      <c r="DF322" s="1199"/>
      <c r="DG322" s="1199"/>
      <c r="DH322" s="1199"/>
      <c r="DI322" s="1199"/>
      <c r="DJ322" s="1199"/>
      <c r="DK322" s="1199"/>
      <c r="DL322" s="1199"/>
      <c r="DM322" s="1199"/>
      <c r="DN322" s="1199"/>
      <c r="DO322" s="1199"/>
      <c r="DP322" s="1199"/>
      <c r="DQ322" s="1199"/>
      <c r="DR322" s="1199"/>
      <c r="DS322" s="1199"/>
      <c r="DT322" s="1199"/>
      <c r="DU322" s="1199"/>
      <c r="DV322" s="2091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83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76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82"/>
      <c r="IR323" s="629"/>
      <c r="IS323" s="629"/>
      <c r="IT323" s="629"/>
      <c r="IU323" s="629"/>
      <c r="IV323" s="629"/>
    </row>
    <row r="324" spans="1:256" ht="17.25" hidden="1" customHeight="1">
      <c r="A324" s="2083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76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82"/>
    </row>
    <row r="325" spans="1:256" s="767" customFormat="1" ht="17.25" hidden="1" customHeight="1">
      <c r="A325" s="2083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76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82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120"/>
      <c r="B326" s="2121"/>
      <c r="C326" s="2120"/>
      <c r="D326" s="2120"/>
      <c r="E326" s="2120"/>
      <c r="F326" s="2120"/>
      <c r="G326" s="2120"/>
      <c r="H326" s="2120"/>
      <c r="I326" s="2120"/>
      <c r="J326" s="2120"/>
      <c r="K326" s="2120"/>
      <c r="L326" s="2120"/>
      <c r="M326" s="2120"/>
      <c r="N326" s="2120"/>
      <c r="O326" s="2120"/>
      <c r="P326" s="2120"/>
      <c r="Q326" s="2120"/>
      <c r="R326" s="2120"/>
      <c r="S326" s="2120"/>
      <c r="T326" s="2120"/>
      <c r="U326" s="2120"/>
      <c r="V326" s="2120"/>
      <c r="W326" s="2120"/>
      <c r="X326" s="2120"/>
      <c r="Y326" s="2120"/>
      <c r="Z326" s="2120"/>
      <c r="AA326" s="2120"/>
      <c r="AB326" s="2120"/>
      <c r="AC326" s="2120"/>
      <c r="AD326" s="2120"/>
      <c r="AE326" s="2120"/>
      <c r="AF326" s="2120"/>
      <c r="AG326" s="2120"/>
      <c r="AH326" s="2120"/>
      <c r="AI326" s="2120"/>
      <c r="AJ326" s="2120"/>
      <c r="AK326" s="2120"/>
      <c r="AL326" s="2120"/>
      <c r="AM326" s="2120"/>
      <c r="AN326" s="2120"/>
      <c r="AO326" s="2120"/>
      <c r="AP326" s="2120"/>
      <c r="AQ326" s="2120"/>
      <c r="AR326" s="2120"/>
      <c r="AS326" s="2120"/>
      <c r="AT326" s="2120"/>
      <c r="AU326" s="2120"/>
      <c r="AV326" s="2120"/>
      <c r="AW326" s="2120"/>
      <c r="AX326" s="2120"/>
      <c r="AY326" s="2120"/>
      <c r="AZ326" s="2120"/>
      <c r="BA326" s="2120"/>
      <c r="BB326" s="2120"/>
      <c r="BC326" s="2120"/>
      <c r="BD326" s="2120"/>
      <c r="BE326" s="2120"/>
      <c r="BF326" s="2120"/>
      <c r="BG326" s="2120"/>
      <c r="BH326" s="2120"/>
      <c r="BI326" s="2120"/>
      <c r="BJ326" s="2120"/>
      <c r="BK326" s="2120"/>
      <c r="BL326" s="2120"/>
      <c r="BM326" s="2120"/>
      <c r="BN326" s="2120"/>
      <c r="BO326" s="2120"/>
      <c r="BP326" s="2120"/>
      <c r="BQ326" s="2120"/>
      <c r="BR326" s="2120"/>
      <c r="BS326" s="2120"/>
      <c r="BT326" s="2120"/>
      <c r="BU326" s="2120"/>
      <c r="BV326" s="2120"/>
      <c r="BW326" s="2120"/>
      <c r="BX326" s="2120"/>
      <c r="BY326" s="2120"/>
      <c r="BZ326" s="2120"/>
      <c r="CA326" s="2120"/>
      <c r="CB326" s="2120"/>
      <c r="CC326" s="2120"/>
      <c r="CD326" s="2120"/>
      <c r="CE326" s="2076"/>
      <c r="CF326" s="2120"/>
      <c r="CG326" s="2120"/>
      <c r="CH326" s="2120"/>
      <c r="CI326" s="2120"/>
      <c r="CJ326" s="2120"/>
      <c r="CK326" s="2120"/>
      <c r="CL326" s="2120"/>
      <c r="CM326" s="2120"/>
      <c r="CN326" s="2120"/>
      <c r="CO326" s="2120"/>
      <c r="CP326" s="2120"/>
      <c r="CQ326" s="2120"/>
      <c r="CR326" s="2120"/>
      <c r="CS326" s="2120"/>
      <c r="CT326" s="2120"/>
      <c r="CU326" s="2120"/>
      <c r="CV326" s="2120"/>
      <c r="CW326" s="2120"/>
      <c r="CX326" s="2120"/>
      <c r="CY326" s="2087"/>
      <c r="CZ326" s="2120"/>
      <c r="DA326" s="2120"/>
      <c r="DB326" s="2120"/>
      <c r="DC326" s="2120"/>
      <c r="DD326" s="2120"/>
      <c r="DE326" s="2120"/>
      <c r="DF326" s="2120"/>
      <c r="DG326" s="2120"/>
      <c r="DH326" s="2120"/>
      <c r="DI326" s="2120"/>
      <c r="DJ326" s="2120"/>
      <c r="DK326" s="2120"/>
      <c r="DL326" s="2120"/>
      <c r="DM326" s="2120"/>
      <c r="DN326" s="2120"/>
      <c r="DO326" s="2120"/>
      <c r="DP326" s="2120"/>
      <c r="DQ326" s="2120"/>
      <c r="DR326" s="2120"/>
      <c r="DS326" s="2120"/>
      <c r="DT326" s="2120"/>
      <c r="DU326" s="2122"/>
      <c r="DV326" s="2123"/>
    </row>
    <row r="327" spans="1:256" s="632" customFormat="1" ht="18" hidden="1" customHeight="1">
      <c r="A327" s="2092"/>
      <c r="B327" s="1199"/>
      <c r="C327" s="1199"/>
      <c r="D327" s="1199"/>
      <c r="E327" s="1199"/>
      <c r="F327" s="1199"/>
      <c r="G327" s="1199"/>
      <c r="H327" s="1199"/>
      <c r="I327" s="1199"/>
      <c r="J327" s="1199"/>
      <c r="K327" s="1199"/>
      <c r="L327" s="1199"/>
      <c r="M327" s="1199"/>
      <c r="N327" s="1199"/>
      <c r="O327" s="1199"/>
      <c r="P327" s="1199"/>
      <c r="Q327" s="1199"/>
      <c r="R327" s="1199"/>
      <c r="S327" s="1199"/>
      <c r="T327" s="1199"/>
      <c r="U327" s="1199"/>
      <c r="V327" s="1199"/>
      <c r="W327" s="1199"/>
      <c r="X327" s="1199"/>
      <c r="Y327" s="1199"/>
      <c r="Z327" s="1199"/>
      <c r="AA327" s="1199"/>
      <c r="AB327" s="1199"/>
      <c r="AC327" s="1199"/>
      <c r="AD327" s="1199"/>
      <c r="AE327" s="1199"/>
      <c r="AF327" s="1199"/>
      <c r="AG327" s="1199"/>
      <c r="AH327" s="1199"/>
      <c r="AI327" s="1199"/>
      <c r="AJ327" s="1199"/>
      <c r="AK327" s="1199"/>
      <c r="AL327" s="1199"/>
      <c r="AM327" s="1199"/>
      <c r="AN327" s="1199"/>
      <c r="AO327" s="1199"/>
      <c r="AP327" s="1199"/>
      <c r="AQ327" s="1199"/>
      <c r="AR327" s="1199"/>
      <c r="AS327" s="1199"/>
      <c r="AT327" s="1199"/>
      <c r="AU327" s="1199"/>
      <c r="AV327" s="1199"/>
      <c r="AW327" s="1199"/>
      <c r="AX327" s="1199"/>
      <c r="AY327" s="1199"/>
      <c r="AZ327" s="1199"/>
      <c r="BA327" s="1199"/>
      <c r="BB327" s="1199"/>
      <c r="BC327" s="1199"/>
      <c r="BD327" s="1199"/>
      <c r="BE327" s="1199"/>
      <c r="BF327" s="1199"/>
      <c r="BG327" s="1199"/>
      <c r="BH327" s="1199"/>
      <c r="BI327" s="1199"/>
      <c r="BJ327" s="1199"/>
      <c r="BK327" s="1199"/>
      <c r="BL327" s="1199"/>
      <c r="BM327" s="1199"/>
      <c r="BN327" s="1199"/>
      <c r="BO327" s="1199"/>
      <c r="BP327" s="1199"/>
      <c r="BQ327" s="1199"/>
      <c r="BR327" s="1199"/>
      <c r="BS327" s="1199"/>
      <c r="BT327" s="1199"/>
      <c r="BU327" s="1199"/>
      <c r="BV327" s="1199"/>
      <c r="BW327" s="1199"/>
      <c r="BX327" s="1199"/>
      <c r="BY327" s="1199"/>
      <c r="BZ327" s="1199"/>
      <c r="CA327" s="1199"/>
      <c r="CB327" s="1199"/>
      <c r="CC327" s="1199"/>
      <c r="CD327" s="1199"/>
      <c r="CE327" s="2076"/>
      <c r="CF327" s="1199"/>
      <c r="CG327" s="1199"/>
      <c r="CH327" s="1199"/>
      <c r="CI327" s="1199"/>
      <c r="CJ327" s="1199"/>
      <c r="CK327" s="1199"/>
      <c r="CL327" s="1199"/>
      <c r="CM327" s="1199"/>
      <c r="CN327" s="1199"/>
      <c r="CO327" s="1199"/>
      <c r="CP327" s="1199"/>
      <c r="CQ327" s="1199"/>
      <c r="CR327" s="1199"/>
      <c r="CS327" s="1199"/>
      <c r="CT327" s="1199"/>
      <c r="CU327" s="1199"/>
      <c r="CV327" s="1199"/>
      <c r="CW327" s="1199"/>
      <c r="CX327" s="1199"/>
      <c r="CY327" s="2090"/>
      <c r="CZ327" s="1199"/>
      <c r="DA327" s="1199"/>
      <c r="DB327" s="1199"/>
      <c r="DC327" s="1199"/>
      <c r="DD327" s="1199"/>
      <c r="DE327" s="1199"/>
      <c r="DF327" s="1199"/>
      <c r="DG327" s="1199"/>
      <c r="DH327" s="1199"/>
      <c r="DI327" s="1199"/>
      <c r="DJ327" s="1199"/>
      <c r="DK327" s="1199"/>
      <c r="DL327" s="1199"/>
      <c r="DM327" s="1199"/>
      <c r="DN327" s="1199"/>
      <c r="DO327" s="1199"/>
      <c r="DP327" s="1199"/>
      <c r="DQ327" s="1199"/>
      <c r="DR327" s="1199"/>
      <c r="DS327" s="1199"/>
      <c r="DT327" s="1199"/>
      <c r="DU327" s="1199"/>
      <c r="DV327" s="2091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83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76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82"/>
      <c r="IR328" s="629"/>
      <c r="IS328" s="629"/>
      <c r="IT328" s="629"/>
      <c r="IU328" s="629"/>
      <c r="IV328" s="629"/>
    </row>
    <row r="329" spans="1:256" ht="17.25" hidden="1" customHeight="1">
      <c r="A329" s="2083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76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82"/>
    </row>
    <row r="330" spans="1:256" ht="17.25" hidden="1" customHeight="1">
      <c r="A330" s="2083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76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82"/>
    </row>
    <row r="331" spans="1:256" ht="17.25" hidden="1" customHeight="1">
      <c r="A331" s="2083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76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82"/>
    </row>
    <row r="332" spans="1:256" ht="17.25" hidden="1" customHeight="1">
      <c r="A332" s="2083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76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82"/>
    </row>
    <row r="333" spans="1:256" s="767" customFormat="1" ht="17.25" hidden="1" customHeight="1">
      <c r="A333" s="2083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76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82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120"/>
      <c r="B334" s="2121"/>
      <c r="C334" s="2120"/>
      <c r="D334" s="2120"/>
      <c r="E334" s="2120"/>
      <c r="F334" s="2120"/>
      <c r="G334" s="2120"/>
      <c r="H334" s="2120"/>
      <c r="I334" s="2120"/>
      <c r="J334" s="2120"/>
      <c r="K334" s="2120"/>
      <c r="L334" s="2120"/>
      <c r="M334" s="2120"/>
      <c r="N334" s="2120"/>
      <c r="O334" s="2120"/>
      <c r="P334" s="2120"/>
      <c r="Q334" s="2120"/>
      <c r="R334" s="2120"/>
      <c r="S334" s="2120"/>
      <c r="T334" s="2120"/>
      <c r="U334" s="2120"/>
      <c r="V334" s="2120"/>
      <c r="W334" s="2120"/>
      <c r="X334" s="2120"/>
      <c r="Y334" s="2120"/>
      <c r="Z334" s="2120"/>
      <c r="AA334" s="2120"/>
      <c r="AB334" s="2120"/>
      <c r="AC334" s="2120"/>
      <c r="AD334" s="2120"/>
      <c r="AE334" s="2120"/>
      <c r="AF334" s="2120"/>
      <c r="AG334" s="2120"/>
      <c r="AH334" s="2120"/>
      <c r="AI334" s="2120"/>
      <c r="AJ334" s="2120"/>
      <c r="AK334" s="2120"/>
      <c r="AL334" s="2120"/>
      <c r="AM334" s="2120"/>
      <c r="AN334" s="2120"/>
      <c r="AO334" s="2120"/>
      <c r="AP334" s="2120"/>
      <c r="AQ334" s="2120"/>
      <c r="AR334" s="2120"/>
      <c r="AS334" s="2120"/>
      <c r="AT334" s="2120"/>
      <c r="AU334" s="2120"/>
      <c r="AV334" s="2120"/>
      <c r="AW334" s="2120"/>
      <c r="AX334" s="2120"/>
      <c r="AY334" s="2120"/>
      <c r="AZ334" s="2120"/>
      <c r="BA334" s="2120"/>
      <c r="BB334" s="2120"/>
      <c r="BC334" s="2120"/>
      <c r="BD334" s="2120"/>
      <c r="BE334" s="2120"/>
      <c r="BF334" s="2120"/>
      <c r="BG334" s="2120"/>
      <c r="BH334" s="2120"/>
      <c r="BI334" s="2120"/>
      <c r="BJ334" s="2120"/>
      <c r="BK334" s="2120"/>
      <c r="BL334" s="2120"/>
      <c r="BM334" s="2120"/>
      <c r="BN334" s="2120"/>
      <c r="BO334" s="2120"/>
      <c r="BP334" s="2120"/>
      <c r="BQ334" s="2120"/>
      <c r="BR334" s="2120"/>
      <c r="BS334" s="2120"/>
      <c r="BT334" s="2120"/>
      <c r="BU334" s="2120"/>
      <c r="BV334" s="2120"/>
      <c r="BW334" s="2120"/>
      <c r="BX334" s="2120"/>
      <c r="BY334" s="2120"/>
      <c r="BZ334" s="2120"/>
      <c r="CA334" s="2120"/>
      <c r="CB334" s="2120"/>
      <c r="CC334" s="2120"/>
      <c r="CD334" s="2120"/>
      <c r="CE334" s="2076"/>
      <c r="CF334" s="2120"/>
      <c r="CG334" s="2120"/>
      <c r="CH334" s="2120"/>
      <c r="CI334" s="2120"/>
      <c r="CJ334" s="2120"/>
      <c r="CK334" s="2120"/>
      <c r="CL334" s="2120"/>
      <c r="CM334" s="2120"/>
      <c r="CN334" s="2120"/>
      <c r="CO334" s="2120"/>
      <c r="CP334" s="2120"/>
      <c r="CQ334" s="2120"/>
      <c r="CR334" s="2120"/>
      <c r="CS334" s="2120"/>
      <c r="CT334" s="2120"/>
      <c r="CU334" s="2120"/>
      <c r="CV334" s="2120"/>
      <c r="CW334" s="2120"/>
      <c r="CX334" s="2120"/>
      <c r="CY334" s="2087"/>
      <c r="CZ334" s="2120"/>
      <c r="DA334" s="2120"/>
      <c r="DB334" s="2120"/>
      <c r="DC334" s="2120"/>
      <c r="DD334" s="2120"/>
      <c r="DE334" s="2120"/>
      <c r="DF334" s="2120"/>
      <c r="DG334" s="2120"/>
      <c r="DH334" s="2120"/>
      <c r="DI334" s="2120"/>
      <c r="DJ334" s="2120"/>
      <c r="DK334" s="2120"/>
      <c r="DL334" s="2120"/>
      <c r="DM334" s="2120"/>
      <c r="DN334" s="2120"/>
      <c r="DO334" s="2120"/>
      <c r="DP334" s="2120"/>
      <c r="DQ334" s="2120"/>
      <c r="DR334" s="2120"/>
      <c r="DS334" s="2120"/>
      <c r="DT334" s="2120"/>
      <c r="DU334" s="2122"/>
      <c r="DV334" s="2123"/>
    </row>
    <row r="335" spans="1:256" s="641" customFormat="1" ht="18.75" hidden="1" customHeight="1">
      <c r="A335" s="2124"/>
      <c r="B335" s="2124"/>
      <c r="C335" s="2110"/>
      <c r="D335" s="2110"/>
      <c r="E335" s="2110"/>
      <c r="F335" s="2110"/>
      <c r="G335" s="2110"/>
      <c r="H335" s="2110"/>
      <c r="I335" s="2110"/>
      <c r="J335" s="2110"/>
      <c r="K335" s="2110"/>
      <c r="L335" s="2110"/>
      <c r="M335" s="2110"/>
      <c r="N335" s="2110"/>
      <c r="O335" s="2110"/>
      <c r="P335" s="2110"/>
      <c r="Q335" s="2110"/>
      <c r="R335" s="2110"/>
      <c r="S335" s="2110"/>
      <c r="T335" s="2110"/>
      <c r="U335" s="2110"/>
      <c r="V335" s="2110"/>
      <c r="W335" s="2110"/>
      <c r="X335" s="2110"/>
      <c r="Y335" s="2110"/>
      <c r="Z335" s="2110"/>
      <c r="AA335" s="2110"/>
      <c r="AB335" s="2110"/>
      <c r="AC335" s="2110"/>
      <c r="AD335" s="2110"/>
      <c r="AE335" s="2110"/>
      <c r="AF335" s="2110"/>
      <c r="AG335" s="2110"/>
      <c r="AH335" s="2110"/>
      <c r="AI335" s="2110"/>
      <c r="AJ335" s="2110"/>
      <c r="AK335" s="2110"/>
      <c r="AL335" s="2110"/>
      <c r="AM335" s="2110"/>
      <c r="AN335" s="2110"/>
      <c r="AO335" s="2110"/>
      <c r="AP335" s="2110"/>
      <c r="AQ335" s="2110"/>
      <c r="AR335" s="2110"/>
      <c r="AS335" s="2110"/>
      <c r="AT335" s="2110"/>
      <c r="AU335" s="2110"/>
      <c r="AV335" s="2110"/>
      <c r="AW335" s="2110"/>
      <c r="AX335" s="2110"/>
      <c r="AY335" s="2110"/>
      <c r="AZ335" s="2110"/>
      <c r="BA335" s="2110"/>
      <c r="BB335" s="2110"/>
      <c r="BC335" s="2110"/>
      <c r="BD335" s="2110"/>
      <c r="BE335" s="2110"/>
      <c r="BF335" s="2110"/>
      <c r="BG335" s="2110"/>
      <c r="BH335" s="2110"/>
      <c r="BI335" s="2110"/>
      <c r="BJ335" s="2110"/>
      <c r="BK335" s="2110"/>
      <c r="BL335" s="2110"/>
      <c r="BM335" s="2110"/>
      <c r="BN335" s="2110"/>
      <c r="BO335" s="2110"/>
      <c r="BP335" s="2110"/>
      <c r="BQ335" s="2110"/>
      <c r="BR335" s="2110"/>
      <c r="BS335" s="2110"/>
      <c r="BT335" s="2110"/>
      <c r="BU335" s="2110"/>
      <c r="BV335" s="2110"/>
      <c r="BW335" s="2110"/>
      <c r="BX335" s="2110"/>
      <c r="BY335" s="2110"/>
      <c r="BZ335" s="2110"/>
      <c r="CA335" s="2110"/>
      <c r="CB335" s="2110"/>
      <c r="CC335" s="2110"/>
      <c r="CD335" s="2110"/>
      <c r="CE335" s="2076"/>
      <c r="CF335" s="2110"/>
      <c r="CG335" s="2110"/>
      <c r="CH335" s="2110"/>
      <c r="CI335" s="2110"/>
      <c r="CJ335" s="2110"/>
      <c r="CK335" s="2110"/>
      <c r="CL335" s="2110"/>
      <c r="CM335" s="2110"/>
      <c r="CN335" s="2110"/>
      <c r="CO335" s="2110"/>
      <c r="CP335" s="2110"/>
      <c r="CQ335" s="2110"/>
      <c r="CR335" s="2110"/>
      <c r="CS335" s="2110"/>
      <c r="CT335" s="2110"/>
      <c r="CU335" s="2110"/>
      <c r="CV335" s="2110"/>
      <c r="CW335" s="2110"/>
      <c r="CX335" s="2110"/>
      <c r="CY335" s="2125"/>
      <c r="CZ335" s="2110"/>
      <c r="DA335" s="2110"/>
      <c r="DB335" s="2110"/>
      <c r="DC335" s="2110"/>
      <c r="DD335" s="2110"/>
      <c r="DE335" s="2110"/>
      <c r="DF335" s="2110"/>
      <c r="DG335" s="2110"/>
      <c r="DH335" s="2110"/>
      <c r="DI335" s="2110"/>
      <c r="DJ335" s="2110"/>
      <c r="DK335" s="2110"/>
      <c r="DL335" s="2110"/>
      <c r="DM335" s="2110"/>
      <c r="DN335" s="2110"/>
      <c r="DO335" s="2110"/>
      <c r="DP335" s="2110"/>
      <c r="DQ335" s="2110"/>
      <c r="DR335" s="2110"/>
      <c r="DS335" s="2110"/>
      <c r="DT335" s="2110"/>
      <c r="DU335" s="2110"/>
      <c r="DV335" s="2113"/>
      <c r="IR335" s="616"/>
      <c r="IS335" s="616"/>
      <c r="IT335" s="616"/>
      <c r="IU335" s="616"/>
      <c r="IV335" s="616"/>
    </row>
    <row r="336" spans="1:256" ht="18.75" hidden="1" customHeight="1">
      <c r="A336" s="2126"/>
      <c r="B336" s="2127"/>
      <c r="C336" s="2128"/>
      <c r="D336" s="2128"/>
      <c r="E336" s="2128"/>
      <c r="F336" s="2128"/>
      <c r="G336" s="2128"/>
      <c r="H336" s="2128"/>
      <c r="I336" s="2128"/>
      <c r="J336" s="2128"/>
      <c r="K336" s="2128"/>
      <c r="L336" s="2128"/>
      <c r="M336" s="2128"/>
      <c r="N336" s="2128"/>
      <c r="O336" s="2128"/>
      <c r="P336" s="2128"/>
      <c r="Q336" s="2128"/>
      <c r="R336" s="2128"/>
      <c r="S336" s="2128"/>
      <c r="T336" s="2128"/>
      <c r="U336" s="2128"/>
      <c r="V336" s="2128"/>
      <c r="W336" s="2128"/>
      <c r="X336" s="2128"/>
      <c r="Y336" s="2128"/>
      <c r="Z336" s="2128"/>
      <c r="AA336" s="2128"/>
      <c r="AB336" s="2128"/>
      <c r="AC336" s="2128"/>
      <c r="AD336" s="2128"/>
      <c r="AE336" s="2128"/>
      <c r="AF336" s="2128"/>
      <c r="AG336" s="2128"/>
      <c r="AH336" s="2128"/>
      <c r="AI336" s="2128"/>
      <c r="AJ336" s="2128"/>
      <c r="AK336" s="2128"/>
      <c r="AL336" s="2128"/>
      <c r="AM336" s="2128"/>
      <c r="AN336" s="2128"/>
      <c r="AO336" s="2128"/>
      <c r="AP336" s="2128"/>
      <c r="AQ336" s="2128"/>
      <c r="AR336" s="2128"/>
      <c r="AS336" s="2128"/>
      <c r="AT336" s="2128"/>
      <c r="AU336" s="2128"/>
      <c r="AV336" s="2128"/>
      <c r="AW336" s="2128"/>
      <c r="AX336" s="2128"/>
      <c r="AY336" s="2128"/>
      <c r="AZ336" s="2128"/>
      <c r="BA336" s="2128"/>
      <c r="BB336" s="2128"/>
      <c r="BC336" s="2128"/>
      <c r="BD336" s="2128"/>
      <c r="BE336" s="2128"/>
      <c r="BF336" s="2128"/>
      <c r="BG336" s="2128"/>
      <c r="BH336" s="2128"/>
      <c r="BI336" s="2128"/>
      <c r="BJ336" s="2128"/>
      <c r="BK336" s="2128"/>
      <c r="BL336" s="2128"/>
      <c r="BM336" s="2128"/>
      <c r="BN336" s="2128"/>
      <c r="BO336" s="2128"/>
      <c r="BP336" s="2128"/>
      <c r="BQ336" s="2128"/>
      <c r="BR336" s="2128"/>
      <c r="BS336" s="2128"/>
      <c r="BT336" s="2128"/>
      <c r="BU336" s="2128"/>
      <c r="BV336" s="2128"/>
      <c r="BW336" s="2128"/>
      <c r="BX336" s="2128"/>
      <c r="BY336" s="2128"/>
      <c r="BZ336" s="2128"/>
      <c r="CA336" s="2128"/>
      <c r="CB336" s="2128"/>
      <c r="CC336" s="2128"/>
      <c r="CD336" s="2128"/>
      <c r="CE336" s="2129"/>
      <c r="CF336" s="2128"/>
      <c r="CG336" s="2128"/>
      <c r="CH336" s="2128"/>
      <c r="CI336" s="2128"/>
      <c r="CJ336" s="2128"/>
      <c r="CK336" s="2128"/>
      <c r="CL336" s="2128"/>
      <c r="CM336" s="2128"/>
      <c r="CN336" s="2128"/>
      <c r="CO336" s="2128"/>
      <c r="CP336" s="2128"/>
      <c r="CQ336" s="2128"/>
      <c r="CR336" s="2128"/>
      <c r="CS336" s="2128"/>
      <c r="CT336" s="2128"/>
      <c r="CU336" s="2128"/>
      <c r="CV336" s="2128"/>
      <c r="CW336" s="2128"/>
      <c r="CX336" s="2128"/>
      <c r="CY336" s="2130"/>
      <c r="CZ336" s="2128"/>
      <c r="DA336" s="2128"/>
      <c r="DB336" s="2128"/>
      <c r="DC336" s="2128"/>
      <c r="DD336" s="2128"/>
      <c r="DE336" s="2128"/>
      <c r="DF336" s="2128"/>
      <c r="DG336" s="2128"/>
      <c r="DH336" s="2128"/>
      <c r="DI336" s="2128"/>
      <c r="DJ336" s="2128"/>
      <c r="DK336" s="2128"/>
      <c r="DL336" s="2128"/>
      <c r="DM336" s="2128"/>
      <c r="DN336" s="2128"/>
      <c r="DO336" s="2128"/>
      <c r="DP336" s="2128"/>
      <c r="DQ336" s="2128"/>
      <c r="DR336" s="2128"/>
      <c r="DS336" s="2128"/>
      <c r="DT336" s="2128"/>
      <c r="DU336" s="2128"/>
      <c r="DV336" s="2131"/>
    </row>
    <row r="337" spans="1:256" ht="13.8" hidden="1">
      <c r="A337" s="2065"/>
      <c r="B337" s="2066"/>
      <c r="C337" s="2067"/>
      <c r="D337" s="2068"/>
      <c r="E337" s="2068"/>
      <c r="F337" s="2068"/>
      <c r="G337" s="2068"/>
      <c r="H337" s="2068"/>
      <c r="I337" s="2068"/>
      <c r="J337" s="2068"/>
      <c r="K337" s="2068"/>
      <c r="L337" s="2068"/>
      <c r="M337" s="2068"/>
      <c r="N337" s="2068"/>
      <c r="O337" s="2068"/>
      <c r="P337" s="2068"/>
      <c r="Q337" s="2068"/>
      <c r="R337" s="2068"/>
      <c r="S337" s="2068"/>
      <c r="T337" s="2068"/>
      <c r="U337" s="2068"/>
      <c r="V337" s="2068"/>
      <c r="W337" s="2068"/>
      <c r="X337" s="2068"/>
      <c r="Y337" s="2068"/>
      <c r="Z337" s="2068"/>
      <c r="AA337" s="2068"/>
      <c r="AB337" s="2068"/>
      <c r="AC337" s="2068"/>
      <c r="AD337" s="2068"/>
      <c r="AE337" s="2068"/>
      <c r="AF337" s="2068"/>
      <c r="AG337" s="2068"/>
      <c r="AH337" s="2068"/>
      <c r="AI337" s="2068"/>
      <c r="AJ337" s="2068"/>
      <c r="AK337" s="2068"/>
      <c r="AL337" s="2068"/>
      <c r="AM337" s="2068"/>
      <c r="AN337" s="2068"/>
      <c r="AO337" s="2068"/>
      <c r="AP337" s="2068"/>
      <c r="AQ337" s="2068"/>
      <c r="AR337" s="2068"/>
      <c r="AS337" s="2068"/>
      <c r="AT337" s="2068"/>
      <c r="AU337" s="2068"/>
      <c r="AV337" s="2068"/>
      <c r="AW337" s="2068"/>
      <c r="AX337" s="2068"/>
      <c r="AY337" s="2068"/>
      <c r="AZ337" s="2068"/>
      <c r="BA337" s="2068"/>
      <c r="BB337" s="2068"/>
      <c r="BC337" s="2068"/>
      <c r="BD337" s="2068"/>
      <c r="BE337" s="2068"/>
      <c r="BF337" s="2068"/>
      <c r="BG337" s="2068"/>
      <c r="BH337" s="2068"/>
      <c r="BI337" s="2068"/>
      <c r="BJ337" s="2068"/>
      <c r="BK337" s="2068"/>
      <c r="BL337" s="2068"/>
      <c r="BM337" s="2068"/>
      <c r="BN337" s="2068"/>
      <c r="BO337" s="2068"/>
      <c r="BP337" s="2068"/>
      <c r="BQ337" s="2068"/>
      <c r="BR337" s="2068"/>
      <c r="BS337" s="2068"/>
      <c r="BT337" s="2068"/>
      <c r="BU337" s="2068"/>
      <c r="BV337" s="2068"/>
      <c r="BW337" s="2068"/>
      <c r="BX337" s="2068"/>
      <c r="BY337" s="2068"/>
      <c r="BZ337" s="2068"/>
      <c r="CA337" s="2068"/>
      <c r="CB337" s="2068"/>
      <c r="CC337" s="2068"/>
      <c r="CD337" s="2068"/>
      <c r="CE337" s="842"/>
      <c r="CF337" s="2068"/>
      <c r="CG337" s="2068"/>
      <c r="CH337" s="2068"/>
      <c r="CI337" s="2068"/>
      <c r="CJ337" s="2068"/>
      <c r="CK337" s="2068"/>
      <c r="CL337" s="2068"/>
      <c r="CM337" s="2068"/>
      <c r="CN337" s="2068"/>
      <c r="CO337" s="2068"/>
      <c r="CP337" s="2068"/>
      <c r="CQ337" s="2068"/>
      <c r="CR337" s="2068"/>
      <c r="CS337" s="2068"/>
      <c r="CT337" s="2068"/>
      <c r="CU337" s="2068"/>
      <c r="CV337" s="2068"/>
      <c r="CW337" s="2068"/>
      <c r="CX337" s="2068"/>
      <c r="CY337" s="2069"/>
      <c r="CZ337" s="2068"/>
      <c r="DA337" s="2068"/>
      <c r="DB337" s="2068"/>
      <c r="DC337" s="2068"/>
      <c r="DD337" s="2068"/>
      <c r="DE337" s="2068"/>
      <c r="DF337" s="2068"/>
      <c r="DG337" s="2068"/>
      <c r="DH337" s="2068"/>
      <c r="DI337" s="2068"/>
      <c r="DJ337" s="2068"/>
      <c r="DK337" s="2068"/>
      <c r="DL337" s="2068"/>
      <c r="DM337" s="2068"/>
      <c r="DN337" s="2068"/>
      <c r="DO337" s="2068"/>
      <c r="DP337" s="2068"/>
      <c r="DQ337" s="2068"/>
      <c r="DR337" s="2068"/>
      <c r="DS337" s="2068"/>
      <c r="DT337" s="2068"/>
      <c r="DU337" s="2068"/>
      <c r="DV337" s="794"/>
    </row>
    <row r="338" spans="1:256" ht="33" hidden="1" customHeight="1">
      <c r="A338" s="1085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230"/>
      <c r="D339" s="821"/>
      <c r="E339" s="821"/>
      <c r="F339" s="821"/>
      <c r="G339" s="821"/>
      <c r="H339" s="821"/>
      <c r="I339" s="2231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32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226"/>
      <c r="E340" s="826"/>
      <c r="F340" s="826"/>
      <c r="G340" s="826"/>
      <c r="H340" s="826"/>
      <c r="I340" s="2251"/>
      <c r="J340" s="2226"/>
      <c r="K340" s="827"/>
      <c r="L340" s="827"/>
      <c r="M340" s="827"/>
      <c r="N340" s="827"/>
      <c r="O340" s="827"/>
      <c r="P340" s="827"/>
      <c r="Q340" s="2252"/>
      <c r="R340" s="2253"/>
      <c r="S340" s="2253"/>
      <c r="T340" s="2227"/>
      <c r="U340" s="2253"/>
      <c r="V340" s="2227"/>
      <c r="W340" s="828"/>
      <c r="X340" s="2253"/>
      <c r="Y340" s="2227"/>
      <c r="Z340" s="828"/>
      <c r="AA340" s="828"/>
      <c r="AB340" s="828"/>
      <c r="AC340" s="828"/>
      <c r="AD340" s="2253"/>
      <c r="AE340" s="828"/>
      <c r="AF340" s="828"/>
      <c r="AG340" s="828"/>
      <c r="AH340" s="828"/>
      <c r="AI340" s="2253"/>
      <c r="AJ340" s="2227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53"/>
      <c r="AY340" s="2253"/>
      <c r="AZ340" s="2227"/>
      <c r="BA340" s="828"/>
      <c r="BB340" s="828"/>
      <c r="BC340" s="828"/>
      <c r="BD340" s="828"/>
      <c r="BE340" s="828"/>
      <c r="BF340" s="828"/>
      <c r="BG340" s="2253"/>
      <c r="BH340" s="2253"/>
      <c r="BI340" s="2227"/>
      <c r="BJ340" s="828"/>
      <c r="BK340" s="828"/>
      <c r="BL340" s="828"/>
      <c r="BM340" s="828"/>
      <c r="BN340" s="828"/>
      <c r="BO340" s="828"/>
      <c r="BP340" s="828"/>
      <c r="BQ340" s="2253"/>
      <c r="BR340" s="2227"/>
      <c r="BS340" s="828"/>
      <c r="BT340" s="828"/>
      <c r="BU340" s="828"/>
      <c r="BV340" s="828"/>
      <c r="BW340" s="828"/>
      <c r="BX340" s="828"/>
      <c r="BY340" s="828"/>
      <c r="BZ340" s="828"/>
      <c r="CA340" s="2253"/>
      <c r="CB340" s="2253"/>
      <c r="CC340" s="2253"/>
      <c r="CD340" s="828"/>
      <c r="CE340" s="2253"/>
      <c r="CF340" s="2253"/>
      <c r="CG340" s="2227"/>
      <c r="CH340" s="828"/>
      <c r="CI340" s="828"/>
      <c r="CJ340" s="828"/>
      <c r="CK340" s="828"/>
      <c r="CL340" s="828"/>
      <c r="CM340" s="2248"/>
      <c r="CN340" s="2227"/>
      <c r="CO340" s="828"/>
      <c r="CP340" s="2253"/>
      <c r="CQ340" s="2227"/>
      <c r="CR340" s="828"/>
      <c r="CS340" s="828"/>
      <c r="CT340" s="828"/>
      <c r="CU340" s="828"/>
      <c r="CV340" s="828"/>
      <c r="CW340" s="2253"/>
      <c r="CX340" s="2227"/>
      <c r="CY340" s="912"/>
      <c r="CZ340" s="828"/>
      <c r="DA340" s="828"/>
      <c r="DB340" s="2253"/>
      <c r="DC340" s="2227"/>
      <c r="DD340" s="828"/>
      <c r="DE340" s="828"/>
      <c r="DF340" s="2253"/>
      <c r="DG340" s="2227"/>
      <c r="DH340" s="828"/>
      <c r="DI340" s="2253"/>
      <c r="DJ340" s="2227"/>
      <c r="DK340" s="2248"/>
      <c r="DL340" s="2227"/>
      <c r="DM340" s="828"/>
      <c r="DN340" s="828"/>
      <c r="DO340" s="2253"/>
      <c r="DP340" s="2227"/>
      <c r="DQ340" s="2253"/>
      <c r="DR340" s="2253"/>
      <c r="DS340" s="2227"/>
      <c r="DT340" s="827"/>
      <c r="DU340" s="2252"/>
      <c r="DV340" s="2254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32"/>
    </row>
    <row r="342" spans="1:256" s="641" customFormat="1" ht="23.25" customHeight="1" thickBot="1">
      <c r="A342" s="2580" t="s">
        <v>4003</v>
      </c>
      <c r="B342" s="2580"/>
      <c r="C342" s="2255">
        <f>SUM(C8:C22)</f>
        <v>0</v>
      </c>
      <c r="D342" s="2228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214">
        <f t="shared" si="4"/>
        <v>0</v>
      </c>
      <c r="I342" s="2255">
        <f>I22</f>
        <v>0</v>
      </c>
      <c r="J342" s="2228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214">
        <f t="shared" si="4"/>
        <v>0</v>
      </c>
      <c r="Q342" s="2255">
        <f t="shared" si="4"/>
        <v>0</v>
      </c>
      <c r="R342" s="2255">
        <f t="shared" si="4"/>
        <v>0</v>
      </c>
      <c r="S342" s="2255">
        <f t="shared" si="4"/>
        <v>0</v>
      </c>
      <c r="T342" s="2229">
        <f t="shared" si="4"/>
        <v>0</v>
      </c>
      <c r="U342" s="2255">
        <f t="shared" si="4"/>
        <v>0</v>
      </c>
      <c r="V342" s="2228">
        <f t="shared" si="4"/>
        <v>0</v>
      </c>
      <c r="W342" s="2214">
        <f t="shared" si="4"/>
        <v>0</v>
      </c>
      <c r="X342" s="2255">
        <f t="shared" si="4"/>
        <v>0</v>
      </c>
      <c r="Y342" s="2228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55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214">
        <f t="shared" si="4"/>
        <v>0</v>
      </c>
      <c r="AI342" s="2255">
        <f t="shared" si="4"/>
        <v>0</v>
      </c>
      <c r="AJ342" s="2228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214">
        <f t="shared" si="4"/>
        <v>0</v>
      </c>
      <c r="AX342" s="2255">
        <f t="shared" si="4"/>
        <v>0</v>
      </c>
      <c r="AY342" s="2255">
        <f t="shared" si="4"/>
        <v>0</v>
      </c>
      <c r="AZ342" s="2228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214">
        <f t="shared" si="4"/>
        <v>0</v>
      </c>
      <c r="BG342" s="2255">
        <f t="shared" si="4"/>
        <v>0</v>
      </c>
      <c r="BH342" s="2255">
        <f t="shared" si="4"/>
        <v>0</v>
      </c>
      <c r="BI342" s="2228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214">
        <f t="shared" ref="BP342:DU342" si="5">BP338</f>
        <v>0</v>
      </c>
      <c r="BQ342" s="2255">
        <f t="shared" si="5"/>
        <v>0</v>
      </c>
      <c r="BR342" s="2228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55">
        <f t="shared" si="5"/>
        <v>0</v>
      </c>
      <c r="CB342" s="2255">
        <f t="shared" si="5"/>
        <v>0</v>
      </c>
      <c r="CC342" s="2255">
        <f t="shared" si="5"/>
        <v>0</v>
      </c>
      <c r="CD342" s="2214">
        <f t="shared" si="5"/>
        <v>0</v>
      </c>
      <c r="CE342" s="2255">
        <f t="shared" si="5"/>
        <v>0</v>
      </c>
      <c r="CF342" s="2255">
        <f t="shared" si="5"/>
        <v>0</v>
      </c>
      <c r="CG342" s="2228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214">
        <f t="shared" si="5"/>
        <v>0</v>
      </c>
      <c r="CM342" s="2255">
        <f t="shared" si="5"/>
        <v>0</v>
      </c>
      <c r="CN342" s="2228">
        <f t="shared" si="5"/>
        <v>0</v>
      </c>
      <c r="CO342" s="2214">
        <f t="shared" si="5"/>
        <v>0</v>
      </c>
      <c r="CP342" s="2255">
        <f t="shared" si="5"/>
        <v>0</v>
      </c>
      <c r="CQ342" s="2228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214">
        <f t="shared" si="5"/>
        <v>0</v>
      </c>
      <c r="CW342" s="2255">
        <f t="shared" si="5"/>
        <v>0</v>
      </c>
      <c r="CX342" s="2228">
        <f t="shared" si="5"/>
        <v>0</v>
      </c>
      <c r="CY342" s="832">
        <f t="shared" si="5"/>
        <v>0</v>
      </c>
      <c r="CZ342" s="832">
        <f t="shared" si="5"/>
        <v>0</v>
      </c>
      <c r="DA342" s="2214">
        <f t="shared" si="5"/>
        <v>0</v>
      </c>
      <c r="DB342" s="2255">
        <f t="shared" si="5"/>
        <v>0</v>
      </c>
      <c r="DC342" s="2228">
        <f t="shared" si="5"/>
        <v>0</v>
      </c>
      <c r="DD342" s="832">
        <f t="shared" si="5"/>
        <v>0</v>
      </c>
      <c r="DE342" s="2214">
        <f t="shared" si="5"/>
        <v>0</v>
      </c>
      <c r="DF342" s="2255">
        <f t="shared" si="5"/>
        <v>0</v>
      </c>
      <c r="DG342" s="2228">
        <f t="shared" si="5"/>
        <v>0</v>
      </c>
      <c r="DH342" s="2214">
        <f t="shared" si="5"/>
        <v>0</v>
      </c>
      <c r="DI342" s="2255">
        <f t="shared" si="5"/>
        <v>0</v>
      </c>
      <c r="DJ342" s="2255">
        <f t="shared" si="5"/>
        <v>0</v>
      </c>
      <c r="DK342" s="2255">
        <f t="shared" si="5"/>
        <v>0</v>
      </c>
      <c r="DL342" s="2228">
        <f t="shared" si="5"/>
        <v>0</v>
      </c>
      <c r="DM342" s="832">
        <f t="shared" si="5"/>
        <v>0</v>
      </c>
      <c r="DN342" s="2214">
        <f t="shared" si="5"/>
        <v>0</v>
      </c>
      <c r="DO342" s="2255">
        <f t="shared" si="5"/>
        <v>0</v>
      </c>
      <c r="DP342" s="2229">
        <f t="shared" si="5"/>
        <v>0</v>
      </c>
      <c r="DQ342" s="2255">
        <f t="shared" si="5"/>
        <v>0</v>
      </c>
      <c r="DR342" s="2255">
        <f t="shared" si="5"/>
        <v>0</v>
      </c>
      <c r="DS342" s="2228">
        <f t="shared" si="5"/>
        <v>0</v>
      </c>
      <c r="DT342" s="2214">
        <f t="shared" si="5"/>
        <v>0</v>
      </c>
      <c r="DU342" s="2255">
        <f t="shared" si="5"/>
        <v>0</v>
      </c>
      <c r="DV342" s="2256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578" t="s">
        <v>4243</v>
      </c>
      <c r="B344" s="2578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578" t="s">
        <v>4244</v>
      </c>
      <c r="B345" s="2578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578" t="s">
        <v>4245</v>
      </c>
      <c r="B346" s="2578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578" t="s">
        <v>4246</v>
      </c>
      <c r="B347" s="2578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578" t="s">
        <v>4247</v>
      </c>
      <c r="B348" s="2578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578" t="s">
        <v>4248</v>
      </c>
      <c r="B349" s="2578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76"/>
      <c r="BQ352" s="616"/>
      <c r="BR352" s="616"/>
      <c r="BS352" s="616"/>
      <c r="BT352" s="616"/>
      <c r="BU352" s="616"/>
      <c r="BV352" s="616"/>
      <c r="DV352" s="1020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74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75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47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Xã Xuân Bắc -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595" t="s">
        <v>3865</v>
      </c>
      <c r="B5" s="2584" t="s">
        <v>3866</v>
      </c>
      <c r="C5" s="2592" t="s">
        <v>4532</v>
      </c>
      <c r="D5" s="2592" t="s">
        <v>4156</v>
      </c>
      <c r="E5" s="2592" t="s">
        <v>4157</v>
      </c>
      <c r="F5" s="2592" t="s">
        <v>4158</v>
      </c>
      <c r="G5" s="2592" t="s">
        <v>4159</v>
      </c>
      <c r="H5" s="2592" t="s">
        <v>4160</v>
      </c>
      <c r="I5" s="2592" t="s">
        <v>4161</v>
      </c>
      <c r="J5" s="2592" t="s">
        <v>4162</v>
      </c>
      <c r="K5" s="2592" t="s">
        <v>4163</v>
      </c>
      <c r="L5" s="2592" t="s">
        <v>4164</v>
      </c>
      <c r="M5" s="2592" t="s">
        <v>4165</v>
      </c>
      <c r="N5" s="2592" t="s">
        <v>4166</v>
      </c>
      <c r="O5" s="2592" t="s">
        <v>4167</v>
      </c>
      <c r="P5" s="2592" t="s">
        <v>4168</v>
      </c>
      <c r="Q5" s="2592" t="s">
        <v>4169</v>
      </c>
      <c r="R5" s="2592" t="s">
        <v>4170</v>
      </c>
      <c r="S5" s="2592" t="s">
        <v>4171</v>
      </c>
      <c r="T5" s="2584" t="s">
        <v>4172</v>
      </c>
      <c r="U5" s="2584" t="s">
        <v>4173</v>
      </c>
      <c r="V5" s="2584" t="s">
        <v>3876</v>
      </c>
      <c r="W5" s="2583" t="s">
        <v>2340</v>
      </c>
      <c r="X5" s="2583"/>
      <c r="Y5" s="2583"/>
      <c r="Z5" s="2583"/>
      <c r="AA5" s="2583"/>
      <c r="AB5" s="2583"/>
      <c r="AC5" s="2583"/>
      <c r="AD5" s="2598" t="s">
        <v>3978</v>
      </c>
      <c r="AE5" s="2599"/>
      <c r="AF5" s="2599"/>
      <c r="AG5" s="2599"/>
      <c r="AH5" s="2599"/>
      <c r="AI5" s="2599"/>
      <c r="AJ5" s="2599"/>
      <c r="AK5" s="2599"/>
      <c r="AL5" s="2599"/>
      <c r="AM5" s="2599"/>
      <c r="AN5" s="2599"/>
      <c r="AO5" s="2599"/>
      <c r="AP5" s="2599"/>
      <c r="AQ5" s="2599"/>
      <c r="AR5" s="2599"/>
      <c r="AS5" s="2599"/>
      <c r="AT5" s="2599"/>
      <c r="AU5" s="2599"/>
      <c r="AV5" s="2599"/>
      <c r="AW5" s="2599"/>
      <c r="AX5" s="2599"/>
      <c r="AY5" s="2599"/>
      <c r="AZ5" s="2599"/>
      <c r="BA5" s="2599"/>
      <c r="BB5" s="2599"/>
      <c r="BC5" s="2599"/>
      <c r="BD5" s="2599"/>
      <c r="BE5" s="2599"/>
      <c r="BF5" s="2599"/>
      <c r="BG5" s="2599"/>
      <c r="BH5" s="2599"/>
      <c r="BI5" s="2599"/>
      <c r="BJ5" s="2599"/>
      <c r="BK5" s="2599"/>
      <c r="BL5" s="2599"/>
      <c r="BM5" s="2599"/>
      <c r="BN5" s="2599"/>
      <c r="BO5" s="2600"/>
      <c r="BP5" s="2588" t="s">
        <v>3878</v>
      </c>
      <c r="BQ5" s="2588"/>
      <c r="BR5" s="2588"/>
      <c r="BS5" s="2588"/>
      <c r="BT5" s="2588"/>
      <c r="BU5" s="2588"/>
      <c r="BV5" s="2588"/>
      <c r="BW5" s="2588"/>
      <c r="BX5" s="2588"/>
      <c r="BY5" s="2588"/>
      <c r="BZ5" s="2588"/>
      <c r="CA5" s="2588"/>
      <c r="CB5" s="2588"/>
      <c r="CC5" s="2583" t="s">
        <v>3879</v>
      </c>
      <c r="CD5" s="2583"/>
      <c r="CE5" s="2583"/>
      <c r="CF5" s="2583"/>
      <c r="CG5" s="2583"/>
      <c r="CH5" s="2583"/>
      <c r="CI5" s="2583"/>
      <c r="CJ5" s="2583"/>
      <c r="CK5" s="2583"/>
      <c r="CL5" s="2583"/>
      <c r="CM5" s="2583"/>
      <c r="CN5" s="2583"/>
      <c r="CO5" s="2581" t="s">
        <v>2454</v>
      </c>
      <c r="CP5" s="2581" t="s">
        <v>2455</v>
      </c>
      <c r="CQ5" s="2581" t="s">
        <v>2456</v>
      </c>
      <c r="CR5" s="2581" t="s">
        <v>2460</v>
      </c>
      <c r="CS5" s="2581" t="s">
        <v>2461</v>
      </c>
      <c r="CT5" s="2581" t="s">
        <v>4174</v>
      </c>
      <c r="CU5" s="2581" t="s">
        <v>2458</v>
      </c>
      <c r="CV5" s="2581" t="s">
        <v>2459</v>
      </c>
      <c r="CW5" s="2587" t="s">
        <v>4175</v>
      </c>
      <c r="CX5" s="2588"/>
      <c r="CY5" s="2587"/>
      <c r="CZ5" s="2589"/>
      <c r="DA5" s="2589"/>
      <c r="DB5" s="2589"/>
      <c r="DC5" s="2589"/>
      <c r="DD5" s="2589"/>
      <c r="DE5" s="2589"/>
      <c r="DF5" s="2588"/>
      <c r="DG5" s="2588"/>
      <c r="DH5" s="2589"/>
      <c r="DI5" s="2589"/>
      <c r="DJ5" s="2589"/>
      <c r="DK5" s="2589"/>
      <c r="DL5" s="2589"/>
      <c r="DM5" s="2589"/>
      <c r="DN5" s="2589"/>
      <c r="DO5" s="2589"/>
      <c r="DP5" s="2589"/>
      <c r="DQ5" s="2589"/>
      <c r="DR5" s="2589"/>
      <c r="DS5" s="2589"/>
      <c r="DT5" s="2587"/>
      <c r="DU5" s="2589"/>
      <c r="DV5" s="2589"/>
      <c r="DW5" s="2589"/>
      <c r="DX5" s="2589"/>
      <c r="DY5" s="2589"/>
      <c r="DZ5" s="2584" t="s">
        <v>3983</v>
      </c>
      <c r="EA5" s="2584" t="s">
        <v>3984</v>
      </c>
      <c r="EB5" s="2584" t="s">
        <v>3985</v>
      </c>
      <c r="EC5" s="2584" t="s">
        <v>4176</v>
      </c>
      <c r="ED5" s="2584" t="s">
        <v>4177</v>
      </c>
      <c r="EE5" s="2584" t="s">
        <v>3672</v>
      </c>
      <c r="EF5" s="2584" t="s">
        <v>4178</v>
      </c>
      <c r="EG5" s="2584" t="s">
        <v>3886</v>
      </c>
      <c r="EH5" s="2584" t="s">
        <v>4179</v>
      </c>
      <c r="EI5" s="2584" t="s">
        <v>3887</v>
      </c>
      <c r="EJ5" s="2584" t="s">
        <v>4180</v>
      </c>
      <c r="EK5" s="2584" t="s">
        <v>4181</v>
      </c>
      <c r="EL5" s="2584" t="s">
        <v>4816</v>
      </c>
      <c r="EM5" s="2584" t="s">
        <v>4182</v>
      </c>
      <c r="EN5" s="2584" t="s">
        <v>4183</v>
      </c>
      <c r="EO5" s="2581" t="s">
        <v>4184</v>
      </c>
      <c r="EP5" s="2581" t="s">
        <v>4185</v>
      </c>
      <c r="EQ5" s="2581" t="s">
        <v>4186</v>
      </c>
      <c r="ER5" s="2581" t="s">
        <v>4187</v>
      </c>
      <c r="ES5" s="2581" t="s">
        <v>4188</v>
      </c>
      <c r="ET5" s="2581" t="s">
        <v>4189</v>
      </c>
      <c r="EU5" s="2581" t="s">
        <v>4190</v>
      </c>
      <c r="EV5" s="2584" t="s">
        <v>4191</v>
      </c>
      <c r="EW5" s="2584" t="s">
        <v>4192</v>
      </c>
      <c r="EX5" s="2584" t="s">
        <v>4193</v>
      </c>
      <c r="EY5" s="2584" t="s">
        <v>3891</v>
      </c>
      <c r="EZ5" s="2584" t="s">
        <v>1786</v>
      </c>
      <c r="FA5" s="2584" t="s">
        <v>2957</v>
      </c>
      <c r="FB5" s="2584" t="s">
        <v>409</v>
      </c>
      <c r="FC5" s="2584" t="s">
        <v>4194</v>
      </c>
      <c r="FD5" s="2584" t="s">
        <v>3892</v>
      </c>
      <c r="FE5" s="2584" t="s">
        <v>3893</v>
      </c>
      <c r="FF5" s="2584" t="s">
        <v>4195</v>
      </c>
      <c r="FG5" s="2584" t="s">
        <v>3894</v>
      </c>
      <c r="FH5" s="2584" t="s">
        <v>3895</v>
      </c>
      <c r="FI5" s="2584" t="s">
        <v>4196</v>
      </c>
      <c r="FJ5" s="2584" t="s">
        <v>4197</v>
      </c>
      <c r="FK5" s="2584" t="s">
        <v>4198</v>
      </c>
      <c r="FL5" s="2581" t="s">
        <v>3897</v>
      </c>
      <c r="FM5" s="2581" t="s">
        <v>3899</v>
      </c>
      <c r="FN5" s="2581" t="s">
        <v>3900</v>
      </c>
      <c r="FO5" s="2581" t="s">
        <v>3901</v>
      </c>
      <c r="FP5" s="2581" t="s">
        <v>3902</v>
      </c>
      <c r="FQ5" s="2581" t="s">
        <v>3903</v>
      </c>
      <c r="FR5" s="2581" t="s">
        <v>1783</v>
      </c>
      <c r="FS5" s="2581" t="s">
        <v>1408</v>
      </c>
      <c r="FT5" s="2581" t="s">
        <v>680</v>
      </c>
      <c r="FU5" s="2581" t="s">
        <v>1951</v>
      </c>
      <c r="FV5" s="2581" t="s">
        <v>1965</v>
      </c>
      <c r="FW5" s="2581" t="s">
        <v>1159</v>
      </c>
      <c r="FX5" s="2581" t="s">
        <v>1974</v>
      </c>
      <c r="FY5" s="2581" t="s">
        <v>397</v>
      </c>
      <c r="FZ5" s="2581" t="s">
        <v>796</v>
      </c>
      <c r="GA5" s="2581" t="s">
        <v>1224</v>
      </c>
      <c r="GB5" s="2581" t="s">
        <v>1223</v>
      </c>
      <c r="GC5" s="2584" t="s">
        <v>2612</v>
      </c>
      <c r="GD5" s="2584" t="s">
        <v>4199</v>
      </c>
      <c r="GE5" s="2584" t="s">
        <v>4200</v>
      </c>
      <c r="GF5" s="2584" t="s">
        <v>4201</v>
      </c>
      <c r="GG5" s="2584" t="s">
        <v>4202</v>
      </c>
      <c r="GH5" s="2584" t="s">
        <v>4203</v>
      </c>
      <c r="GI5" s="2584" t="s">
        <v>3999</v>
      </c>
      <c r="GJ5" s="2584" t="s">
        <v>4204</v>
      </c>
      <c r="GK5" s="2584" t="s">
        <v>4205</v>
      </c>
      <c r="GL5" s="2584" t="s">
        <v>4206</v>
      </c>
      <c r="GM5" s="2584" t="s">
        <v>4207</v>
      </c>
      <c r="GN5" s="2584" t="s">
        <v>4208</v>
      </c>
      <c r="GO5" s="2584" t="s">
        <v>4209</v>
      </c>
      <c r="GP5" s="2584" t="s">
        <v>4210</v>
      </c>
      <c r="GQ5" s="2584" t="s">
        <v>4211</v>
      </c>
      <c r="GR5" s="2584" t="s">
        <v>2469</v>
      </c>
      <c r="GS5" s="2584" t="s">
        <v>2466</v>
      </c>
      <c r="GT5" s="2584" t="s">
        <v>4212</v>
      </c>
      <c r="GU5" s="2584" t="s">
        <v>4213</v>
      </c>
      <c r="GV5" s="2584" t="s">
        <v>4214</v>
      </c>
      <c r="GW5" s="2584" t="s">
        <v>4215</v>
      </c>
      <c r="GX5" s="2584" t="s">
        <v>3929</v>
      </c>
      <c r="GY5" s="2584" t="s">
        <v>4216</v>
      </c>
      <c r="GZ5" s="2584" t="s">
        <v>4217</v>
      </c>
      <c r="HA5" s="2584" t="s">
        <v>4218</v>
      </c>
      <c r="HB5" s="2584" t="s">
        <v>4219</v>
      </c>
      <c r="HC5" s="2584" t="s">
        <v>4220</v>
      </c>
      <c r="HD5" s="2581" t="s">
        <v>4017</v>
      </c>
      <c r="HE5" s="2590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596"/>
      <c r="B6" s="2597"/>
      <c r="C6" s="2593"/>
      <c r="D6" s="2593"/>
      <c r="E6" s="2593"/>
      <c r="F6" s="2593"/>
      <c r="G6" s="2593"/>
      <c r="H6" s="2593"/>
      <c r="I6" s="2593"/>
      <c r="J6" s="2593"/>
      <c r="K6" s="2593"/>
      <c r="L6" s="2593"/>
      <c r="M6" s="2593"/>
      <c r="N6" s="2593"/>
      <c r="O6" s="2593"/>
      <c r="P6" s="2593"/>
      <c r="Q6" s="2593"/>
      <c r="R6" s="2593"/>
      <c r="S6" s="2594"/>
      <c r="T6" s="2585"/>
      <c r="U6" s="2585"/>
      <c r="V6" s="2585"/>
      <c r="W6" s="1201" t="s">
        <v>2319</v>
      </c>
      <c r="X6" s="1201" t="s">
        <v>301</v>
      </c>
      <c r="Y6" s="1201" t="s">
        <v>4815</v>
      </c>
      <c r="Z6" s="1201" t="s">
        <v>707</v>
      </c>
      <c r="AA6" s="1201" t="s">
        <v>1216</v>
      </c>
      <c r="AB6" s="1201" t="s">
        <v>303</v>
      </c>
      <c r="AC6" s="1201" t="s">
        <v>767</v>
      </c>
      <c r="AD6" s="1202" t="s">
        <v>702</v>
      </c>
      <c r="AE6" s="1202" t="s">
        <v>1024</v>
      </c>
      <c r="AF6" s="1202" t="s">
        <v>2238</v>
      </c>
      <c r="AG6" s="1202" t="s">
        <v>4221</v>
      </c>
      <c r="AH6" s="1202" t="s">
        <v>100</v>
      </c>
      <c r="AI6" s="1202" t="s">
        <v>841</v>
      </c>
      <c r="AJ6" s="1202" t="s">
        <v>842</v>
      </c>
      <c r="AK6" s="1202" t="s">
        <v>840</v>
      </c>
      <c r="AL6" s="1202" t="s">
        <v>768</v>
      </c>
      <c r="AM6" s="1202" t="s">
        <v>287</v>
      </c>
      <c r="AN6" s="1202" t="s">
        <v>220</v>
      </c>
      <c r="AO6" s="1202" t="s">
        <v>304</v>
      </c>
      <c r="AP6" s="1202" t="s">
        <v>2325</v>
      </c>
      <c r="AQ6" s="1202" t="s">
        <v>305</v>
      </c>
      <c r="AR6" s="1202" t="s">
        <v>643</v>
      </c>
      <c r="AS6" s="1202" t="s">
        <v>652</v>
      </c>
      <c r="AT6" s="1202" t="s">
        <v>651</v>
      </c>
      <c r="AU6" s="1202" t="s">
        <v>1954</v>
      </c>
      <c r="AV6" s="1202" t="s">
        <v>514</v>
      </c>
      <c r="AW6" s="1202" t="s">
        <v>2242</v>
      </c>
      <c r="AX6" s="1202" t="s">
        <v>752</v>
      </c>
      <c r="AY6" s="1202" t="s">
        <v>2367</v>
      </c>
      <c r="AZ6" s="1202" t="s">
        <v>2368</v>
      </c>
      <c r="BA6" s="1202" t="s">
        <v>2326</v>
      </c>
      <c r="BB6" s="1202" t="s">
        <v>2369</v>
      </c>
      <c r="BC6" s="1202" t="s">
        <v>788</v>
      </c>
      <c r="BD6" s="1202" t="s">
        <v>653</v>
      </c>
      <c r="BE6" s="1202" t="s">
        <v>758</v>
      </c>
      <c r="BF6" s="1202" t="s">
        <v>2370</v>
      </c>
      <c r="BG6" s="1202" t="s">
        <v>654</v>
      </c>
      <c r="BH6" s="1202" t="s">
        <v>486</v>
      </c>
      <c r="BI6" s="1202" t="s">
        <v>487</v>
      </c>
      <c r="BJ6" s="1202" t="s">
        <v>655</v>
      </c>
      <c r="BK6" s="1202" t="s">
        <v>1694</v>
      </c>
      <c r="BL6" s="1202" t="s">
        <v>286</v>
      </c>
      <c r="BM6" s="1202" t="s">
        <v>1017</v>
      </c>
      <c r="BN6" s="1202" t="s">
        <v>313</v>
      </c>
      <c r="BO6" s="1202" t="s">
        <v>908</v>
      </c>
      <c r="BP6" s="1202" t="s">
        <v>843</v>
      </c>
      <c r="BQ6" s="1202" t="s">
        <v>844</v>
      </c>
      <c r="BR6" s="1202" t="s">
        <v>845</v>
      </c>
      <c r="BS6" s="1202" t="s">
        <v>668</v>
      </c>
      <c r="BT6" s="1202" t="s">
        <v>669</v>
      </c>
      <c r="BU6" s="1202" t="s">
        <v>670</v>
      </c>
      <c r="BV6" s="1203" t="s">
        <v>671</v>
      </c>
      <c r="BW6" s="1203" t="s">
        <v>929</v>
      </c>
      <c r="BX6" s="1203" t="s">
        <v>930</v>
      </c>
      <c r="BY6" s="1203" t="s">
        <v>1307</v>
      </c>
      <c r="BZ6" s="1203" t="s">
        <v>757</v>
      </c>
      <c r="CA6" s="1202" t="s">
        <v>756</v>
      </c>
      <c r="CB6" s="1202" t="s">
        <v>3960</v>
      </c>
      <c r="CC6" s="1202" t="s">
        <v>1544</v>
      </c>
      <c r="CD6" s="1202" t="s">
        <v>1545</v>
      </c>
      <c r="CE6" s="1202" t="s">
        <v>1624</v>
      </c>
      <c r="CF6" s="1202" t="s">
        <v>1121</v>
      </c>
      <c r="CG6" s="1202" t="s">
        <v>2208</v>
      </c>
      <c r="CH6" s="1202" t="s">
        <v>1122</v>
      </c>
      <c r="CI6" s="1202" t="s">
        <v>2209</v>
      </c>
      <c r="CJ6" s="1202" t="s">
        <v>1123</v>
      </c>
      <c r="CK6" s="1202" t="s">
        <v>2099</v>
      </c>
      <c r="CL6" s="1202" t="s">
        <v>1124</v>
      </c>
      <c r="CM6" s="1202" t="s">
        <v>2100</v>
      </c>
      <c r="CN6" s="1202" t="s">
        <v>909</v>
      </c>
      <c r="CO6" s="2582"/>
      <c r="CP6" s="2582"/>
      <c r="CQ6" s="2582"/>
      <c r="CR6" s="2582"/>
      <c r="CS6" s="2582"/>
      <c r="CT6" s="2582"/>
      <c r="CU6" s="2582"/>
      <c r="CV6" s="2582"/>
      <c r="CW6" s="1202" t="s">
        <v>2357</v>
      </c>
      <c r="CX6" s="1202" t="s">
        <v>2358</v>
      </c>
      <c r="CY6" s="1202" t="s">
        <v>536</v>
      </c>
      <c r="CZ6" s="1202" t="s">
        <v>2357</v>
      </c>
      <c r="DA6" s="1202" t="s">
        <v>1142</v>
      </c>
      <c r="DB6" s="1202" t="s">
        <v>1324</v>
      </c>
      <c r="DC6" s="1202" t="s">
        <v>2372</v>
      </c>
      <c r="DD6" s="1202" t="s">
        <v>910</v>
      </c>
      <c r="DE6" s="1202" t="s">
        <v>2355</v>
      </c>
      <c r="DF6" s="1202" t="s">
        <v>2356</v>
      </c>
      <c r="DG6" s="1202" t="s">
        <v>2181</v>
      </c>
      <c r="DH6" s="1202" t="s">
        <v>2359</v>
      </c>
      <c r="DI6" s="1202" t="s">
        <v>927</v>
      </c>
      <c r="DJ6" s="1202" t="s">
        <v>2360</v>
      </c>
      <c r="DK6" s="1202" t="s">
        <v>345</v>
      </c>
      <c r="DL6" s="1202" t="s">
        <v>2361</v>
      </c>
      <c r="DM6" s="1202" t="s">
        <v>214</v>
      </c>
      <c r="DN6" s="1202" t="s">
        <v>2374</v>
      </c>
      <c r="DO6" s="1202" t="s">
        <v>1553</v>
      </c>
      <c r="DP6" s="1202" t="s">
        <v>1626</v>
      </c>
      <c r="DQ6" s="1202" t="s">
        <v>2362</v>
      </c>
      <c r="DR6" s="1202" t="s">
        <v>815</v>
      </c>
      <c r="DS6" s="1202" t="s">
        <v>1921</v>
      </c>
      <c r="DT6" s="1202" t="s">
        <v>911</v>
      </c>
      <c r="DU6" s="1202" t="s">
        <v>814</v>
      </c>
      <c r="DV6" s="1202" t="s">
        <v>813</v>
      </c>
      <c r="DW6" s="1202" t="s">
        <v>1618</v>
      </c>
      <c r="DX6" s="1202" t="s">
        <v>4222</v>
      </c>
      <c r="DY6" s="1202" t="s">
        <v>1225</v>
      </c>
      <c r="DZ6" s="2585"/>
      <c r="EA6" s="2585"/>
      <c r="EB6" s="2585"/>
      <c r="EC6" s="2585"/>
      <c r="ED6" s="2585"/>
      <c r="EE6" s="2585"/>
      <c r="EF6" s="2585"/>
      <c r="EG6" s="2585"/>
      <c r="EH6" s="2585"/>
      <c r="EI6" s="2585"/>
      <c r="EJ6" s="2585"/>
      <c r="EK6" s="2585"/>
      <c r="EL6" s="2585"/>
      <c r="EM6" s="2585"/>
      <c r="EN6" s="2585"/>
      <c r="EO6" s="2586"/>
      <c r="EP6" s="2586"/>
      <c r="EQ6" s="2586"/>
      <c r="ER6" s="2586"/>
      <c r="ES6" s="2586"/>
      <c r="ET6" s="2586"/>
      <c r="EU6" s="2586"/>
      <c r="EV6" s="2585"/>
      <c r="EW6" s="2585"/>
      <c r="EX6" s="2585"/>
      <c r="EY6" s="2585"/>
      <c r="EZ6" s="2585"/>
      <c r="FA6" s="2585"/>
      <c r="FB6" s="2585"/>
      <c r="FC6" s="2585"/>
      <c r="FD6" s="2585"/>
      <c r="FE6" s="2585"/>
      <c r="FF6" s="2585"/>
      <c r="FG6" s="2585"/>
      <c r="FH6" s="2585"/>
      <c r="FI6" s="2585"/>
      <c r="FJ6" s="2585"/>
      <c r="FK6" s="2585"/>
      <c r="FL6" s="2586"/>
      <c r="FM6" s="2586"/>
      <c r="FN6" s="2586"/>
      <c r="FO6" s="2586"/>
      <c r="FP6" s="2586"/>
      <c r="FQ6" s="2586"/>
      <c r="FR6" s="2586"/>
      <c r="FS6" s="2586"/>
      <c r="FT6" s="2586"/>
      <c r="FU6" s="2586"/>
      <c r="FV6" s="2586"/>
      <c r="FW6" s="2586"/>
      <c r="FX6" s="2586"/>
      <c r="FY6" s="2586"/>
      <c r="FZ6" s="2586"/>
      <c r="GA6" s="2586"/>
      <c r="GB6" s="2586"/>
      <c r="GC6" s="2585"/>
      <c r="GD6" s="2585"/>
      <c r="GE6" s="2585"/>
      <c r="GF6" s="2585"/>
      <c r="GG6" s="2585"/>
      <c r="GH6" s="2585"/>
      <c r="GI6" s="2585"/>
      <c r="GJ6" s="2585"/>
      <c r="GK6" s="2585"/>
      <c r="GL6" s="2585"/>
      <c r="GM6" s="2585"/>
      <c r="GN6" s="2585"/>
      <c r="GO6" s="2585"/>
      <c r="GP6" s="2585"/>
      <c r="GQ6" s="2585"/>
      <c r="GR6" s="2585"/>
      <c r="GS6" s="2585"/>
      <c r="GT6" s="2585"/>
      <c r="GU6" s="2585"/>
      <c r="GV6" s="2585"/>
      <c r="GW6" s="2585"/>
      <c r="GX6" s="2585"/>
      <c r="GY6" s="2585"/>
      <c r="GZ6" s="2585"/>
      <c r="HA6" s="2585"/>
      <c r="HB6" s="2585"/>
      <c r="HC6" s="2585"/>
      <c r="HD6" s="2582"/>
      <c r="HE6" s="2591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98"/>
      <c r="B7" s="1199"/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1204"/>
      <c r="P7" s="1204"/>
      <c r="Q7" s="1204"/>
      <c r="R7" s="1205"/>
      <c r="S7" s="1205"/>
      <c r="T7" s="1206"/>
      <c r="U7" s="1206"/>
      <c r="V7" s="1206"/>
      <c r="W7" s="1206"/>
      <c r="X7" s="1206"/>
      <c r="Y7" s="1199"/>
      <c r="Z7" s="1199"/>
      <c r="AA7" s="1199"/>
      <c r="AB7" s="1199"/>
      <c r="AC7" s="1199"/>
      <c r="AD7" s="1206"/>
      <c r="AE7" s="1206"/>
      <c r="AF7" s="1206"/>
      <c r="AG7" s="1206"/>
      <c r="AH7" s="1206"/>
      <c r="AI7" s="1206"/>
      <c r="AJ7" s="1206"/>
      <c r="AK7" s="1206"/>
      <c r="AL7" s="1206"/>
      <c r="AM7" s="1206"/>
      <c r="AN7" s="1206"/>
      <c r="AO7" s="1206"/>
      <c r="AP7" s="1206"/>
      <c r="AQ7" s="1206"/>
      <c r="AR7" s="1206"/>
      <c r="AS7" s="1206"/>
      <c r="AT7" s="1206"/>
      <c r="AU7" s="1206"/>
      <c r="AV7" s="1206"/>
      <c r="AW7" s="1206"/>
      <c r="AX7" s="1206"/>
      <c r="AY7" s="1206"/>
      <c r="AZ7" s="1206"/>
      <c r="BA7" s="1206"/>
      <c r="BB7" s="1206"/>
      <c r="BC7" s="1206"/>
      <c r="BD7" s="1206"/>
      <c r="BE7" s="1206"/>
      <c r="BF7" s="1206"/>
      <c r="BG7" s="1206"/>
      <c r="BH7" s="1206"/>
      <c r="BI7" s="1206"/>
      <c r="BJ7" s="1206"/>
      <c r="BK7" s="1206"/>
      <c r="BL7" s="1206"/>
      <c r="BM7" s="1206"/>
      <c r="BN7" s="1206"/>
      <c r="BO7" s="1206"/>
      <c r="BP7" s="1206"/>
      <c r="BQ7" s="1206"/>
      <c r="BR7" s="1206"/>
      <c r="BS7" s="1206"/>
      <c r="BT7" s="1206"/>
      <c r="BU7" s="1206"/>
      <c r="BV7" s="1206"/>
      <c r="BW7" s="1206"/>
      <c r="BX7" s="1206"/>
      <c r="BY7" s="1206"/>
      <c r="BZ7" s="1206"/>
      <c r="CA7" s="1206"/>
      <c r="CB7" s="1206"/>
      <c r="CC7" s="1206"/>
      <c r="CD7" s="1206"/>
      <c r="CE7" s="1206"/>
      <c r="CF7" s="1206"/>
      <c r="CG7" s="1206"/>
      <c r="CH7" s="1206"/>
      <c r="CI7" s="1206"/>
      <c r="CJ7" s="1206"/>
      <c r="CK7" s="1206"/>
      <c r="CL7" s="1206"/>
      <c r="CM7" s="1206"/>
      <c r="CN7" s="1206"/>
      <c r="CO7" s="1206"/>
      <c r="CP7" s="1206"/>
      <c r="CQ7" s="1206"/>
      <c r="CR7" s="1206"/>
      <c r="CS7" s="1206"/>
      <c r="CT7" s="1206"/>
      <c r="CU7" s="1206"/>
      <c r="CV7" s="1206"/>
      <c r="CW7" s="1206"/>
      <c r="CX7" s="1206"/>
      <c r="CY7" s="1206"/>
      <c r="CZ7" s="1206"/>
      <c r="DA7" s="1206"/>
      <c r="DB7" s="1206"/>
      <c r="DC7" s="1206"/>
      <c r="DD7" s="1206"/>
      <c r="DE7" s="1206"/>
      <c r="DF7" s="1206"/>
      <c r="DG7" s="1206"/>
      <c r="DH7" s="1206"/>
      <c r="DI7" s="1206"/>
      <c r="DJ7" s="1206"/>
      <c r="DK7" s="1206"/>
      <c r="DL7" s="1206"/>
      <c r="DM7" s="1206"/>
      <c r="DN7" s="1206"/>
      <c r="DO7" s="1206"/>
      <c r="DP7" s="1206"/>
      <c r="DQ7" s="1206"/>
      <c r="DR7" s="1206"/>
      <c r="DS7" s="1206"/>
      <c r="DT7" s="1206"/>
      <c r="DU7" s="1206"/>
      <c r="DV7" s="1206"/>
      <c r="DW7" s="1206"/>
      <c r="DX7" s="1206"/>
      <c r="DY7" s="1206"/>
      <c r="DZ7" s="1207"/>
      <c r="EA7" s="1207"/>
      <c r="EB7" s="1207"/>
      <c r="EC7" s="1207"/>
      <c r="ED7" s="1207"/>
      <c r="EE7" s="1207"/>
      <c r="EF7" s="1207"/>
      <c r="EG7" s="1207"/>
      <c r="EH7" s="1207"/>
      <c r="EI7" s="1207"/>
      <c r="EJ7" s="1207"/>
      <c r="EK7" s="1207"/>
      <c r="EL7" s="1207"/>
      <c r="EM7" s="1207"/>
      <c r="EN7" s="1207"/>
      <c r="EO7" s="1207"/>
      <c r="EP7" s="1207"/>
      <c r="EQ7" s="1207"/>
      <c r="ER7" s="1207"/>
      <c r="ES7" s="1207"/>
      <c r="ET7" s="1207"/>
      <c r="EU7" s="1207"/>
      <c r="EV7" s="1207"/>
      <c r="EW7" s="1207"/>
      <c r="EX7" s="1207"/>
      <c r="EY7" s="1208"/>
      <c r="EZ7" s="1207"/>
      <c r="FA7" s="1207"/>
      <c r="FB7" s="1207"/>
      <c r="FC7" s="1207"/>
      <c r="FD7" s="1207"/>
      <c r="FE7" s="1207"/>
      <c r="FF7" s="1207"/>
      <c r="FG7" s="1207"/>
      <c r="FH7" s="1207"/>
      <c r="FI7" s="1207"/>
      <c r="FJ7" s="1207"/>
      <c r="FK7" s="1207"/>
      <c r="FL7" s="1207"/>
      <c r="FM7" s="1207"/>
      <c r="FN7" s="1207"/>
      <c r="FO7" s="1207"/>
      <c r="FP7" s="1207"/>
      <c r="FQ7" s="1207"/>
      <c r="FR7" s="1207"/>
      <c r="FS7" s="1207"/>
      <c r="FT7" s="1207"/>
      <c r="FU7" s="1207"/>
      <c r="FV7" s="1207"/>
      <c r="FW7" s="1207"/>
      <c r="FX7" s="1207"/>
      <c r="FY7" s="1207"/>
      <c r="FZ7" s="1207"/>
      <c r="GA7" s="1207"/>
      <c r="GB7" s="1207"/>
      <c r="GC7" s="1207"/>
      <c r="GD7" s="1207"/>
      <c r="GE7" s="1207"/>
      <c r="GF7" s="1207"/>
      <c r="GG7" s="1207"/>
      <c r="GH7" s="1207"/>
      <c r="GI7" s="1207"/>
      <c r="GJ7" s="1207"/>
      <c r="GK7" s="1207"/>
      <c r="GL7" s="1207"/>
      <c r="GM7" s="1207"/>
      <c r="GN7" s="1207"/>
      <c r="GO7" s="1207"/>
      <c r="GP7" s="1207"/>
      <c r="GQ7" s="1207"/>
      <c r="GR7" s="1207"/>
      <c r="GS7" s="1207"/>
      <c r="GT7" s="1207"/>
      <c r="GU7" s="1207"/>
      <c r="GV7" s="1207"/>
      <c r="GW7" s="1207"/>
      <c r="GX7" s="1207"/>
      <c r="GY7" s="1207"/>
      <c r="GZ7" s="1207"/>
      <c r="HA7" s="1207"/>
      <c r="HB7" s="1207"/>
      <c r="HC7" s="1207"/>
      <c r="HD7" s="1207"/>
      <c r="HE7" s="1209"/>
    </row>
    <row r="8" spans="1:255" s="1652" customFormat="1" ht="18.899999999999999" customHeight="1">
      <c r="A8" s="1654"/>
      <c r="B8" s="638"/>
      <c r="C8" s="1653"/>
      <c r="D8" s="637"/>
      <c r="E8" s="1210"/>
      <c r="F8" s="1210"/>
      <c r="G8" s="1210"/>
      <c r="H8" s="1210"/>
      <c r="I8" s="1210"/>
      <c r="J8" s="1210"/>
      <c r="K8" s="1210"/>
      <c r="L8" s="1210"/>
      <c r="M8" s="1210"/>
      <c r="N8" s="1210"/>
      <c r="O8" s="1210"/>
      <c r="P8" s="1210"/>
      <c r="Q8" s="1210"/>
      <c r="R8" s="1211"/>
      <c r="S8" s="1211"/>
      <c r="T8" s="1212"/>
      <c r="U8" s="1212"/>
      <c r="V8" s="1653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55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56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13"/>
      <c r="HF8"/>
      <c r="HG8"/>
    </row>
    <row r="9" spans="1:255" s="1652" customFormat="1" ht="18.75" customHeight="1">
      <c r="A9" s="1654"/>
      <c r="B9" s="638"/>
      <c r="C9" s="1653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57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56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55"/>
      <c r="GN9" s="1655"/>
      <c r="GO9" s="1655"/>
      <c r="GP9" s="1655"/>
      <c r="GQ9" s="1655"/>
      <c r="GR9" s="1655"/>
      <c r="GS9" s="1655"/>
      <c r="GT9" s="1655"/>
      <c r="GU9" s="1655"/>
      <c r="GV9" s="1655"/>
      <c r="GW9" s="1655"/>
      <c r="GX9" s="872"/>
      <c r="GY9" s="872"/>
      <c r="GZ9" s="872"/>
      <c r="HA9" s="872"/>
      <c r="HB9" s="872"/>
      <c r="HC9" s="872"/>
      <c r="HD9" s="873"/>
      <c r="HE9" s="1213"/>
      <c r="HF9"/>
      <c r="HG9"/>
    </row>
    <row r="10" spans="1:255" s="1652" customFormat="1" ht="18.899999999999999" customHeight="1">
      <c r="A10" s="1654"/>
      <c r="B10" s="687"/>
      <c r="C10" s="1657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57"/>
      <c r="W10" s="526"/>
      <c r="X10" s="1655"/>
      <c r="Y10" s="638"/>
      <c r="Z10" s="638"/>
      <c r="AA10" s="638"/>
      <c r="AB10" s="1655"/>
      <c r="AC10" s="1655"/>
      <c r="AD10" s="872"/>
      <c r="AE10" s="1655"/>
      <c r="AF10" s="1655"/>
      <c r="AG10" s="1655"/>
      <c r="AH10" s="1655"/>
      <c r="AI10" s="1655"/>
      <c r="AJ10" s="1655"/>
      <c r="AK10" s="1655"/>
      <c r="AL10" s="1655"/>
      <c r="AM10" s="1655"/>
      <c r="AN10" s="525"/>
      <c r="AO10" s="525"/>
      <c r="AP10" s="1655"/>
      <c r="AQ10" s="525"/>
      <c r="AR10" s="1655"/>
      <c r="AS10" s="1655"/>
      <c r="AT10" s="1655"/>
      <c r="AU10" s="1655"/>
      <c r="AV10" s="1655"/>
      <c r="AW10" s="1655"/>
      <c r="AX10" s="1655"/>
      <c r="AY10" s="1655"/>
      <c r="AZ10" s="1655"/>
      <c r="BA10" s="1655"/>
      <c r="BB10" s="1655"/>
      <c r="BC10" s="1655"/>
      <c r="BD10" s="1655"/>
      <c r="BE10" s="1655"/>
      <c r="BF10" s="1655"/>
      <c r="BG10" s="1655"/>
      <c r="BH10" s="1655"/>
      <c r="BI10" s="1655"/>
      <c r="BJ10" s="1655"/>
      <c r="BK10" s="1655"/>
      <c r="BL10" s="1655"/>
      <c r="BM10" s="1655"/>
      <c r="BN10" s="1655"/>
      <c r="BO10" s="1655"/>
      <c r="BP10" s="1655"/>
      <c r="BQ10" s="1655"/>
      <c r="BR10" s="1655"/>
      <c r="BS10" s="1655"/>
      <c r="BT10" s="1655"/>
      <c r="BU10" s="1655"/>
      <c r="BV10" s="1655"/>
      <c r="BW10" s="1655"/>
      <c r="BX10" s="1655"/>
      <c r="BY10" s="1655"/>
      <c r="BZ10" s="1655"/>
      <c r="CA10" s="1655"/>
      <c r="CB10" s="1655"/>
      <c r="CC10" s="872"/>
      <c r="CD10" s="525"/>
      <c r="CE10" s="872"/>
      <c r="CF10" s="872"/>
      <c r="CG10" s="872"/>
      <c r="CH10" s="1655"/>
      <c r="CI10" s="1655"/>
      <c r="CJ10" s="1655"/>
      <c r="CK10" s="1655"/>
      <c r="CL10" s="1655"/>
      <c r="CM10" s="1655"/>
      <c r="CN10" s="1655"/>
      <c r="CO10" s="1655"/>
      <c r="CP10" s="1655"/>
      <c r="CQ10" s="1655"/>
      <c r="CR10" s="1655"/>
      <c r="CS10" s="1655"/>
      <c r="CT10" s="1655"/>
      <c r="CU10" s="1655"/>
      <c r="CV10" s="1655"/>
      <c r="CW10" s="1655"/>
      <c r="CX10" s="1655"/>
      <c r="CY10" s="1655"/>
      <c r="CZ10" s="1655"/>
      <c r="DA10" s="1655"/>
      <c r="DB10" s="1655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55"/>
      <c r="EE10" s="1655"/>
      <c r="EF10" s="1655"/>
      <c r="EG10" s="1655"/>
      <c r="EH10" s="1655"/>
      <c r="EI10" s="1655"/>
      <c r="EJ10" s="1655"/>
      <c r="EK10" s="1655"/>
      <c r="EL10" s="1655"/>
      <c r="EM10" s="1655"/>
      <c r="EN10" s="1655"/>
      <c r="EO10" s="1655"/>
      <c r="EP10" s="1655"/>
      <c r="EQ10" s="1655"/>
      <c r="ER10" s="1655"/>
      <c r="ES10" s="1655"/>
      <c r="ET10" s="1655"/>
      <c r="EU10" s="1655"/>
      <c r="EV10" s="1655"/>
      <c r="EW10" s="1655"/>
      <c r="EX10" s="1655"/>
      <c r="EY10" s="1658"/>
      <c r="EZ10" s="1655"/>
      <c r="FA10" s="1655"/>
      <c r="FB10" s="1655"/>
      <c r="FC10" s="1655"/>
      <c r="FD10" s="1655"/>
      <c r="FE10" s="1655"/>
      <c r="FF10" s="1655"/>
      <c r="FG10" s="1655"/>
      <c r="FH10" s="1655"/>
      <c r="FI10" s="1655"/>
      <c r="FJ10" s="1655"/>
      <c r="FK10" s="1655"/>
      <c r="FL10" s="1655"/>
      <c r="FM10" s="1655"/>
      <c r="FN10" s="1655"/>
      <c r="FO10" s="1655"/>
      <c r="FP10" s="1655"/>
      <c r="FQ10" s="1655"/>
      <c r="FR10" s="1655"/>
      <c r="FS10" s="1655"/>
      <c r="FT10" s="1655"/>
      <c r="FU10" s="1655"/>
      <c r="FV10" s="1655"/>
      <c r="FW10" s="1655"/>
      <c r="FX10" s="1655"/>
      <c r="FY10" s="1655"/>
      <c r="FZ10" s="1655"/>
      <c r="GA10" s="1655"/>
      <c r="GB10" s="1655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59"/>
      <c r="HF10"/>
      <c r="HG10"/>
    </row>
    <row r="11" spans="1:255" s="1652" customFormat="1" ht="18.899999999999999" hidden="1" customHeight="1">
      <c r="A11" s="1654"/>
      <c r="B11" s="1600"/>
      <c r="C11" s="1653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57"/>
      <c r="W11" s="526"/>
      <c r="X11" s="1655"/>
      <c r="Y11" s="638"/>
      <c r="Z11" s="638"/>
      <c r="AA11" s="638"/>
      <c r="AB11" s="1655"/>
      <c r="AC11" s="1655"/>
      <c r="AD11" s="872"/>
      <c r="AE11" s="1655"/>
      <c r="AF11" s="1655"/>
      <c r="AG11" s="1655"/>
      <c r="AH11" s="1655"/>
      <c r="AI11" s="1655"/>
      <c r="AJ11" s="1655"/>
      <c r="AK11" s="1655"/>
      <c r="AL11" s="1655"/>
      <c r="AM11" s="1655"/>
      <c r="AN11" s="525"/>
      <c r="AO11" s="525"/>
      <c r="AP11" s="1655"/>
      <c r="AQ11" s="525"/>
      <c r="AR11" s="1655"/>
      <c r="AS11" s="1655"/>
      <c r="AT11" s="1655"/>
      <c r="AU11" s="1655"/>
      <c r="AV11" s="1655"/>
      <c r="AW11" s="1655"/>
      <c r="AX11" s="1655"/>
      <c r="AY11" s="1655"/>
      <c r="AZ11" s="1655"/>
      <c r="BA11" s="1655"/>
      <c r="BB11" s="638"/>
      <c r="BC11" s="1655"/>
      <c r="BD11" s="1655"/>
      <c r="BE11" s="1655"/>
      <c r="BF11" s="1655"/>
      <c r="BG11" s="1655"/>
      <c r="BH11" s="1655"/>
      <c r="BI11" s="1655"/>
      <c r="BJ11" s="1655"/>
      <c r="BK11" s="1655"/>
      <c r="BL11" s="1655"/>
      <c r="BM11" s="1655"/>
      <c r="BN11" s="1655"/>
      <c r="BO11" s="1655"/>
      <c r="BP11" s="1655"/>
      <c r="BQ11" s="1655"/>
      <c r="BR11" s="1655"/>
      <c r="BS11" s="1901"/>
      <c r="BT11" s="1901"/>
      <c r="BU11" s="1655"/>
      <c r="BV11" s="1655"/>
      <c r="BW11" s="1655"/>
      <c r="BX11" s="1655"/>
      <c r="BY11" s="1655"/>
      <c r="BZ11" s="1655"/>
      <c r="CA11" s="1655"/>
      <c r="CB11" s="1655"/>
      <c r="CC11" s="1901"/>
      <c r="CD11" s="1970"/>
      <c r="CE11" s="872"/>
      <c r="CF11" s="872"/>
      <c r="CG11" s="872"/>
      <c r="CH11" s="1655"/>
      <c r="CI11" s="1655"/>
      <c r="CJ11" s="1655"/>
      <c r="CK11" s="1655"/>
      <c r="CL11" s="1655"/>
      <c r="CM11" s="1655"/>
      <c r="CN11" s="1655"/>
      <c r="CO11" s="1655"/>
      <c r="CP11" s="1655"/>
      <c r="CQ11" s="1655"/>
      <c r="CR11" s="1655"/>
      <c r="CS11" s="1655"/>
      <c r="CT11" s="1655"/>
      <c r="CU11" s="1655"/>
      <c r="CV11" s="1655"/>
      <c r="CW11" s="1655"/>
      <c r="CX11" s="1655"/>
      <c r="CY11" s="1655"/>
      <c r="CZ11" s="1655"/>
      <c r="DA11" s="1655"/>
      <c r="DB11" s="1655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55"/>
      <c r="EE11" s="1655"/>
      <c r="EF11" s="1655"/>
      <c r="EG11" s="1655"/>
      <c r="EH11" s="1655"/>
      <c r="EI11" s="1655"/>
      <c r="EJ11" s="1655"/>
      <c r="EK11" s="1655"/>
      <c r="EL11" s="1655"/>
      <c r="EM11" s="1655"/>
      <c r="EN11" s="1655"/>
      <c r="EO11" s="1655"/>
      <c r="EP11" s="1655"/>
      <c r="EQ11" s="1655"/>
      <c r="ER11" s="1655"/>
      <c r="ES11" s="1655"/>
      <c r="ET11" s="1655"/>
      <c r="EU11" s="1655"/>
      <c r="EV11" s="1655"/>
      <c r="EW11" s="1655"/>
      <c r="EX11" s="1655"/>
      <c r="EY11" s="1658"/>
      <c r="EZ11" s="1655"/>
      <c r="FA11" s="1655"/>
      <c r="FB11" s="1655"/>
      <c r="FC11" s="1655"/>
      <c r="FD11" s="1655"/>
      <c r="FE11" s="1655"/>
      <c r="FF11" s="1655"/>
      <c r="FG11" s="1655"/>
      <c r="FH11" s="1655"/>
      <c r="FI11" s="1655"/>
      <c r="FJ11" s="1655"/>
      <c r="FK11" s="1655"/>
      <c r="FL11" s="1655"/>
      <c r="FM11" s="1655"/>
      <c r="FN11" s="1655"/>
      <c r="FO11" s="1655"/>
      <c r="FP11" s="1655"/>
      <c r="FQ11" s="1655"/>
      <c r="FR11" s="1655"/>
      <c r="FS11" s="1655"/>
      <c r="FT11" s="1655"/>
      <c r="FU11" s="1655"/>
      <c r="FV11" s="1655"/>
      <c r="FW11" s="1655"/>
      <c r="FX11" s="1655"/>
      <c r="FY11" s="1655"/>
      <c r="FZ11" s="1655"/>
      <c r="GA11" s="1655"/>
      <c r="GB11" s="1655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59"/>
      <c r="HF11"/>
      <c r="HG11"/>
    </row>
    <row r="12" spans="1:255" s="1652" customFormat="1" ht="18.899999999999999" hidden="1" customHeight="1">
      <c r="A12" s="1654"/>
      <c r="B12" s="1600"/>
      <c r="C12" s="1653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57"/>
      <c r="W12" s="526"/>
      <c r="X12" s="1655"/>
      <c r="Y12" s="638"/>
      <c r="Z12" s="638"/>
      <c r="AA12" s="638"/>
      <c r="AB12" s="1655"/>
      <c r="AC12" s="1655"/>
      <c r="AD12" s="872"/>
      <c r="AE12" s="1655"/>
      <c r="AF12" s="1655"/>
      <c r="AG12" s="1655"/>
      <c r="AH12" s="1655"/>
      <c r="AI12" s="1655"/>
      <c r="AJ12" s="1655"/>
      <c r="AK12" s="1655"/>
      <c r="AL12" s="1655"/>
      <c r="AM12" s="1655"/>
      <c r="AN12" s="525"/>
      <c r="AO12" s="525"/>
      <c r="AP12" s="1655"/>
      <c r="AQ12" s="525"/>
      <c r="AR12" s="1655"/>
      <c r="AS12" s="1655"/>
      <c r="AT12" s="1655"/>
      <c r="AU12" s="1655"/>
      <c r="AV12" s="1655"/>
      <c r="AW12" s="1655"/>
      <c r="AX12" s="1655"/>
      <c r="AY12" s="1655"/>
      <c r="AZ12" s="1655"/>
      <c r="BA12" s="1655"/>
      <c r="BB12" s="1655"/>
      <c r="BC12" s="1655"/>
      <c r="BD12" s="1655"/>
      <c r="BE12" s="1655"/>
      <c r="BF12" s="1655"/>
      <c r="BG12" s="1655"/>
      <c r="BH12" s="1655"/>
      <c r="BI12" s="1655"/>
      <c r="BJ12" s="1655"/>
      <c r="BK12" s="1655"/>
      <c r="BL12" s="1655"/>
      <c r="BM12" s="1655"/>
      <c r="BN12" s="1655"/>
      <c r="BO12" s="1655"/>
      <c r="BP12" s="1655"/>
      <c r="BQ12" s="1655"/>
      <c r="BR12" s="1655"/>
      <c r="BS12" s="1901"/>
      <c r="BT12" s="1655"/>
      <c r="BU12" s="1655"/>
      <c r="BV12" s="1655"/>
      <c r="BW12" s="1655"/>
      <c r="BX12" s="1655"/>
      <c r="BY12" s="1655"/>
      <c r="BZ12" s="1655"/>
      <c r="CA12" s="1655"/>
      <c r="CB12" s="1655"/>
      <c r="CC12" s="1901"/>
      <c r="CD12" s="525"/>
      <c r="CE12" s="872"/>
      <c r="CF12" s="872"/>
      <c r="CG12" s="872"/>
      <c r="CH12" s="1655"/>
      <c r="CI12" s="1655"/>
      <c r="CJ12" s="1655"/>
      <c r="CK12" s="1655"/>
      <c r="CL12" s="1655"/>
      <c r="CM12" s="1655"/>
      <c r="CN12" s="1655"/>
      <c r="CO12" s="1655"/>
      <c r="CP12" s="1655"/>
      <c r="CQ12" s="1655"/>
      <c r="CR12" s="1655"/>
      <c r="CS12" s="1655"/>
      <c r="CT12" s="1655"/>
      <c r="CU12" s="1655"/>
      <c r="CV12" s="1655"/>
      <c r="CW12" s="1655"/>
      <c r="CX12" s="1655"/>
      <c r="CY12" s="1655"/>
      <c r="CZ12" s="1901"/>
      <c r="DA12" s="1655"/>
      <c r="DB12" s="1655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902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55"/>
      <c r="EE12" s="1655"/>
      <c r="EF12" s="1655"/>
      <c r="EG12" s="1655"/>
      <c r="EH12" s="1655"/>
      <c r="EI12" s="1655"/>
      <c r="EJ12" s="1655"/>
      <c r="EK12" s="1655"/>
      <c r="EL12" s="1655"/>
      <c r="EM12" s="1655"/>
      <c r="EN12" s="1655"/>
      <c r="EO12" s="1655"/>
      <c r="EP12" s="1655"/>
      <c r="EQ12" s="1655"/>
      <c r="ER12" s="1655"/>
      <c r="ES12" s="1655"/>
      <c r="ET12" s="1655"/>
      <c r="EU12" s="1655"/>
      <c r="EV12" s="1655"/>
      <c r="EW12" s="1655"/>
      <c r="EX12" s="1655"/>
      <c r="EY12" s="1658"/>
      <c r="EZ12" s="1655"/>
      <c r="FA12" s="1655"/>
      <c r="FB12" s="1655"/>
      <c r="FC12" s="1655"/>
      <c r="FD12" s="1655"/>
      <c r="FE12" s="1655"/>
      <c r="FF12" s="1655"/>
      <c r="FG12" s="1655"/>
      <c r="FH12" s="1655"/>
      <c r="FI12" s="1655"/>
      <c r="FJ12" s="1655"/>
      <c r="FK12" s="1655"/>
      <c r="FL12" s="1655"/>
      <c r="FM12" s="1655"/>
      <c r="FN12" s="1655"/>
      <c r="FO12" s="1655"/>
      <c r="FP12" s="1655"/>
      <c r="FQ12" s="1655"/>
      <c r="FR12" s="1655"/>
      <c r="FS12" s="1655"/>
      <c r="FT12" s="1655"/>
      <c r="FU12" s="1655"/>
      <c r="FV12" s="1655"/>
      <c r="FW12" s="1655"/>
      <c r="FX12" s="1655"/>
      <c r="FY12" s="1655"/>
      <c r="FZ12" s="1655"/>
      <c r="GA12" s="1655"/>
      <c r="GB12" s="1655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59"/>
      <c r="HF12"/>
      <c r="HG12"/>
    </row>
    <row r="13" spans="1:255" s="1652" customFormat="1" ht="18.899999999999999" hidden="1" customHeight="1">
      <c r="A13" s="1654"/>
      <c r="B13" s="687"/>
      <c r="C13" s="1653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57"/>
      <c r="W13" s="526"/>
      <c r="X13" s="1655"/>
      <c r="Y13" s="638"/>
      <c r="Z13" s="638"/>
      <c r="AA13" s="638"/>
      <c r="AB13" s="1655"/>
      <c r="AC13" s="1655"/>
      <c r="AD13" s="872"/>
      <c r="AE13" s="1655"/>
      <c r="AF13" s="1655"/>
      <c r="AG13" s="1655"/>
      <c r="AH13" s="1655"/>
      <c r="AI13" s="1655"/>
      <c r="AJ13" s="1655"/>
      <c r="AK13" s="1655"/>
      <c r="AL13" s="1655"/>
      <c r="AM13" s="1655"/>
      <c r="AN13" s="638"/>
      <c r="AO13" s="525"/>
      <c r="AP13" s="1655"/>
      <c r="AQ13" s="525"/>
      <c r="AR13" s="1655"/>
      <c r="AS13" s="1655"/>
      <c r="AT13" s="1655"/>
      <c r="AU13" s="1655"/>
      <c r="AV13" s="1655"/>
      <c r="AW13" s="1655"/>
      <c r="AX13" s="1655"/>
      <c r="AY13" s="1655"/>
      <c r="AZ13" s="1655"/>
      <c r="BA13" s="1655"/>
      <c r="BB13" s="638"/>
      <c r="BC13" s="1655"/>
      <c r="BD13" s="1655"/>
      <c r="BE13" s="1655"/>
      <c r="BF13" s="1655"/>
      <c r="BG13" s="1655"/>
      <c r="BH13" s="1655"/>
      <c r="BI13" s="1655"/>
      <c r="BJ13" s="1655"/>
      <c r="BK13" s="1655"/>
      <c r="BL13" s="1655"/>
      <c r="BM13" s="1655"/>
      <c r="BN13" s="1655"/>
      <c r="BO13" s="1655"/>
      <c r="BP13" s="1655"/>
      <c r="BQ13" s="1655"/>
      <c r="BR13" s="1655"/>
      <c r="BS13" s="1655"/>
      <c r="BT13" s="1655"/>
      <c r="BU13" s="1655"/>
      <c r="BV13" s="1655"/>
      <c r="BW13" s="1655"/>
      <c r="BX13" s="1655"/>
      <c r="BY13" s="1655"/>
      <c r="BZ13" s="1655"/>
      <c r="CA13" s="1655"/>
      <c r="CB13" s="1655"/>
      <c r="CC13" s="1655"/>
      <c r="CD13" s="525"/>
      <c r="CE13" s="872"/>
      <c r="CF13" s="872"/>
      <c r="CG13" s="872"/>
      <c r="CH13" s="1655"/>
      <c r="CI13" s="1655"/>
      <c r="CJ13" s="1655"/>
      <c r="CK13" s="1655"/>
      <c r="CL13" s="1655"/>
      <c r="CM13" s="1655"/>
      <c r="CN13" s="1655"/>
      <c r="CO13" s="1655"/>
      <c r="CP13" s="1655"/>
      <c r="CQ13" s="1655"/>
      <c r="CR13" s="1655"/>
      <c r="CS13" s="1655"/>
      <c r="CT13" s="1655"/>
      <c r="CU13" s="1655"/>
      <c r="CV13" s="1655"/>
      <c r="CW13" s="1655"/>
      <c r="CX13" s="1901"/>
      <c r="CY13" s="1655"/>
      <c r="CZ13" s="1655"/>
      <c r="DA13" s="1655"/>
      <c r="DB13" s="1655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55"/>
      <c r="EE13" s="1655"/>
      <c r="EF13" s="1655"/>
      <c r="EG13" s="1655"/>
      <c r="EH13" s="1655"/>
      <c r="EI13" s="1655"/>
      <c r="EJ13" s="1655"/>
      <c r="EK13" s="1655"/>
      <c r="EL13" s="1655"/>
      <c r="EM13" s="1655"/>
      <c r="EN13" s="1655"/>
      <c r="EO13" s="1655"/>
      <c r="EP13" s="1655"/>
      <c r="EQ13" s="1655"/>
      <c r="ER13" s="1655"/>
      <c r="ES13" s="1655"/>
      <c r="ET13" s="1655"/>
      <c r="EU13" s="1655"/>
      <c r="EV13" s="1655"/>
      <c r="EW13" s="1655"/>
      <c r="EX13" s="1655"/>
      <c r="EY13" s="1658"/>
      <c r="EZ13" s="1655"/>
      <c r="FA13" s="1655"/>
      <c r="FB13" s="1655"/>
      <c r="FC13" s="1655"/>
      <c r="FD13" s="1655"/>
      <c r="FE13" s="1655"/>
      <c r="FF13" s="1655"/>
      <c r="FG13" s="1655"/>
      <c r="FH13" s="1655"/>
      <c r="FI13" s="1655"/>
      <c r="FJ13" s="1655"/>
      <c r="FK13" s="1655"/>
      <c r="FL13" s="1655"/>
      <c r="FM13" s="1655"/>
      <c r="FN13" s="1655"/>
      <c r="FO13" s="1655"/>
      <c r="FP13" s="1655"/>
      <c r="FQ13" s="1655"/>
      <c r="FR13" s="1655"/>
      <c r="FS13" s="1655"/>
      <c r="FT13" s="1655"/>
      <c r="FU13" s="1655"/>
      <c r="FV13" s="1655"/>
      <c r="FW13" s="1655"/>
      <c r="FX13" s="1655"/>
      <c r="FY13" s="1655"/>
      <c r="FZ13" s="1655"/>
      <c r="GA13" s="1655"/>
      <c r="GB13" s="1655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59"/>
      <c r="HF13"/>
      <c r="HG13"/>
    </row>
    <row r="14" spans="1:255" ht="18.899999999999999" hidden="1" customHeight="1">
      <c r="A14" s="1897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602"/>
    </row>
    <row r="15" spans="1:255" ht="18.899999999999999" hidden="1" customHeight="1">
      <c r="A15" s="1897"/>
      <c r="B15" s="1600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602"/>
    </row>
    <row r="16" spans="1:255" ht="18.899999999999999" hidden="1" customHeight="1">
      <c r="A16" s="1897"/>
      <c r="B16" s="1600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14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602"/>
    </row>
    <row r="17" spans="1:215" ht="18.899999999999999" hidden="1" customHeight="1">
      <c r="A17" s="1898"/>
      <c r="B17" s="1600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602"/>
    </row>
    <row r="18" spans="1:215" ht="18.899999999999999" hidden="1" customHeight="1">
      <c r="A18" s="1898"/>
      <c r="B18" s="1600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602"/>
    </row>
    <row r="19" spans="1:215" ht="18.899999999999999" hidden="1" customHeight="1">
      <c r="A19" s="1898"/>
      <c r="B19" s="1600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602"/>
    </row>
    <row r="20" spans="1:215" ht="18.899999999999999" hidden="1" customHeight="1">
      <c r="A20" s="1898"/>
      <c r="B20" s="1600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602"/>
    </row>
    <row r="21" spans="1:215" ht="18.899999999999999" hidden="1" customHeight="1">
      <c r="A21" s="1898"/>
      <c r="B21" s="1600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602"/>
    </row>
    <row r="22" spans="1:215" ht="18.899999999999999" hidden="1" customHeight="1">
      <c r="A22" s="1898"/>
      <c r="B22" s="1600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602"/>
    </row>
    <row r="23" spans="1:215" ht="18.899999999999999" hidden="1" customHeight="1">
      <c r="A23" s="1898"/>
      <c r="B23" s="1600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602"/>
    </row>
    <row r="24" spans="1:215" ht="18.899999999999999" hidden="1" customHeight="1">
      <c r="A24" s="1898"/>
      <c r="B24" s="1600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602"/>
    </row>
    <row r="25" spans="1:215" ht="18.899999999999999" hidden="1" customHeight="1">
      <c r="A25" s="1898"/>
      <c r="B25" s="1600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602"/>
    </row>
    <row r="26" spans="1:215" ht="18.899999999999999" hidden="1" customHeight="1">
      <c r="A26" s="1898"/>
      <c r="B26" s="1600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602"/>
    </row>
    <row r="27" spans="1:215" ht="18.899999999999999" hidden="1" customHeight="1">
      <c r="A27" s="1898"/>
      <c r="B27" s="1600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15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44"/>
    </row>
    <row r="28" spans="1:215" s="557" customFormat="1" ht="18.899999999999999" hidden="1" customHeight="1">
      <c r="A28" s="1899"/>
      <c r="B28" s="1641"/>
      <c r="C28" s="1641"/>
      <c r="D28" s="1641"/>
      <c r="E28" s="1641"/>
      <c r="F28" s="1641"/>
      <c r="G28" s="1641"/>
      <c r="H28" s="1641"/>
      <c r="I28" s="1641"/>
      <c r="J28" s="1641"/>
      <c r="K28" s="1641"/>
      <c r="L28" s="1641"/>
      <c r="M28" s="1641"/>
      <c r="N28" s="1641"/>
      <c r="O28" s="1641"/>
      <c r="P28" s="1641"/>
      <c r="Q28" s="1641"/>
      <c r="R28" s="1641"/>
      <c r="S28" s="1641"/>
      <c r="T28" s="1641"/>
      <c r="U28" s="1641"/>
      <c r="V28" s="1641"/>
      <c r="W28" s="1641"/>
      <c r="X28" s="1641"/>
      <c r="Y28" s="1641"/>
      <c r="Z28" s="1641"/>
      <c r="AA28" s="1641"/>
      <c r="AB28" s="1641"/>
      <c r="AC28" s="1641"/>
      <c r="AD28" s="1641"/>
      <c r="AE28" s="1641"/>
      <c r="AF28" s="1641"/>
      <c r="AG28" s="1641"/>
      <c r="AH28" s="1641"/>
      <c r="AI28" s="1641"/>
      <c r="AJ28" s="1641"/>
      <c r="AK28" s="1641"/>
      <c r="AL28" s="1641"/>
      <c r="AM28" s="1641"/>
      <c r="AN28" s="1641"/>
      <c r="AO28" s="1641"/>
      <c r="AP28" s="1641"/>
      <c r="AQ28" s="1641"/>
      <c r="AR28" s="1641"/>
      <c r="AS28" s="1641"/>
      <c r="AT28" s="1641"/>
      <c r="AU28" s="1641"/>
      <c r="AV28" s="1641"/>
      <c r="AW28" s="1641"/>
      <c r="AX28" s="1641"/>
      <c r="AY28" s="1641"/>
      <c r="AZ28" s="1641"/>
      <c r="BA28" s="1641"/>
      <c r="BB28" s="1641"/>
      <c r="BC28" s="1641"/>
      <c r="BD28" s="1641"/>
      <c r="BE28" s="1641"/>
      <c r="BF28" s="1641"/>
      <c r="BG28" s="1641"/>
      <c r="BH28" s="1641"/>
      <c r="BI28" s="1641"/>
      <c r="BJ28" s="1641"/>
      <c r="BK28" s="1641"/>
      <c r="BL28" s="1641"/>
      <c r="BM28" s="1641"/>
      <c r="BN28" s="1641"/>
      <c r="BO28" s="1641"/>
      <c r="BP28" s="1641"/>
      <c r="BQ28" s="1641"/>
      <c r="BR28" s="1641"/>
      <c r="BS28" s="1641"/>
      <c r="BT28" s="1641"/>
      <c r="BU28" s="1641"/>
      <c r="BV28" s="1641"/>
      <c r="BW28" s="1641"/>
      <c r="BX28" s="1641"/>
      <c r="BY28" s="1641"/>
      <c r="BZ28" s="1641"/>
      <c r="CA28" s="1641"/>
      <c r="CB28" s="1641"/>
      <c r="CC28" s="1641"/>
      <c r="CD28" s="1641"/>
      <c r="CE28" s="1641"/>
      <c r="CF28" s="1641"/>
      <c r="CG28" s="1641"/>
      <c r="CH28" s="1641"/>
      <c r="CI28" s="1641"/>
      <c r="CJ28" s="1641"/>
      <c r="CK28" s="1641"/>
      <c r="CL28" s="1641"/>
      <c r="CM28" s="1641"/>
      <c r="CN28" s="1641"/>
      <c r="CO28" s="1641"/>
      <c r="CP28" s="1641"/>
      <c r="CQ28" s="1641"/>
      <c r="CR28" s="1641"/>
      <c r="CS28" s="1641"/>
      <c r="CT28" s="1641"/>
      <c r="CU28" s="1641"/>
      <c r="CV28" s="1641"/>
      <c r="CW28" s="1641"/>
      <c r="CX28" s="1641"/>
      <c r="CY28" s="1641"/>
      <c r="CZ28" s="1641"/>
      <c r="DA28" s="1641"/>
      <c r="DB28" s="1641"/>
      <c r="DC28" s="1641"/>
      <c r="DD28" s="1641"/>
      <c r="DE28" s="1641"/>
      <c r="DF28" s="1641"/>
      <c r="DG28" s="1641"/>
      <c r="DH28" s="1641"/>
      <c r="DI28" s="1641"/>
      <c r="DJ28" s="1641"/>
      <c r="DK28" s="1641"/>
      <c r="DL28" s="1641"/>
      <c r="DM28" s="1641"/>
      <c r="DN28" s="1641"/>
      <c r="DO28" s="1641"/>
      <c r="DP28" s="1641"/>
      <c r="DQ28" s="1641"/>
      <c r="DR28" s="1641"/>
      <c r="DS28" s="1641"/>
      <c r="DT28" s="1641"/>
      <c r="DU28" s="1641"/>
      <c r="DV28" s="1641"/>
      <c r="DW28" s="1641"/>
      <c r="DX28" s="1641"/>
      <c r="DY28" s="1641"/>
      <c r="DZ28" s="1641"/>
      <c r="EA28" s="1641"/>
      <c r="EB28" s="1641"/>
      <c r="EC28" s="1641"/>
      <c r="ED28" s="1641"/>
      <c r="EE28" s="1641"/>
      <c r="EF28" s="1641"/>
      <c r="EG28" s="1641"/>
      <c r="EH28" s="1641"/>
      <c r="EI28" s="1641"/>
      <c r="EJ28" s="1641"/>
      <c r="EK28" s="1641"/>
      <c r="EL28" s="1641"/>
      <c r="EM28" s="1641"/>
      <c r="EN28" s="1641"/>
      <c r="EO28" s="1641"/>
      <c r="EP28" s="1641"/>
      <c r="EQ28" s="1641"/>
      <c r="ER28" s="1641"/>
      <c r="ES28" s="1641"/>
      <c r="ET28" s="1641"/>
      <c r="EU28" s="1641"/>
      <c r="EV28" s="1641"/>
      <c r="EW28" s="1641"/>
      <c r="EX28" s="1641"/>
      <c r="EY28" s="1641"/>
      <c r="EZ28" s="1641"/>
      <c r="FA28" s="1641"/>
      <c r="FB28" s="1641"/>
      <c r="FC28" s="1641"/>
      <c r="FD28" s="1641"/>
      <c r="FE28" s="1641"/>
      <c r="FF28" s="1641"/>
      <c r="FG28" s="1641"/>
      <c r="FH28" s="1641"/>
      <c r="FI28" s="1641"/>
      <c r="FJ28" s="1641"/>
      <c r="FK28" s="1641"/>
      <c r="FL28" s="1641"/>
      <c r="FM28" s="1641"/>
      <c r="FN28" s="1641"/>
      <c r="FO28" s="1641"/>
      <c r="FP28" s="1641"/>
      <c r="FQ28" s="1641"/>
      <c r="FR28" s="1641"/>
      <c r="FS28" s="1641"/>
      <c r="FT28" s="1641"/>
      <c r="FU28" s="1641"/>
      <c r="FV28" s="1641"/>
      <c r="FW28" s="1641"/>
      <c r="FX28" s="1641"/>
      <c r="FY28" s="1641"/>
      <c r="FZ28" s="1641"/>
      <c r="GA28" s="1641"/>
      <c r="GB28" s="1641"/>
      <c r="GC28" s="1641"/>
      <c r="GD28" s="1641"/>
      <c r="GE28" s="1641"/>
      <c r="GF28" s="1641"/>
      <c r="GG28" s="1641"/>
      <c r="GH28" s="1641"/>
      <c r="GI28" s="1641"/>
      <c r="GJ28" s="1641"/>
      <c r="GK28" s="1641"/>
      <c r="GL28" s="1641"/>
      <c r="GM28" s="1641"/>
      <c r="GN28" s="1641"/>
      <c r="GO28" s="1641"/>
      <c r="GP28" s="1641"/>
      <c r="GQ28" s="1641"/>
      <c r="GR28" s="1641"/>
      <c r="GS28" s="1641"/>
      <c r="GT28" s="1641"/>
      <c r="GU28" s="1641"/>
      <c r="GV28" s="1641"/>
      <c r="GW28" s="1641"/>
      <c r="GX28" s="1641"/>
      <c r="GY28" s="1641"/>
      <c r="GZ28" s="1641"/>
      <c r="HA28" s="1641"/>
      <c r="HB28" s="1641"/>
      <c r="HC28" s="1641"/>
      <c r="HD28" s="1641"/>
      <c r="HE28" s="1642"/>
      <c r="HF28"/>
      <c r="HG28"/>
    </row>
    <row r="29" spans="1:215" ht="18.899999999999999" hidden="1" customHeight="1">
      <c r="A29" s="1900"/>
      <c r="B29" s="1199"/>
      <c r="C29" s="1204"/>
      <c r="D29" s="1204"/>
      <c r="E29" s="1204"/>
      <c r="F29" s="1204"/>
      <c r="G29" s="1204"/>
      <c r="H29" s="1204"/>
      <c r="I29" s="1204"/>
      <c r="J29" s="1204"/>
      <c r="K29" s="1204"/>
      <c r="L29" s="1204"/>
      <c r="M29" s="1204"/>
      <c r="N29" s="1204"/>
      <c r="O29" s="1204"/>
      <c r="P29" s="1204"/>
      <c r="Q29" s="1204"/>
      <c r="R29" s="1205"/>
      <c r="S29" s="1205"/>
      <c r="T29" s="1206"/>
      <c r="U29" s="1206"/>
      <c r="V29" s="1206"/>
      <c r="W29" s="1206"/>
      <c r="X29" s="1206"/>
      <c r="Y29" s="869"/>
      <c r="Z29" s="869"/>
      <c r="AA29" s="1199"/>
      <c r="AB29" s="1199"/>
      <c r="AC29" s="1199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  <c r="BC29" s="1206"/>
      <c r="BD29" s="1206"/>
      <c r="BE29" s="1206"/>
      <c r="BF29" s="1206"/>
      <c r="BG29" s="1206"/>
      <c r="BH29" s="1206"/>
      <c r="BI29" s="1206"/>
      <c r="BJ29" s="1206"/>
      <c r="BK29" s="1206"/>
      <c r="BL29" s="1206"/>
      <c r="BM29" s="1206"/>
      <c r="BN29" s="1206"/>
      <c r="BO29" s="1206"/>
      <c r="BP29" s="1206"/>
      <c r="BQ29" s="1206"/>
      <c r="BR29" s="1206"/>
      <c r="BS29" s="1206"/>
      <c r="BT29" s="1206"/>
      <c r="BU29" s="1206"/>
      <c r="BV29" s="1206"/>
      <c r="BW29" s="1206"/>
      <c r="BX29" s="1206"/>
      <c r="BY29" s="1206"/>
      <c r="BZ29" s="1206"/>
      <c r="CA29" s="1206"/>
      <c r="CB29" s="1206"/>
      <c r="CC29" s="1206"/>
      <c r="CD29" s="1206"/>
      <c r="CE29" s="1206"/>
      <c r="CF29" s="1206"/>
      <c r="CG29" s="1206"/>
      <c r="CH29" s="1206"/>
      <c r="CI29" s="1206"/>
      <c r="CJ29" s="1206"/>
      <c r="CK29" s="1206"/>
      <c r="CL29" s="1206"/>
      <c r="CM29" s="1206"/>
      <c r="CN29" s="1206"/>
      <c r="CO29" s="1206"/>
      <c r="CP29" s="1206"/>
      <c r="CQ29" s="1206"/>
      <c r="CR29" s="1206"/>
      <c r="CS29" s="1206"/>
      <c r="CT29" s="1206"/>
      <c r="CU29" s="1206"/>
      <c r="CV29" s="1206"/>
      <c r="CW29" s="1206"/>
      <c r="CX29" s="1206"/>
      <c r="CY29" s="1206"/>
      <c r="CZ29" s="1206"/>
      <c r="DA29" s="1206"/>
      <c r="DB29" s="1206"/>
      <c r="DC29" s="1206"/>
      <c r="DD29" s="1206"/>
      <c r="DE29" s="1206"/>
      <c r="DF29" s="1206"/>
      <c r="DG29" s="1206"/>
      <c r="DH29" s="1206"/>
      <c r="DI29" s="1206"/>
      <c r="DJ29" s="1206"/>
      <c r="DK29" s="1206"/>
      <c r="DL29" s="1206"/>
      <c r="DM29" s="1206"/>
      <c r="DN29" s="1206"/>
      <c r="DO29" s="1206"/>
      <c r="DP29" s="1206"/>
      <c r="DQ29" s="1206"/>
      <c r="DR29" s="1206"/>
      <c r="DS29" s="1206"/>
      <c r="DT29" s="1206"/>
      <c r="DU29" s="1206"/>
      <c r="DV29" s="1206"/>
      <c r="DW29" s="1206"/>
      <c r="DX29" s="1206"/>
      <c r="DY29" s="1206"/>
      <c r="DZ29" s="1207"/>
      <c r="EA29" s="1207"/>
      <c r="EB29" s="1207"/>
      <c r="EC29" s="1207"/>
      <c r="ED29" s="1207"/>
      <c r="EE29" s="1207"/>
      <c r="EF29" s="1207"/>
      <c r="EG29" s="1207"/>
      <c r="EH29" s="1207"/>
      <c r="EI29" s="1207"/>
      <c r="EJ29" s="1207"/>
      <c r="EK29" s="1207"/>
      <c r="EL29" s="1207"/>
      <c r="EM29" s="1207"/>
      <c r="EN29" s="1207"/>
      <c r="EO29" s="1207"/>
      <c r="EP29" s="1207"/>
      <c r="EQ29" s="1207"/>
      <c r="ER29" s="1207"/>
      <c r="ES29" s="1207"/>
      <c r="ET29" s="1207"/>
      <c r="EU29" s="1207"/>
      <c r="EV29" s="1207"/>
      <c r="EW29" s="1207"/>
      <c r="EX29" s="1207"/>
      <c r="EY29" s="1208"/>
      <c r="EZ29" s="1207"/>
      <c r="FA29" s="1207"/>
      <c r="FB29" s="1207"/>
      <c r="FC29" s="1207"/>
      <c r="FD29" s="1207"/>
      <c r="FE29" s="1207"/>
      <c r="FF29" s="1207"/>
      <c r="FG29" s="1207"/>
      <c r="FH29" s="1207"/>
      <c r="FI29" s="1207"/>
      <c r="FJ29" s="1207"/>
      <c r="FK29" s="1207"/>
      <c r="FL29" s="1207"/>
      <c r="FM29" s="1207"/>
      <c r="FN29" s="1207"/>
      <c r="FO29" s="1207"/>
      <c r="FP29" s="1207"/>
      <c r="FQ29" s="1207"/>
      <c r="FR29" s="1207"/>
      <c r="FS29" s="1207"/>
      <c r="FT29" s="1207"/>
      <c r="FU29" s="1207"/>
      <c r="FV29" s="1207"/>
      <c r="FW29" s="1207"/>
      <c r="FX29" s="1207"/>
      <c r="FY29" s="1207"/>
      <c r="FZ29" s="1207"/>
      <c r="GA29" s="1207"/>
      <c r="GB29" s="1207"/>
      <c r="GC29" s="1207"/>
      <c r="GD29" s="1207"/>
      <c r="GE29" s="1207"/>
      <c r="GF29" s="1207"/>
      <c r="GG29" s="1207"/>
      <c r="GH29" s="1207"/>
      <c r="GI29" s="1207"/>
      <c r="GJ29" s="1207"/>
      <c r="GK29" s="1207"/>
      <c r="GL29" s="1207"/>
      <c r="GM29" s="1207"/>
      <c r="GN29" s="1207"/>
      <c r="GO29" s="1207"/>
      <c r="GP29" s="1207"/>
      <c r="GQ29" s="1207"/>
      <c r="GR29" s="1207"/>
      <c r="GS29" s="1207"/>
      <c r="GT29" s="1207"/>
      <c r="GU29" s="1207"/>
      <c r="GV29" s="1207"/>
      <c r="GW29" s="1207"/>
      <c r="GX29" s="1207"/>
      <c r="GY29" s="1207"/>
      <c r="GZ29" s="1207"/>
      <c r="HA29" s="1207"/>
      <c r="HB29" s="1207"/>
      <c r="HC29" s="1207"/>
      <c r="HD29" s="1207"/>
      <c r="HE29" s="1209"/>
    </row>
    <row r="30" spans="1:215" ht="18.899999999999999" hidden="1" customHeight="1">
      <c r="A30" s="1898"/>
      <c r="B30" s="1216"/>
      <c r="C30" s="1210"/>
      <c r="D30" s="1210"/>
      <c r="E30" s="1210"/>
      <c r="F30" s="1210"/>
      <c r="G30" s="1210"/>
      <c r="H30" s="1210"/>
      <c r="I30" s="1210"/>
      <c r="J30" s="1210"/>
      <c r="K30" s="1210"/>
      <c r="L30" s="1210"/>
      <c r="M30" s="1210"/>
      <c r="N30" s="1210"/>
      <c r="O30" s="1210"/>
      <c r="P30" s="1210"/>
      <c r="Q30" s="1210"/>
      <c r="R30" s="1211"/>
      <c r="S30" s="1211"/>
      <c r="T30" s="1212"/>
      <c r="U30" s="1212"/>
      <c r="V30" s="870"/>
      <c r="W30" s="1212"/>
      <c r="X30" s="1212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17"/>
    </row>
    <row r="31" spans="1:215" ht="18.899999999999999" hidden="1" customHeight="1">
      <c r="A31" s="1643"/>
      <c r="B31" s="1600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601"/>
    </row>
    <row r="32" spans="1:215" ht="18.899999999999999" hidden="1" customHeight="1">
      <c r="A32" s="1643"/>
      <c r="B32" s="1600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602"/>
    </row>
    <row r="33" spans="1:213" ht="18.899999999999999" hidden="1" customHeight="1">
      <c r="A33" s="1643"/>
      <c r="B33" s="1600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602"/>
    </row>
    <row r="34" spans="1:213" ht="18.899999999999999" hidden="1" customHeight="1">
      <c r="A34" s="1643"/>
      <c r="B34" s="1600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602"/>
    </row>
    <row r="35" spans="1:213" ht="18.899999999999999" hidden="1" customHeight="1">
      <c r="A35" s="1643"/>
      <c r="B35" s="1600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602"/>
    </row>
    <row r="36" spans="1:213" ht="18.899999999999999" hidden="1" customHeight="1">
      <c r="A36" s="1643"/>
      <c r="B36" s="1600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602"/>
    </row>
    <row r="37" spans="1:213" ht="18.899999999999999" hidden="1" customHeight="1">
      <c r="A37" s="1643"/>
      <c r="B37" s="1600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602"/>
    </row>
    <row r="38" spans="1:213" ht="18.899999999999999" hidden="1" customHeight="1">
      <c r="A38" s="1643"/>
      <c r="B38" s="1600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602"/>
    </row>
    <row r="39" spans="1:213" ht="18.899999999999999" hidden="1" customHeight="1">
      <c r="A39" s="1643"/>
      <c r="B39" s="1600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602"/>
    </row>
    <row r="40" spans="1:213" ht="18.899999999999999" hidden="1" customHeight="1">
      <c r="A40" s="1643"/>
      <c r="B40" s="1600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44"/>
    </row>
    <row r="41" spans="1:213" ht="18.899999999999999" hidden="1" customHeight="1">
      <c r="A41" s="1640"/>
      <c r="B41" s="1641"/>
      <c r="C41" s="1641"/>
      <c r="D41" s="1645"/>
      <c r="E41" s="1645"/>
      <c r="F41" s="1645"/>
      <c r="G41" s="1645"/>
      <c r="H41" s="1645"/>
      <c r="I41" s="1645"/>
      <c r="J41" s="1645"/>
      <c r="K41" s="1645"/>
      <c r="L41" s="1645"/>
      <c r="M41" s="1645"/>
      <c r="N41" s="1645"/>
      <c r="O41" s="1645"/>
      <c r="P41" s="1645"/>
      <c r="Q41" s="1645"/>
      <c r="R41" s="1645"/>
      <c r="S41" s="1645"/>
      <c r="T41" s="1645"/>
      <c r="U41" s="1645"/>
      <c r="V41" s="1645"/>
      <c r="W41" s="1641"/>
      <c r="X41" s="1641"/>
      <c r="Y41" s="1641"/>
      <c r="Z41" s="1641"/>
      <c r="AA41" s="1641"/>
      <c r="AB41" s="1641"/>
      <c r="AC41" s="1641"/>
      <c r="AD41" s="1641"/>
      <c r="AE41" s="1641"/>
      <c r="AF41" s="1641"/>
      <c r="AG41" s="1641"/>
      <c r="AH41" s="1641"/>
      <c r="AI41" s="1641"/>
      <c r="AJ41" s="1641"/>
      <c r="AK41" s="1641"/>
      <c r="AL41" s="1641"/>
      <c r="AM41" s="1641"/>
      <c r="AN41" s="1641"/>
      <c r="AO41" s="1641"/>
      <c r="AP41" s="1641"/>
      <c r="AQ41" s="1641"/>
      <c r="AR41" s="1641"/>
      <c r="AS41" s="1641"/>
      <c r="AT41" s="1641"/>
      <c r="AU41" s="1641"/>
      <c r="AV41" s="1641"/>
      <c r="AW41" s="1641"/>
      <c r="AX41" s="1641"/>
      <c r="AY41" s="1641"/>
      <c r="AZ41" s="1641"/>
      <c r="BA41" s="1641"/>
      <c r="BB41" s="1641"/>
      <c r="BC41" s="1641"/>
      <c r="BD41" s="1641"/>
      <c r="BE41" s="1641"/>
      <c r="BF41" s="1641"/>
      <c r="BG41" s="1641"/>
      <c r="BH41" s="1641"/>
      <c r="BI41" s="1641"/>
      <c r="BJ41" s="1641"/>
      <c r="BK41" s="1641"/>
      <c r="BL41" s="1641"/>
      <c r="BM41" s="1641"/>
      <c r="BN41" s="1641"/>
      <c r="BO41" s="1641"/>
      <c r="BP41" s="1641"/>
      <c r="BQ41" s="1641"/>
      <c r="BR41" s="1641"/>
      <c r="BS41" s="1641"/>
      <c r="BT41" s="1641"/>
      <c r="BU41" s="1641"/>
      <c r="BV41" s="1641"/>
      <c r="BW41" s="1641"/>
      <c r="BX41" s="1641"/>
      <c r="BY41" s="1641"/>
      <c r="BZ41" s="1641"/>
      <c r="CA41" s="1641"/>
      <c r="CB41" s="1641"/>
      <c r="CC41" s="1641"/>
      <c r="CD41" s="1641"/>
      <c r="CE41" s="1641"/>
      <c r="CF41" s="1641"/>
      <c r="CG41" s="1641"/>
      <c r="CH41" s="1641"/>
      <c r="CI41" s="1641"/>
      <c r="CJ41" s="1641"/>
      <c r="CK41" s="1641"/>
      <c r="CL41" s="1641"/>
      <c r="CM41" s="1641"/>
      <c r="CN41" s="1641"/>
      <c r="CO41" s="1641"/>
      <c r="CP41" s="1641"/>
      <c r="CQ41" s="1641"/>
      <c r="CR41" s="1641"/>
      <c r="CS41" s="1641"/>
      <c r="CT41" s="1641"/>
      <c r="CU41" s="1641"/>
      <c r="CV41" s="1641"/>
      <c r="CW41" s="1641"/>
      <c r="CX41" s="1641"/>
      <c r="CY41" s="1641"/>
      <c r="CZ41" s="1641"/>
      <c r="DA41" s="1641"/>
      <c r="DB41" s="1641"/>
      <c r="DC41" s="1641"/>
      <c r="DD41" s="1641"/>
      <c r="DE41" s="1641"/>
      <c r="DF41" s="1641"/>
      <c r="DG41" s="1641"/>
      <c r="DH41" s="1641"/>
      <c r="DI41" s="1641"/>
      <c r="DJ41" s="1641"/>
      <c r="DK41" s="1641"/>
      <c r="DL41" s="1641"/>
      <c r="DM41" s="1641"/>
      <c r="DN41" s="1641"/>
      <c r="DO41" s="1641"/>
      <c r="DP41" s="1641"/>
      <c r="DQ41" s="1641"/>
      <c r="DR41" s="1641"/>
      <c r="DS41" s="1641"/>
      <c r="DT41" s="1641"/>
      <c r="DU41" s="1641"/>
      <c r="DV41" s="1641"/>
      <c r="DW41" s="1641"/>
      <c r="DX41" s="1641"/>
      <c r="DY41" s="1641"/>
      <c r="DZ41" s="1641"/>
      <c r="EA41" s="1641"/>
      <c r="EB41" s="1641"/>
      <c r="EC41" s="1641"/>
      <c r="ED41" s="1641"/>
      <c r="EE41" s="1641"/>
      <c r="EF41" s="1641"/>
      <c r="EG41" s="1641"/>
      <c r="EH41" s="1641"/>
      <c r="EI41" s="1641"/>
      <c r="EJ41" s="1641"/>
      <c r="EK41" s="1641"/>
      <c r="EL41" s="1641"/>
      <c r="EM41" s="1641"/>
      <c r="EN41" s="1641"/>
      <c r="EO41" s="1641"/>
      <c r="EP41" s="1641"/>
      <c r="EQ41" s="1641"/>
      <c r="ER41" s="1641"/>
      <c r="ES41" s="1641"/>
      <c r="ET41" s="1641"/>
      <c r="EU41" s="1641"/>
      <c r="EV41" s="1641"/>
      <c r="EW41" s="1641"/>
      <c r="EX41" s="1641"/>
      <c r="EY41" s="1641"/>
      <c r="EZ41" s="1641"/>
      <c r="FA41" s="1641"/>
      <c r="FB41" s="1641"/>
      <c r="FC41" s="1641"/>
      <c r="FD41" s="1641"/>
      <c r="FE41" s="1641"/>
      <c r="FF41" s="1641"/>
      <c r="FG41" s="1641"/>
      <c r="FH41" s="1641"/>
      <c r="FI41" s="1641"/>
      <c r="FJ41" s="1641"/>
      <c r="FK41" s="1641"/>
      <c r="FL41" s="1641"/>
      <c r="FM41" s="1641"/>
      <c r="FN41" s="1641"/>
      <c r="FO41" s="1641"/>
      <c r="FP41" s="1641"/>
      <c r="FQ41" s="1641"/>
      <c r="FR41" s="1641"/>
      <c r="FS41" s="1641"/>
      <c r="FT41" s="1641"/>
      <c r="FU41" s="1641"/>
      <c r="FV41" s="1645"/>
      <c r="FW41" s="1645"/>
      <c r="FX41" s="1645"/>
      <c r="FY41" s="1645"/>
      <c r="FZ41" s="1645"/>
      <c r="GA41" s="1645"/>
      <c r="GB41" s="1645"/>
      <c r="GC41" s="1645"/>
      <c r="GD41" s="1645"/>
      <c r="GE41" s="1645"/>
      <c r="GF41" s="1645"/>
      <c r="GG41" s="1645"/>
      <c r="GH41" s="1645"/>
      <c r="GI41" s="1645"/>
      <c r="GJ41" s="1645"/>
      <c r="GK41" s="1645"/>
      <c r="GL41" s="1645"/>
      <c r="GM41" s="1645"/>
      <c r="GN41" s="1645"/>
      <c r="GO41" s="1645"/>
      <c r="GP41" s="1645"/>
      <c r="GQ41" s="1645"/>
      <c r="GR41" s="1645"/>
      <c r="GS41" s="1645"/>
      <c r="GT41" s="1645"/>
      <c r="GU41" s="1645"/>
      <c r="GV41" s="1645"/>
      <c r="GW41" s="1645"/>
      <c r="GX41" s="1645"/>
      <c r="GY41" s="1645"/>
      <c r="GZ41" s="1645"/>
      <c r="HA41" s="1645"/>
      <c r="HB41" s="1645"/>
      <c r="HC41" s="1645"/>
      <c r="HD41" s="1641"/>
      <c r="HE41" s="1646"/>
    </row>
    <row r="42" spans="1:213" ht="18.899999999999999" hidden="1" customHeight="1">
      <c r="A42" s="1198"/>
      <c r="B42" s="1199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5"/>
      <c r="S42" s="1205"/>
      <c r="T42" s="1206"/>
      <c r="U42" s="1206"/>
      <c r="V42" s="1206"/>
      <c r="W42" s="1206"/>
      <c r="X42" s="1206"/>
      <c r="Y42" s="1199"/>
      <c r="Z42" s="1199"/>
      <c r="AA42" s="1199"/>
      <c r="AB42" s="1199"/>
      <c r="AC42" s="1199"/>
      <c r="AD42" s="1206"/>
      <c r="AE42" s="1206"/>
      <c r="AF42" s="1206"/>
      <c r="AG42" s="1206"/>
      <c r="AH42" s="1206"/>
      <c r="AI42" s="1206"/>
      <c r="AJ42" s="1206"/>
      <c r="AK42" s="1206"/>
      <c r="AL42" s="1206"/>
      <c r="AM42" s="1206"/>
      <c r="AN42" s="1206"/>
      <c r="AO42" s="1206"/>
      <c r="AP42" s="1206"/>
      <c r="AQ42" s="1206"/>
      <c r="AR42" s="1206"/>
      <c r="AS42" s="1206"/>
      <c r="AT42" s="1206"/>
      <c r="AU42" s="1206"/>
      <c r="AV42" s="1206"/>
      <c r="AW42" s="1206"/>
      <c r="AX42" s="1206"/>
      <c r="AY42" s="1206"/>
      <c r="AZ42" s="1206"/>
      <c r="BA42" s="1206"/>
      <c r="BB42" s="1206"/>
      <c r="BC42" s="1206"/>
      <c r="BD42" s="1206"/>
      <c r="BE42" s="1206"/>
      <c r="BF42" s="1206"/>
      <c r="BG42" s="1206"/>
      <c r="BH42" s="1206"/>
      <c r="BI42" s="1206"/>
      <c r="BJ42" s="1206"/>
      <c r="BK42" s="1206"/>
      <c r="BL42" s="1206"/>
      <c r="BM42" s="1206"/>
      <c r="BN42" s="1206"/>
      <c r="BO42" s="1206"/>
      <c r="BP42" s="1206"/>
      <c r="BQ42" s="1206"/>
      <c r="BR42" s="1206"/>
      <c r="BS42" s="1206"/>
      <c r="BT42" s="1206"/>
      <c r="BU42" s="1206"/>
      <c r="BV42" s="1206"/>
      <c r="BW42" s="1206"/>
      <c r="BX42" s="1206"/>
      <c r="BY42" s="1206"/>
      <c r="BZ42" s="1206"/>
      <c r="CA42" s="1206"/>
      <c r="CB42" s="1206"/>
      <c r="CC42" s="1206"/>
      <c r="CD42" s="1206"/>
      <c r="CE42" s="1206"/>
      <c r="CF42" s="1206"/>
      <c r="CG42" s="1206"/>
      <c r="CH42" s="1206"/>
      <c r="CI42" s="1206"/>
      <c r="CJ42" s="1206"/>
      <c r="CK42" s="1206"/>
      <c r="CL42" s="1206"/>
      <c r="CM42" s="1206"/>
      <c r="CN42" s="1206"/>
      <c r="CO42" s="1206"/>
      <c r="CP42" s="1206"/>
      <c r="CQ42" s="1206"/>
      <c r="CR42" s="1206"/>
      <c r="CS42" s="1206"/>
      <c r="CT42" s="1206"/>
      <c r="CU42" s="1206"/>
      <c r="CV42" s="1206"/>
      <c r="CW42" s="1206"/>
      <c r="CX42" s="1206"/>
      <c r="CY42" s="1206"/>
      <c r="CZ42" s="1206"/>
      <c r="DA42" s="1206"/>
      <c r="DB42" s="1206"/>
      <c r="DC42" s="1206"/>
      <c r="DD42" s="1206"/>
      <c r="DE42" s="1206"/>
      <c r="DF42" s="1206"/>
      <c r="DG42" s="1206"/>
      <c r="DH42" s="1206"/>
      <c r="DI42" s="1206"/>
      <c r="DJ42" s="1206"/>
      <c r="DK42" s="1206"/>
      <c r="DL42" s="1206"/>
      <c r="DM42" s="1206"/>
      <c r="DN42" s="1206"/>
      <c r="DO42" s="1206"/>
      <c r="DP42" s="1206"/>
      <c r="DQ42" s="1206"/>
      <c r="DR42" s="1206"/>
      <c r="DS42" s="1206"/>
      <c r="DT42" s="1206"/>
      <c r="DU42" s="1206"/>
      <c r="DV42" s="1206"/>
      <c r="DW42" s="1206"/>
      <c r="DX42" s="1206"/>
      <c r="DY42" s="1206"/>
      <c r="DZ42" s="1207"/>
      <c r="EA42" s="1207"/>
      <c r="EB42" s="1207"/>
      <c r="EC42" s="1207"/>
      <c r="ED42" s="1207"/>
      <c r="EE42" s="1207"/>
      <c r="EF42" s="1207"/>
      <c r="EG42" s="1207"/>
      <c r="EH42" s="1207"/>
      <c r="EI42" s="1207"/>
      <c r="EJ42" s="1207"/>
      <c r="EK42" s="1207"/>
      <c r="EL42" s="1207"/>
      <c r="EM42" s="1207"/>
      <c r="EN42" s="1207"/>
      <c r="EO42" s="1207"/>
      <c r="EP42" s="1207"/>
      <c r="EQ42" s="1207"/>
      <c r="ER42" s="1207"/>
      <c r="ES42" s="1207"/>
      <c r="ET42" s="1207"/>
      <c r="EU42" s="1207"/>
      <c r="EV42" s="1207"/>
      <c r="EW42" s="1207"/>
      <c r="EX42" s="1207"/>
      <c r="EY42" s="1208"/>
      <c r="EZ42" s="1207"/>
      <c r="FA42" s="1207"/>
      <c r="FB42" s="1207"/>
      <c r="FC42" s="1207"/>
      <c r="FD42" s="1207"/>
      <c r="FE42" s="1207"/>
      <c r="FF42" s="1207"/>
      <c r="FG42" s="1207"/>
      <c r="FH42" s="1207"/>
      <c r="FI42" s="1207"/>
      <c r="FJ42" s="1207"/>
      <c r="FK42" s="1207"/>
      <c r="FL42" s="1207"/>
      <c r="FM42" s="1207"/>
      <c r="FN42" s="1207"/>
      <c r="FO42" s="1207"/>
      <c r="FP42" s="1207"/>
      <c r="FQ42" s="1207"/>
      <c r="FR42" s="1207"/>
      <c r="FS42" s="1207"/>
      <c r="FT42" s="1207"/>
      <c r="FU42" s="1207"/>
      <c r="FV42" s="1207"/>
      <c r="FW42" s="1207"/>
      <c r="FX42" s="1207"/>
      <c r="FY42" s="1207"/>
      <c r="FZ42" s="1207"/>
      <c r="GA42" s="1207"/>
      <c r="GB42" s="1207"/>
      <c r="GC42" s="1207"/>
      <c r="GD42" s="1207"/>
      <c r="GE42" s="1207"/>
      <c r="GF42" s="1207"/>
      <c r="GG42" s="1207"/>
      <c r="GH42" s="1207"/>
      <c r="GI42" s="1207"/>
      <c r="GJ42" s="1207"/>
      <c r="GK42" s="1207"/>
      <c r="GL42" s="1207"/>
      <c r="GM42" s="1207"/>
      <c r="GN42" s="1207"/>
      <c r="GO42" s="1207"/>
      <c r="GP42" s="1207"/>
      <c r="GQ42" s="1207"/>
      <c r="GR42" s="1207"/>
      <c r="GS42" s="1207"/>
      <c r="GT42" s="1207"/>
      <c r="GU42" s="1207"/>
      <c r="GV42" s="1207"/>
      <c r="GW42" s="1207"/>
      <c r="GX42" s="1207"/>
      <c r="GY42" s="1207"/>
      <c r="GZ42" s="1207"/>
      <c r="HA42" s="1207"/>
      <c r="HB42" s="1207"/>
      <c r="HC42" s="1207"/>
      <c r="HD42" s="1207"/>
      <c r="HE42" s="1209"/>
    </row>
    <row r="43" spans="1:213" ht="18.899999999999999" hidden="1" customHeight="1">
      <c r="A43" s="1643"/>
      <c r="B43" s="1216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1"/>
      <c r="S43" s="1211"/>
      <c r="T43" s="1212"/>
      <c r="U43" s="1212"/>
      <c r="V43" s="870"/>
      <c r="W43" s="1212"/>
      <c r="X43" s="1212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17"/>
    </row>
    <row r="44" spans="1:213" ht="18.899999999999999" hidden="1" customHeight="1">
      <c r="A44" s="1643"/>
      <c r="B44" s="1600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601"/>
    </row>
    <row r="45" spans="1:213" ht="18.899999999999999" hidden="1" customHeight="1">
      <c r="A45" s="1643"/>
      <c r="B45" s="1600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602"/>
    </row>
    <row r="46" spans="1:213" ht="18.899999999999999" hidden="1" customHeight="1">
      <c r="A46" s="1643"/>
      <c r="B46" s="1600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602"/>
    </row>
    <row r="47" spans="1:213" ht="18.899999999999999" hidden="1" customHeight="1">
      <c r="A47" s="1643"/>
      <c r="B47" s="1600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602"/>
    </row>
    <row r="48" spans="1:213" ht="18.899999999999999" hidden="1" customHeight="1">
      <c r="A48" s="1643"/>
      <c r="B48" s="1600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602"/>
    </row>
    <row r="49" spans="1:213" ht="18.899999999999999" hidden="1" customHeight="1">
      <c r="A49" s="1643"/>
      <c r="B49" s="1600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602"/>
    </row>
    <row r="50" spans="1:213" ht="18.899999999999999" hidden="1" customHeight="1">
      <c r="A50" s="1643"/>
      <c r="B50" s="1600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602"/>
    </row>
    <row r="51" spans="1:213" ht="18.899999999999999" hidden="1" customHeight="1">
      <c r="A51" s="1643"/>
      <c r="B51" s="1600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602"/>
    </row>
    <row r="52" spans="1:213" ht="18.899999999999999" hidden="1" customHeight="1">
      <c r="A52" s="1643"/>
      <c r="B52" s="1600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602"/>
    </row>
    <row r="53" spans="1:213" ht="18.899999999999999" hidden="1" customHeight="1">
      <c r="A53" s="1643"/>
      <c r="B53" s="1600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602"/>
    </row>
    <row r="54" spans="1:213" ht="18.899999999999999" hidden="1" customHeight="1">
      <c r="A54" s="1643"/>
      <c r="B54" s="1600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602"/>
    </row>
    <row r="55" spans="1:213" ht="18.899999999999999" hidden="1" customHeight="1">
      <c r="A55" s="1643"/>
      <c r="B55" s="1600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602"/>
    </row>
    <row r="56" spans="1:213" ht="18.899999999999999" hidden="1" customHeight="1">
      <c r="A56" s="1643"/>
      <c r="B56" s="1600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602"/>
    </row>
    <row r="57" spans="1:213" ht="18.899999999999999" hidden="1" customHeight="1">
      <c r="A57" s="1643"/>
      <c r="B57" s="1600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44"/>
    </row>
    <row r="58" spans="1:213" ht="18.899999999999999" hidden="1" customHeight="1">
      <c r="A58" s="1640"/>
      <c r="B58" s="1641"/>
      <c r="C58" s="1641"/>
      <c r="D58" s="1645"/>
      <c r="E58" s="1645"/>
      <c r="F58" s="1645"/>
      <c r="G58" s="1645"/>
      <c r="H58" s="1645"/>
      <c r="I58" s="1645"/>
      <c r="J58" s="1645"/>
      <c r="K58" s="1645"/>
      <c r="L58" s="1645"/>
      <c r="M58" s="1645"/>
      <c r="N58" s="1645"/>
      <c r="O58" s="1645"/>
      <c r="P58" s="1645"/>
      <c r="Q58" s="1645"/>
      <c r="R58" s="1645"/>
      <c r="S58" s="1645"/>
      <c r="T58" s="1645"/>
      <c r="U58" s="1645"/>
      <c r="V58" s="1645"/>
      <c r="W58" s="1641"/>
      <c r="X58" s="1641"/>
      <c r="Y58" s="1641"/>
      <c r="Z58" s="1641"/>
      <c r="AA58" s="1641"/>
      <c r="AB58" s="1641"/>
      <c r="AC58" s="1641"/>
      <c r="AD58" s="1641"/>
      <c r="AE58" s="1641"/>
      <c r="AF58" s="1641"/>
      <c r="AG58" s="1641"/>
      <c r="AH58" s="1641"/>
      <c r="AI58" s="1641"/>
      <c r="AJ58" s="1641"/>
      <c r="AK58" s="1641"/>
      <c r="AL58" s="1641"/>
      <c r="AM58" s="1641"/>
      <c r="AN58" s="1641"/>
      <c r="AO58" s="1641"/>
      <c r="AP58" s="1641"/>
      <c r="AQ58" s="1641"/>
      <c r="AR58" s="1641"/>
      <c r="AS58" s="1641"/>
      <c r="AT58" s="1641"/>
      <c r="AU58" s="1641"/>
      <c r="AV58" s="1641"/>
      <c r="AW58" s="1641"/>
      <c r="AX58" s="1641"/>
      <c r="AY58" s="1641"/>
      <c r="AZ58" s="1641"/>
      <c r="BA58" s="1641"/>
      <c r="BB58" s="1641"/>
      <c r="BC58" s="1641"/>
      <c r="BD58" s="1641"/>
      <c r="BE58" s="1641"/>
      <c r="BF58" s="1641"/>
      <c r="BG58" s="1641"/>
      <c r="BH58" s="1641"/>
      <c r="BI58" s="1641"/>
      <c r="BJ58" s="1641"/>
      <c r="BK58" s="1641"/>
      <c r="BL58" s="1641"/>
      <c r="BM58" s="1641"/>
      <c r="BN58" s="1641"/>
      <c r="BO58" s="1641"/>
      <c r="BP58" s="1641"/>
      <c r="BQ58" s="1641"/>
      <c r="BR58" s="1641"/>
      <c r="BS58" s="1641"/>
      <c r="BT58" s="1641"/>
      <c r="BU58" s="1641"/>
      <c r="BV58" s="1641"/>
      <c r="BW58" s="1641"/>
      <c r="BX58" s="1641"/>
      <c r="BY58" s="1641"/>
      <c r="BZ58" s="1641"/>
      <c r="CA58" s="1641"/>
      <c r="CB58" s="1641"/>
      <c r="CC58" s="1641"/>
      <c r="CD58" s="1641"/>
      <c r="CE58" s="1641"/>
      <c r="CF58" s="1641"/>
      <c r="CG58" s="1641"/>
      <c r="CH58" s="1641"/>
      <c r="CI58" s="1641"/>
      <c r="CJ58" s="1641"/>
      <c r="CK58" s="1641"/>
      <c r="CL58" s="1641"/>
      <c r="CM58" s="1641"/>
      <c r="CN58" s="1641"/>
      <c r="CO58" s="1641"/>
      <c r="CP58" s="1641"/>
      <c r="CQ58" s="1641"/>
      <c r="CR58" s="1641"/>
      <c r="CS58" s="1641"/>
      <c r="CT58" s="1641"/>
      <c r="CU58" s="1641"/>
      <c r="CV58" s="1641"/>
      <c r="CW58" s="1641"/>
      <c r="CX58" s="1641"/>
      <c r="CY58" s="1641"/>
      <c r="CZ58" s="1641"/>
      <c r="DA58" s="1641"/>
      <c r="DB58" s="1641"/>
      <c r="DC58" s="1641"/>
      <c r="DD58" s="1641"/>
      <c r="DE58" s="1641"/>
      <c r="DF58" s="1641"/>
      <c r="DG58" s="1641"/>
      <c r="DH58" s="1641"/>
      <c r="DI58" s="1641"/>
      <c r="DJ58" s="1641"/>
      <c r="DK58" s="1641"/>
      <c r="DL58" s="1641"/>
      <c r="DM58" s="1641"/>
      <c r="DN58" s="1641"/>
      <c r="DO58" s="1641"/>
      <c r="DP58" s="1641"/>
      <c r="DQ58" s="1641"/>
      <c r="DR58" s="1641"/>
      <c r="DS58" s="1641"/>
      <c r="DT58" s="1641"/>
      <c r="DU58" s="1641"/>
      <c r="DV58" s="1641"/>
      <c r="DW58" s="1641"/>
      <c r="DX58" s="1641"/>
      <c r="DY58" s="1641"/>
      <c r="DZ58" s="1641"/>
      <c r="EA58" s="1641"/>
      <c r="EB58" s="1641"/>
      <c r="EC58" s="1641"/>
      <c r="ED58" s="1641"/>
      <c r="EE58" s="1641"/>
      <c r="EF58" s="1641"/>
      <c r="EG58" s="1641"/>
      <c r="EH58" s="1641"/>
      <c r="EI58" s="1641"/>
      <c r="EJ58" s="1641"/>
      <c r="EK58" s="1641"/>
      <c r="EL58" s="1641"/>
      <c r="EM58" s="1641"/>
      <c r="EN58" s="1641"/>
      <c r="EO58" s="1641"/>
      <c r="EP58" s="1641"/>
      <c r="EQ58" s="1641"/>
      <c r="ER58" s="1641"/>
      <c r="ES58" s="1641"/>
      <c r="ET58" s="1641"/>
      <c r="EU58" s="1641"/>
      <c r="EV58" s="1641"/>
      <c r="EW58" s="1641"/>
      <c r="EX58" s="1641"/>
      <c r="EY58" s="1641"/>
      <c r="EZ58" s="1641"/>
      <c r="FA58" s="1641"/>
      <c r="FB58" s="1641"/>
      <c r="FC58" s="1641"/>
      <c r="FD58" s="1641"/>
      <c r="FE58" s="1641"/>
      <c r="FF58" s="1641"/>
      <c r="FG58" s="1641"/>
      <c r="FH58" s="1641"/>
      <c r="FI58" s="1641"/>
      <c r="FJ58" s="1641"/>
      <c r="FK58" s="1641"/>
      <c r="FL58" s="1641"/>
      <c r="FM58" s="1641"/>
      <c r="FN58" s="1641"/>
      <c r="FO58" s="1641"/>
      <c r="FP58" s="1641"/>
      <c r="FQ58" s="1641"/>
      <c r="FR58" s="1641"/>
      <c r="FS58" s="1641"/>
      <c r="FT58" s="1641"/>
      <c r="FU58" s="1641"/>
      <c r="FV58" s="1645"/>
      <c r="FW58" s="1645"/>
      <c r="FX58" s="1645"/>
      <c r="FY58" s="1645"/>
      <c r="FZ58" s="1645"/>
      <c r="GA58" s="1645"/>
      <c r="GB58" s="1645"/>
      <c r="GC58" s="1645"/>
      <c r="GD58" s="1645"/>
      <c r="GE58" s="1645"/>
      <c r="GF58" s="1645"/>
      <c r="GG58" s="1645"/>
      <c r="GH58" s="1645"/>
      <c r="GI58" s="1645"/>
      <c r="GJ58" s="1645"/>
      <c r="GK58" s="1645"/>
      <c r="GL58" s="1645"/>
      <c r="GM58" s="1645"/>
      <c r="GN58" s="1645"/>
      <c r="GO58" s="1645"/>
      <c r="GP58" s="1645"/>
      <c r="GQ58" s="1645"/>
      <c r="GR58" s="1645"/>
      <c r="GS58" s="1645"/>
      <c r="GT58" s="1645"/>
      <c r="GU58" s="1645"/>
      <c r="GV58" s="1645"/>
      <c r="GW58" s="1645"/>
      <c r="GX58" s="1645"/>
      <c r="GY58" s="1645"/>
      <c r="GZ58" s="1645"/>
      <c r="HA58" s="1645"/>
      <c r="HB58" s="1645"/>
      <c r="HC58" s="1645"/>
      <c r="HD58" s="1645"/>
      <c r="HE58" s="1646"/>
    </row>
    <row r="59" spans="1:213" ht="18.899999999999999" hidden="1" customHeight="1">
      <c r="A59" s="1198"/>
      <c r="B59" s="1199"/>
      <c r="C59" s="1204"/>
      <c r="D59" s="1204"/>
      <c r="E59" s="1204"/>
      <c r="F59" s="1204"/>
      <c r="G59" s="1204"/>
      <c r="H59" s="1204"/>
      <c r="I59" s="1204"/>
      <c r="J59" s="1204"/>
      <c r="K59" s="1204"/>
      <c r="L59" s="1204"/>
      <c r="M59" s="1204"/>
      <c r="N59" s="1204"/>
      <c r="O59" s="1204"/>
      <c r="P59" s="1204"/>
      <c r="Q59" s="1204"/>
      <c r="R59" s="1205"/>
      <c r="S59" s="1205"/>
      <c r="T59" s="1206"/>
      <c r="U59" s="1206"/>
      <c r="V59" s="1206"/>
      <c r="W59" s="1206"/>
      <c r="X59" s="1206"/>
      <c r="Y59" s="1199"/>
      <c r="Z59" s="1199"/>
      <c r="AA59" s="1199"/>
      <c r="AB59" s="1199"/>
      <c r="AC59" s="1199"/>
      <c r="AD59" s="1206"/>
      <c r="AE59" s="1206"/>
      <c r="AF59" s="1206"/>
      <c r="AG59" s="1206"/>
      <c r="AH59" s="1206"/>
      <c r="AI59" s="1206"/>
      <c r="AJ59" s="1206"/>
      <c r="AK59" s="1206"/>
      <c r="AL59" s="1206"/>
      <c r="AM59" s="1206"/>
      <c r="AN59" s="1206"/>
      <c r="AO59" s="1206"/>
      <c r="AP59" s="1206"/>
      <c r="AQ59" s="1206"/>
      <c r="AR59" s="1206"/>
      <c r="AS59" s="1206"/>
      <c r="AT59" s="1206"/>
      <c r="AU59" s="1206"/>
      <c r="AV59" s="1206"/>
      <c r="AW59" s="1206"/>
      <c r="AX59" s="1206"/>
      <c r="AY59" s="1206"/>
      <c r="AZ59" s="1206"/>
      <c r="BA59" s="1206"/>
      <c r="BB59" s="1206"/>
      <c r="BC59" s="1206"/>
      <c r="BD59" s="1206"/>
      <c r="BE59" s="1206"/>
      <c r="BF59" s="1206"/>
      <c r="BG59" s="1206"/>
      <c r="BH59" s="1206"/>
      <c r="BI59" s="1206"/>
      <c r="BJ59" s="1206"/>
      <c r="BK59" s="1206"/>
      <c r="BL59" s="1206"/>
      <c r="BM59" s="1206"/>
      <c r="BN59" s="1206"/>
      <c r="BO59" s="1206"/>
      <c r="BP59" s="1206"/>
      <c r="BQ59" s="1206"/>
      <c r="BR59" s="1206"/>
      <c r="BS59" s="1206"/>
      <c r="BT59" s="1206"/>
      <c r="BU59" s="1206"/>
      <c r="BV59" s="1206"/>
      <c r="BW59" s="1206"/>
      <c r="BX59" s="1206"/>
      <c r="BY59" s="1206"/>
      <c r="BZ59" s="1206"/>
      <c r="CA59" s="1206"/>
      <c r="CB59" s="1206"/>
      <c r="CC59" s="1206"/>
      <c r="CD59" s="1206"/>
      <c r="CE59" s="1206"/>
      <c r="CF59" s="1206"/>
      <c r="CG59" s="1206"/>
      <c r="CH59" s="1206"/>
      <c r="CI59" s="1206"/>
      <c r="CJ59" s="1206"/>
      <c r="CK59" s="1206"/>
      <c r="CL59" s="1206"/>
      <c r="CM59" s="1206"/>
      <c r="CN59" s="1206"/>
      <c r="CO59" s="1206"/>
      <c r="CP59" s="1206"/>
      <c r="CQ59" s="1206"/>
      <c r="CR59" s="1206"/>
      <c r="CS59" s="1206"/>
      <c r="CT59" s="1206"/>
      <c r="CU59" s="1206"/>
      <c r="CV59" s="1206"/>
      <c r="CW59" s="1206"/>
      <c r="CX59" s="1206"/>
      <c r="CY59" s="1206"/>
      <c r="CZ59" s="1206"/>
      <c r="DA59" s="1206"/>
      <c r="DB59" s="1206"/>
      <c r="DC59" s="1206"/>
      <c r="DD59" s="1206"/>
      <c r="DE59" s="1206"/>
      <c r="DF59" s="1206"/>
      <c r="DG59" s="1206"/>
      <c r="DH59" s="1206"/>
      <c r="DI59" s="1206"/>
      <c r="DJ59" s="1206"/>
      <c r="DK59" s="1206"/>
      <c r="DL59" s="1206"/>
      <c r="DM59" s="1206"/>
      <c r="DN59" s="1206"/>
      <c r="DO59" s="1206"/>
      <c r="DP59" s="1206"/>
      <c r="DQ59" s="1206"/>
      <c r="DR59" s="1206"/>
      <c r="DS59" s="1206"/>
      <c r="DT59" s="1206"/>
      <c r="DU59" s="1206"/>
      <c r="DV59" s="1206"/>
      <c r="DW59" s="1206"/>
      <c r="DX59" s="1206"/>
      <c r="DY59" s="1206"/>
      <c r="DZ59" s="1207"/>
      <c r="EA59" s="1207"/>
      <c r="EB59" s="1207"/>
      <c r="EC59" s="1207"/>
      <c r="ED59" s="1207"/>
      <c r="EE59" s="1207"/>
      <c r="EF59" s="1207"/>
      <c r="EG59" s="1207"/>
      <c r="EH59" s="1207"/>
      <c r="EI59" s="1207"/>
      <c r="EJ59" s="1207"/>
      <c r="EK59" s="1207"/>
      <c r="EL59" s="1207"/>
      <c r="EM59" s="1207"/>
      <c r="EN59" s="1207"/>
      <c r="EO59" s="1207"/>
      <c r="EP59" s="1207"/>
      <c r="EQ59" s="1207"/>
      <c r="ER59" s="1207"/>
      <c r="ES59" s="1207"/>
      <c r="ET59" s="1207"/>
      <c r="EU59" s="1207"/>
      <c r="EV59" s="1207"/>
      <c r="EW59" s="1207"/>
      <c r="EX59" s="1207"/>
      <c r="EY59" s="1208"/>
      <c r="EZ59" s="1207"/>
      <c r="FA59" s="1207"/>
      <c r="FB59" s="1207"/>
      <c r="FC59" s="1207"/>
      <c r="FD59" s="1207"/>
      <c r="FE59" s="1207"/>
      <c r="FF59" s="1207"/>
      <c r="FG59" s="1207"/>
      <c r="FH59" s="1207"/>
      <c r="FI59" s="1207"/>
      <c r="FJ59" s="1207"/>
      <c r="FK59" s="1207"/>
      <c r="FL59" s="1207"/>
      <c r="FM59" s="1207"/>
      <c r="FN59" s="1207"/>
      <c r="FO59" s="1207"/>
      <c r="FP59" s="1207"/>
      <c r="FQ59" s="1207"/>
      <c r="FR59" s="1207"/>
      <c r="FS59" s="1207"/>
      <c r="FT59" s="1207"/>
      <c r="FU59" s="1207"/>
      <c r="FV59" s="1207"/>
      <c r="FW59" s="1207"/>
      <c r="FX59" s="1207"/>
      <c r="FY59" s="1207"/>
      <c r="FZ59" s="1207"/>
      <c r="GA59" s="1207"/>
      <c r="GB59" s="1207"/>
      <c r="GC59" s="1207"/>
      <c r="GD59" s="1207"/>
      <c r="GE59" s="1207"/>
      <c r="GF59" s="1207"/>
      <c r="GG59" s="1207"/>
      <c r="GH59" s="1207"/>
      <c r="GI59" s="1207"/>
      <c r="GJ59" s="1207"/>
      <c r="GK59" s="1207"/>
      <c r="GL59" s="1207"/>
      <c r="GM59" s="1207"/>
      <c r="GN59" s="1207"/>
      <c r="GO59" s="1207"/>
      <c r="GP59" s="1207"/>
      <c r="GQ59" s="1207"/>
      <c r="GR59" s="1207"/>
      <c r="GS59" s="1207"/>
      <c r="GT59" s="1207"/>
      <c r="GU59" s="1207"/>
      <c r="GV59" s="1207"/>
      <c r="GW59" s="1207"/>
      <c r="GX59" s="1207"/>
      <c r="GY59" s="1207"/>
      <c r="GZ59" s="1207"/>
      <c r="HA59" s="1207"/>
      <c r="HB59" s="1207"/>
      <c r="HC59" s="1207"/>
      <c r="HD59" s="1207"/>
      <c r="HE59" s="1209"/>
    </row>
    <row r="60" spans="1:213" ht="18.899999999999999" hidden="1" customHeight="1">
      <c r="A60" s="1643"/>
      <c r="B60" s="1216"/>
      <c r="C60" s="1210"/>
      <c r="D60" s="1210"/>
      <c r="E60" s="1210"/>
      <c r="F60" s="1210"/>
      <c r="G60" s="1210"/>
      <c r="H60" s="1210"/>
      <c r="I60" s="1210"/>
      <c r="J60" s="1210"/>
      <c r="K60" s="1210"/>
      <c r="L60" s="1210"/>
      <c r="M60" s="1210"/>
      <c r="N60" s="1210"/>
      <c r="O60" s="1210"/>
      <c r="P60" s="1210"/>
      <c r="Q60" s="1210"/>
      <c r="R60" s="1211"/>
      <c r="S60" s="1211"/>
      <c r="T60" s="1212"/>
      <c r="U60" s="1212"/>
      <c r="V60" s="870"/>
      <c r="W60" s="1212"/>
      <c r="X60" s="1212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17"/>
    </row>
    <row r="61" spans="1:213" ht="18.899999999999999" hidden="1" customHeight="1">
      <c r="A61" s="1643"/>
      <c r="B61" s="1600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601"/>
    </row>
    <row r="62" spans="1:213" ht="18.899999999999999" hidden="1" customHeight="1">
      <c r="A62" s="1643"/>
      <c r="B62" s="1600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602"/>
    </row>
    <row r="63" spans="1:213" ht="18.899999999999999" hidden="1" customHeight="1">
      <c r="A63" s="1643"/>
      <c r="B63" s="1600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602"/>
    </row>
    <row r="64" spans="1:213" ht="18.899999999999999" hidden="1" customHeight="1">
      <c r="A64" s="1643"/>
      <c r="B64" s="1600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602"/>
    </row>
    <row r="65" spans="1:213" ht="18.899999999999999" hidden="1" customHeight="1">
      <c r="A65" s="1643"/>
      <c r="B65" s="1600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602"/>
    </row>
    <row r="66" spans="1:213" ht="18.899999999999999" hidden="1" customHeight="1">
      <c r="A66" s="1643"/>
      <c r="B66" s="1600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602"/>
    </row>
    <row r="67" spans="1:213" ht="18.899999999999999" hidden="1" customHeight="1">
      <c r="A67" s="1643"/>
      <c r="B67" s="1600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602"/>
    </row>
    <row r="68" spans="1:213" ht="18.899999999999999" hidden="1" customHeight="1">
      <c r="A68" s="1643"/>
      <c r="B68" s="1600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602"/>
    </row>
    <row r="69" spans="1:213" ht="18.899999999999999" hidden="1" customHeight="1">
      <c r="A69" s="1643"/>
      <c r="B69" s="1600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602"/>
    </row>
    <row r="70" spans="1:213" ht="18.899999999999999" hidden="1" customHeight="1">
      <c r="A70" s="1643"/>
      <c r="B70" s="1600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602"/>
    </row>
    <row r="71" spans="1:213" ht="18.899999999999999" hidden="1" customHeight="1">
      <c r="A71" s="1643"/>
      <c r="B71" s="1600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602"/>
    </row>
    <row r="72" spans="1:213" ht="18.899999999999999" hidden="1" customHeight="1">
      <c r="A72" s="1643"/>
      <c r="B72" s="1600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44"/>
    </row>
    <row r="73" spans="1:213" ht="18.899999999999999" hidden="1" customHeight="1">
      <c r="A73" s="1640"/>
      <c r="B73" s="1641"/>
      <c r="C73" s="1641"/>
      <c r="D73" s="1645"/>
      <c r="E73" s="1645"/>
      <c r="F73" s="1645"/>
      <c r="G73" s="1645"/>
      <c r="H73" s="1645"/>
      <c r="I73" s="1645"/>
      <c r="J73" s="1645"/>
      <c r="K73" s="1645"/>
      <c r="L73" s="1645"/>
      <c r="M73" s="1645"/>
      <c r="N73" s="1645"/>
      <c r="O73" s="1645"/>
      <c r="P73" s="1645"/>
      <c r="Q73" s="1645"/>
      <c r="R73" s="1645"/>
      <c r="S73" s="1645"/>
      <c r="T73" s="1645"/>
      <c r="U73" s="1645"/>
      <c r="V73" s="1645"/>
      <c r="W73" s="1641"/>
      <c r="X73" s="1641"/>
      <c r="Y73" s="1641"/>
      <c r="Z73" s="1641"/>
      <c r="AA73" s="1641"/>
      <c r="AB73" s="1641"/>
      <c r="AC73" s="1641"/>
      <c r="AD73" s="1641"/>
      <c r="AE73" s="1641"/>
      <c r="AF73" s="1641"/>
      <c r="AG73" s="1641"/>
      <c r="AH73" s="1641"/>
      <c r="AI73" s="1641"/>
      <c r="AJ73" s="1641"/>
      <c r="AK73" s="1641"/>
      <c r="AL73" s="1641"/>
      <c r="AM73" s="1641"/>
      <c r="AN73" s="1641"/>
      <c r="AO73" s="1641"/>
      <c r="AP73" s="1641"/>
      <c r="AQ73" s="1641"/>
      <c r="AR73" s="1641"/>
      <c r="AS73" s="1641"/>
      <c r="AT73" s="1641"/>
      <c r="AU73" s="1641"/>
      <c r="AV73" s="1641"/>
      <c r="AW73" s="1641"/>
      <c r="AX73" s="1641"/>
      <c r="AY73" s="1641"/>
      <c r="AZ73" s="1641"/>
      <c r="BA73" s="1641"/>
      <c r="BB73" s="1641"/>
      <c r="BC73" s="1641"/>
      <c r="BD73" s="1641"/>
      <c r="BE73" s="1641"/>
      <c r="BF73" s="1641"/>
      <c r="BG73" s="1641"/>
      <c r="BH73" s="1641"/>
      <c r="BI73" s="1641"/>
      <c r="BJ73" s="1641"/>
      <c r="BK73" s="1641"/>
      <c r="BL73" s="1641"/>
      <c r="BM73" s="1641"/>
      <c r="BN73" s="1641"/>
      <c r="BO73" s="1641"/>
      <c r="BP73" s="1641"/>
      <c r="BQ73" s="1641"/>
      <c r="BR73" s="1641"/>
      <c r="BS73" s="1641"/>
      <c r="BT73" s="1641"/>
      <c r="BU73" s="1641"/>
      <c r="BV73" s="1641"/>
      <c r="BW73" s="1641"/>
      <c r="BX73" s="1641"/>
      <c r="BY73" s="1641"/>
      <c r="BZ73" s="1641"/>
      <c r="CA73" s="1641"/>
      <c r="CB73" s="1641"/>
      <c r="CC73" s="1641"/>
      <c r="CD73" s="1641"/>
      <c r="CE73" s="1641"/>
      <c r="CF73" s="1641"/>
      <c r="CG73" s="1641"/>
      <c r="CH73" s="1641"/>
      <c r="CI73" s="1641"/>
      <c r="CJ73" s="1641"/>
      <c r="CK73" s="1641"/>
      <c r="CL73" s="1641"/>
      <c r="CM73" s="1641"/>
      <c r="CN73" s="1641"/>
      <c r="CO73" s="1641"/>
      <c r="CP73" s="1641"/>
      <c r="CQ73" s="1641"/>
      <c r="CR73" s="1641"/>
      <c r="CS73" s="1641"/>
      <c r="CT73" s="1641"/>
      <c r="CU73" s="1641"/>
      <c r="CV73" s="1641"/>
      <c r="CW73" s="1641"/>
      <c r="CX73" s="1641"/>
      <c r="CY73" s="1641"/>
      <c r="CZ73" s="1641"/>
      <c r="DA73" s="1641"/>
      <c r="DB73" s="1641"/>
      <c r="DC73" s="1641"/>
      <c r="DD73" s="1641"/>
      <c r="DE73" s="1641"/>
      <c r="DF73" s="1641"/>
      <c r="DG73" s="1641"/>
      <c r="DH73" s="1641"/>
      <c r="DI73" s="1641"/>
      <c r="DJ73" s="1641"/>
      <c r="DK73" s="1641"/>
      <c r="DL73" s="1641"/>
      <c r="DM73" s="1641"/>
      <c r="DN73" s="1641"/>
      <c r="DO73" s="1641"/>
      <c r="DP73" s="1641"/>
      <c r="DQ73" s="1641"/>
      <c r="DR73" s="1641"/>
      <c r="DS73" s="1641"/>
      <c r="DT73" s="1641"/>
      <c r="DU73" s="1641"/>
      <c r="DV73" s="1641"/>
      <c r="DW73" s="1641"/>
      <c r="DX73" s="1641"/>
      <c r="DY73" s="1641"/>
      <c r="DZ73" s="1641"/>
      <c r="EA73" s="1641"/>
      <c r="EB73" s="1641"/>
      <c r="EC73" s="1641"/>
      <c r="ED73" s="1641"/>
      <c r="EE73" s="1641"/>
      <c r="EF73" s="1641"/>
      <c r="EG73" s="1641"/>
      <c r="EH73" s="1641"/>
      <c r="EI73" s="1641"/>
      <c r="EJ73" s="1641"/>
      <c r="EK73" s="1641"/>
      <c r="EL73" s="1641"/>
      <c r="EM73" s="1641"/>
      <c r="EN73" s="1641"/>
      <c r="EO73" s="1641"/>
      <c r="EP73" s="1641"/>
      <c r="EQ73" s="1641"/>
      <c r="ER73" s="1641"/>
      <c r="ES73" s="1641"/>
      <c r="ET73" s="1641"/>
      <c r="EU73" s="1641"/>
      <c r="EV73" s="1641"/>
      <c r="EW73" s="1641"/>
      <c r="EX73" s="1641"/>
      <c r="EY73" s="1641"/>
      <c r="EZ73" s="1641"/>
      <c r="FA73" s="1641"/>
      <c r="FB73" s="1641"/>
      <c r="FC73" s="1641"/>
      <c r="FD73" s="1641"/>
      <c r="FE73" s="1641"/>
      <c r="FF73" s="1641"/>
      <c r="FG73" s="1641"/>
      <c r="FH73" s="1641"/>
      <c r="FI73" s="1641"/>
      <c r="FJ73" s="1641"/>
      <c r="FK73" s="1641"/>
      <c r="FL73" s="1641"/>
      <c r="FM73" s="1641"/>
      <c r="FN73" s="1641"/>
      <c r="FO73" s="1641"/>
      <c r="FP73" s="1641"/>
      <c r="FQ73" s="1641"/>
      <c r="FR73" s="1641"/>
      <c r="FS73" s="1641"/>
      <c r="FT73" s="1641"/>
      <c r="FU73" s="1641"/>
      <c r="FV73" s="1645"/>
      <c r="FW73" s="1645"/>
      <c r="FX73" s="1645"/>
      <c r="FY73" s="1645"/>
      <c r="FZ73" s="1645"/>
      <c r="GA73" s="1645"/>
      <c r="GB73" s="1645"/>
      <c r="GC73" s="1645"/>
      <c r="GD73" s="1645"/>
      <c r="GE73" s="1645"/>
      <c r="GF73" s="1645"/>
      <c r="GG73" s="1645"/>
      <c r="GH73" s="1645"/>
      <c r="GI73" s="1645"/>
      <c r="GJ73" s="1645"/>
      <c r="GK73" s="1645"/>
      <c r="GL73" s="1645"/>
      <c r="GM73" s="1645"/>
      <c r="GN73" s="1645"/>
      <c r="GO73" s="1645"/>
      <c r="GP73" s="1645"/>
      <c r="GQ73" s="1645"/>
      <c r="GR73" s="1645"/>
      <c r="GS73" s="1645"/>
      <c r="GT73" s="1645"/>
      <c r="GU73" s="1645"/>
      <c r="GV73" s="1645"/>
      <c r="GW73" s="1645"/>
      <c r="GX73" s="1645"/>
      <c r="GY73" s="1645"/>
      <c r="GZ73" s="1645"/>
      <c r="HA73" s="1645"/>
      <c r="HB73" s="1645"/>
      <c r="HC73" s="1645"/>
      <c r="HD73" s="1645"/>
      <c r="HE73" s="1646"/>
    </row>
    <row r="74" spans="1:213" ht="18.899999999999999" hidden="1" customHeight="1">
      <c r="A74" s="1198"/>
      <c r="B74" s="1199"/>
      <c r="C74" s="1204"/>
      <c r="D74" s="1204"/>
      <c r="E74" s="1204"/>
      <c r="F74" s="1204"/>
      <c r="G74" s="1204"/>
      <c r="H74" s="1204"/>
      <c r="I74" s="1204"/>
      <c r="J74" s="1204"/>
      <c r="K74" s="1204"/>
      <c r="L74" s="1204"/>
      <c r="M74" s="1204"/>
      <c r="N74" s="1204"/>
      <c r="O74" s="1204"/>
      <c r="P74" s="1204"/>
      <c r="Q74" s="1204"/>
      <c r="R74" s="1205"/>
      <c r="S74" s="1205"/>
      <c r="T74" s="1206"/>
      <c r="U74" s="1206"/>
      <c r="V74" s="1206"/>
      <c r="W74" s="1206"/>
      <c r="X74" s="1206"/>
      <c r="Y74" s="1199"/>
      <c r="Z74" s="1199"/>
      <c r="AA74" s="1199"/>
      <c r="AB74" s="1199"/>
      <c r="AC74" s="1199"/>
      <c r="AD74" s="1206"/>
      <c r="AE74" s="1206"/>
      <c r="AF74" s="1206"/>
      <c r="AG74" s="1206"/>
      <c r="AH74" s="1206"/>
      <c r="AI74" s="1206"/>
      <c r="AJ74" s="1206"/>
      <c r="AK74" s="1206"/>
      <c r="AL74" s="1206"/>
      <c r="AM74" s="1206"/>
      <c r="AN74" s="1206"/>
      <c r="AO74" s="1206"/>
      <c r="AP74" s="1206"/>
      <c r="AQ74" s="1206"/>
      <c r="AR74" s="1206"/>
      <c r="AS74" s="1206"/>
      <c r="AT74" s="1206"/>
      <c r="AU74" s="1206"/>
      <c r="AV74" s="1206"/>
      <c r="AW74" s="1206"/>
      <c r="AX74" s="1206"/>
      <c r="AY74" s="1206"/>
      <c r="AZ74" s="1206"/>
      <c r="BA74" s="1206"/>
      <c r="BB74" s="1206"/>
      <c r="BC74" s="1206"/>
      <c r="BD74" s="1206"/>
      <c r="BE74" s="1206"/>
      <c r="BF74" s="1206"/>
      <c r="BG74" s="1206"/>
      <c r="BH74" s="1206"/>
      <c r="BI74" s="1206"/>
      <c r="BJ74" s="1206"/>
      <c r="BK74" s="1206"/>
      <c r="BL74" s="1206"/>
      <c r="BM74" s="1206"/>
      <c r="BN74" s="1206"/>
      <c r="BO74" s="1206"/>
      <c r="BP74" s="1206"/>
      <c r="BQ74" s="1206"/>
      <c r="BR74" s="1206"/>
      <c r="BS74" s="1206"/>
      <c r="BT74" s="1206"/>
      <c r="BU74" s="1206"/>
      <c r="BV74" s="1206"/>
      <c r="BW74" s="1206"/>
      <c r="BX74" s="1206"/>
      <c r="BY74" s="1206"/>
      <c r="BZ74" s="1206"/>
      <c r="CA74" s="1206"/>
      <c r="CB74" s="1206"/>
      <c r="CC74" s="1206"/>
      <c r="CD74" s="1206"/>
      <c r="CE74" s="1206"/>
      <c r="CF74" s="1206"/>
      <c r="CG74" s="1206"/>
      <c r="CH74" s="1206"/>
      <c r="CI74" s="1206"/>
      <c r="CJ74" s="1206"/>
      <c r="CK74" s="1206"/>
      <c r="CL74" s="1206"/>
      <c r="CM74" s="1206"/>
      <c r="CN74" s="1206"/>
      <c r="CO74" s="1206"/>
      <c r="CP74" s="1206"/>
      <c r="CQ74" s="1206"/>
      <c r="CR74" s="1206"/>
      <c r="CS74" s="1206"/>
      <c r="CT74" s="1206"/>
      <c r="CU74" s="1206"/>
      <c r="CV74" s="1206"/>
      <c r="CW74" s="1206"/>
      <c r="CX74" s="1206"/>
      <c r="CY74" s="1206"/>
      <c r="CZ74" s="1206"/>
      <c r="DA74" s="1206"/>
      <c r="DB74" s="1206"/>
      <c r="DC74" s="1206"/>
      <c r="DD74" s="1206"/>
      <c r="DE74" s="1206"/>
      <c r="DF74" s="1206"/>
      <c r="DG74" s="1206"/>
      <c r="DH74" s="1206"/>
      <c r="DI74" s="1206"/>
      <c r="DJ74" s="1206"/>
      <c r="DK74" s="1206"/>
      <c r="DL74" s="1206"/>
      <c r="DM74" s="1206"/>
      <c r="DN74" s="1206"/>
      <c r="DO74" s="1206"/>
      <c r="DP74" s="1206"/>
      <c r="DQ74" s="1206"/>
      <c r="DR74" s="1206"/>
      <c r="DS74" s="1206"/>
      <c r="DT74" s="1206"/>
      <c r="DU74" s="1206"/>
      <c r="DV74" s="1206"/>
      <c r="DW74" s="1206"/>
      <c r="DX74" s="1206"/>
      <c r="DY74" s="1206"/>
      <c r="DZ74" s="1207"/>
      <c r="EA74" s="1207"/>
      <c r="EB74" s="1207"/>
      <c r="EC74" s="1207"/>
      <c r="ED74" s="1207"/>
      <c r="EE74" s="1207"/>
      <c r="EF74" s="1207"/>
      <c r="EG74" s="1207"/>
      <c r="EH74" s="1207"/>
      <c r="EI74" s="1207"/>
      <c r="EJ74" s="1207"/>
      <c r="EK74" s="1207"/>
      <c r="EL74" s="1207"/>
      <c r="EM74" s="1207"/>
      <c r="EN74" s="1207"/>
      <c r="EO74" s="1207"/>
      <c r="EP74" s="1207"/>
      <c r="EQ74" s="1207"/>
      <c r="ER74" s="1207"/>
      <c r="ES74" s="1207"/>
      <c r="ET74" s="1207"/>
      <c r="EU74" s="1207"/>
      <c r="EV74" s="1207"/>
      <c r="EW74" s="1207"/>
      <c r="EX74" s="1207"/>
      <c r="EY74" s="1208"/>
      <c r="EZ74" s="1207"/>
      <c r="FA74" s="1207"/>
      <c r="FB74" s="1207"/>
      <c r="FC74" s="1207"/>
      <c r="FD74" s="1207"/>
      <c r="FE74" s="1207"/>
      <c r="FF74" s="1207"/>
      <c r="FG74" s="1207"/>
      <c r="FH74" s="1207"/>
      <c r="FI74" s="1207"/>
      <c r="FJ74" s="1207"/>
      <c r="FK74" s="1207"/>
      <c r="FL74" s="1207"/>
      <c r="FM74" s="1207"/>
      <c r="FN74" s="1207"/>
      <c r="FO74" s="1207"/>
      <c r="FP74" s="1207"/>
      <c r="FQ74" s="1207"/>
      <c r="FR74" s="1207"/>
      <c r="FS74" s="1207"/>
      <c r="FT74" s="1207"/>
      <c r="FU74" s="1207"/>
      <c r="FV74" s="1207"/>
      <c r="FW74" s="1207"/>
      <c r="FX74" s="1207"/>
      <c r="FY74" s="1207"/>
      <c r="FZ74" s="1207"/>
      <c r="GA74" s="1207"/>
      <c r="GB74" s="1207"/>
      <c r="GC74" s="1207"/>
      <c r="GD74" s="1207"/>
      <c r="GE74" s="1207"/>
      <c r="GF74" s="1207"/>
      <c r="GG74" s="1207"/>
      <c r="GH74" s="1207"/>
      <c r="GI74" s="1207"/>
      <c r="GJ74" s="1207"/>
      <c r="GK74" s="1207"/>
      <c r="GL74" s="1207"/>
      <c r="GM74" s="1207"/>
      <c r="GN74" s="1207"/>
      <c r="GO74" s="1207"/>
      <c r="GP74" s="1207"/>
      <c r="GQ74" s="1207"/>
      <c r="GR74" s="1207"/>
      <c r="GS74" s="1207"/>
      <c r="GT74" s="1207"/>
      <c r="GU74" s="1207"/>
      <c r="GV74" s="1207"/>
      <c r="GW74" s="1207"/>
      <c r="GX74" s="1207"/>
      <c r="GY74" s="1207"/>
      <c r="GZ74" s="1207"/>
      <c r="HA74" s="1207"/>
      <c r="HB74" s="1207"/>
      <c r="HC74" s="1207"/>
      <c r="HD74" s="1207"/>
      <c r="HE74" s="1209"/>
    </row>
    <row r="75" spans="1:213" ht="16.8" hidden="1">
      <c r="A75" s="1643"/>
      <c r="B75" s="1600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44"/>
    </row>
    <row r="76" spans="1:213" ht="16.8" hidden="1">
      <c r="A76" s="1643"/>
      <c r="B76" s="1600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44"/>
    </row>
    <row r="77" spans="1:213" ht="16.8" hidden="1">
      <c r="A77" s="1643"/>
      <c r="B77" s="1600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602"/>
    </row>
    <row r="78" spans="1:213" ht="16.8" hidden="1">
      <c r="A78" s="1643"/>
      <c r="B78" s="1600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44"/>
    </row>
    <row r="79" spans="1:213" ht="16.8" hidden="1">
      <c r="A79" s="1643"/>
      <c r="B79" s="1600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602"/>
    </row>
    <row r="80" spans="1:213" ht="16.8" hidden="1">
      <c r="A80" s="1643"/>
      <c r="B80" s="1600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602"/>
    </row>
    <row r="81" spans="1:213" ht="16.8" hidden="1">
      <c r="A81" s="1643"/>
      <c r="B81" s="1600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602"/>
    </row>
    <row r="82" spans="1:213" ht="16.8" hidden="1">
      <c r="A82" s="1643"/>
      <c r="B82" s="1600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602"/>
    </row>
    <row r="83" spans="1:213" ht="16.8" hidden="1">
      <c r="A83" s="1643"/>
      <c r="B83" s="1600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602"/>
    </row>
    <row r="84" spans="1:213" ht="16.8" hidden="1">
      <c r="A84" s="1643"/>
      <c r="B84" s="1600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602"/>
    </row>
    <row r="85" spans="1:213" ht="16.8" hidden="1">
      <c r="A85" s="1643"/>
      <c r="B85" s="1600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602"/>
    </row>
    <row r="86" spans="1:213" ht="16.8" hidden="1">
      <c r="A86" s="1643"/>
      <c r="B86" s="1600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602"/>
    </row>
    <row r="87" spans="1:213" ht="16.8" hidden="1">
      <c r="A87" s="1643"/>
      <c r="B87" s="1600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602"/>
    </row>
    <row r="88" spans="1:213" ht="16.8" hidden="1">
      <c r="A88" s="1643"/>
      <c r="B88" s="1600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602"/>
    </row>
    <row r="89" spans="1:213" ht="16.8" hidden="1">
      <c r="A89" s="1643"/>
      <c r="B89" s="1600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602"/>
    </row>
    <row r="90" spans="1:213" ht="16.8" hidden="1">
      <c r="A90" s="1643"/>
      <c r="B90" s="1600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602"/>
    </row>
    <row r="91" spans="1:213" ht="16.8" hidden="1">
      <c r="A91" s="1643"/>
      <c r="B91" s="1600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602"/>
    </row>
    <row r="92" spans="1:213" ht="16.8" hidden="1">
      <c r="A92" s="1643"/>
      <c r="B92" s="1600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602"/>
    </row>
    <row r="93" spans="1:213" ht="16.8" hidden="1">
      <c r="A93" s="1643"/>
      <c r="B93" s="1600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602"/>
    </row>
    <row r="94" spans="1:213" ht="16.8" hidden="1">
      <c r="A94" s="1643"/>
      <c r="B94" s="1600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602"/>
    </row>
    <row r="95" spans="1:213" ht="16.8" hidden="1">
      <c r="A95" s="1643"/>
      <c r="B95" s="1600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602"/>
    </row>
    <row r="96" spans="1:213" ht="16.8" hidden="1">
      <c r="A96" s="1643"/>
      <c r="B96" s="1600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44"/>
    </row>
    <row r="97" spans="1:215" ht="16.8" hidden="1">
      <c r="A97" s="1640"/>
      <c r="B97" s="1641"/>
      <c r="C97" s="1641"/>
      <c r="D97" s="1641"/>
      <c r="E97" s="1645"/>
      <c r="F97" s="1645"/>
      <c r="G97" s="1645"/>
      <c r="H97" s="1645"/>
      <c r="I97" s="1645"/>
      <c r="J97" s="1645"/>
      <c r="K97" s="1645"/>
      <c r="L97" s="1645"/>
      <c r="M97" s="1645"/>
      <c r="N97" s="1645"/>
      <c r="O97" s="1645"/>
      <c r="P97" s="1645"/>
      <c r="Q97" s="1645"/>
      <c r="R97" s="1645"/>
      <c r="S97" s="1645"/>
      <c r="T97" s="1647"/>
      <c r="U97" s="1647"/>
      <c r="V97" s="1647"/>
      <c r="W97" s="1647"/>
      <c r="X97" s="1647"/>
      <c r="Y97" s="1647"/>
      <c r="Z97" s="1647"/>
      <c r="AA97" s="1647"/>
      <c r="AB97" s="1647"/>
      <c r="AC97" s="1647"/>
      <c r="AD97" s="1647"/>
      <c r="AE97" s="1647"/>
      <c r="AF97" s="1647"/>
      <c r="AG97" s="1647"/>
      <c r="AH97" s="1647"/>
      <c r="AI97" s="1647"/>
      <c r="AJ97" s="1647"/>
      <c r="AK97" s="1647"/>
      <c r="AL97" s="1647"/>
      <c r="AM97" s="1647"/>
      <c r="AN97" s="1647"/>
      <c r="AO97" s="1647"/>
      <c r="AP97" s="1647"/>
      <c r="AQ97" s="1647"/>
      <c r="AR97" s="1647"/>
      <c r="AS97" s="1647"/>
      <c r="AT97" s="1647"/>
      <c r="AU97" s="1647"/>
      <c r="AV97" s="1647"/>
      <c r="AW97" s="1647"/>
      <c r="AX97" s="1647"/>
      <c r="AY97" s="1647"/>
      <c r="AZ97" s="1647"/>
      <c r="BA97" s="1647"/>
      <c r="BB97" s="1647"/>
      <c r="BC97" s="1647"/>
      <c r="BD97" s="1647"/>
      <c r="BE97" s="1647"/>
      <c r="BF97" s="1647"/>
      <c r="BG97" s="1647"/>
      <c r="BH97" s="1647"/>
      <c r="BI97" s="1647"/>
      <c r="BJ97" s="1647"/>
      <c r="BK97" s="1647"/>
      <c r="BL97" s="1647"/>
      <c r="BM97" s="1647"/>
      <c r="BN97" s="1647"/>
      <c r="BO97" s="1647"/>
      <c r="BP97" s="1647"/>
      <c r="BQ97" s="1647"/>
      <c r="BR97" s="1647"/>
      <c r="BS97" s="1647"/>
      <c r="BT97" s="1647"/>
      <c r="BU97" s="1647"/>
      <c r="BV97" s="1647"/>
      <c r="BW97" s="1647"/>
      <c r="BX97" s="1647"/>
      <c r="BY97" s="1647"/>
      <c r="BZ97" s="1647"/>
      <c r="CA97" s="1647"/>
      <c r="CB97" s="1647"/>
      <c r="CC97" s="1647"/>
      <c r="CD97" s="1647"/>
      <c r="CE97" s="1647"/>
      <c r="CF97" s="1647"/>
      <c r="CG97" s="1647"/>
      <c r="CH97" s="1647"/>
      <c r="CI97" s="1647"/>
      <c r="CJ97" s="1647"/>
      <c r="CK97" s="1647"/>
      <c r="CL97" s="1647"/>
      <c r="CM97" s="1647"/>
      <c r="CN97" s="1647"/>
      <c r="CO97" s="1647"/>
      <c r="CP97" s="1647"/>
      <c r="CQ97" s="1647"/>
      <c r="CR97" s="1647"/>
      <c r="CS97" s="1647"/>
      <c r="CT97" s="1647"/>
      <c r="CU97" s="1647"/>
      <c r="CV97" s="1647"/>
      <c r="CW97" s="1647"/>
      <c r="CX97" s="1647"/>
      <c r="CY97" s="1647"/>
      <c r="CZ97" s="1647"/>
      <c r="DA97" s="1647"/>
      <c r="DB97" s="1647"/>
      <c r="DC97" s="1647"/>
      <c r="DD97" s="1647"/>
      <c r="DE97" s="1647"/>
      <c r="DF97" s="1647"/>
      <c r="DG97" s="1647"/>
      <c r="DH97" s="1647"/>
      <c r="DI97" s="1647"/>
      <c r="DJ97" s="1647"/>
      <c r="DK97" s="1647"/>
      <c r="DL97" s="1647"/>
      <c r="DM97" s="1647"/>
      <c r="DN97" s="1647"/>
      <c r="DO97" s="1647"/>
      <c r="DP97" s="1647"/>
      <c r="DQ97" s="1647"/>
      <c r="DR97" s="1647"/>
      <c r="DS97" s="1647"/>
      <c r="DT97" s="1647"/>
      <c r="DU97" s="1647"/>
      <c r="DV97" s="1647"/>
      <c r="DW97" s="1647"/>
      <c r="DX97" s="1647"/>
      <c r="DY97" s="1647"/>
      <c r="DZ97" s="1647"/>
      <c r="EA97" s="1647"/>
      <c r="EB97" s="1647"/>
      <c r="EC97" s="1647"/>
      <c r="ED97" s="1647"/>
      <c r="EE97" s="1647"/>
      <c r="EF97" s="1647"/>
      <c r="EG97" s="1647"/>
      <c r="EH97" s="1647"/>
      <c r="EI97" s="1647"/>
      <c r="EJ97" s="1647"/>
      <c r="EK97" s="1647"/>
      <c r="EL97" s="1647"/>
      <c r="EM97" s="1647"/>
      <c r="EN97" s="1647"/>
      <c r="EO97" s="1647"/>
      <c r="EP97" s="1647"/>
      <c r="EQ97" s="1647"/>
      <c r="ER97" s="1647"/>
      <c r="ES97" s="1647"/>
      <c r="ET97" s="1647"/>
      <c r="EU97" s="1647"/>
      <c r="EV97" s="1647"/>
      <c r="EW97" s="1647"/>
      <c r="EX97" s="1647"/>
      <c r="EY97" s="1647"/>
      <c r="EZ97" s="1647"/>
      <c r="FA97" s="1647"/>
      <c r="FB97" s="1647"/>
      <c r="FC97" s="1647"/>
      <c r="FD97" s="1647"/>
      <c r="FE97" s="1647"/>
      <c r="FF97" s="1647"/>
      <c r="FG97" s="1647"/>
      <c r="FH97" s="1647"/>
      <c r="FI97" s="1647"/>
      <c r="FJ97" s="1647"/>
      <c r="FK97" s="1647"/>
      <c r="FL97" s="1647"/>
      <c r="FM97" s="1647"/>
      <c r="FN97" s="1647"/>
      <c r="FO97" s="1647"/>
      <c r="FP97" s="1647"/>
      <c r="FQ97" s="1647"/>
      <c r="FR97" s="1647"/>
      <c r="FS97" s="1647"/>
      <c r="FT97" s="1647"/>
      <c r="FU97" s="1647"/>
      <c r="FV97" s="1647"/>
      <c r="FW97" s="1647"/>
      <c r="FX97" s="1647"/>
      <c r="FY97" s="1647"/>
      <c r="FZ97" s="1647"/>
      <c r="GA97" s="1647"/>
      <c r="GB97" s="1647"/>
      <c r="GC97" s="1647"/>
      <c r="GD97" s="1647"/>
      <c r="GE97" s="1647"/>
      <c r="GF97" s="1647"/>
      <c r="GG97" s="1647"/>
      <c r="GH97" s="1647"/>
      <c r="GI97" s="1647"/>
      <c r="GJ97" s="1647"/>
      <c r="GK97" s="1647"/>
      <c r="GL97" s="1647"/>
      <c r="GM97" s="1647"/>
      <c r="GN97" s="1647"/>
      <c r="GO97" s="1647"/>
      <c r="GP97" s="1647"/>
      <c r="GQ97" s="1647"/>
      <c r="GR97" s="1647"/>
      <c r="GS97" s="1647"/>
      <c r="GT97" s="1647"/>
      <c r="GU97" s="1647"/>
      <c r="GV97" s="1647"/>
      <c r="GW97" s="1647"/>
      <c r="GX97" s="1647"/>
      <c r="GY97" s="1647"/>
      <c r="GZ97" s="1647"/>
      <c r="HA97" s="1647"/>
      <c r="HB97" s="1647"/>
      <c r="HC97" s="1647"/>
      <c r="HD97" s="1647"/>
      <c r="HE97" s="1648"/>
    </row>
    <row r="98" spans="1:215" ht="18.899999999999999" hidden="1" customHeight="1">
      <c r="A98" s="1198"/>
      <c r="B98" s="1199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5"/>
      <c r="S98" s="1205"/>
      <c r="T98" s="1206"/>
      <c r="U98" s="1206"/>
      <c r="V98" s="1206"/>
      <c r="W98" s="1206"/>
      <c r="X98" s="1206"/>
      <c r="Y98" s="1199"/>
      <c r="Z98" s="1199"/>
      <c r="AA98" s="1199"/>
      <c r="AB98" s="1199"/>
      <c r="AC98" s="1199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6"/>
      <c r="AT98" s="1206"/>
      <c r="AU98" s="1206"/>
      <c r="AV98" s="1206"/>
      <c r="AW98" s="1206"/>
      <c r="AX98" s="1206"/>
      <c r="AY98" s="1206"/>
      <c r="AZ98" s="1206"/>
      <c r="BA98" s="1206"/>
      <c r="BB98" s="1206"/>
      <c r="BC98" s="1206"/>
      <c r="BD98" s="1206"/>
      <c r="BE98" s="1206"/>
      <c r="BF98" s="1206"/>
      <c r="BG98" s="1206"/>
      <c r="BH98" s="1206"/>
      <c r="BI98" s="1206"/>
      <c r="BJ98" s="1206"/>
      <c r="BK98" s="1206"/>
      <c r="BL98" s="1206"/>
      <c r="BM98" s="1206"/>
      <c r="BN98" s="1206"/>
      <c r="BO98" s="1206"/>
      <c r="BP98" s="1206"/>
      <c r="BQ98" s="1206"/>
      <c r="BR98" s="1206"/>
      <c r="BS98" s="1206"/>
      <c r="BT98" s="1206"/>
      <c r="BU98" s="1206"/>
      <c r="BV98" s="1206"/>
      <c r="BW98" s="1206"/>
      <c r="BX98" s="1206"/>
      <c r="BY98" s="1206"/>
      <c r="BZ98" s="1206"/>
      <c r="CA98" s="1206"/>
      <c r="CB98" s="1206"/>
      <c r="CC98" s="1206"/>
      <c r="CD98" s="1206"/>
      <c r="CE98" s="1206"/>
      <c r="CF98" s="1206"/>
      <c r="CG98" s="1206"/>
      <c r="CH98" s="1206"/>
      <c r="CI98" s="1206"/>
      <c r="CJ98" s="1206"/>
      <c r="CK98" s="1206"/>
      <c r="CL98" s="1206"/>
      <c r="CM98" s="1206"/>
      <c r="CN98" s="1206"/>
      <c r="CO98" s="1206"/>
      <c r="CP98" s="1206"/>
      <c r="CQ98" s="1206"/>
      <c r="CR98" s="1206"/>
      <c r="CS98" s="1206"/>
      <c r="CT98" s="1206"/>
      <c r="CU98" s="1206"/>
      <c r="CV98" s="1206"/>
      <c r="CW98" s="1206"/>
      <c r="CX98" s="1206"/>
      <c r="CY98" s="1206"/>
      <c r="CZ98" s="1206"/>
      <c r="DA98" s="1206"/>
      <c r="DB98" s="1206"/>
      <c r="DC98" s="1206"/>
      <c r="DD98" s="1206"/>
      <c r="DE98" s="1206"/>
      <c r="DF98" s="1206"/>
      <c r="DG98" s="1206"/>
      <c r="DH98" s="1206"/>
      <c r="DI98" s="1206"/>
      <c r="DJ98" s="1206"/>
      <c r="DK98" s="1206"/>
      <c r="DL98" s="1206"/>
      <c r="DM98" s="1206"/>
      <c r="DN98" s="1206"/>
      <c r="DO98" s="1206"/>
      <c r="DP98" s="1206"/>
      <c r="DQ98" s="1206"/>
      <c r="DR98" s="1206"/>
      <c r="DS98" s="1206"/>
      <c r="DT98" s="1206"/>
      <c r="DU98" s="1206"/>
      <c r="DV98" s="1206"/>
      <c r="DW98" s="1206"/>
      <c r="DX98" s="1206"/>
      <c r="DY98" s="1206"/>
      <c r="DZ98" s="1207"/>
      <c r="EA98" s="1207"/>
      <c r="EB98" s="1207"/>
      <c r="EC98" s="1207"/>
      <c r="ED98" s="1207"/>
      <c r="EE98" s="1207"/>
      <c r="EF98" s="1207"/>
      <c r="EG98" s="1207"/>
      <c r="EH98" s="1207"/>
      <c r="EI98" s="1207"/>
      <c r="EJ98" s="1207"/>
      <c r="EK98" s="1207"/>
      <c r="EL98" s="1207"/>
      <c r="EM98" s="1207"/>
      <c r="EN98" s="1207"/>
      <c r="EO98" s="1207"/>
      <c r="EP98" s="1207"/>
      <c r="EQ98" s="1207"/>
      <c r="ER98" s="1207"/>
      <c r="ES98" s="1207"/>
      <c r="ET98" s="1207"/>
      <c r="EU98" s="1207"/>
      <c r="EV98" s="1207"/>
      <c r="EW98" s="1207"/>
      <c r="EX98" s="1207"/>
      <c r="EY98" s="1208"/>
      <c r="EZ98" s="1207"/>
      <c r="FA98" s="1207"/>
      <c r="FB98" s="1207"/>
      <c r="FC98" s="1207"/>
      <c r="FD98" s="1207"/>
      <c r="FE98" s="1207"/>
      <c r="FF98" s="1207"/>
      <c r="FG98" s="1207"/>
      <c r="FH98" s="1207"/>
      <c r="FI98" s="1207"/>
      <c r="FJ98" s="1207"/>
      <c r="FK98" s="1207"/>
      <c r="FL98" s="1207"/>
      <c r="FM98" s="1207"/>
      <c r="FN98" s="1207"/>
      <c r="FO98" s="1207"/>
      <c r="FP98" s="1207"/>
      <c r="FQ98" s="1207"/>
      <c r="FR98" s="1207"/>
      <c r="FS98" s="1207"/>
      <c r="FT98" s="1207"/>
      <c r="FU98" s="1207"/>
      <c r="FV98" s="1207"/>
      <c r="FW98" s="1207"/>
      <c r="FX98" s="1207"/>
      <c r="FY98" s="1207"/>
      <c r="FZ98" s="1207"/>
      <c r="GA98" s="1207"/>
      <c r="GB98" s="1207"/>
      <c r="GC98" s="1207"/>
      <c r="GD98" s="1207"/>
      <c r="GE98" s="1207"/>
      <c r="GF98" s="1207"/>
      <c r="GG98" s="1207"/>
      <c r="GH98" s="1207"/>
      <c r="GI98" s="1207"/>
      <c r="GJ98" s="1207"/>
      <c r="GK98" s="1207"/>
      <c r="GL98" s="1207"/>
      <c r="GM98" s="1207"/>
      <c r="GN98" s="1207"/>
      <c r="GO98" s="1207"/>
      <c r="GP98" s="1207"/>
      <c r="GQ98" s="1207"/>
      <c r="GR98" s="1207"/>
      <c r="GS98" s="1207"/>
      <c r="GT98" s="1207"/>
      <c r="GU98" s="1207"/>
      <c r="GV98" s="1207"/>
      <c r="GW98" s="1207"/>
      <c r="GX98" s="1207"/>
      <c r="GY98" s="1207"/>
      <c r="GZ98" s="1207"/>
      <c r="HA98" s="1207"/>
      <c r="HB98" s="1207"/>
      <c r="HC98" s="1207"/>
      <c r="HD98" s="1207"/>
      <c r="HE98" s="1209"/>
    </row>
    <row r="99" spans="1:215" ht="16.8" hidden="1">
      <c r="A99" s="1643"/>
      <c r="B99" s="1600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44"/>
    </row>
    <row r="100" spans="1:215" ht="16.8" hidden="1">
      <c r="A100" s="1643"/>
      <c r="B100" s="1600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602"/>
    </row>
    <row r="101" spans="1:215" ht="16.8" hidden="1">
      <c r="A101" s="1643"/>
      <c r="B101" s="1600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602"/>
    </row>
    <row r="102" spans="1:215" ht="16.8" hidden="1">
      <c r="A102" s="1643"/>
      <c r="B102" s="1600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602"/>
    </row>
    <row r="103" spans="1:215" ht="16.8" hidden="1">
      <c r="A103" s="1643"/>
      <c r="B103" s="1600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602"/>
    </row>
    <row r="104" spans="1:215" ht="16.8" hidden="1">
      <c r="A104" s="1643"/>
      <c r="B104" s="1600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602"/>
    </row>
    <row r="105" spans="1:215" ht="16.8" hidden="1">
      <c r="A105" s="1643"/>
      <c r="B105" s="1600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602"/>
    </row>
    <row r="106" spans="1:215" ht="16.8" hidden="1">
      <c r="A106" s="1643"/>
      <c r="B106" s="1600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602"/>
    </row>
    <row r="107" spans="1:215" ht="16.8" hidden="1">
      <c r="A107" s="1643"/>
      <c r="B107" s="1600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602"/>
    </row>
    <row r="108" spans="1:215" ht="16.8" hidden="1">
      <c r="A108" s="1643"/>
      <c r="B108" s="1600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602"/>
    </row>
    <row r="109" spans="1:215" ht="16.8" hidden="1">
      <c r="A109" s="1643"/>
      <c r="B109" s="1600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44"/>
    </row>
    <row r="110" spans="1:215" s="1652" customFormat="1" ht="7.5" customHeight="1">
      <c r="A110" s="1640"/>
      <c r="B110" s="1641"/>
      <c r="C110" s="1641"/>
      <c r="D110" s="1641"/>
      <c r="E110" s="1645"/>
      <c r="F110" s="1645"/>
      <c r="G110" s="1645"/>
      <c r="H110" s="1645"/>
      <c r="I110" s="1645"/>
      <c r="J110" s="1645"/>
      <c r="K110" s="1645"/>
      <c r="L110" s="1645"/>
      <c r="M110" s="1645"/>
      <c r="N110" s="1645"/>
      <c r="O110" s="1645"/>
      <c r="P110" s="1645"/>
      <c r="Q110" s="1645"/>
      <c r="R110" s="1645"/>
      <c r="S110" s="1645"/>
      <c r="T110" s="1647"/>
      <c r="U110" s="1647"/>
      <c r="V110" s="1647"/>
      <c r="W110" s="1647"/>
      <c r="X110" s="1647"/>
      <c r="Y110" s="1647"/>
      <c r="Z110" s="1647"/>
      <c r="AA110" s="1647"/>
      <c r="AB110" s="1647"/>
      <c r="AC110" s="1647"/>
      <c r="AD110" s="1647"/>
      <c r="AE110" s="1647"/>
      <c r="AF110" s="1647"/>
      <c r="AG110" s="1647"/>
      <c r="AH110" s="1647"/>
      <c r="AI110" s="1647"/>
      <c r="AJ110" s="1647"/>
      <c r="AK110" s="1647"/>
      <c r="AL110" s="1647"/>
      <c r="AM110" s="1647"/>
      <c r="AN110" s="1647"/>
      <c r="AO110" s="1647"/>
      <c r="AP110" s="1647"/>
      <c r="AQ110" s="1647"/>
      <c r="AR110" s="1647"/>
      <c r="AS110" s="1647"/>
      <c r="AT110" s="1647"/>
      <c r="AU110" s="1647"/>
      <c r="AV110" s="1647"/>
      <c r="AW110" s="1647"/>
      <c r="AX110" s="1647"/>
      <c r="AY110" s="1647"/>
      <c r="AZ110" s="1647"/>
      <c r="BA110" s="1647"/>
      <c r="BB110" s="1647"/>
      <c r="BC110" s="1647"/>
      <c r="BD110" s="1647"/>
      <c r="BE110" s="1647"/>
      <c r="BF110" s="1647"/>
      <c r="BG110" s="1647"/>
      <c r="BH110" s="1647"/>
      <c r="BI110" s="1647"/>
      <c r="BJ110" s="1647"/>
      <c r="BK110" s="1647"/>
      <c r="BL110" s="1647"/>
      <c r="BM110" s="1647"/>
      <c r="BN110" s="1647"/>
      <c r="BO110" s="1647"/>
      <c r="BP110" s="1647"/>
      <c r="BQ110" s="1647"/>
      <c r="BR110" s="1647"/>
      <c r="BS110" s="1647"/>
      <c r="BT110" s="1647"/>
      <c r="BU110" s="1647"/>
      <c r="BV110" s="1647"/>
      <c r="BW110" s="1647"/>
      <c r="BX110" s="1647"/>
      <c r="BY110" s="1647"/>
      <c r="BZ110" s="1647"/>
      <c r="CA110" s="1647"/>
      <c r="CB110" s="1647"/>
      <c r="CC110" s="1647"/>
      <c r="CD110" s="1647"/>
      <c r="CE110" s="1647"/>
      <c r="CF110" s="1647"/>
      <c r="CG110" s="1647"/>
      <c r="CH110" s="1647"/>
      <c r="CI110" s="1647"/>
      <c r="CJ110" s="1647"/>
      <c r="CK110" s="1647"/>
      <c r="CL110" s="1647"/>
      <c r="CM110" s="1647"/>
      <c r="CN110" s="1647"/>
      <c r="CO110" s="1647"/>
      <c r="CP110" s="1647"/>
      <c r="CQ110" s="1647"/>
      <c r="CR110" s="1647"/>
      <c r="CS110" s="1647"/>
      <c r="CT110" s="1647"/>
      <c r="CU110" s="1647"/>
      <c r="CV110" s="1647"/>
      <c r="CW110" s="1647"/>
      <c r="CX110" s="1647"/>
      <c r="CY110" s="1647"/>
      <c r="CZ110" s="1647"/>
      <c r="DA110" s="1647"/>
      <c r="DB110" s="1647"/>
      <c r="DC110" s="1647"/>
      <c r="DD110" s="1647"/>
      <c r="DE110" s="1647"/>
      <c r="DF110" s="1647"/>
      <c r="DG110" s="1647"/>
      <c r="DH110" s="1647"/>
      <c r="DI110" s="1647"/>
      <c r="DJ110" s="1647"/>
      <c r="DK110" s="1647"/>
      <c r="DL110" s="1647"/>
      <c r="DM110" s="1647"/>
      <c r="DN110" s="1647"/>
      <c r="DO110" s="1647"/>
      <c r="DP110" s="1647"/>
      <c r="DQ110" s="1647"/>
      <c r="DR110" s="1647"/>
      <c r="DS110" s="1647"/>
      <c r="DT110" s="1647"/>
      <c r="DU110" s="1647"/>
      <c r="DV110" s="1647"/>
      <c r="DW110" s="1647"/>
      <c r="DX110" s="1647"/>
      <c r="DY110" s="1647"/>
      <c r="DZ110" s="1647"/>
      <c r="EA110" s="1647"/>
      <c r="EB110" s="1647"/>
      <c r="EC110" s="1647"/>
      <c r="ED110" s="1647"/>
      <c r="EE110" s="1647"/>
      <c r="EF110" s="1647"/>
      <c r="EG110" s="1647"/>
      <c r="EH110" s="1647"/>
      <c r="EI110" s="1647"/>
      <c r="EJ110" s="1647"/>
      <c r="EK110" s="1647"/>
      <c r="EL110" s="1647"/>
      <c r="EM110" s="1647"/>
      <c r="EN110" s="1647"/>
      <c r="EO110" s="1647"/>
      <c r="EP110" s="1647"/>
      <c r="EQ110" s="1647"/>
      <c r="ER110" s="1647"/>
      <c r="ES110" s="1647"/>
      <c r="ET110" s="1647"/>
      <c r="EU110" s="1647"/>
      <c r="EV110" s="1647"/>
      <c r="EW110" s="1647"/>
      <c r="EX110" s="1647"/>
      <c r="EY110" s="1647"/>
      <c r="EZ110" s="1647"/>
      <c r="FA110" s="1647"/>
      <c r="FB110" s="1647"/>
      <c r="FC110" s="1647"/>
      <c r="FD110" s="1647"/>
      <c r="FE110" s="1647"/>
      <c r="FF110" s="1647"/>
      <c r="FG110" s="1647"/>
      <c r="FH110" s="1647"/>
      <c r="FI110" s="1647"/>
      <c r="FJ110" s="1647"/>
      <c r="FK110" s="1647"/>
      <c r="FL110" s="1647"/>
      <c r="FM110" s="1647"/>
      <c r="FN110" s="1647"/>
      <c r="FO110" s="1647"/>
      <c r="FP110" s="1647"/>
      <c r="FQ110" s="1647"/>
      <c r="FR110" s="1647"/>
      <c r="FS110" s="1647"/>
      <c r="FT110" s="1647"/>
      <c r="FU110" s="1647"/>
      <c r="FV110" s="1647"/>
      <c r="FW110" s="1647"/>
      <c r="FX110" s="1647"/>
      <c r="FY110" s="1647"/>
      <c r="FZ110" s="1647"/>
      <c r="GA110" s="1647"/>
      <c r="GB110" s="1647"/>
      <c r="GC110" s="1647"/>
      <c r="GD110" s="1647"/>
      <c r="GE110" s="1647"/>
      <c r="GF110" s="1647"/>
      <c r="GG110" s="1647"/>
      <c r="GH110" s="1647"/>
      <c r="GI110" s="1647"/>
      <c r="GJ110" s="1647"/>
      <c r="GK110" s="1647"/>
      <c r="GL110" s="1647"/>
      <c r="GM110" s="1647"/>
      <c r="GN110" s="1647"/>
      <c r="GO110" s="1647"/>
      <c r="GP110" s="1647"/>
      <c r="GQ110" s="1647"/>
      <c r="GR110" s="1647"/>
      <c r="GS110" s="1647"/>
      <c r="GT110" s="1647"/>
      <c r="GU110" s="1647"/>
      <c r="GV110" s="1647"/>
      <c r="GW110" s="1647"/>
      <c r="GX110" s="1647"/>
      <c r="GY110" s="1647"/>
      <c r="GZ110" s="1647"/>
      <c r="HA110" s="1647"/>
      <c r="HB110" s="1647"/>
      <c r="HC110" s="1647"/>
      <c r="HD110" s="1647"/>
      <c r="HE110" s="1660"/>
      <c r="HF110"/>
      <c r="HG110"/>
    </row>
    <row r="111" spans="1:215" s="1652" customFormat="1" ht="22.5" customHeight="1" thickBot="1">
      <c r="A111" s="1649" t="s">
        <v>2385</v>
      </c>
      <c r="B111" s="2169">
        <f>SUM(B8:B110)</f>
        <v>0</v>
      </c>
      <c r="C111" s="2169">
        <f>B111</f>
        <v>0</v>
      </c>
      <c r="D111" s="1200">
        <f t="shared" ref="D111:BN111" si="0">SUM(D8:D110)</f>
        <v>0</v>
      </c>
      <c r="E111" s="1200">
        <f t="shared" si="0"/>
        <v>0</v>
      </c>
      <c r="F111" s="1200">
        <f t="shared" si="0"/>
        <v>0</v>
      </c>
      <c r="G111" s="1200">
        <f t="shared" si="0"/>
        <v>0</v>
      </c>
      <c r="H111" s="1200">
        <f t="shared" si="0"/>
        <v>0</v>
      </c>
      <c r="I111" s="1200">
        <f t="shared" si="0"/>
        <v>0</v>
      </c>
      <c r="J111" s="1200">
        <f t="shared" si="0"/>
        <v>0</v>
      </c>
      <c r="K111" s="1200">
        <f t="shared" si="0"/>
        <v>0</v>
      </c>
      <c r="L111" s="1200">
        <f t="shared" si="0"/>
        <v>0</v>
      </c>
      <c r="M111" s="1200">
        <f t="shared" si="0"/>
        <v>0</v>
      </c>
      <c r="N111" s="1200">
        <f t="shared" si="0"/>
        <v>0</v>
      </c>
      <c r="O111" s="1200">
        <f t="shared" si="0"/>
        <v>0</v>
      </c>
      <c r="P111" s="1200">
        <f t="shared" si="0"/>
        <v>0</v>
      </c>
      <c r="Q111" s="1200">
        <f t="shared" si="0"/>
        <v>0</v>
      </c>
      <c r="R111" s="1200">
        <f t="shared" si="0"/>
        <v>0</v>
      </c>
      <c r="S111" s="1200">
        <f t="shared" si="0"/>
        <v>0</v>
      </c>
      <c r="T111" s="1200">
        <f t="shared" si="0"/>
        <v>0</v>
      </c>
      <c r="U111" s="1200">
        <f t="shared" si="0"/>
        <v>0</v>
      </c>
      <c r="V111" s="1650"/>
      <c r="W111" s="1650">
        <f t="shared" si="0"/>
        <v>0</v>
      </c>
      <c r="X111" s="1650">
        <f t="shared" si="0"/>
        <v>0</v>
      </c>
      <c r="Y111" s="1650">
        <f t="shared" si="0"/>
        <v>0</v>
      </c>
      <c r="Z111" s="1650">
        <f t="shared" si="0"/>
        <v>0</v>
      </c>
      <c r="AA111" s="1650">
        <f t="shared" si="0"/>
        <v>0</v>
      </c>
      <c r="AB111" s="1650">
        <f t="shared" si="0"/>
        <v>0</v>
      </c>
      <c r="AC111" s="1650">
        <f t="shared" si="0"/>
        <v>0</v>
      </c>
      <c r="AD111" s="1650">
        <f t="shared" si="0"/>
        <v>0</v>
      </c>
      <c r="AE111" s="1650">
        <f t="shared" si="0"/>
        <v>0</v>
      </c>
      <c r="AF111" s="1650">
        <f t="shared" si="0"/>
        <v>0</v>
      </c>
      <c r="AG111" s="1650">
        <f t="shared" si="0"/>
        <v>0</v>
      </c>
      <c r="AH111" s="1650">
        <f t="shared" si="0"/>
        <v>0</v>
      </c>
      <c r="AI111" s="1650">
        <f t="shared" si="0"/>
        <v>0</v>
      </c>
      <c r="AJ111" s="1650">
        <f t="shared" si="0"/>
        <v>0</v>
      </c>
      <c r="AK111" s="1650">
        <f t="shared" si="0"/>
        <v>0</v>
      </c>
      <c r="AL111" s="1650">
        <f t="shared" si="0"/>
        <v>0</v>
      </c>
      <c r="AM111" s="1650">
        <f t="shared" si="0"/>
        <v>0</v>
      </c>
      <c r="AN111" s="1650">
        <f t="shared" si="0"/>
        <v>0</v>
      </c>
      <c r="AO111" s="1650">
        <f t="shared" si="0"/>
        <v>0</v>
      </c>
      <c r="AP111" s="1650">
        <f t="shared" si="0"/>
        <v>0</v>
      </c>
      <c r="AQ111" s="1650">
        <f t="shared" si="0"/>
        <v>0</v>
      </c>
      <c r="AR111" s="1650">
        <f t="shared" si="0"/>
        <v>0</v>
      </c>
      <c r="AS111" s="1650">
        <f t="shared" si="0"/>
        <v>0</v>
      </c>
      <c r="AT111" s="1650">
        <f t="shared" si="0"/>
        <v>0</v>
      </c>
      <c r="AU111" s="1650">
        <f t="shared" si="0"/>
        <v>0</v>
      </c>
      <c r="AV111" s="1650">
        <f t="shared" si="0"/>
        <v>0</v>
      </c>
      <c r="AW111" s="1650">
        <f t="shared" si="0"/>
        <v>0</v>
      </c>
      <c r="AX111" s="1650">
        <f t="shared" si="0"/>
        <v>0</v>
      </c>
      <c r="AY111" s="1650">
        <f t="shared" si="0"/>
        <v>0</v>
      </c>
      <c r="AZ111" s="1650">
        <f t="shared" si="0"/>
        <v>0</v>
      </c>
      <c r="BA111" s="1650">
        <f t="shared" si="0"/>
        <v>0</v>
      </c>
      <c r="BB111" s="1650">
        <f t="shared" si="0"/>
        <v>0</v>
      </c>
      <c r="BC111" s="1650">
        <f t="shared" si="0"/>
        <v>0</v>
      </c>
      <c r="BD111" s="1650">
        <f t="shared" si="0"/>
        <v>0</v>
      </c>
      <c r="BE111" s="1650">
        <f t="shared" si="0"/>
        <v>0</v>
      </c>
      <c r="BF111" s="1650">
        <f t="shared" si="0"/>
        <v>0</v>
      </c>
      <c r="BG111" s="1650">
        <f t="shared" si="0"/>
        <v>0</v>
      </c>
      <c r="BH111" s="1650">
        <f t="shared" si="0"/>
        <v>0</v>
      </c>
      <c r="BI111" s="1650">
        <f t="shared" si="0"/>
        <v>0</v>
      </c>
      <c r="BJ111" s="1650">
        <f t="shared" si="0"/>
        <v>0</v>
      </c>
      <c r="BK111" s="1650">
        <f t="shared" si="0"/>
        <v>0</v>
      </c>
      <c r="BL111" s="1650">
        <f t="shared" si="0"/>
        <v>0</v>
      </c>
      <c r="BM111" s="1650">
        <f t="shared" si="0"/>
        <v>0</v>
      </c>
      <c r="BN111" s="1650">
        <f t="shared" si="0"/>
        <v>0</v>
      </c>
      <c r="BO111" s="1650">
        <f t="shared" ref="BO111:DZ111" si="1">SUM(BO8:BO110)</f>
        <v>0</v>
      </c>
      <c r="BP111" s="1650">
        <f t="shared" si="1"/>
        <v>0</v>
      </c>
      <c r="BQ111" s="1650">
        <f t="shared" si="1"/>
        <v>0</v>
      </c>
      <c r="BR111" s="1650">
        <f t="shared" si="1"/>
        <v>0</v>
      </c>
      <c r="BS111" s="1650">
        <f t="shared" si="1"/>
        <v>0</v>
      </c>
      <c r="BT111" s="1650">
        <f t="shared" si="1"/>
        <v>0</v>
      </c>
      <c r="BU111" s="1650">
        <f t="shared" si="1"/>
        <v>0</v>
      </c>
      <c r="BV111" s="1650">
        <f t="shared" si="1"/>
        <v>0</v>
      </c>
      <c r="BW111" s="1650">
        <f t="shared" si="1"/>
        <v>0</v>
      </c>
      <c r="BX111" s="1650">
        <f t="shared" si="1"/>
        <v>0</v>
      </c>
      <c r="BY111" s="1650">
        <f t="shared" si="1"/>
        <v>0</v>
      </c>
      <c r="BZ111" s="1650">
        <f t="shared" si="1"/>
        <v>0</v>
      </c>
      <c r="CA111" s="1650">
        <f t="shared" si="1"/>
        <v>0</v>
      </c>
      <c r="CB111" s="1650">
        <f t="shared" si="1"/>
        <v>0</v>
      </c>
      <c r="CC111" s="1650">
        <f t="shared" si="1"/>
        <v>0</v>
      </c>
      <c r="CD111" s="1650">
        <f t="shared" si="1"/>
        <v>0</v>
      </c>
      <c r="CE111" s="1650">
        <f t="shared" si="1"/>
        <v>0</v>
      </c>
      <c r="CF111" s="1650">
        <f t="shared" si="1"/>
        <v>0</v>
      </c>
      <c r="CG111" s="1650">
        <f t="shared" si="1"/>
        <v>0</v>
      </c>
      <c r="CH111" s="1650">
        <f t="shared" si="1"/>
        <v>0</v>
      </c>
      <c r="CI111" s="1650">
        <f t="shared" si="1"/>
        <v>0</v>
      </c>
      <c r="CJ111" s="1650">
        <f t="shared" si="1"/>
        <v>0</v>
      </c>
      <c r="CK111" s="1650">
        <f t="shared" si="1"/>
        <v>0</v>
      </c>
      <c r="CL111" s="1650">
        <f t="shared" si="1"/>
        <v>0</v>
      </c>
      <c r="CM111" s="1650">
        <f t="shared" si="1"/>
        <v>0</v>
      </c>
      <c r="CN111" s="1650">
        <f t="shared" si="1"/>
        <v>0</v>
      </c>
      <c r="CO111" s="1650">
        <f t="shared" si="1"/>
        <v>0</v>
      </c>
      <c r="CP111" s="1650">
        <f t="shared" si="1"/>
        <v>0</v>
      </c>
      <c r="CQ111" s="1650">
        <f t="shared" si="1"/>
        <v>0</v>
      </c>
      <c r="CR111" s="1650">
        <f t="shared" si="1"/>
        <v>0</v>
      </c>
      <c r="CS111" s="1650">
        <f t="shared" si="1"/>
        <v>0</v>
      </c>
      <c r="CT111" s="1650">
        <f t="shared" si="1"/>
        <v>0</v>
      </c>
      <c r="CU111" s="1650">
        <f t="shared" si="1"/>
        <v>0</v>
      </c>
      <c r="CV111" s="1650">
        <f t="shared" si="1"/>
        <v>0</v>
      </c>
      <c r="CW111" s="1650">
        <f t="shared" si="1"/>
        <v>0</v>
      </c>
      <c r="CX111" s="1650">
        <f t="shared" si="1"/>
        <v>0</v>
      </c>
      <c r="CY111" s="1650">
        <f t="shared" si="1"/>
        <v>0</v>
      </c>
      <c r="CZ111" s="1650">
        <f t="shared" si="1"/>
        <v>0</v>
      </c>
      <c r="DA111" s="1650">
        <f t="shared" si="1"/>
        <v>0</v>
      </c>
      <c r="DB111" s="1650">
        <f t="shared" si="1"/>
        <v>0</v>
      </c>
      <c r="DC111" s="1650">
        <f t="shared" si="1"/>
        <v>0</v>
      </c>
      <c r="DD111" s="1650">
        <f t="shared" si="1"/>
        <v>0</v>
      </c>
      <c r="DE111" s="1650">
        <f t="shared" si="1"/>
        <v>0</v>
      </c>
      <c r="DF111" s="1650">
        <f t="shared" si="1"/>
        <v>0</v>
      </c>
      <c r="DG111" s="1650">
        <f t="shared" si="1"/>
        <v>0</v>
      </c>
      <c r="DH111" s="1650">
        <f t="shared" si="1"/>
        <v>0</v>
      </c>
      <c r="DI111" s="1650">
        <f t="shared" si="1"/>
        <v>0</v>
      </c>
      <c r="DJ111" s="1650">
        <f t="shared" si="1"/>
        <v>0</v>
      </c>
      <c r="DK111" s="1650">
        <f t="shared" si="1"/>
        <v>0</v>
      </c>
      <c r="DL111" s="1650">
        <f t="shared" si="1"/>
        <v>0</v>
      </c>
      <c r="DM111" s="1650">
        <f t="shared" si="1"/>
        <v>0</v>
      </c>
      <c r="DN111" s="1650">
        <f t="shared" si="1"/>
        <v>0</v>
      </c>
      <c r="DO111" s="1650">
        <f t="shared" si="1"/>
        <v>0</v>
      </c>
      <c r="DP111" s="1650">
        <f t="shared" si="1"/>
        <v>0</v>
      </c>
      <c r="DQ111" s="1650">
        <f t="shared" si="1"/>
        <v>0</v>
      </c>
      <c r="DR111" s="1650">
        <f t="shared" si="1"/>
        <v>0</v>
      </c>
      <c r="DS111" s="1650">
        <f t="shared" si="1"/>
        <v>0</v>
      </c>
      <c r="DT111" s="1650">
        <f t="shared" si="1"/>
        <v>0</v>
      </c>
      <c r="DU111" s="1650">
        <f t="shared" si="1"/>
        <v>0</v>
      </c>
      <c r="DV111" s="1650">
        <f t="shared" si="1"/>
        <v>0</v>
      </c>
      <c r="DW111" s="1650">
        <f t="shared" si="1"/>
        <v>0</v>
      </c>
      <c r="DX111" s="1650">
        <f t="shared" si="1"/>
        <v>0</v>
      </c>
      <c r="DY111" s="1650">
        <f t="shared" si="1"/>
        <v>0</v>
      </c>
      <c r="DZ111" s="1650">
        <f t="shared" si="1"/>
        <v>0</v>
      </c>
      <c r="EA111" s="1650">
        <f t="shared" ref="EA111:GL111" si="2">SUM(EA8:EA110)</f>
        <v>0</v>
      </c>
      <c r="EB111" s="1650">
        <f t="shared" si="2"/>
        <v>0</v>
      </c>
      <c r="EC111" s="1650">
        <f t="shared" si="2"/>
        <v>0</v>
      </c>
      <c r="ED111" s="1650">
        <f t="shared" si="2"/>
        <v>0</v>
      </c>
      <c r="EE111" s="1650">
        <f t="shared" si="2"/>
        <v>0</v>
      </c>
      <c r="EF111" s="1650">
        <f t="shared" si="2"/>
        <v>0</v>
      </c>
      <c r="EG111" s="1650">
        <f t="shared" si="2"/>
        <v>0</v>
      </c>
      <c r="EH111" s="1650">
        <f t="shared" si="2"/>
        <v>0</v>
      </c>
      <c r="EI111" s="1650">
        <f t="shared" si="2"/>
        <v>0</v>
      </c>
      <c r="EJ111" s="1650">
        <f t="shared" si="2"/>
        <v>0</v>
      </c>
      <c r="EK111" s="1650">
        <f t="shared" si="2"/>
        <v>0</v>
      </c>
      <c r="EL111" s="1650">
        <f t="shared" si="2"/>
        <v>0</v>
      </c>
      <c r="EM111" s="1650">
        <f t="shared" si="2"/>
        <v>0</v>
      </c>
      <c r="EN111" s="1650">
        <f t="shared" si="2"/>
        <v>0</v>
      </c>
      <c r="EO111" s="1650">
        <f t="shared" si="2"/>
        <v>0</v>
      </c>
      <c r="EP111" s="1650">
        <f t="shared" si="2"/>
        <v>0</v>
      </c>
      <c r="EQ111" s="1650">
        <f t="shared" si="2"/>
        <v>0</v>
      </c>
      <c r="ER111" s="1650">
        <f t="shared" si="2"/>
        <v>0</v>
      </c>
      <c r="ES111" s="1650">
        <f t="shared" si="2"/>
        <v>0</v>
      </c>
      <c r="ET111" s="1650">
        <f t="shared" si="2"/>
        <v>0</v>
      </c>
      <c r="EU111" s="1650">
        <f t="shared" si="2"/>
        <v>0</v>
      </c>
      <c r="EV111" s="1650">
        <f t="shared" si="2"/>
        <v>0</v>
      </c>
      <c r="EW111" s="1650">
        <f t="shared" si="2"/>
        <v>0</v>
      </c>
      <c r="EX111" s="1650">
        <f t="shared" si="2"/>
        <v>0</v>
      </c>
      <c r="EY111" s="1650">
        <f t="shared" si="2"/>
        <v>0</v>
      </c>
      <c r="EZ111" s="1650">
        <f t="shared" si="2"/>
        <v>0</v>
      </c>
      <c r="FA111" s="1650">
        <f t="shared" si="2"/>
        <v>0</v>
      </c>
      <c r="FB111" s="1650">
        <f t="shared" si="2"/>
        <v>0</v>
      </c>
      <c r="FC111" s="1650">
        <f t="shared" si="2"/>
        <v>0</v>
      </c>
      <c r="FD111" s="1650">
        <f t="shared" si="2"/>
        <v>0</v>
      </c>
      <c r="FE111" s="1650">
        <f t="shared" si="2"/>
        <v>0</v>
      </c>
      <c r="FF111" s="1650">
        <f t="shared" si="2"/>
        <v>0</v>
      </c>
      <c r="FG111" s="1650">
        <f t="shared" si="2"/>
        <v>0</v>
      </c>
      <c r="FH111" s="1650">
        <f t="shared" si="2"/>
        <v>0</v>
      </c>
      <c r="FI111" s="1650">
        <f t="shared" si="2"/>
        <v>0</v>
      </c>
      <c r="FJ111" s="1650">
        <f t="shared" si="2"/>
        <v>0</v>
      </c>
      <c r="FK111" s="1650">
        <f t="shared" si="2"/>
        <v>0</v>
      </c>
      <c r="FL111" s="1650">
        <f t="shared" si="2"/>
        <v>0</v>
      </c>
      <c r="FM111" s="1650">
        <f t="shared" si="2"/>
        <v>0</v>
      </c>
      <c r="FN111" s="1650">
        <f t="shared" si="2"/>
        <v>0</v>
      </c>
      <c r="FO111" s="1650">
        <f t="shared" si="2"/>
        <v>0</v>
      </c>
      <c r="FP111" s="1650">
        <f t="shared" si="2"/>
        <v>0</v>
      </c>
      <c r="FQ111" s="1650">
        <f t="shared" si="2"/>
        <v>0</v>
      </c>
      <c r="FR111" s="1650">
        <f t="shared" si="2"/>
        <v>0</v>
      </c>
      <c r="FS111" s="1650">
        <f t="shared" si="2"/>
        <v>0</v>
      </c>
      <c r="FT111" s="1650">
        <f t="shared" si="2"/>
        <v>0</v>
      </c>
      <c r="FU111" s="1650">
        <f t="shared" si="2"/>
        <v>0</v>
      </c>
      <c r="FV111" s="1650">
        <f t="shared" si="2"/>
        <v>0</v>
      </c>
      <c r="FW111" s="1650">
        <f t="shared" si="2"/>
        <v>0</v>
      </c>
      <c r="FX111" s="1650">
        <f t="shared" si="2"/>
        <v>0</v>
      </c>
      <c r="FY111" s="1650">
        <f t="shared" si="2"/>
        <v>0</v>
      </c>
      <c r="FZ111" s="1650">
        <f t="shared" si="2"/>
        <v>0</v>
      </c>
      <c r="GA111" s="1650">
        <f t="shared" si="2"/>
        <v>0</v>
      </c>
      <c r="GB111" s="1650">
        <f t="shared" si="2"/>
        <v>0</v>
      </c>
      <c r="GC111" s="1650">
        <f t="shared" si="2"/>
        <v>0</v>
      </c>
      <c r="GD111" s="1650">
        <f t="shared" si="2"/>
        <v>0</v>
      </c>
      <c r="GE111" s="1650">
        <f t="shared" si="2"/>
        <v>0</v>
      </c>
      <c r="GF111" s="1650">
        <f t="shared" si="2"/>
        <v>0</v>
      </c>
      <c r="GG111" s="1650">
        <f t="shared" si="2"/>
        <v>0</v>
      </c>
      <c r="GH111" s="1650">
        <f t="shared" si="2"/>
        <v>0</v>
      </c>
      <c r="GI111" s="1650">
        <f t="shared" si="2"/>
        <v>0</v>
      </c>
      <c r="GJ111" s="1650">
        <f t="shared" si="2"/>
        <v>0</v>
      </c>
      <c r="GK111" s="1650">
        <f t="shared" si="2"/>
        <v>0</v>
      </c>
      <c r="GL111" s="1650">
        <f t="shared" si="2"/>
        <v>0</v>
      </c>
      <c r="GM111" s="1650">
        <f t="shared" ref="GM111:HD111" si="3">SUM(GM8:GM110)</f>
        <v>0</v>
      </c>
      <c r="GN111" s="1650">
        <f t="shared" si="3"/>
        <v>0</v>
      </c>
      <c r="GO111" s="1650">
        <f t="shared" si="3"/>
        <v>0</v>
      </c>
      <c r="GP111" s="1650">
        <f t="shared" si="3"/>
        <v>0</v>
      </c>
      <c r="GQ111" s="1650">
        <f t="shared" si="3"/>
        <v>0</v>
      </c>
      <c r="GR111" s="1650">
        <f t="shared" si="3"/>
        <v>0</v>
      </c>
      <c r="GS111" s="1650">
        <f t="shared" si="3"/>
        <v>0</v>
      </c>
      <c r="GT111" s="1650">
        <f t="shared" si="3"/>
        <v>0</v>
      </c>
      <c r="GU111" s="1650">
        <f t="shared" si="3"/>
        <v>0</v>
      </c>
      <c r="GV111" s="1650">
        <f t="shared" si="3"/>
        <v>0</v>
      </c>
      <c r="GW111" s="1650">
        <f t="shared" si="3"/>
        <v>0</v>
      </c>
      <c r="GX111" s="1650">
        <f t="shared" si="3"/>
        <v>0</v>
      </c>
      <c r="GY111" s="1650">
        <f t="shared" si="3"/>
        <v>0</v>
      </c>
      <c r="GZ111" s="1650">
        <f t="shared" si="3"/>
        <v>0</v>
      </c>
      <c r="HA111" s="1650">
        <f t="shared" si="3"/>
        <v>0</v>
      </c>
      <c r="HB111" s="1650">
        <f t="shared" si="3"/>
        <v>0</v>
      </c>
      <c r="HC111" s="1650">
        <f t="shared" si="3"/>
        <v>0</v>
      </c>
      <c r="HD111" s="1650">
        <f t="shared" si="3"/>
        <v>0</v>
      </c>
      <c r="HE111" s="1651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903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</mergeCells>
  <phoneticPr fontId="0" type="noConversion"/>
  <conditionalFormatting sqref="HH111:XFD111 A111:HE111">
    <cfRule type="cellIs" dxfId="19" priority="1" operator="greaterThan">
      <formula>0</formula>
    </cfRule>
    <cfRule type="cellIs" dxfId="18" priority="2" operator="greaterThan">
      <formula>0</formula>
    </cfRule>
    <cfRule type="cellIs" dxfId="17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idden="1">
      <c r="G1" s="3"/>
    </row>
    <row r="2" spans="1:13" s="1" customFormat="1" hidden="1">
      <c r="G2" s="3"/>
    </row>
    <row r="3" spans="1:13" s="1" customFormat="1" hidden="1">
      <c r="G3" s="3"/>
    </row>
    <row r="4" spans="1:13" s="1" customFormat="1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3.8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3.8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3.8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3.8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3.8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3.8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3.8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3.8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3.8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3.8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3.8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3.8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3.8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3.8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3.8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3.8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3.8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3.8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3.8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3.8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3.8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3.8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3.8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3.8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3.8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3.8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3.8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3.8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3.8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3.8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3.8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3.8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3.8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3.8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3.8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3.8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3.8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3.8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3.8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3.8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3.8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3.8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3.8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3.8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3.8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3.8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3.8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3.8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3.8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3.8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3.8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3.8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3.8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3.8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3.8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4.4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3.8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3.8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4.4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3.8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3.8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4.4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3.8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3.8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4.4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3.8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4.4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3.8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3.8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3.8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4.4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3.8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3.8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3.8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4.4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4.4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4.4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4.4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4.4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3.8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3.8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3.8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3.8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3.8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3.8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3.8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4.4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3.8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3.8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3.8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3.8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3.8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3.8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3.8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3.8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3.8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3.8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3.8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3.8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3.8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3.8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3.8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3.8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3.8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3.8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3.8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3.8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3.8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3.8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3.8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3.8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3.8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3.8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3.8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3.8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3.8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3.8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3.8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3.8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3.8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3.8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3.8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3.8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3.8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3.8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3.8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3.8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3.8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3.8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3.8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3.8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3.8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3.8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3.8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3.8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3.8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3.8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3.8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3.8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3.8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3.8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3.8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3.8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3.8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3.8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3.8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3.8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3.8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3.8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3.8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3.8">
      <c r="A250" s="13" t="str">
        <f>chitiet!B2196</f>
        <v>LSDHL-DX</v>
      </c>
      <c r="B250" s="18" t="str">
        <f>IF(E250=0,"",COUNTIF($E$250:$E250,"&gt;0"))</f>
        <v/>
      </c>
      <c r="C250" s="16" t="e">
        <f>VLOOKUP($A250,dongia1,DG!$C$2,)</f>
        <v>#NAME?</v>
      </c>
      <c r="D250" s="19" t="e">
        <f>VLOOKUP($A250,dongia1,DG!$D$2,)</f>
        <v>#NAME?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3.8">
      <c r="A251" s="13" t="str">
        <f>chitiet!B2197</f>
        <v>LCHSNplyHL</v>
      </c>
      <c r="B251" s="18" t="str">
        <f>IF(E251=0,"",COUNTIF($E$250:$E251,"&gt;0"))</f>
        <v/>
      </c>
      <c r="C251" s="16" t="e">
        <f>VLOOKUP($A251,dongia1,DG!$C$2,)</f>
        <v>#NAME?</v>
      </c>
      <c r="D251" s="19" t="e">
        <f>VLOOKUP($A251,dongia1,DG!$D$2,)</f>
        <v>#NAME?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3.8">
      <c r="A252" s="13" t="str">
        <f>chitiet!B2198</f>
        <v>DN CL</v>
      </c>
      <c r="B252" s="18" t="str">
        <f>IF(E252=0,"",COUNTIF($E$250:$E252,"&gt;0"))</f>
        <v/>
      </c>
      <c r="C252" s="16" t="e">
        <f>VLOOKUP($A252,dongia1,DG!$C$2,)</f>
        <v>#NAME?</v>
      </c>
      <c r="D252" s="19" t="e">
        <f>VLOOKUP($A252,dongia1,DG!$D$2,)</f>
        <v>#NAME?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3.8">
      <c r="A253" s="13" t="str">
        <f>chitiet!B2199</f>
        <v>LXHL</v>
      </c>
      <c r="B253" s="18" t="str">
        <f>IF(E253=0,"",COUNTIF($E$250:$E253,"&gt;0"))</f>
        <v/>
      </c>
      <c r="C253" s="16" t="e">
        <f>VLOOKUP($A253,dongia1,DG!$C$2,)</f>
        <v>#NAME?</v>
      </c>
      <c r="D253" s="19" t="e">
        <f>VLOOKUP($A253,dongia1,DG!$D$2,)</f>
        <v>#NAME?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3.8">
      <c r="A254" s="13" t="str">
        <f>chitiet!B2200</f>
        <v>LSDHL-V</v>
      </c>
      <c r="B254" s="18" t="str">
        <f>IF(E254=0,"",COUNTIF($E$250:$E254,"&gt;0"))</f>
        <v/>
      </c>
      <c r="C254" s="16" t="e">
        <f>VLOOKUP($A254,dongia1,DG!$C$2,)</f>
        <v>#NAME?</v>
      </c>
      <c r="D254" s="19" t="e">
        <f>VLOOKUP($A254,dongia1,DG!$D$2,)</f>
        <v>#NAME?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3.8">
      <c r="A255" s="13" t="str">
        <f>chitiet!B2201</f>
        <v>LFCOHL</v>
      </c>
      <c r="B255" s="18" t="str">
        <f>IF(E255=0,"",COUNTIF($E$250:$E255,"&gt;0"))</f>
        <v/>
      </c>
      <c r="C255" s="16" t="e">
        <f>VLOOKUP($A255,dongia1,DG!$C$2,)</f>
        <v>#NAME?</v>
      </c>
      <c r="D255" s="19" t="e">
        <f>VLOOKUP($A255,dongia1,DG!$D$2,)</f>
        <v>#NAME?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3.8">
      <c r="A256" s="13" t="str">
        <f>chitiet!B2202</f>
        <v>LLAHL</v>
      </c>
      <c r="B256" s="18" t="str">
        <f>IF(E256=0,"",COUNTIF($E$250:$E256,"&gt;0"))</f>
        <v/>
      </c>
      <c r="C256" s="16" t="e">
        <f>VLOOKUP($A256,dongia1,DG!$C$2,)</f>
        <v>#NAME?</v>
      </c>
      <c r="D256" s="19" t="e">
        <f>VLOOKUP($A256,dongia1,DG!$D$2,)</f>
        <v>#NAME?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3.8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3.8">
      <c r="A258" s="13" t="str">
        <f>chitiet!B2227</f>
        <v>LTD6</v>
      </c>
      <c r="B258" s="18">
        <f>IF(E258=0,"",COUNTIF($B$257:$B257,"&gt;0")+1)</f>
        <v>1</v>
      </c>
      <c r="C258" s="16" t="e">
        <f>VLOOKUP($A258,dongia1,DG!$C$2,)</f>
        <v>#NAME?</v>
      </c>
      <c r="D258" s="19" t="e">
        <f>VLOOKUP($A258,dongia1,DG!$D$2,)</f>
        <v>#NAME?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3.8">
      <c r="A259" s="13" t="str">
        <f>chitiet!B2228</f>
        <v>lbfco100-22</v>
      </c>
      <c r="B259" s="18" t="str">
        <f>IF(E259=0,"",COUNTIF($B$257:$B258,"&gt;0")+1)</f>
        <v/>
      </c>
      <c r="C259" s="16" t="e">
        <f>VLOOKUP($A259,dongia1,DG!$C$2,)</f>
        <v>#NAME?</v>
      </c>
      <c r="D259" s="19" t="e">
        <f>VLOOKUP($A259,dongia1,DG!$D$2,)</f>
        <v>#NAME?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3.8">
      <c r="A260" s="13" t="str">
        <f>chitiet!B2230</f>
        <v>lbfco200-22</v>
      </c>
      <c r="B260" s="18" t="str">
        <f>IF(E260=0,"",COUNTIF($B$257:$B259,"&gt;0")+1)</f>
        <v/>
      </c>
      <c r="C260" s="16" t="e">
        <f>VLOOKUP($A260,dongia1,DG!$C$2,)</f>
        <v>#NAME?</v>
      </c>
      <c r="D260" s="19" t="e">
        <f>VLOOKUP($A260,dongia1,DG!$D$2,)</f>
        <v>#NAME?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3.8">
      <c r="A261" s="13" t="str">
        <f>chitiet!B2231</f>
        <v>chi100K</v>
      </c>
      <c r="B261" s="18" t="str">
        <f>IF(E261=0,"",COUNTIF($B$257:$B260,"&gt;0")+1)</f>
        <v/>
      </c>
      <c r="C261" s="16" t="e">
        <f>VLOOKUP($A261,dongia1,DG!$C$2,)</f>
        <v>#NAME?</v>
      </c>
      <c r="D261" s="19" t="e">
        <f>VLOOKUP($A261,dongia1,DG!$D$2,)</f>
        <v>#NAME?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3.8">
      <c r="A262" s="13" t="str">
        <f>chitiet!B2232</f>
        <v>FCO200-22</v>
      </c>
      <c r="B262" s="18" t="str">
        <f>IF(E262=0,"",COUNTIF($B$257:$B261,"&gt;0")+1)</f>
        <v/>
      </c>
      <c r="C262" s="16" t="e">
        <f>VLOOKUP($A262,dongia1,DG!$C$2,)</f>
        <v>#NAME?</v>
      </c>
      <c r="D262" s="19" t="e">
        <f>VLOOKUP($A262,dongia1,DG!$D$2,)</f>
        <v>#NAME?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3.8">
      <c r="A263" s="13" t="str">
        <f>chitiet!B2233</f>
        <v>FCO100-22</v>
      </c>
      <c r="B263" s="18" t="str">
        <f>IF(E263=0,"",COUNTIF($B$116:$B261,"&gt;0")+1)</f>
        <v/>
      </c>
      <c r="C263" s="16" t="e">
        <f>VLOOKUP($A263,dongia1,DG!$C$2,)</f>
        <v>#NAME?</v>
      </c>
      <c r="D263" s="19" t="e">
        <f>VLOOKUP($A263,dongia1,DG!$D$2,)</f>
        <v>#NAME?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3.8">
      <c r="A264" s="13" t="str">
        <f>chitiet!B2234</f>
        <v>chi8k</v>
      </c>
      <c r="B264" s="18" t="str">
        <f>IF(E264=0,"",COUNTIF($B$116:$B263,"&gt;0")+1)</f>
        <v/>
      </c>
      <c r="C264" s="16" t="e">
        <f>VLOOKUP($A264,dongia1,DG!$C$2,)</f>
        <v>#NAME?</v>
      </c>
      <c r="D264" s="19" t="e">
        <f>VLOOKUP($A264,dongia1,DG!$D$2,)</f>
        <v>#NAME?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3.8">
      <c r="A265" s="13" t="str">
        <f>chitiet!B2235</f>
        <v>chi12k</v>
      </c>
      <c r="B265" s="18" t="str">
        <f>IF(E265=0,"",COUNTIF($B$116:$B264,"&gt;0")+1)</f>
        <v/>
      </c>
      <c r="C265" s="16" t="e">
        <f>VLOOKUP($A265,dongia1,DG!$C$2,)</f>
        <v>#NAME?</v>
      </c>
      <c r="D265" s="19" t="e">
        <f>VLOOKUP($A265,dongia1,DG!$D$2,)</f>
        <v>#NAME?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3.8">
      <c r="A266" s="13" t="str">
        <f>chitiet!B2236</f>
        <v>tu22</v>
      </c>
      <c r="B266" s="18" t="str">
        <f>IF(E266=0,"",COUNTIF($B$257:$B264,"&gt;0")+1)</f>
        <v/>
      </c>
      <c r="C266" s="16" t="e">
        <f>VLOOKUP($A266,dongia1,DG!$C$2,)</f>
        <v>#NAME?</v>
      </c>
      <c r="D266" s="19" t="e">
        <f>VLOOKUP($A266,dongia1,DG!$D$2,)</f>
        <v>#NAME?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3.8">
      <c r="A267" s="13" t="str">
        <f>chitiet!B2237</f>
        <v>ti20</v>
      </c>
      <c r="B267" s="18" t="str">
        <f>IF(E267=0,"",COUNTIF($B$257:$B266,"&gt;0")+1)</f>
        <v/>
      </c>
      <c r="C267" s="16" t="e">
        <f>VLOOKUP($A267,dongia1,DG!$C$2,)</f>
        <v>#NAME?</v>
      </c>
      <c r="D267" s="19" t="e">
        <f>VLOOKUP($A267,dongia1,DG!$D$2,)</f>
        <v>#NAME?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3.8">
      <c r="A268" s="13" t="str">
        <f>chitiet!B2238</f>
        <v>dk3dt</v>
      </c>
      <c r="B268" s="18" t="str">
        <f>IF(E268=0,"",COUNTIF($B$257:$B267,"&gt;0")+1)</f>
        <v/>
      </c>
      <c r="C268" s="16" t="e">
        <f>VLOOKUP($A268,dongia1,DG!$C$2,)</f>
        <v>#NAME?</v>
      </c>
      <c r="D268" s="19" t="e">
        <f>VLOOKUP($A268,dongia1,DG!$D$2,)</f>
        <v>#NAME?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3.8">
      <c r="A269" s="13" t="str">
        <f>chitiet!B2239</f>
        <v>DS1P</v>
      </c>
      <c r="B269" s="18" t="str">
        <f>IF(E269=0,"",COUNTIF($B$257:$B268,"&gt;0")+1)</f>
        <v/>
      </c>
      <c r="C269" s="16" t="e">
        <f>VLOOKUP($A269,dongia1,DG!$C$2,)</f>
        <v>#NAME?</v>
      </c>
      <c r="D269" s="19" t="e">
        <f>VLOOKUP($A269,dongia1,DG!$D$2,)</f>
        <v>#NAME?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3.8">
      <c r="A270" s="13" t="str">
        <f>chitiet!B2240</f>
        <v>DS3P</v>
      </c>
      <c r="B270" s="18" t="str">
        <f>IF(E270=0,"",COUNTIF($B$257:$B269,"&gt;0")+1)</f>
        <v/>
      </c>
      <c r="C270" s="16" t="e">
        <f>VLOOKUP($A270,dongia1,DG!$C$2,)</f>
        <v>#NAME?</v>
      </c>
      <c r="D270" s="19" t="e">
        <f>VLOOKUP($A270,dongia1,DG!$D$2,)</f>
        <v>#NAME?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3.8">
      <c r="A271" s="13" t="str">
        <f>chitiet!B2241</f>
        <v>LBS 16</v>
      </c>
      <c r="B271" s="18" t="str">
        <f>IF(E271=0,"",COUNTIF($B$257:$B270,"&gt;0")+1)</f>
        <v/>
      </c>
      <c r="C271" s="16" t="e">
        <f>VLOOKUP($A271,dongia1,DG!$C$2,)</f>
        <v>#NAME?</v>
      </c>
      <c r="D271" s="19" t="e">
        <f>VLOOKUP($A271,dongia1,DG!$D$2,)</f>
        <v>#NAME?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3.8">
      <c r="A272" s="13" t="str">
        <f>chitiet!B2242</f>
        <v>Recloser</v>
      </c>
      <c r="B272" s="18" t="str">
        <f>IF(E272=0,"",COUNTIF($B$257:$B271,"&gt;0")+1)</f>
        <v/>
      </c>
      <c r="C272" s="38" t="e">
        <f>VLOOKUP($A272,dongia1,DG!$C$2,)</f>
        <v>#NAME?</v>
      </c>
      <c r="D272" s="39" t="e">
        <f>VLOOKUP($A272,dongia1,DG!$D$2,)</f>
        <v>#NAME?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3.8">
      <c r="A273" s="13" t="str">
        <f>chitiet!B2245</f>
        <v>batLI</v>
      </c>
      <c r="B273" s="18" t="str">
        <f>IF(E273=0,"",COUNTIF($B$257:$B272,"&gt;0")+1)</f>
        <v/>
      </c>
      <c r="C273" s="16" t="e">
        <f>VLOOKUP($A273,dongia1,DG!$C$2,)</f>
        <v>#NAME?</v>
      </c>
      <c r="D273" s="19" t="e">
        <f>VLOOKUP($A273,dongia1,DG!$D$2,)</f>
        <v>#NAME?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3.8">
      <c r="A274" s="13" t="str">
        <f>chitiet!B2246</f>
        <v>chfco</v>
      </c>
      <c r="B274" s="18" t="str">
        <f>IF(E274=0,"",COUNTIF($B$257:$B273,"&gt;0")+1)</f>
        <v/>
      </c>
      <c r="C274" s="38" t="e">
        <f>VLOOKUP($A274,dongia1,DG!$C$2,)</f>
        <v>#NAME?</v>
      </c>
      <c r="D274" s="39" t="e">
        <f>VLOOKUP($A274,dongia1,DG!$D$2,)</f>
        <v>#NAME?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3.8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3.8">
      <c r="A276" s="13" t="str">
        <f>chitiet!B2248</f>
        <v>CVV4X2,5</v>
      </c>
      <c r="B276" s="18" t="str">
        <f>IF(E276=0,"",COUNTIF($B$275:$B275,"&gt;0")+1)</f>
        <v/>
      </c>
      <c r="C276" s="16" t="e">
        <f>VLOOKUP($A276,dongia1,DG!$C$2,)</f>
        <v>#NAME?</v>
      </c>
      <c r="D276" s="19" t="e">
        <f>VLOOKUP($A276,dongia1,DG!$D$2,)</f>
        <v>#NAME?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3.8">
      <c r="A277" s="13" t="str">
        <f>chitiet!B2249</f>
        <v>xAtuti</v>
      </c>
      <c r="B277" s="18" t="str">
        <f>IF(E277=0,"",COUNTIF($B$275:$B276,"&gt;0")+1)</f>
        <v/>
      </c>
      <c r="C277" s="16" t="e">
        <f>VLOOKUP($A277,dongia1,DG!$C$2,)</f>
        <v>#NAME?</v>
      </c>
      <c r="D277" s="19" t="e">
        <f>VLOOKUP($A277,dongia1,DG!$D$2,)</f>
        <v>#NAME?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3.8">
      <c r="A278" s="13" t="str">
        <f>chitiet!B2250</f>
        <v>batLI</v>
      </c>
      <c r="B278" s="18" t="str">
        <f>IF(E278=0,"",COUNTIF($B$275:$B277,"&gt;0")+1)</f>
        <v/>
      </c>
      <c r="C278" s="16" t="e">
        <f>VLOOKUP($A278,dongia1,DG!$C$2,)</f>
        <v>#NAME?</v>
      </c>
      <c r="D278" s="19" t="e">
        <f>VLOOKUP($A278,dongia1,DG!$D$2,)</f>
        <v>#NAME?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3.8">
      <c r="A279" s="13" t="str">
        <f>chitiet!B2251</f>
        <v>COS2,5</v>
      </c>
      <c r="B279" s="18" t="str">
        <f>IF(E279=0,"",COUNTIF($B$275:$B277,"&gt;0")+1)</f>
        <v/>
      </c>
      <c r="C279" s="16" t="e">
        <f>VLOOKUP($A279,dongia1,DG!$C$2,)</f>
        <v>#NAME?</v>
      </c>
      <c r="D279" s="19" t="e">
        <f>VLOOKUP($A279,dongia1,DG!$D$2,)</f>
        <v>#NAME?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3.8">
      <c r="A280" s="13" t="str">
        <f>chitiet!B2252</f>
        <v>D16/10</v>
      </c>
      <c r="B280" s="18" t="str">
        <f>IF(E280=0,"",COUNTIF($B$275:$B279,"&gt;0")+1)</f>
        <v/>
      </c>
      <c r="C280" s="16" t="e">
        <f>VLOOKUP($A280,dongia1,DG!$C$2,)</f>
        <v>#NAME?</v>
      </c>
      <c r="D280" s="19" t="e">
        <f>VLOOKUP($A280,dongia1,DG!$D$2,)</f>
        <v>#NAME?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3.8">
      <c r="A281" s="13" t="str">
        <f>chitiet!B2253</f>
        <v>oxc25</v>
      </c>
      <c r="B281" s="18" t="str">
        <f>IF(E281=0,"",COUNTIF($B$275:$B280,"&gt;0")+1)</f>
        <v/>
      </c>
      <c r="C281" s="16" t="e">
        <f>VLOOKUP($A281,dongia1,DG!$C$2,)</f>
        <v>#NAME?</v>
      </c>
      <c r="D281" s="19" t="e">
        <f>VLOOKUP($A281,dongia1,DG!$D$2,)</f>
        <v>#NAME?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3.8">
      <c r="A282" s="13" t="str">
        <f>chitiet!B2254</f>
        <v>PVC42</v>
      </c>
      <c r="B282" s="18" t="str">
        <f>IF(E282=0,"",COUNTIF($B$275:$B281,"&gt;0")+1)</f>
        <v/>
      </c>
      <c r="C282" s="16" t="e">
        <f>VLOOKUP($A282,dongia1,DG!$C$2,)</f>
        <v>#NAME?</v>
      </c>
      <c r="D282" s="19" t="e">
        <f>VLOOKUP($A282,dongia1,DG!$D$2,)</f>
        <v>#NAME?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3.8">
      <c r="A283" s="13" t="str">
        <f>chitiet!B2255</f>
        <v>CD25x2</v>
      </c>
      <c r="B283" s="18" t="str">
        <f>IF(E283=0,"",COUNTIF($B$275:$B282,"&gt;0")+1)</f>
        <v/>
      </c>
      <c r="C283" s="16" t="e">
        <f>VLOOKUP($A283,dongia1,DG!$C$2,)</f>
        <v>#NAME?</v>
      </c>
      <c r="D283" s="19" t="e">
        <f>VLOOKUP($A283,dongia1,DG!$D$2,)</f>
        <v>#NAME?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3.8">
      <c r="A284" s="13" t="str">
        <f>chitiet!B2256</f>
        <v>CUT42</v>
      </c>
      <c r="B284" s="18" t="str">
        <f>IF(E284=0,"",COUNTIF($B$275:$B283,"&gt;0")+1)</f>
        <v/>
      </c>
      <c r="C284" s="16" t="e">
        <f>VLOOKUP($A284,dongia1,DG!$C$2,)</f>
        <v>#NAME?</v>
      </c>
      <c r="D284" s="19" t="e">
        <f>VLOOKUP($A284,dongia1,DG!$D$2,)</f>
        <v>#NAME?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3.8">
      <c r="A285" s="13" t="str">
        <f>chitiet!B2257</f>
        <v>CUT42T</v>
      </c>
      <c r="B285" s="18" t="str">
        <f>IF(E285=0,"",COUNTIF($B$275:$B284,"&gt;0")+1)</f>
        <v/>
      </c>
      <c r="C285" s="38" t="e">
        <f>VLOOKUP($A285,dongia1,DG!$C$2,)</f>
        <v>#NAME?</v>
      </c>
      <c r="D285" s="39" t="e">
        <f>VLOOKUP($A285,dongia1,DG!$D$2,)</f>
        <v>#NAME?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3.8">
      <c r="A286" s="13" t="str">
        <f>chitiet!B2258</f>
        <v>NPVC42</v>
      </c>
      <c r="B286" s="18" t="str">
        <f>IF(E286=0,"",COUNTIF($B$275:$B285,"&gt;0")+1)</f>
        <v/>
      </c>
      <c r="C286" s="16" t="e">
        <f>VLOOKUP($A286,dongia1,DG!$C$2,)</f>
        <v>#NAME?</v>
      </c>
      <c r="D286" s="19" t="e">
        <f>VLOOKUP($A286,dongia1,DG!$D$2,)</f>
        <v>#NAME?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3.8">
      <c r="A287" s="13" t="str">
        <f>chitiet!B2259</f>
        <v>XLPE25</v>
      </c>
      <c r="B287" s="18" t="str">
        <f>IF(E287=0,"",COUNTIF($B$275:$B286,"&gt;0")+1)</f>
        <v/>
      </c>
      <c r="C287" s="16" t="e">
        <f>VLOOKUP($A287,dongia1,DG!$C$2,)</f>
        <v>#NAME?</v>
      </c>
      <c r="D287" s="19" t="e">
        <f>VLOOKUP($A287,dongia1,DG!$D$2,)</f>
        <v>#NAME?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3.8">
      <c r="A288" s="13" t="str">
        <f>chitiet!B2260</f>
        <v>KEO</v>
      </c>
      <c r="B288" s="18" t="str">
        <f>IF(E288=0,"",COUNTIF($B$275:$B287,"&gt;0")+1)</f>
        <v/>
      </c>
      <c r="C288" s="16" t="e">
        <f>VLOOKUP($A288,dongia1,DG!$C$2,)</f>
        <v>#NAME?</v>
      </c>
      <c r="D288" s="19" t="e">
        <f>VLOOKUP($A288,dongia1,DG!$D$2,)</f>
        <v>#NAME?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3.8">
      <c r="A289" s="13" t="str">
        <f>chitiet!B2261</f>
        <v>BANGKEO</v>
      </c>
      <c r="B289" s="18" t="str">
        <f>IF(E289=0,"",COUNTIF($B$275:$B288,"&gt;0")+1)</f>
        <v/>
      </c>
      <c r="C289" s="16" t="e">
        <f>VLOOKUP($A289,dongia1,DG!$C$2,)</f>
        <v>#NAME?</v>
      </c>
      <c r="D289" s="19" t="e">
        <f>VLOOKUP($A289,dongia1,DG!$D$2,)</f>
        <v>#NAME?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3.8">
      <c r="A290" s="13" t="str">
        <f>chitiet!B2262</f>
        <v>KVRT42</v>
      </c>
      <c r="B290" s="18" t="str">
        <f>IF(E290=0,"",COUNTIF($B$275:$B289,"&gt;0")+1)</f>
        <v/>
      </c>
      <c r="C290" s="16" t="e">
        <f>VLOOKUP($A290,dongia1,DG!$C$2,)</f>
        <v>#NAME?</v>
      </c>
      <c r="D290" s="19" t="e">
        <f>VLOOKUP($A290,dongia1,DG!$D$2,)</f>
        <v>#NAME?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3.8">
      <c r="A291" s="13" t="str">
        <f>chitiet!B2263</f>
        <v>KVRN42</v>
      </c>
      <c r="B291" s="18" t="str">
        <f>IF(E291=0,"",COUNTIF($B$275:$B290,"&gt;0")+1)</f>
        <v/>
      </c>
      <c r="C291" s="38" t="e">
        <f>VLOOKUP($A291,dongia1,DG!$C$2,)</f>
        <v>#NAME?</v>
      </c>
      <c r="D291" s="39" t="e">
        <f>VLOOKUP($A291,dongia1,DG!$D$2,)</f>
        <v>#NAME?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3.8">
      <c r="A292" s="13" t="str">
        <f>chitiet!B2264</f>
        <v>bangnhua</v>
      </c>
      <c r="B292" s="18" t="str">
        <f>IF(E292=0,"",COUNTIF($B$275:$B291,"&gt;0")+1)</f>
        <v/>
      </c>
      <c r="C292" s="16" t="e">
        <f>VLOOKUP($A292,dongia1,DG!$C$2,)</f>
        <v>#NAME?</v>
      </c>
      <c r="D292" s="19" t="e">
        <f>VLOOKUP($A292,dongia1,DG!$D$2,)</f>
        <v>#NAME?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3.8">
      <c r="A293" s="13" t="str">
        <f>chitiet!B2265</f>
        <v>TUDKDT</v>
      </c>
      <c r="B293" s="18" t="str">
        <f>IF(E293=0,"",COUNTIF($B$275:$B292,"&gt;0")+1)</f>
        <v/>
      </c>
      <c r="C293" s="38" t="e">
        <f>VLOOKUP($A293,dongia1,DG!$C$2,)</f>
        <v>#NAME?</v>
      </c>
      <c r="D293" s="39" t="e">
        <f>VLOOKUP($A293,dongia1,DG!$D$2,)</f>
        <v>#NAME?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3.8">
      <c r="A294" s="13" t="str">
        <f>chitiet!B2266</f>
        <v>cd320</v>
      </c>
      <c r="B294" s="18" t="str">
        <f>IF(E294=0,"",COUNTIF($B$275:$B293,"&gt;0")+1)</f>
        <v/>
      </c>
      <c r="C294" s="38" t="e">
        <f>VLOOKUP($A294,dongia1,DG!$C$2,)</f>
        <v>#NAME?</v>
      </c>
      <c r="D294" s="39" t="e">
        <f>VLOOKUP($A294,dongia1,DG!$D$2,)</f>
        <v>#NAME?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3.8">
      <c r="A295" s="13" t="str">
        <f>chitiet!B2267</f>
        <v>keobit</v>
      </c>
      <c r="B295" s="18" t="str">
        <f>IF(E295=0,"",COUNTIF($B$275:$B293,"&gt;0")+1)</f>
        <v/>
      </c>
      <c r="C295" s="38" t="e">
        <f>VLOOKUP($A295,dongia1,DG!$C$2,)</f>
        <v>#NAME?</v>
      </c>
      <c r="D295" s="39" t="e">
        <f>VLOOKUP($A295,dongia1,DG!$D$2,)</f>
        <v>#NAME?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3.8">
      <c r="A296" s="13" t="str">
        <f>chitiet!B2268</f>
        <v>M5M</v>
      </c>
      <c r="B296" s="18" t="str">
        <f>IF(E296=0,"",COUNTIF($B$275:$B295,"&gt;0")+1)</f>
        <v/>
      </c>
      <c r="C296" s="16" t="e">
        <f>VLOOKUP($A296,dongia1,DG!$C$2,)</f>
        <v>#NAME?</v>
      </c>
      <c r="D296" s="19" t="e">
        <f>VLOOKUP($A296,dongia1,DG!$D$2,)</f>
        <v>#NAME?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3.8">
      <c r="A297" s="13" t="str">
        <f>chitiet!B2269</f>
        <v>b12150</v>
      </c>
      <c r="B297" s="18" t="str">
        <f>IF(E297=0,"",COUNTIF($B$275:$B296,"&gt;0")+1)</f>
        <v/>
      </c>
      <c r="C297" s="16" t="e">
        <f>VLOOKUP($A297,dongia1,DG!$C$2,)</f>
        <v>#NAME?</v>
      </c>
      <c r="D297" s="19" t="e">
        <f>VLOOKUP($A297,dongia1,DG!$D$2,)</f>
        <v>#NAME?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3.8">
      <c r="A298" s="13" t="str">
        <f>chitiet!B2270</f>
        <v>sl50</v>
      </c>
      <c r="B298" s="18" t="str">
        <f>IF(E298=0,"",COUNTIF($B$275:$B297,"&gt;0")+1)</f>
        <v/>
      </c>
      <c r="C298" s="16" t="e">
        <f>VLOOKUP($A298,dongia1,DG!$C$2,)</f>
        <v>#NAME?</v>
      </c>
      <c r="D298" s="19" t="e">
        <f>VLOOKUP($A298,dongia1,DG!$D$2,)</f>
        <v>#NAME?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3.8">
      <c r="A299" s="13" t="str">
        <f>chitiet!B2271</f>
        <v>b1260</v>
      </c>
      <c r="B299" s="40" t="str">
        <f>IF(E299=0,"",COUNTIF($B$275:$B298,"&gt;0")+1)</f>
        <v/>
      </c>
      <c r="C299" s="38" t="e">
        <f>VLOOKUP($A299,dongia1,DG!$C$2,)</f>
        <v>#NAME?</v>
      </c>
      <c r="D299" s="39" t="e">
        <f>VLOOKUP($A299,dongia1,DG!$D$2,)</f>
        <v>#NAME?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3.8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3.8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3.8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3.8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3.8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3.8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3.8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3.8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3.8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3.8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3.8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3.8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3.8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3.8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3.8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3.8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3.8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3.8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3.8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3.8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3.8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3.8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3.8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3.8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3.8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3.8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3.8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3.8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3.8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3.8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3.8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3.8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3.8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3.8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3.8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3.8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3.8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3.8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3.8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3.8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3.8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3.8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3.8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3.8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3.8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3.8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3.8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3.8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3.8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3.8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3.8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3.8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3.8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3.8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3.8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3.8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3.8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3.8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3.8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3.8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3.8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3.8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3.8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3.8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3.8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3.8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3.8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3.8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3.8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3.8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6" customWidth="1"/>
    <col min="10" max="11" width="8.90625" style="940"/>
    <col min="12" max="12" width="54.90625" style="954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53" t="s">
        <v>4274</v>
      </c>
      <c r="B2" s="1153"/>
      <c r="C2" s="1153"/>
      <c r="D2" s="1153"/>
      <c r="E2" s="1153"/>
      <c r="F2" s="1153"/>
      <c r="G2" s="1153"/>
      <c r="H2" s="1153"/>
      <c r="I2" s="1153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54" t="s">
        <v>4276</v>
      </c>
      <c r="B5" s="1154"/>
      <c r="C5" s="1154"/>
      <c r="D5" s="1154"/>
      <c r="E5" s="1154"/>
      <c r="F5" s="1154"/>
      <c r="G5" s="1154"/>
      <c r="H5" s="1154"/>
      <c r="I5" s="1154"/>
    </row>
    <row r="6" spans="1:12" ht="24" hidden="1" customHeight="1">
      <c r="A6" s="1155" t="s">
        <v>4294</v>
      </c>
      <c r="B6" s="1155"/>
      <c r="C6" s="1155"/>
      <c r="D6" s="1155"/>
      <c r="E6" s="1155"/>
      <c r="F6" s="1155"/>
      <c r="G6" s="1155"/>
      <c r="H6" s="1155"/>
      <c r="I6" s="1155"/>
    </row>
    <row r="7" spans="1:12" s="942" customFormat="1" ht="51.75" hidden="1" customHeight="1">
      <c r="A7" s="1156" t="e">
        <f>"       Công trình: "&amp;Solieu!#REF!</f>
        <v>#REF!</v>
      </c>
      <c r="B7" s="1156"/>
      <c r="C7" s="1156"/>
      <c r="D7" s="1156"/>
      <c r="E7" s="1156"/>
      <c r="F7" s="1156"/>
      <c r="G7" s="1156"/>
      <c r="H7" s="1156"/>
      <c r="I7" s="1156"/>
      <c r="L7" s="955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7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7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37" t="str">
        <f>Solieu!C9</f>
        <v>18</v>
      </c>
      <c r="E21" s="1137"/>
      <c r="F21" s="1137"/>
      <c r="G21" s="1137"/>
      <c r="H21" s="1137"/>
      <c r="I21" s="1137"/>
    </row>
    <row r="22" spans="1:12" ht="23.25" hidden="1" customHeight="1">
      <c r="B22" s="940" t="s">
        <v>4524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4524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8"/>
      <c r="L24" s="959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8"/>
      <c r="L25" s="959"/>
    </row>
    <row r="26" spans="1:12" s="935" customFormat="1" ht="53.25" hidden="1" customHeight="1">
      <c r="A26" s="1021" t="s">
        <v>4489</v>
      </c>
      <c r="B26" s="1021"/>
      <c r="C26" s="1021"/>
      <c r="D26" s="1021"/>
      <c r="E26" s="1021"/>
      <c r="F26" s="1021"/>
      <c r="G26" s="1021"/>
      <c r="H26" s="1021"/>
      <c r="I26" s="1021"/>
      <c r="L26" s="959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8"/>
      <c r="L27" s="959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8"/>
      <c r="L28" s="959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9"/>
    </row>
    <row r="30" spans="1:12" s="961" customFormat="1" ht="28.5" customHeight="1">
      <c r="A30" s="960"/>
      <c r="B30" s="944" t="s">
        <v>4303</v>
      </c>
      <c r="C30" s="960"/>
      <c r="D30" s="960"/>
      <c r="E30" s="960"/>
      <c r="F30" s="960"/>
      <c r="I30" s="962"/>
      <c r="L30" s="963"/>
    </row>
    <row r="31" spans="1:12" s="961" customFormat="1" ht="40.5" customHeight="1">
      <c r="A31" s="2604" t="s">
        <v>4304</v>
      </c>
      <c r="B31" s="2604"/>
      <c r="C31" s="2604"/>
      <c r="D31" s="2604"/>
      <c r="E31" s="2604"/>
      <c r="F31" s="2604"/>
      <c r="G31" s="2604"/>
      <c r="H31" s="2604"/>
      <c r="I31" s="2604"/>
      <c r="J31" s="961" t="s">
        <v>4589</v>
      </c>
      <c r="L31" s="963"/>
    </row>
    <row r="32" spans="1:12" s="964" customFormat="1" ht="17.399999999999999">
      <c r="A32" s="948"/>
      <c r="B32" s="2605" t="s">
        <v>1761</v>
      </c>
      <c r="C32" s="2607" t="s">
        <v>4305</v>
      </c>
      <c r="D32" s="2609" t="s">
        <v>2671</v>
      </c>
      <c r="E32" s="2612" t="s">
        <v>4306</v>
      </c>
      <c r="F32" s="2613"/>
      <c r="G32" s="2613"/>
      <c r="H32" s="2614"/>
      <c r="I32" s="2610" t="s">
        <v>4307</v>
      </c>
      <c r="J32" s="1134">
        <v>1</v>
      </c>
      <c r="L32" s="959"/>
    </row>
    <row r="33" spans="1:12" s="964" customFormat="1" ht="31.2">
      <c r="A33" s="948"/>
      <c r="B33" s="2606"/>
      <c r="C33" s="2608"/>
      <c r="D33" s="2608"/>
      <c r="E33" s="965" t="s">
        <v>4588</v>
      </c>
      <c r="F33" s="965" t="s">
        <v>4308</v>
      </c>
      <c r="G33" s="1612" t="s">
        <v>4647</v>
      </c>
      <c r="H33" s="1612" t="s">
        <v>4648</v>
      </c>
      <c r="I33" s="2611"/>
      <c r="J33" s="1134">
        <v>1</v>
      </c>
      <c r="L33" s="959"/>
    </row>
    <row r="34" spans="1:12" s="964" customFormat="1" ht="25.5" hidden="1" customHeight="1">
      <c r="A34" s="948"/>
      <c r="B34" s="966" t="s">
        <v>504</v>
      </c>
      <c r="C34" s="2007" t="s">
        <v>4645</v>
      </c>
      <c r="D34" s="968"/>
      <c r="E34" s="969"/>
      <c r="F34" s="969"/>
      <c r="G34" s="970"/>
      <c r="H34" s="970"/>
      <c r="I34" s="970"/>
      <c r="J34" s="1134">
        <f>IF(J60&gt;0,1,0)</f>
        <v>0</v>
      </c>
      <c r="L34" s="959"/>
    </row>
    <row r="35" spans="1:12" s="964" customFormat="1" ht="33" customHeight="1">
      <c r="A35" s="948"/>
      <c r="B35" s="971">
        <f ca="1">SUM($J$35:J35)</f>
        <v>0</v>
      </c>
      <c r="C35" s="972" t="s">
        <v>2397</v>
      </c>
      <c r="D35" s="968" t="str">
        <f>VLOOKUP(C35,chitiet!E:F,2,0)</f>
        <v>Móng</v>
      </c>
      <c r="E35" s="968">
        <f ca="1">SUMIF(chitiet!E:H,KTCT!C35,chitiet!H:H)</f>
        <v>0</v>
      </c>
      <c r="F35" s="968">
        <f ca="1">SUMIF(chitiet!E:P,KTCT!C35,chitiet!P:P)</f>
        <v>0</v>
      </c>
      <c r="G35" s="968" t="str">
        <f t="shared" ref="G35:G40" ca="1" si="0">IF(F35&gt;E35,F35-E35,"")</f>
        <v/>
      </c>
      <c r="H35" s="968" t="str">
        <f ca="1">IF(F35&lt;E35,-F35+E35,"")</f>
        <v/>
      </c>
      <c r="I35" s="970"/>
      <c r="J35" s="964">
        <f ca="1">IF(AND(E35&lt;100,OR(F35&gt;0,E35&gt;0)),1,0)</f>
        <v>0</v>
      </c>
      <c r="L35" s="973" t="s">
        <v>4309</v>
      </c>
    </row>
    <row r="36" spans="1:12" ht="33" customHeight="1">
      <c r="B36" s="971">
        <f ca="1">SUM($J$35:J36)</f>
        <v>0</v>
      </c>
      <c r="C36" s="972" t="s">
        <v>4868</v>
      </c>
      <c r="D36" s="968" t="str">
        <f>VLOOKUP(C36,chitiet!E:F,2,0)</f>
        <v>Móng</v>
      </c>
      <c r="E36" s="968">
        <f ca="1">SUMIF(chitiet!E:H,KTCT!C36,chitiet!H:H)</f>
        <v>0</v>
      </c>
      <c r="F36" s="968">
        <f ca="1">SUMIF(chitiet!E:P,KTCT!C36,chitiet!P:P)</f>
        <v>0</v>
      </c>
      <c r="G36" s="968" t="str">
        <f t="shared" ca="1" si="0"/>
        <v/>
      </c>
      <c r="H36" s="968" t="str">
        <f ca="1">IF(F36&lt;E36,-F36+E36,"")</f>
        <v/>
      </c>
      <c r="I36" s="971"/>
      <c r="J36" s="964">
        <f t="shared" ref="J36:J87" ca="1" si="1">IF(AND(E36&lt;100,OR(F36&gt;0,E36&gt;0)),1,0)</f>
        <v>0</v>
      </c>
      <c r="L36" s="973" t="s">
        <v>4310</v>
      </c>
    </row>
    <row r="37" spans="1:12" ht="33" customHeight="1">
      <c r="B37" s="971">
        <f ca="1">SUM($J$35:J37)</f>
        <v>0</v>
      </c>
      <c r="C37" s="972" t="s">
        <v>4869</v>
      </c>
      <c r="D37" s="968" t="str">
        <f>VLOOKUP(C37,chitiet!E:F,2,0)</f>
        <v>Bộ</v>
      </c>
      <c r="E37" s="968">
        <f ca="1">SUMIF(chitiet!E:H,KTCT!C37,chitiet!H:H)</f>
        <v>0</v>
      </c>
      <c r="F37" s="968">
        <f ca="1">SUMIF(chitiet!E:P,KTCT!C37,chitiet!P:P)</f>
        <v>0</v>
      </c>
      <c r="G37" s="968" t="str">
        <f t="shared" ca="1" si="0"/>
        <v/>
      </c>
      <c r="H37" s="968" t="str">
        <f ca="1">IF(F37&lt;E37,-F37+E37,"")</f>
        <v/>
      </c>
      <c r="I37" s="971"/>
      <c r="J37" s="964">
        <f t="shared" ca="1" si="1"/>
        <v>0</v>
      </c>
      <c r="L37" s="973" t="s">
        <v>4311</v>
      </c>
    </row>
    <row r="38" spans="1:12" ht="33" customHeight="1">
      <c r="B38" s="971">
        <f ca="1">SUM($J$35:J38)</f>
        <v>0</v>
      </c>
      <c r="C38" s="972" t="s">
        <v>4870</v>
      </c>
      <c r="D38" s="968" t="str">
        <f>VLOOKUP(C38,chitiet!E:F,2,0)</f>
        <v>Trụ</v>
      </c>
      <c r="E38" s="968">
        <f ca="1">SUMIF(chitiet!E:H,KTCT!C38,chitiet!H:H)</f>
        <v>0</v>
      </c>
      <c r="F38" s="968">
        <f ca="1">SUMIF(chitiet!E:P,KTCT!C38,chitiet!P:P)</f>
        <v>0</v>
      </c>
      <c r="G38" s="968" t="str">
        <f t="shared" ca="1" si="0"/>
        <v/>
      </c>
      <c r="H38" s="968" t="str">
        <f ca="1">IF(F38&lt;E38,-F38+E38,"")</f>
        <v/>
      </c>
      <c r="I38" s="971"/>
      <c r="J38" s="964">
        <f t="shared" ca="1" si="1"/>
        <v>0</v>
      </c>
      <c r="L38" s="974" t="s">
        <v>4312</v>
      </c>
    </row>
    <row r="39" spans="1:12" ht="33" hidden="1" customHeight="1">
      <c r="B39" s="971">
        <f ca="1">SUM($J$35:J39)</f>
        <v>0</v>
      </c>
      <c r="C39" s="972" t="s">
        <v>4753</v>
      </c>
      <c r="D39" s="968" t="str">
        <f>VLOOKUP(C39,chitiet!E:F,2,0)</f>
        <v>mét</v>
      </c>
      <c r="E39" s="968">
        <f ca="1">SUMIF(chitiet!E:H,KTCT!C39,chitiet!H:H)</f>
        <v>0</v>
      </c>
      <c r="F39" s="968">
        <f ca="1">SUMIF(chitiet!E:P,KTCT!C39,chitiet!P:P)</f>
        <v>0</v>
      </c>
      <c r="G39" s="968" t="str">
        <f t="shared" ca="1" si="0"/>
        <v/>
      </c>
      <c r="H39" s="968" t="str">
        <f ca="1">IF(F39&lt;E39,-F39+E39,"")</f>
        <v/>
      </c>
      <c r="I39" s="971"/>
      <c r="J39" s="964">
        <f t="shared" ca="1" si="1"/>
        <v>0</v>
      </c>
      <c r="L39" s="973" t="s">
        <v>4313</v>
      </c>
    </row>
    <row r="40" spans="1:12" ht="33" customHeight="1">
      <c r="B40" s="971">
        <f ca="1">SUM($J$35:J40)</f>
        <v>0</v>
      </c>
      <c r="C40" s="972" t="s">
        <v>2856</v>
      </c>
      <c r="D40" s="968" t="str">
        <f>VLOOKUP(C40,chitiet!E:F,2,0)</f>
        <v>mét</v>
      </c>
      <c r="E40" s="968">
        <f ca="1">SUMIF(chitiet!E:H,KTCT!C40,chitiet!H:H)</f>
        <v>0</v>
      </c>
      <c r="F40" s="968">
        <f ca="1">SUMIF(chitiet!E:P,KTCT!C40,chitiet!P:P)</f>
        <v>0</v>
      </c>
      <c r="G40" s="968" t="str">
        <f t="shared" ca="1" si="0"/>
        <v/>
      </c>
      <c r="H40" s="968"/>
      <c r="I40" s="971"/>
      <c r="J40" s="964">
        <f t="shared" ca="1" si="1"/>
        <v>0</v>
      </c>
      <c r="L40" s="973" t="s">
        <v>4313</v>
      </c>
    </row>
    <row r="41" spans="1:12" ht="33" customHeight="1">
      <c r="B41" s="971">
        <f ca="1">SUM($J$35:J41)</f>
        <v>0</v>
      </c>
      <c r="C41" s="972" t="s">
        <v>4929</v>
      </c>
      <c r="D41" s="968" t="str">
        <f>VLOOKUP(C41,chitiet!E:F,2,0)</f>
        <v>cái</v>
      </c>
      <c r="E41" s="968">
        <f ca="1">SUMIF(chitiet!E:H,KTCT!C41,chitiet!H:H)</f>
        <v>0</v>
      </c>
      <c r="F41" s="968">
        <f ca="1">SUMIF(chitiet!E:P,KTCT!C41,chitiet!P:P)</f>
        <v>0</v>
      </c>
      <c r="G41" s="968" t="str">
        <f t="shared" ref="G41:G50" ca="1" si="2">IF(F41&gt;E41,F41-E41,"")</f>
        <v/>
      </c>
      <c r="H41" s="968" t="str">
        <f t="shared" ref="H41:H50" ca="1" si="3">IF(F41&lt;E41,-F41+E41,"")</f>
        <v/>
      </c>
      <c r="I41" s="971"/>
      <c r="J41" s="964">
        <f t="shared" ca="1" si="1"/>
        <v>0</v>
      </c>
      <c r="L41" s="974" t="s">
        <v>4314</v>
      </c>
    </row>
    <row r="42" spans="1:12" ht="33" customHeight="1">
      <c r="B42" s="971">
        <f ca="1">SUM($J$35:J42)</f>
        <v>0</v>
      </c>
      <c r="C42" s="2132" t="s">
        <v>4251</v>
      </c>
      <c r="D42" s="968" t="str">
        <f>VLOOKUP(C42,chitiet!E:F,2,0)</f>
        <v>hộp</v>
      </c>
      <c r="E42" s="968">
        <f ca="1">SUMIF(chitiet!E:H,KTCT!C42,chitiet!H:H)</f>
        <v>0</v>
      </c>
      <c r="F42" s="968">
        <f ca="1">SUMIF(chitiet!E:P,KTCT!C42,chitiet!P:P)</f>
        <v>0</v>
      </c>
      <c r="G42" s="968" t="str">
        <f t="shared" ca="1" si="2"/>
        <v/>
      </c>
      <c r="H42" s="968" t="str">
        <f t="shared" ca="1" si="3"/>
        <v/>
      </c>
      <c r="I42" s="971"/>
      <c r="J42" s="964">
        <f t="shared" ca="1" si="1"/>
        <v>0</v>
      </c>
      <c r="L42" s="973" t="s">
        <v>4315</v>
      </c>
    </row>
    <row r="43" spans="1:12" ht="33" hidden="1" customHeight="1">
      <c r="B43" s="971">
        <f ca="1">SUM($J$35:J43)</f>
        <v>1</v>
      </c>
      <c r="C43" s="2132"/>
      <c r="D43" s="968" t="e">
        <f>VLOOKUP(C43,chitiet!E:F,2,0)</f>
        <v>#N/A</v>
      </c>
      <c r="E43" s="968">
        <f ca="1">SUMIF(chitiet!E:H,KTCT!C43,chitiet!H:H)</f>
        <v>0</v>
      </c>
      <c r="F43" s="968">
        <f ca="1">SUMIF(chitiet!E:P,KTCT!C43,chitiet!P:P)</f>
        <v>4321.0049999999983</v>
      </c>
      <c r="G43" s="968">
        <f t="shared" ca="1" si="2"/>
        <v>4321.0049999999983</v>
      </c>
      <c r="H43" s="968" t="str">
        <f t="shared" ca="1" si="3"/>
        <v/>
      </c>
      <c r="I43" s="971"/>
      <c r="J43" s="964">
        <f t="shared" ca="1" si="1"/>
        <v>1</v>
      </c>
      <c r="L43" s="973" t="s">
        <v>4316</v>
      </c>
    </row>
    <row r="44" spans="1:12" ht="33" hidden="1" customHeight="1">
      <c r="B44" s="971">
        <f ca="1">SUM($J$35:J44)</f>
        <v>2</v>
      </c>
      <c r="C44" s="972"/>
      <c r="D44" s="968" t="e">
        <f>VLOOKUP(C44,chitiet!E:F,2,0)</f>
        <v>#N/A</v>
      </c>
      <c r="E44" s="968">
        <f ca="1">SUMIF(chitiet!E:H,KTCT!C44,chitiet!H:H)</f>
        <v>0</v>
      </c>
      <c r="F44" s="968">
        <f ca="1">SUMIF(chitiet!E:P,KTCT!C44,chitiet!P:P)</f>
        <v>4321.0049999999983</v>
      </c>
      <c r="G44" s="968">
        <f t="shared" ca="1" si="2"/>
        <v>4321.0049999999983</v>
      </c>
      <c r="H44" s="968" t="str">
        <f t="shared" ca="1" si="3"/>
        <v/>
      </c>
      <c r="I44" s="971"/>
      <c r="J44" s="964">
        <f t="shared" ca="1" si="1"/>
        <v>1</v>
      </c>
      <c r="L44" s="973" t="s">
        <v>4317</v>
      </c>
    </row>
    <row r="45" spans="1:12" ht="33" hidden="1" customHeight="1">
      <c r="B45" s="971">
        <f ca="1">SUM($J$35:J45)</f>
        <v>3</v>
      </c>
      <c r="C45" s="972"/>
      <c r="D45" s="968" t="e">
        <f>VLOOKUP(C45,chitiet!E:F,2,0)</f>
        <v>#N/A</v>
      </c>
      <c r="E45" s="968">
        <f ca="1">SUMIF(chitiet!E:H,KTCT!C45,chitiet!H:H)</f>
        <v>0</v>
      </c>
      <c r="F45" s="968">
        <f ca="1">SUMIF(chitiet!E:P,KTCT!C45,chitiet!P:P)</f>
        <v>4321.0049999999983</v>
      </c>
      <c r="G45" s="968">
        <f t="shared" ca="1" si="2"/>
        <v>4321.0049999999983</v>
      </c>
      <c r="H45" s="968" t="str">
        <f t="shared" ca="1" si="3"/>
        <v/>
      </c>
      <c r="I45" s="971"/>
      <c r="J45" s="964">
        <f t="shared" ca="1" si="1"/>
        <v>1</v>
      </c>
      <c r="L45" s="973" t="s">
        <v>4318</v>
      </c>
    </row>
    <row r="46" spans="1:12" ht="33" hidden="1" customHeight="1">
      <c r="B46" s="971">
        <f ca="1">SUM($J$35:J46)</f>
        <v>4</v>
      </c>
      <c r="C46" s="972"/>
      <c r="D46" s="968" t="e">
        <f>VLOOKUP(C46,chitiet!E:F,2,0)</f>
        <v>#N/A</v>
      </c>
      <c r="E46" s="968">
        <f ca="1">SUMIF(chitiet!E:H,KTCT!C46,chitiet!H:H)</f>
        <v>0</v>
      </c>
      <c r="F46" s="968">
        <f ca="1">SUMIF(chitiet!E:P,KTCT!C46,chitiet!P:P)</f>
        <v>4321.0049999999983</v>
      </c>
      <c r="G46" s="968">
        <f t="shared" ca="1" si="2"/>
        <v>4321.0049999999983</v>
      </c>
      <c r="H46" s="968" t="str">
        <f t="shared" ca="1" si="3"/>
        <v/>
      </c>
      <c r="I46" s="971"/>
      <c r="J46" s="964">
        <f t="shared" ca="1" si="1"/>
        <v>1</v>
      </c>
      <c r="L46" s="973" t="s">
        <v>4319</v>
      </c>
    </row>
    <row r="47" spans="1:12" ht="33" hidden="1" customHeight="1">
      <c r="B47" s="971">
        <f ca="1">SUM($J$35:J47)</f>
        <v>5</v>
      </c>
      <c r="C47" s="972"/>
      <c r="D47" s="968" t="e">
        <f>VLOOKUP(C47,chitiet!E:F,2,0)</f>
        <v>#N/A</v>
      </c>
      <c r="E47" s="968">
        <f ca="1">SUMIF(chitiet!E:H,KTCT!C47,chitiet!H:H)</f>
        <v>0</v>
      </c>
      <c r="F47" s="968">
        <f ca="1">SUMIF(chitiet!E:P,KTCT!C47,chitiet!P:P)</f>
        <v>4321.0049999999983</v>
      </c>
      <c r="G47" s="968">
        <f t="shared" ca="1" si="2"/>
        <v>4321.0049999999983</v>
      </c>
      <c r="H47" s="968" t="str">
        <f t="shared" ca="1" si="3"/>
        <v/>
      </c>
      <c r="I47" s="971"/>
      <c r="J47" s="964">
        <f t="shared" ca="1" si="1"/>
        <v>1</v>
      </c>
      <c r="L47" s="973" t="s">
        <v>4320</v>
      </c>
    </row>
    <row r="48" spans="1:12" ht="33" hidden="1" customHeight="1">
      <c r="B48" s="971">
        <f ca="1">SUM($J$35:J48)</f>
        <v>6</v>
      </c>
      <c r="C48" s="972"/>
      <c r="D48" s="968" t="e">
        <f>VLOOKUP(C48,chitiet!E:F,2,0)</f>
        <v>#N/A</v>
      </c>
      <c r="E48" s="968">
        <f ca="1">SUMIF(chitiet!E:H,KTCT!C48,chitiet!H:H)</f>
        <v>0</v>
      </c>
      <c r="F48" s="968">
        <f ca="1">SUMIF(chitiet!E:P,KTCT!C48,chitiet!P:P)</f>
        <v>4321.0049999999983</v>
      </c>
      <c r="G48" s="968">
        <f t="shared" ca="1" si="2"/>
        <v>4321.0049999999983</v>
      </c>
      <c r="H48" s="968" t="str">
        <f t="shared" ca="1" si="3"/>
        <v/>
      </c>
      <c r="I48" s="971"/>
      <c r="J48" s="964">
        <f t="shared" ca="1" si="1"/>
        <v>1</v>
      </c>
      <c r="L48" s="973" t="s">
        <v>4321</v>
      </c>
    </row>
    <row r="49" spans="2:12" ht="33" hidden="1" customHeight="1">
      <c r="B49" s="971">
        <f ca="1">SUM($J$35:J49)</f>
        <v>7</v>
      </c>
      <c r="C49" s="972"/>
      <c r="D49" s="968" t="e">
        <f>VLOOKUP(C49,chitiet!E:F,2,0)</f>
        <v>#N/A</v>
      </c>
      <c r="E49" s="968">
        <f ca="1">SUMIF(chitiet!E:H,KTCT!C49,chitiet!H:H)</f>
        <v>0</v>
      </c>
      <c r="F49" s="968">
        <f ca="1">SUMIF(chitiet!E:P,KTCT!C49,chitiet!P:P)</f>
        <v>4321.0049999999983</v>
      </c>
      <c r="G49" s="968">
        <f t="shared" ca="1" si="2"/>
        <v>4321.0049999999983</v>
      </c>
      <c r="H49" s="968" t="str">
        <f t="shared" ca="1" si="3"/>
        <v/>
      </c>
      <c r="I49" s="971"/>
      <c r="J49" s="964">
        <f t="shared" ca="1" si="1"/>
        <v>1</v>
      </c>
      <c r="L49" s="973" t="s">
        <v>4322</v>
      </c>
    </row>
    <row r="50" spans="2:12" ht="33" hidden="1" customHeight="1">
      <c r="B50" s="971">
        <f ca="1">SUM($J$35:J50)</f>
        <v>8</v>
      </c>
      <c r="C50" s="972"/>
      <c r="D50" s="968" t="e">
        <f>VLOOKUP(C50,chitiet!E:F,2,0)</f>
        <v>#N/A</v>
      </c>
      <c r="E50" s="968">
        <f ca="1">SUMIF(chitiet!E:H,KTCT!C50,chitiet!H:H)</f>
        <v>0</v>
      </c>
      <c r="F50" s="968">
        <f ca="1">SUMIF(chitiet!E:P,KTCT!C50,chitiet!P:P)</f>
        <v>4321.0049999999983</v>
      </c>
      <c r="G50" s="968">
        <f t="shared" ca="1" si="2"/>
        <v>4321.0049999999983</v>
      </c>
      <c r="H50" s="968" t="str">
        <f t="shared" ca="1" si="3"/>
        <v/>
      </c>
      <c r="I50" s="971"/>
      <c r="J50" s="964">
        <f t="shared" ca="1" si="1"/>
        <v>1</v>
      </c>
      <c r="L50" s="973" t="s">
        <v>4323</v>
      </c>
    </row>
    <row r="51" spans="2:12" ht="33" hidden="1" customHeight="1">
      <c r="B51" s="971">
        <f ca="1">SUM($J$35:J51)</f>
        <v>9</v>
      </c>
      <c r="C51" s="972"/>
      <c r="D51" s="968" t="e">
        <f>VLOOKUP(C51,chitiet!E:F,2,0)</f>
        <v>#N/A</v>
      </c>
      <c r="E51" s="968">
        <f ca="1">SUMIF(chitiet!E:H,KTCT!C51,chitiet!H:H)</f>
        <v>0</v>
      </c>
      <c r="F51" s="968">
        <f ca="1">SUMIF(chitiet!E:P,KTCT!C51,chitiet!P:P)</f>
        <v>4321.0049999999983</v>
      </c>
      <c r="G51" s="968"/>
      <c r="H51" s="968"/>
      <c r="I51" s="971"/>
      <c r="J51" s="964">
        <f t="shared" ca="1" si="1"/>
        <v>1</v>
      </c>
      <c r="L51" s="973" t="s">
        <v>4324</v>
      </c>
    </row>
    <row r="52" spans="2:12" ht="33" hidden="1" customHeight="1">
      <c r="B52" s="971">
        <f ca="1">SUM($J$35:J52)</f>
        <v>10</v>
      </c>
      <c r="C52" s="972"/>
      <c r="D52" s="968" t="e">
        <f>VLOOKUP(C52,chitiet!E:F,2,0)</f>
        <v>#N/A</v>
      </c>
      <c r="E52" s="968">
        <f ca="1">SUMIF(chitiet!E:H,KTCT!C52,chitiet!H:H)</f>
        <v>0</v>
      </c>
      <c r="F52" s="968">
        <f ca="1">SUMIF(chitiet!E:P,KTCT!C52,chitiet!P:P)</f>
        <v>4321.0049999999983</v>
      </c>
      <c r="G52" s="968"/>
      <c r="H52" s="968"/>
      <c r="I52" s="971"/>
      <c r="J52" s="964">
        <f t="shared" ca="1" si="1"/>
        <v>1</v>
      </c>
      <c r="L52" s="974" t="s">
        <v>4325</v>
      </c>
    </row>
    <row r="53" spans="2:12" ht="33" hidden="1" customHeight="1">
      <c r="B53" s="971">
        <f ca="1">SUM($J$35:J53)</f>
        <v>11</v>
      </c>
      <c r="C53" s="972"/>
      <c r="D53" s="968" t="e">
        <f>VLOOKUP(C53,chitiet!E:F,2,0)</f>
        <v>#N/A</v>
      </c>
      <c r="E53" s="968">
        <f ca="1">SUMIF(chitiet!E:H,KTCT!C53,chitiet!H:H)</f>
        <v>0</v>
      </c>
      <c r="F53" s="968">
        <f ca="1">SUMIF(chitiet!E:P,KTCT!C53,chitiet!P:P)</f>
        <v>4321.0049999999983</v>
      </c>
      <c r="G53" s="968"/>
      <c r="H53" s="968"/>
      <c r="I53" s="971"/>
      <c r="J53" s="964">
        <f t="shared" ca="1" si="1"/>
        <v>1</v>
      </c>
      <c r="L53" s="974" t="s">
        <v>4326</v>
      </c>
    </row>
    <row r="54" spans="2:12" ht="33" hidden="1" customHeight="1">
      <c r="B54" s="971">
        <f ca="1">SUM($J$35:J54)</f>
        <v>12</v>
      </c>
      <c r="C54" s="972"/>
      <c r="D54" s="968" t="e">
        <f>VLOOKUP(C54,chitiet!E:F,2,0)</f>
        <v>#N/A</v>
      </c>
      <c r="E54" s="968">
        <f ca="1">SUMIF(chitiet!E:H,KTCT!C54,chitiet!H:H)</f>
        <v>0</v>
      </c>
      <c r="F54" s="968">
        <f ca="1">SUMIF(chitiet!E:P,KTCT!C54,chitiet!P:P)</f>
        <v>4321.0049999999983</v>
      </c>
      <c r="G54" s="968"/>
      <c r="H54" s="968"/>
      <c r="I54" s="971"/>
      <c r="J54" s="964">
        <f t="shared" ca="1" si="1"/>
        <v>1</v>
      </c>
      <c r="L54" s="973" t="s">
        <v>4327</v>
      </c>
    </row>
    <row r="55" spans="2:12" ht="33" hidden="1" customHeight="1">
      <c r="B55" s="971">
        <f ca="1">SUM($J$35:J55)</f>
        <v>13</v>
      </c>
      <c r="C55" s="972"/>
      <c r="D55" s="968" t="e">
        <f>VLOOKUP(C55,chitiet!E:F,2,0)</f>
        <v>#N/A</v>
      </c>
      <c r="E55" s="968">
        <f ca="1">SUMIF(chitiet!E:H,KTCT!C55,chitiet!H:H)</f>
        <v>0</v>
      </c>
      <c r="F55" s="968">
        <f ca="1">SUMIF(chitiet!E:P,KTCT!C55,chitiet!P:P)</f>
        <v>4321.0049999999983</v>
      </c>
      <c r="G55" s="968"/>
      <c r="H55" s="968"/>
      <c r="I55" s="971"/>
      <c r="J55" s="964">
        <f t="shared" ca="1" si="1"/>
        <v>1</v>
      </c>
      <c r="L55" s="973" t="s">
        <v>4328</v>
      </c>
    </row>
    <row r="56" spans="2:12" ht="33" hidden="1" customHeight="1">
      <c r="B56" s="971">
        <f ca="1">SUM($J$35:J56)</f>
        <v>14</v>
      </c>
      <c r="C56" s="972"/>
      <c r="D56" s="968" t="e">
        <f>VLOOKUP(C56,chitiet!E:F,2,0)</f>
        <v>#N/A</v>
      </c>
      <c r="E56" s="968">
        <f ca="1">SUMIF(chitiet!E:H,KTCT!C56,chitiet!H:H)</f>
        <v>0</v>
      </c>
      <c r="F56" s="968">
        <f ca="1">SUMIF(chitiet!E:P,KTCT!C56,chitiet!P:P)</f>
        <v>4321.0049999999983</v>
      </c>
      <c r="G56" s="968"/>
      <c r="H56" s="968"/>
      <c r="I56" s="971"/>
      <c r="J56" s="964">
        <f t="shared" ca="1" si="1"/>
        <v>1</v>
      </c>
      <c r="L56" s="973" t="s">
        <v>4329</v>
      </c>
    </row>
    <row r="57" spans="2:12" ht="33" hidden="1" customHeight="1">
      <c r="B57" s="971">
        <f ca="1">SUM($J$35:J57)</f>
        <v>15</v>
      </c>
      <c r="C57" s="972"/>
      <c r="D57" s="968" t="e">
        <f>VLOOKUP(C57,chitiet!E:F,2,0)</f>
        <v>#N/A</v>
      </c>
      <c r="E57" s="968">
        <f ca="1">SUMIF(chitiet!E:H,KTCT!C57,chitiet!H:H)</f>
        <v>0</v>
      </c>
      <c r="F57" s="968">
        <f ca="1">SUMIF(chitiet!E:P,KTCT!C57,chitiet!P:P)</f>
        <v>4321.0049999999983</v>
      </c>
      <c r="G57" s="968"/>
      <c r="H57" s="968"/>
      <c r="I57" s="971"/>
      <c r="J57" s="964">
        <f t="shared" ca="1" si="1"/>
        <v>1</v>
      </c>
      <c r="L57" s="973" t="s">
        <v>4330</v>
      </c>
    </row>
    <row r="58" spans="2:12" ht="33" hidden="1" customHeight="1">
      <c r="B58" s="971">
        <f ca="1">SUM($J$35:J58)</f>
        <v>16</v>
      </c>
      <c r="C58" s="972"/>
      <c r="D58" s="968" t="e">
        <f>VLOOKUP(C58,chitiet!E:F,2,0)</f>
        <v>#N/A</v>
      </c>
      <c r="E58" s="968">
        <f ca="1">SUMIF(chitiet!E:H,KTCT!C58,chitiet!H:H)</f>
        <v>0</v>
      </c>
      <c r="F58" s="968">
        <f ca="1">SUMIF(chitiet!E:P,KTCT!C58,chitiet!P:P)</f>
        <v>4321.0049999999983</v>
      </c>
      <c r="G58" s="968"/>
      <c r="H58" s="968"/>
      <c r="I58" s="971"/>
      <c r="J58" s="964">
        <f t="shared" ca="1" si="1"/>
        <v>1</v>
      </c>
      <c r="L58" s="940"/>
    </row>
    <row r="59" spans="2:12" ht="33" hidden="1" customHeight="1">
      <c r="B59" s="971">
        <f ca="1">SUM($J$35:J59)</f>
        <v>17</v>
      </c>
      <c r="C59" s="972"/>
      <c r="D59" s="968" t="e">
        <f>VLOOKUP(C59,chitiet!E:F,2,0)</f>
        <v>#N/A</v>
      </c>
      <c r="E59" s="968">
        <f ca="1">SUMIF(chitiet!E:H,KTCT!C59,chitiet!H:H)</f>
        <v>0</v>
      </c>
      <c r="F59" s="968">
        <f ca="1">SUMIF(chitiet!E:P,KTCT!C59,chitiet!P:P)</f>
        <v>4321.0049999999983</v>
      </c>
      <c r="G59" s="968"/>
      <c r="H59" s="968"/>
      <c r="I59" s="971"/>
      <c r="J59" s="964">
        <f t="shared" ca="1" si="1"/>
        <v>1</v>
      </c>
      <c r="L59" s="940"/>
    </row>
    <row r="60" spans="2:12" ht="33" hidden="1" customHeight="1">
      <c r="B60" s="966" t="s">
        <v>961</v>
      </c>
      <c r="C60" s="2007" t="s">
        <v>4646</v>
      </c>
      <c r="D60" s="968"/>
      <c r="E60" s="968"/>
      <c r="F60" s="968"/>
      <c r="G60" s="968" t="str">
        <f t="shared" ref="G60:G65" si="4">IF(F60&gt;E60,F60-E60,"")</f>
        <v/>
      </c>
      <c r="H60" s="968" t="str">
        <f t="shared" ref="H60:H65" si="5">IF(F60&lt;E60,-F60+E60,"")</f>
        <v/>
      </c>
      <c r="I60" s="971"/>
      <c r="J60" s="964">
        <f>IF(SUM(J61:J76)&gt;0,1,0)</f>
        <v>0</v>
      </c>
    </row>
    <row r="61" spans="2:12" ht="33" hidden="1" customHeight="1">
      <c r="B61" s="971">
        <f>SUM($J$61:J61)</f>
        <v>0</v>
      </c>
      <c r="C61" s="972" t="str">
        <f>CT_tram!E1134</f>
        <v>Máy biến áp 22/0,4kV- 250kVA</v>
      </c>
      <c r="D61" s="968" t="str">
        <f>CT_tram!F1134</f>
        <v>máy</v>
      </c>
      <c r="E61" s="968">
        <f>CT_tram!G1134</f>
        <v>0</v>
      </c>
      <c r="F61" s="968">
        <f>CT_tram!H1134</f>
        <v>0</v>
      </c>
      <c r="G61" s="968" t="str">
        <f t="shared" si="4"/>
        <v/>
      </c>
      <c r="H61" s="968" t="str">
        <f t="shared" si="5"/>
        <v/>
      </c>
      <c r="I61" s="971"/>
      <c r="J61" s="964">
        <f t="shared" si="1"/>
        <v>0</v>
      </c>
      <c r="L61" s="954" t="s">
        <v>4331</v>
      </c>
    </row>
    <row r="62" spans="2:12" ht="33" hidden="1" customHeight="1">
      <c r="B62" s="971">
        <f>SUM($J$61:J62)</f>
        <v>0</v>
      </c>
      <c r="C62" s="972" t="str">
        <f>CT_tram!E1137</f>
        <v>LA 18kV 10kA</v>
      </c>
      <c r="D62" s="968" t="str">
        <f>CT_tram!F1137</f>
        <v>cái</v>
      </c>
      <c r="E62" s="968">
        <f>CT_tram!G1137</f>
        <v>0</v>
      </c>
      <c r="F62" s="968">
        <f>CT_tram!H1137</f>
        <v>0</v>
      </c>
      <c r="G62" s="968" t="str">
        <f t="shared" si="4"/>
        <v/>
      </c>
      <c r="H62" s="968" t="str">
        <f t="shared" si="5"/>
        <v/>
      </c>
      <c r="I62" s="971"/>
      <c r="J62" s="964">
        <f t="shared" si="1"/>
        <v>0</v>
      </c>
      <c r="L62" s="954" t="s">
        <v>4332</v>
      </c>
    </row>
    <row r="63" spans="2:12" ht="33" hidden="1" customHeight="1">
      <c r="B63" s="971">
        <f>SUM($J$61:J63)</f>
        <v>0</v>
      </c>
      <c r="C63" s="972" t="str">
        <f>CT_tram!E1138</f>
        <v>MCCB 3 cực 690V - 400A - 50KA</v>
      </c>
      <c r="D63" s="968" t="str">
        <f>CT_tram!F1138</f>
        <v>cái</v>
      </c>
      <c r="E63" s="968">
        <f>CT_tram!G1138</f>
        <v>0</v>
      </c>
      <c r="F63" s="968">
        <f>CT_tram!H1138</f>
        <v>0</v>
      </c>
      <c r="G63" s="968" t="str">
        <f t="shared" si="4"/>
        <v/>
      </c>
      <c r="H63" s="968" t="str">
        <f t="shared" si="5"/>
        <v/>
      </c>
      <c r="I63" s="971"/>
      <c r="J63" s="964">
        <f t="shared" si="1"/>
        <v>0</v>
      </c>
      <c r="L63" s="954" t="s">
        <v>4333</v>
      </c>
    </row>
    <row r="64" spans="2:12" ht="33" hidden="1" customHeight="1">
      <c r="B64" s="971">
        <f>SUM($J$61:J64)</f>
        <v>0</v>
      </c>
      <c r="C64" s="972" t="str">
        <f>CT_tram!E1139</f>
        <v>Tủ tụ bù hạ thế 100kVAr</v>
      </c>
      <c r="D64" s="968" t="str">
        <f>CT_tram!F1139</f>
        <v>tủ</v>
      </c>
      <c r="E64" s="968">
        <f>CT_tram!G1139</f>
        <v>0</v>
      </c>
      <c r="F64" s="968">
        <f>CT_tram!H1139</f>
        <v>0</v>
      </c>
      <c r="G64" s="968" t="str">
        <f t="shared" si="4"/>
        <v/>
      </c>
      <c r="H64" s="968" t="str">
        <f t="shared" si="5"/>
        <v/>
      </c>
      <c r="I64" s="971"/>
      <c r="J64" s="964">
        <f t="shared" si="1"/>
        <v>0</v>
      </c>
      <c r="L64" s="954" t="s">
        <v>4334</v>
      </c>
    </row>
    <row r="65" spans="2:12" ht="33" hidden="1" customHeight="1">
      <c r="B65" s="971">
        <f>SUM($J$61:J65)</f>
        <v>0</v>
      </c>
      <c r="C65" s="1259" t="str">
        <f>CT_tram!E1162</f>
        <v>Đà đặt MBA</v>
      </c>
      <c r="D65" s="1121" t="str">
        <f>CT_tram!F1162</f>
        <v>Bộ</v>
      </c>
      <c r="E65" s="1121">
        <f>CT_tram!G1162</f>
        <v>0</v>
      </c>
      <c r="F65" s="1121">
        <f>CT_tram!H1162</f>
        <v>0</v>
      </c>
      <c r="G65" s="968" t="str">
        <f t="shared" si="4"/>
        <v/>
      </c>
      <c r="H65" s="968" t="str">
        <f t="shared" si="5"/>
        <v/>
      </c>
      <c r="I65" s="971"/>
      <c r="J65" s="964">
        <f t="shared" si="1"/>
        <v>0</v>
      </c>
      <c r="L65" s="954" t="s">
        <v>4335</v>
      </c>
    </row>
    <row r="66" spans="2:12" ht="33" hidden="1" customHeight="1">
      <c r="B66" s="971">
        <f>SUM($J$61:J66)</f>
        <v>0</v>
      </c>
      <c r="C66" s="1259"/>
      <c r="D66" s="1121"/>
      <c r="E66" s="1121"/>
      <c r="F66" s="1121"/>
      <c r="G66" s="968" t="str">
        <f t="shared" ref="G66:G74" si="6">IF(F66&gt;E66,F66-E66,"")</f>
        <v/>
      </c>
      <c r="H66" s="968" t="str">
        <f t="shared" ref="H66:H74" si="7">IF(F66&lt;E66,-F66+E66,"")</f>
        <v/>
      </c>
      <c r="I66" s="971"/>
      <c r="J66" s="964">
        <f t="shared" si="1"/>
        <v>0</v>
      </c>
      <c r="L66" s="954" t="s">
        <v>4336</v>
      </c>
    </row>
    <row r="67" spans="2:12" ht="33" hidden="1" customHeight="1">
      <c r="B67" s="971">
        <f>SUM($J$61:J67)</f>
        <v>0</v>
      </c>
      <c r="C67" s="1259"/>
      <c r="D67" s="1121"/>
      <c r="E67" s="1121"/>
      <c r="F67" s="1121"/>
      <c r="G67" s="968" t="str">
        <f>IF(F67&gt;E67,F67-E67,"")</f>
        <v/>
      </c>
      <c r="H67" s="968" t="str">
        <f>IF(F67&lt;E67,-F67+E67,"")</f>
        <v/>
      </c>
      <c r="I67" s="971"/>
      <c r="J67" s="964">
        <f t="shared" si="1"/>
        <v>0</v>
      </c>
      <c r="L67" s="954" t="s">
        <v>4337</v>
      </c>
    </row>
    <row r="68" spans="2:12" ht="33" hidden="1" customHeight="1">
      <c r="B68" s="971">
        <f>SUM($J$61:J68)</f>
        <v>0</v>
      </c>
      <c r="C68" s="1259" t="str">
        <f>CT_tram!E1227</f>
        <v>Bộ tiếp địa Trạm biến áp</v>
      </c>
      <c r="D68" s="1121" t="str">
        <f>CT_tram!F1227</f>
        <v>Bộ</v>
      </c>
      <c r="E68" s="1121">
        <f>CT_tram!G1227</f>
        <v>0</v>
      </c>
      <c r="F68" s="1121">
        <f>CT_tram!H1227</f>
        <v>0</v>
      </c>
      <c r="G68" s="968" t="str">
        <f t="shared" si="6"/>
        <v/>
      </c>
      <c r="H68" s="968" t="str">
        <f t="shared" si="7"/>
        <v/>
      </c>
      <c r="I68" s="971"/>
      <c r="J68" s="964">
        <f t="shared" si="1"/>
        <v>0</v>
      </c>
      <c r="L68" s="954" t="s">
        <v>4337</v>
      </c>
    </row>
    <row r="69" spans="2:12" ht="33" hidden="1" customHeight="1">
      <c r="B69" s="971">
        <f>SUM($J$61:J69)</f>
        <v>0</v>
      </c>
      <c r="C69" s="1259"/>
      <c r="D69" s="1121"/>
      <c r="E69" s="1121"/>
      <c r="F69" s="1121"/>
      <c r="G69" s="968" t="str">
        <f t="shared" si="6"/>
        <v/>
      </c>
      <c r="H69" s="968" t="str">
        <f t="shared" si="7"/>
        <v/>
      </c>
      <c r="I69" s="971"/>
      <c r="J69" s="964">
        <f t="shared" si="1"/>
        <v>0</v>
      </c>
      <c r="L69" s="954" t="s">
        <v>4338</v>
      </c>
    </row>
    <row r="70" spans="2:12" ht="33" hidden="1" customHeight="1">
      <c r="B70" s="971">
        <f>SUM($J$61:J70)</f>
        <v>0</v>
      </c>
      <c r="C70" s="1259" t="str">
        <f>CT_tram!E1295</f>
        <v>Cáp 24KV C/XLPE/PVC 25mm2</v>
      </c>
      <c r="D70" s="1121" t="str">
        <f>CT_tram!F1295</f>
        <v>mét</v>
      </c>
      <c r="E70" s="1121">
        <f>CT_tram!G1295</f>
        <v>0</v>
      </c>
      <c r="F70" s="1121">
        <f>CT_tram!H1295</f>
        <v>0</v>
      </c>
      <c r="G70" s="968" t="str">
        <f t="shared" si="6"/>
        <v/>
      </c>
      <c r="H70" s="968" t="str">
        <f t="shared" si="7"/>
        <v/>
      </c>
      <c r="I70" s="971"/>
      <c r="J70" s="964">
        <f t="shared" si="1"/>
        <v>0</v>
      </c>
      <c r="L70" s="954" t="s">
        <v>4339</v>
      </c>
    </row>
    <row r="71" spans="2:12" ht="33" hidden="1" customHeight="1">
      <c r="B71" s="971">
        <f>SUM($J$61:J71)</f>
        <v>0</v>
      </c>
      <c r="C71" s="1259"/>
      <c r="D71" s="1121"/>
      <c r="E71" s="1121"/>
      <c r="F71" s="1121"/>
      <c r="G71" s="968" t="str">
        <f t="shared" si="6"/>
        <v/>
      </c>
      <c r="H71" s="968" t="str">
        <f t="shared" si="7"/>
        <v/>
      </c>
      <c r="I71" s="971"/>
      <c r="J71" s="964">
        <f t="shared" si="1"/>
        <v>0</v>
      </c>
      <c r="L71" s="954" t="s">
        <v>4340</v>
      </c>
    </row>
    <row r="72" spans="2:12" ht="33" hidden="1" customHeight="1">
      <c r="B72" s="971">
        <f>SUM($J$61:J72)</f>
        <v>0</v>
      </c>
      <c r="C72" s="1275"/>
      <c r="D72" s="1274"/>
      <c r="E72" s="1121"/>
      <c r="F72" s="1121"/>
      <c r="G72" s="968" t="str">
        <f t="shared" si="6"/>
        <v/>
      </c>
      <c r="H72" s="968" t="str">
        <f t="shared" si="7"/>
        <v/>
      </c>
      <c r="I72" s="971"/>
      <c r="J72" s="964">
        <f t="shared" si="1"/>
        <v>0</v>
      </c>
      <c r="L72" s="954" t="s">
        <v>4341</v>
      </c>
    </row>
    <row r="73" spans="2:12" ht="33" hidden="1" customHeight="1">
      <c r="B73" s="971">
        <f>SUM($J$61:J73)</f>
        <v>0</v>
      </c>
      <c r="C73" s="1275"/>
      <c r="D73" s="1274"/>
      <c r="E73" s="1121"/>
      <c r="F73" s="1121"/>
      <c r="G73" s="968" t="str">
        <f t="shared" si="6"/>
        <v/>
      </c>
      <c r="H73" s="968" t="str">
        <f t="shared" si="7"/>
        <v/>
      </c>
      <c r="I73" s="971"/>
      <c r="J73" s="964">
        <f t="shared" si="1"/>
        <v>0</v>
      </c>
      <c r="L73" s="954" t="s">
        <v>4342</v>
      </c>
    </row>
    <row r="74" spans="2:12" ht="33" hidden="1" customHeight="1">
      <c r="B74" s="971">
        <f>SUM($J$61:J74)</f>
        <v>0</v>
      </c>
      <c r="C74" s="972"/>
      <c r="D74" s="968"/>
      <c r="E74" s="968"/>
      <c r="F74" s="968"/>
      <c r="G74" s="968" t="str">
        <f t="shared" si="6"/>
        <v/>
      </c>
      <c r="H74" s="968" t="str">
        <f t="shared" si="7"/>
        <v/>
      </c>
      <c r="I74" s="971"/>
      <c r="J74" s="964">
        <f t="shared" si="1"/>
        <v>0</v>
      </c>
      <c r="L74" s="954" t="s">
        <v>4343</v>
      </c>
    </row>
    <row r="75" spans="2:12" ht="33" hidden="1" customHeight="1">
      <c r="B75" s="971">
        <f>SUM($J$61:J75)</f>
        <v>0</v>
      </c>
      <c r="C75" s="972"/>
      <c r="D75" s="968"/>
      <c r="E75" s="968"/>
      <c r="F75" s="968"/>
      <c r="G75" s="968" t="str">
        <f>IF(F75&gt;E75,F75-E75,"")</f>
        <v/>
      </c>
      <c r="H75" s="968" t="str">
        <f>IF(F75&lt;E75,E75-F75,"")</f>
        <v/>
      </c>
      <c r="I75" s="971"/>
      <c r="J75" s="964">
        <f t="shared" si="1"/>
        <v>0</v>
      </c>
      <c r="L75" s="954" t="s">
        <v>4344</v>
      </c>
    </row>
    <row r="76" spans="2:12" ht="33" hidden="1" customHeight="1">
      <c r="B76" s="971">
        <f>SUM($J$61:J76)</f>
        <v>0</v>
      </c>
      <c r="C76" s="972"/>
      <c r="D76" s="968"/>
      <c r="E76" s="968"/>
      <c r="F76" s="968"/>
      <c r="G76" s="968" t="str">
        <f>IF(F76&gt;E76,F76-E76,"")</f>
        <v/>
      </c>
      <c r="H76" s="968" t="str">
        <f>IF(F76&lt;E76,E76-F76,"")</f>
        <v/>
      </c>
      <c r="I76" s="971"/>
      <c r="J76" s="964">
        <f t="shared" si="1"/>
        <v>0</v>
      </c>
      <c r="L76" s="954" t="s">
        <v>4345</v>
      </c>
    </row>
    <row r="77" spans="2:12" ht="33" hidden="1" customHeight="1">
      <c r="B77" s="971">
        <f>SUM($J$61:J77)</f>
        <v>0</v>
      </c>
      <c r="C77" s="972"/>
      <c r="D77" s="968"/>
      <c r="E77" s="968"/>
      <c r="F77" s="968"/>
      <c r="G77" s="968" t="str">
        <f>IF(F77&gt;E77,F77-E77,"")</f>
        <v/>
      </c>
      <c r="H77" s="968" t="str">
        <f>IF(F77&lt;E77,E77-F77,"")</f>
        <v/>
      </c>
      <c r="I77" s="971"/>
      <c r="J77" s="964">
        <f t="shared" si="1"/>
        <v>0</v>
      </c>
      <c r="L77" s="954" t="s">
        <v>4346</v>
      </c>
    </row>
    <row r="78" spans="2:12" ht="33" hidden="1" customHeight="1">
      <c r="B78" s="971">
        <f>SUM($J$61:J78)</f>
        <v>0</v>
      </c>
      <c r="C78" s="972"/>
      <c r="D78" s="968"/>
      <c r="E78" s="968"/>
      <c r="F78" s="968"/>
      <c r="G78" s="968" t="str">
        <f>IF(F78&gt;E78,F78-E78,"")</f>
        <v/>
      </c>
      <c r="H78" s="968" t="str">
        <f>IF(F78&lt;E78,E78-F78,"")</f>
        <v/>
      </c>
      <c r="I78" s="971"/>
      <c r="J78" s="964">
        <f t="shared" si="1"/>
        <v>0</v>
      </c>
      <c r="L78" s="954" t="s">
        <v>4347</v>
      </c>
    </row>
    <row r="79" spans="2:12" ht="33" hidden="1" customHeight="1">
      <c r="B79" s="971">
        <f>SUM($J$61:J79)</f>
        <v>0</v>
      </c>
      <c r="C79" s="972"/>
      <c r="D79" s="968"/>
      <c r="E79" s="968"/>
      <c r="F79" s="968"/>
      <c r="G79" s="968"/>
      <c r="H79" s="968"/>
      <c r="I79" s="971"/>
      <c r="J79" s="964">
        <f t="shared" si="1"/>
        <v>0</v>
      </c>
      <c r="L79" s="940"/>
    </row>
    <row r="80" spans="2:12" ht="33" hidden="1" customHeight="1">
      <c r="B80" s="971">
        <f>SUM($J$61:J80)</f>
        <v>0</v>
      </c>
      <c r="C80" s="972"/>
      <c r="D80" s="968"/>
      <c r="E80" s="968"/>
      <c r="F80" s="968"/>
      <c r="G80" s="968"/>
      <c r="H80" s="968"/>
      <c r="I80" s="971"/>
      <c r="J80" s="964">
        <f t="shared" si="1"/>
        <v>0</v>
      </c>
      <c r="L80" s="940"/>
    </row>
    <row r="81" spans="1:12" ht="33" hidden="1" customHeight="1">
      <c r="B81" s="971">
        <f>SUM($J$61:J81)</f>
        <v>0</v>
      </c>
      <c r="C81" s="972"/>
      <c r="D81" s="968"/>
      <c r="E81" s="968"/>
      <c r="F81" s="968"/>
      <c r="G81" s="968"/>
      <c r="H81" s="968"/>
      <c r="I81" s="971"/>
      <c r="J81" s="964">
        <f t="shared" si="1"/>
        <v>0</v>
      </c>
      <c r="L81" s="940"/>
    </row>
    <row r="82" spans="1:12" ht="33" hidden="1" customHeight="1">
      <c r="B82" s="971">
        <f>SUM($J$61:J82)</f>
        <v>0</v>
      </c>
      <c r="C82" s="972"/>
      <c r="D82" s="968"/>
      <c r="E82" s="968"/>
      <c r="F82" s="968"/>
      <c r="G82" s="968"/>
      <c r="H82" s="968"/>
      <c r="I82" s="971"/>
      <c r="J82" s="964">
        <f t="shared" si="1"/>
        <v>0</v>
      </c>
      <c r="L82" s="940"/>
    </row>
    <row r="83" spans="1:12" ht="33" hidden="1" customHeight="1">
      <c r="B83" s="971">
        <f>SUM($J$61:J83)</f>
        <v>0</v>
      </c>
      <c r="C83" s="972"/>
      <c r="D83" s="968"/>
      <c r="E83" s="968"/>
      <c r="F83" s="968"/>
      <c r="G83" s="968"/>
      <c r="H83" s="968"/>
      <c r="I83" s="971"/>
      <c r="J83" s="964">
        <f t="shared" si="1"/>
        <v>0</v>
      </c>
      <c r="L83" s="940"/>
    </row>
    <row r="84" spans="1:12" ht="33" hidden="1" customHeight="1">
      <c r="B84" s="971">
        <f>SUM($J$61:J84)</f>
        <v>0</v>
      </c>
      <c r="C84" s="972"/>
      <c r="D84" s="968"/>
      <c r="E84" s="968"/>
      <c r="F84" s="968"/>
      <c r="G84" s="968"/>
      <c r="H84" s="968"/>
      <c r="I84" s="971"/>
      <c r="J84" s="964">
        <f t="shared" si="1"/>
        <v>0</v>
      </c>
      <c r="L84" s="940"/>
    </row>
    <row r="85" spans="1:12" ht="33" hidden="1" customHeight="1">
      <c r="B85" s="971">
        <f>SUM($J$61:J85)</f>
        <v>0</v>
      </c>
      <c r="C85" s="972"/>
      <c r="D85" s="968"/>
      <c r="E85" s="968"/>
      <c r="F85" s="968"/>
      <c r="G85" s="968"/>
      <c r="H85" s="968"/>
      <c r="I85" s="971"/>
      <c r="J85" s="964">
        <f t="shared" si="1"/>
        <v>0</v>
      </c>
      <c r="L85" s="940"/>
    </row>
    <row r="86" spans="1:12" ht="33" hidden="1" customHeight="1">
      <c r="B86" s="971">
        <f>SUM($J$61:J86)</f>
        <v>0</v>
      </c>
      <c r="C86" s="972"/>
      <c r="D86" s="968"/>
      <c r="E86" s="968"/>
      <c r="F86" s="968"/>
      <c r="G86" s="968"/>
      <c r="H86" s="968"/>
      <c r="I86" s="971"/>
      <c r="J86" s="964">
        <f t="shared" si="1"/>
        <v>0</v>
      </c>
      <c r="L86" s="940"/>
    </row>
    <row r="87" spans="1:12" ht="33" hidden="1" customHeight="1">
      <c r="B87" s="971">
        <f>SUM($J$61:J87)</f>
        <v>0</v>
      </c>
      <c r="C87" s="2005"/>
      <c r="D87" s="968"/>
      <c r="E87" s="968"/>
      <c r="F87" s="968"/>
      <c r="G87" s="968"/>
      <c r="H87" s="968"/>
      <c r="I87" s="975"/>
      <c r="J87" s="964">
        <f t="shared" si="1"/>
        <v>0</v>
      </c>
      <c r="L87" s="940"/>
    </row>
    <row r="88" spans="1:12" ht="6.75" customHeight="1">
      <c r="B88" s="976"/>
      <c r="C88" s="977"/>
      <c r="D88" s="978"/>
      <c r="E88" s="978"/>
      <c r="F88" s="978"/>
      <c r="G88" s="978"/>
      <c r="H88" s="978"/>
      <c r="I88" s="976"/>
    </row>
    <row r="89" spans="1:12" ht="30" hidden="1" customHeight="1">
      <c r="B89" s="944" t="s">
        <v>4348</v>
      </c>
      <c r="C89" s="979"/>
      <c r="D89" s="980"/>
      <c r="E89" s="981"/>
      <c r="F89" s="981"/>
    </row>
    <row r="90" spans="1:12" ht="22.5" hidden="1" customHeight="1">
      <c r="B90" s="945" t="s">
        <v>4349</v>
      </c>
      <c r="C90" s="979"/>
      <c r="D90" s="980"/>
      <c r="E90" s="981"/>
      <c r="F90" s="981"/>
    </row>
    <row r="91" spans="1:12" ht="33.75" hidden="1" customHeight="1">
      <c r="B91" s="945" t="s">
        <v>4350</v>
      </c>
    </row>
    <row r="92" spans="1:12" ht="41.25" hidden="1" customHeight="1">
      <c r="A92" s="2601" t="s">
        <v>4593</v>
      </c>
      <c r="B92" s="2601"/>
      <c r="C92" s="2601"/>
      <c r="D92" s="2601"/>
      <c r="E92" s="2601"/>
      <c r="F92" s="2601"/>
      <c r="G92" s="2601"/>
      <c r="H92" s="2601"/>
      <c r="I92" s="2601"/>
    </row>
    <row r="93" spans="1:12" ht="22.5" hidden="1" customHeight="1">
      <c r="B93" s="944" t="s">
        <v>4351</v>
      </c>
    </row>
    <row r="94" spans="1:12" ht="22.5" hidden="1" customHeight="1">
      <c r="B94" s="982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02" t="s">
        <v>4591</v>
      </c>
      <c r="B96" s="2602"/>
      <c r="C96" s="2602"/>
      <c r="D96" s="2602"/>
      <c r="E96" s="2602"/>
      <c r="F96" s="2602"/>
      <c r="G96" s="2602"/>
      <c r="H96" s="2602"/>
      <c r="I96" s="2602"/>
    </row>
    <row r="97" spans="1:9" ht="22.5" hidden="1" customHeight="1">
      <c r="B97" s="982" t="s">
        <v>4354</v>
      </c>
    </row>
    <row r="98" spans="1:9" ht="16.8" hidden="1">
      <c r="A98" s="2603" t="s">
        <v>4592</v>
      </c>
      <c r="B98" s="2603"/>
      <c r="C98" s="2603"/>
      <c r="D98" s="2603"/>
      <c r="E98" s="2603"/>
      <c r="F98" s="2603"/>
      <c r="G98" s="2603"/>
      <c r="H98" s="2603"/>
      <c r="I98" s="2603"/>
    </row>
    <row r="99" spans="1:9" ht="22.5" hidden="1" customHeight="1">
      <c r="B99" s="983" t="s">
        <v>4355</v>
      </c>
    </row>
    <row r="100" spans="1:9" ht="28.5" hidden="1" customHeight="1">
      <c r="C100" s="953" t="s">
        <v>4356</v>
      </c>
      <c r="F100" s="984"/>
      <c r="G100" s="951" t="s">
        <v>4291</v>
      </c>
      <c r="H100" s="984"/>
      <c r="I100" s="984"/>
    </row>
    <row r="101" spans="1:9" ht="15.9" hidden="1" customHeight="1">
      <c r="F101" s="984"/>
      <c r="G101" s="951" t="s">
        <v>4292</v>
      </c>
      <c r="H101" s="984"/>
      <c r="I101" s="984"/>
    </row>
    <row r="102" spans="1:9" ht="15.9" hidden="1" customHeight="1">
      <c r="F102" s="950"/>
      <c r="G102" s="1136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4"/>
      <c r="G109" s="951" t="s">
        <v>4293</v>
      </c>
      <c r="H109" s="984"/>
      <c r="I109" s="984"/>
    </row>
    <row r="110" spans="1:9" ht="15.9" hidden="1" customHeight="1">
      <c r="F110" s="984"/>
      <c r="G110" s="1136" t="e">
        <f>Solieu!#REF!</f>
        <v>#REF!</v>
      </c>
      <c r="H110" s="984"/>
      <c r="I110" s="984"/>
    </row>
    <row r="111" spans="1:9" ht="15.9" hidden="1" customHeight="1">
      <c r="F111" s="984"/>
      <c r="G111" s="1136" t="e">
        <f>Solieu!#REF!</f>
        <v>#REF!</v>
      </c>
      <c r="H111" s="984"/>
      <c r="I111" s="984"/>
    </row>
    <row r="112" spans="1:9" ht="15.9" hidden="1" customHeight="1">
      <c r="F112" s="984"/>
      <c r="G112" s="1136" t="s">
        <v>2339</v>
      </c>
      <c r="H112" s="984"/>
      <c r="I112" s="984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3" t="s">
        <v>4357</v>
      </c>
    </row>
    <row r="119" spans="2:8" ht="33.9" hidden="1" customHeight="1"/>
    <row r="120" spans="2:8" ht="27.75" hidden="1" customHeight="1">
      <c r="B120" s="985"/>
      <c r="C120" s="986"/>
      <c r="E120" s="985"/>
      <c r="F120" s="986"/>
      <c r="G120" s="986"/>
      <c r="H120" s="986"/>
    </row>
    <row r="121" spans="2:8" ht="27.75" hidden="1" customHeight="1">
      <c r="B121" s="985"/>
      <c r="C121" s="986"/>
      <c r="E121" s="985"/>
      <c r="F121" s="986"/>
      <c r="G121" s="986"/>
      <c r="H121" s="986"/>
    </row>
    <row r="122" spans="2:8" ht="27.75" hidden="1" customHeight="1">
      <c r="B122" s="985"/>
      <c r="C122" s="986"/>
      <c r="E122" s="985"/>
      <c r="F122" s="986"/>
      <c r="G122" s="986"/>
      <c r="H122" s="986"/>
    </row>
    <row r="123" spans="2:8" ht="27.75" hidden="1" customHeight="1">
      <c r="B123" s="985"/>
      <c r="C123" s="986"/>
      <c r="E123" s="985"/>
      <c r="F123" s="986"/>
      <c r="G123" s="986"/>
      <c r="H123" s="986"/>
    </row>
    <row r="124" spans="2:8" ht="27.75" hidden="1" customHeight="1">
      <c r="B124" s="985"/>
      <c r="C124" s="986"/>
      <c r="E124" s="985"/>
      <c r="F124" s="986"/>
      <c r="G124" s="986"/>
      <c r="H124" s="986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65" activePane="bottomLeft" state="frozen"/>
      <selection activeCell="A1228" sqref="A1228"/>
      <selection pane="bottomLeft" activeCell="J86" sqref="J86"/>
    </sheetView>
  </sheetViews>
  <sheetFormatPr defaultRowHeight="16.8"/>
  <cols>
    <col min="1" max="1" width="8.90625" style="1516"/>
    <col min="2" max="2" width="6.453125" style="1525" customWidth="1"/>
    <col min="3" max="3" width="12" style="1788" bestFit="1" customWidth="1"/>
    <col min="4" max="4" width="8.90625" style="1525"/>
    <col min="5" max="5" width="33.453125" style="1854" customWidth="1"/>
    <col min="6" max="6" width="9.36328125" style="1522" customWidth="1"/>
    <col min="7" max="7" width="8.54296875" style="1809" customWidth="1"/>
    <col min="8" max="8" width="8.90625" style="1705"/>
    <col min="9" max="9" width="8.90625" style="1706" customWidth="1"/>
    <col min="10" max="10" width="9.6328125" style="1863" customWidth="1"/>
    <col min="12" max="12" width="8.90625" style="1863"/>
  </cols>
  <sheetData>
    <row r="1" spans="1:12" s="1708" customFormat="1" ht="26.25" customHeight="1">
      <c r="A1" s="1611" t="s">
        <v>4733</v>
      </c>
      <c r="B1" s="1611"/>
      <c r="C1" s="2262" t="s">
        <v>2347</v>
      </c>
      <c r="D1" s="1611" t="s">
        <v>1761</v>
      </c>
      <c r="E1" s="1852" t="str">
        <f>chitiet!E9</f>
        <v>DANH MỤC</v>
      </c>
      <c r="F1" s="1611" t="str">
        <f>chitiet!F9</f>
        <v>ĐƠN VỊ</v>
      </c>
      <c r="G1" s="1808" t="str">
        <f>chitiet!P10</f>
        <v>THI CÔNG</v>
      </c>
      <c r="H1" s="1070" t="s">
        <v>4652</v>
      </c>
      <c r="I1" s="1070" t="s">
        <v>4061</v>
      </c>
      <c r="J1" s="1070" t="s">
        <v>4803</v>
      </c>
      <c r="K1" s="1862" t="s">
        <v>4804</v>
      </c>
      <c r="L1" s="1070" t="s">
        <v>4805</v>
      </c>
    </row>
    <row r="2" spans="1:12" ht="16.5" customHeight="1">
      <c r="C2" s="1788" t="s">
        <v>4956</v>
      </c>
      <c r="D2" s="1524">
        <f>IFERROR(VLOOKUP(C2,DG!A:F,6,0),3000)</f>
        <v>2</v>
      </c>
      <c r="E2" s="1853" t="str">
        <f>IFERROR(VLOOKUP(C2,DG!A:C,3,0),"")</f>
        <v>Trụ BTLT 12m F540 dự ứng lực (k=2)</v>
      </c>
      <c r="F2" s="1850" t="str">
        <f>VLOOKUP(C2,DG!A:D,4,0)</f>
        <v>trụ</v>
      </c>
      <c r="G2" s="1245">
        <v>96</v>
      </c>
      <c r="H2" s="1705">
        <f>IF(D2&lt;2000,COUNTIF($E$2:E2,E2),0)</f>
        <v>1</v>
      </c>
      <c r="I2" s="1711">
        <f t="shared" ref="I2:I65" si="0">IF(G2&gt;0,SUMIF(C:C,C2,G:G),0)</f>
        <v>96</v>
      </c>
    </row>
    <row r="3" spans="1:12" ht="16.5" customHeight="1">
      <c r="C3" s="1788" t="s">
        <v>108</v>
      </c>
      <c r="D3" s="1524">
        <f>IFERROR(VLOOKUP(C3,DG!A:F,6,0),3000)</f>
        <v>2</v>
      </c>
      <c r="E3" s="1853" t="str">
        <f>IFERROR(VLOOKUP(C3,DG!A:C,3,0),"")</f>
        <v>Trụ BTLT 14m F650 dự ứng lực</v>
      </c>
      <c r="F3" s="1850" t="str">
        <f>VLOOKUP(C3,DG!A:D,4,0)</f>
        <v>trụ</v>
      </c>
      <c r="G3" s="1257">
        <v>15</v>
      </c>
      <c r="H3" s="1705">
        <f>IF(D3&lt;2000,COUNTIF($E$2:E3,E3),0)</f>
        <v>1</v>
      </c>
      <c r="I3" s="1711">
        <f t="shared" si="0"/>
        <v>15</v>
      </c>
      <c r="K3" s="1516"/>
    </row>
    <row r="4" spans="1:12" ht="16.5" customHeight="1">
      <c r="C4" s="1788" t="s">
        <v>703</v>
      </c>
      <c r="D4" s="1524">
        <f>IFERROR(VLOOKUP(C4,DG!A:F,6,0),3000)</f>
        <v>6</v>
      </c>
      <c r="E4" s="1853" t="str">
        <f>IFERROR(VLOOKUP(C4,DG!A:C,3,0),"")</f>
        <v xml:space="preserve">Sứ đứng 24KV </v>
      </c>
      <c r="F4" s="1850" t="str">
        <f>VLOOKUP(C4,DG!A:D,4,0)</f>
        <v>cái</v>
      </c>
      <c r="G4" s="1257">
        <v>591</v>
      </c>
      <c r="H4" s="1705">
        <f>IF(D4&lt;2000,COUNTIF($E$2:E4,E4),0)</f>
        <v>1</v>
      </c>
      <c r="I4" s="1711">
        <f t="shared" si="0"/>
        <v>591</v>
      </c>
      <c r="K4" s="1516"/>
    </row>
    <row r="5" spans="1:12" ht="16.5" customHeight="1">
      <c r="C5" s="2266" t="s">
        <v>1558</v>
      </c>
      <c r="D5" s="1524">
        <f>IFERROR(VLOOKUP(C5,DG!A:F,6,0),3000)</f>
        <v>7</v>
      </c>
      <c r="E5" s="1853" t="str">
        <f>IFERROR(VLOOKUP(C5,DG!A:C,3,0),"")</f>
        <v>Sứ treo polymer</v>
      </c>
      <c r="F5" s="1850" t="str">
        <f>VLOOKUP(C5,DG!A:D,4,0)</f>
        <v>chuỗi</v>
      </c>
      <c r="G5" s="1353">
        <v>93</v>
      </c>
      <c r="H5" s="1705">
        <f>IF(D5&lt;2000,COUNTIF($E$2:E5,E5),0)</f>
        <v>1</v>
      </c>
      <c r="I5" s="1711">
        <f t="shared" si="0"/>
        <v>93</v>
      </c>
      <c r="K5" s="1516"/>
    </row>
    <row r="6" spans="1:12" ht="16.5" customHeight="1">
      <c r="C6" s="1788" t="s">
        <v>4977</v>
      </c>
      <c r="D6" s="1524">
        <f>IFERROR(VLOOKUP(C6,DG!A:F,6,0),3000)</f>
        <v>8</v>
      </c>
      <c r="E6" s="1853" t="str">
        <f>IFERROR(VLOOKUP(C6,DG!A:C,3,0),"")</f>
        <v>LTD 1P 24KV - 600A</v>
      </c>
      <c r="F6" s="1850" t="str">
        <f>VLOOKUP(C6,DG!A:D,4,0)</f>
        <v>cái</v>
      </c>
      <c r="G6" s="1245">
        <v>6</v>
      </c>
      <c r="H6" s="1705">
        <f>IF(D6&lt;2000,COUNTIF($E$2:E6,E6),0)</f>
        <v>1</v>
      </c>
      <c r="I6" s="1711">
        <f t="shared" si="0"/>
        <v>6</v>
      </c>
      <c r="K6" s="1516"/>
    </row>
    <row r="7" spans="1:12">
      <c r="C7" s="2265" t="s">
        <v>1520</v>
      </c>
      <c r="D7" s="1524">
        <f>IFERROR(VLOOKUP(C7,DG!A:F,6,0),3000)</f>
        <v>10</v>
      </c>
      <c r="E7" s="1853" t="str">
        <f>IFERROR(VLOOKUP(C7,DG!A:C,3,0),"")</f>
        <v>Cáp 24KV C/XLPE/PVC 150mm2</v>
      </c>
      <c r="F7" s="1850" t="str">
        <f>VLOOKUP(C7,DG!A:D,4,0)</f>
        <v>mét</v>
      </c>
      <c r="G7" s="1661">
        <v>24</v>
      </c>
      <c r="H7" s="1705">
        <f>IF(D7&lt;2000,COUNTIF($E$2:E7,E7),0)</f>
        <v>1</v>
      </c>
      <c r="I7" s="1711">
        <f t="shared" si="0"/>
        <v>24</v>
      </c>
      <c r="K7" s="1516"/>
    </row>
    <row r="8" spans="1:12">
      <c r="C8" s="1788" t="s">
        <v>704</v>
      </c>
      <c r="D8" s="1524">
        <f>IFERROR(VLOOKUP(C8,DG!A:F,6,0),3000)</f>
        <v>10</v>
      </c>
      <c r="E8" s="1853" t="str">
        <f>IFERROR(VLOOKUP(C8,DG!A:C,3,0),"")</f>
        <v>Cáp 24KV C/XLPE/PVC 25mm2</v>
      </c>
      <c r="F8" s="1850" t="str">
        <f>VLOOKUP(C8,DG!A:D,4,0)</f>
        <v>mét</v>
      </c>
      <c r="G8" s="1245">
        <v>59</v>
      </c>
      <c r="H8" s="1705">
        <f>IF(D8&lt;2000,COUNTIF($E$2:E8,E8),0)</f>
        <v>1</v>
      </c>
      <c r="I8" s="1711">
        <f t="shared" si="0"/>
        <v>59</v>
      </c>
      <c r="K8" s="1516"/>
    </row>
    <row r="9" spans="1:12">
      <c r="C9" s="1191" t="s">
        <v>103</v>
      </c>
      <c r="D9" s="1524">
        <f>IFERROR(VLOOKUP(C9,DG!A:F,6,0),3000)</f>
        <v>12</v>
      </c>
      <c r="E9" s="1853" t="str">
        <f>IFERROR(VLOOKUP(C9,DG!A:C,3,0),"")</f>
        <v>Cáp đồng trần M25mm2</v>
      </c>
      <c r="F9" s="1850" t="str">
        <f>VLOOKUP(C9,DG!A:D,4,0)</f>
        <v>kg</v>
      </c>
      <c r="G9" s="1353">
        <v>6.75</v>
      </c>
      <c r="H9" s="1705">
        <f>IF(D9&lt;2000,COUNTIF($E$2:E9,E9),0)</f>
        <v>1</v>
      </c>
      <c r="I9" s="1711">
        <f t="shared" si="0"/>
        <v>60.510000000000005</v>
      </c>
      <c r="K9" s="1516"/>
    </row>
    <row r="10" spans="1:12" hidden="1">
      <c r="C10" s="1788" t="s">
        <v>103</v>
      </c>
      <c r="D10" s="1524">
        <f>IFERROR(VLOOKUP(C10,DG!A:F,6,0),3000)</f>
        <v>12</v>
      </c>
      <c r="E10" s="1853" t="str">
        <f>IFERROR(VLOOKUP(C10,DG!A:C,3,0),"")</f>
        <v>Cáp đồng trần M25mm2</v>
      </c>
      <c r="F10" s="1850" t="str">
        <f>VLOOKUP(C10,DG!A:D,4,0)</f>
        <v>kg</v>
      </c>
      <c r="G10" s="1257">
        <v>31.360000000000003</v>
      </c>
      <c r="H10" s="1705">
        <f>IF(D10&lt;2000,COUNTIF($E$2:E10,E10),0)</f>
        <v>2</v>
      </c>
      <c r="I10" s="1711">
        <f t="shared" si="0"/>
        <v>60.510000000000005</v>
      </c>
      <c r="K10" s="1516"/>
    </row>
    <row r="11" spans="1:12" hidden="1">
      <c r="C11" s="1788" t="s">
        <v>103</v>
      </c>
      <c r="D11" s="1524">
        <f>IFERROR(VLOOKUP(C11,DG!A:F,6,0),3000)</f>
        <v>12</v>
      </c>
      <c r="E11" s="1853" t="str">
        <f>IFERROR(VLOOKUP(C11,DG!A:C,3,0),"")</f>
        <v>Cáp đồng trần M25mm2</v>
      </c>
      <c r="F11" s="1850" t="str">
        <f>VLOOKUP(C11,DG!A:D,4,0)</f>
        <v>kg</v>
      </c>
      <c r="G11" s="1257">
        <v>22.400000000000002</v>
      </c>
      <c r="H11" s="1705">
        <f>IF(D11&lt;2000,COUNTIF($E$2:E11,E11),0)</f>
        <v>3</v>
      </c>
      <c r="I11" s="1711">
        <f t="shared" si="0"/>
        <v>60.510000000000005</v>
      </c>
      <c r="K11" s="1516"/>
    </row>
    <row r="12" spans="1:12">
      <c r="C12" s="1191" t="s">
        <v>543</v>
      </c>
      <c r="D12" s="1524">
        <f>IFERROR(VLOOKUP(C12,DG!A:F,6,0),3000)</f>
        <v>15</v>
      </c>
      <c r="E12" s="1853" t="str">
        <f>IFERROR(VLOOKUP(C12,DG!A:C,3,0),"")</f>
        <v>Cáp nhôm lõi thép AC-120/19</v>
      </c>
      <c r="F12" s="1850" t="str">
        <f>VLOOKUP(C12,DG!A:D,4,0)</f>
        <v>kg</v>
      </c>
      <c r="G12" s="1353">
        <v>2985.1980000000008</v>
      </c>
      <c r="H12" s="1705">
        <f>IF(D12&lt;2000,COUNTIF($E$2:E12,E12),0)</f>
        <v>1</v>
      </c>
      <c r="I12" s="1711">
        <f t="shared" si="0"/>
        <v>2985.1980000000008</v>
      </c>
      <c r="K12" s="1516"/>
    </row>
    <row r="13" spans="1:12">
      <c r="C13" s="1788" t="s">
        <v>1061</v>
      </c>
      <c r="D13" s="1524">
        <f>IFERROR(VLOOKUP(C13,DG!A:F,6,0),3000)</f>
        <v>15</v>
      </c>
      <c r="E13" s="1853" t="str">
        <f>IFERROR(VLOOKUP(C13,DG!A:C,3,0),"")</f>
        <v>Cáp 24KV A/XLPE/PVC 185mm2</v>
      </c>
      <c r="F13" s="1850" t="str">
        <f>VLOOKUP(C13,DG!A:D,4,0)</f>
        <v>mét</v>
      </c>
      <c r="G13" s="1245">
        <v>19014.000000000007</v>
      </c>
      <c r="H13" s="1705">
        <f>IF(D13&lt;2000,COUNTIF($E$2:E13,E13),0)</f>
        <v>1</v>
      </c>
      <c r="I13" s="1711">
        <f t="shared" si="0"/>
        <v>19014.000000000007</v>
      </c>
      <c r="K13" s="1516"/>
    </row>
    <row r="14" spans="1:12">
      <c r="C14" s="1191" t="s">
        <v>276</v>
      </c>
      <c r="D14" s="1524">
        <f>IFERROR(VLOOKUP(C14,DG!A:F,6,0),3000)</f>
        <v>16</v>
      </c>
      <c r="E14" s="1853" t="str">
        <f>IFERROR(VLOOKUP(C14,DG!A:C,3,0),"")</f>
        <v>Cáp thép 3/8"</v>
      </c>
      <c r="F14" s="1850" t="str">
        <f>VLOOKUP(C14,DG!A:D,4,0)</f>
        <v>kg</v>
      </c>
      <c r="G14" s="1353">
        <v>30</v>
      </c>
      <c r="H14" s="1705">
        <f>IF(D14&lt;2000,COUNTIF($E$2:E14,E14),0)</f>
        <v>1</v>
      </c>
      <c r="I14" s="1711">
        <f t="shared" si="0"/>
        <v>30</v>
      </c>
      <c r="K14" s="1516"/>
    </row>
    <row r="15" spans="1:12">
      <c r="C15" s="1788" t="s">
        <v>1392</v>
      </c>
      <c r="D15" s="1524">
        <f>IFERROR(VLOOKUP(C15,DG!A:F,6,0),3000)</f>
        <v>16</v>
      </c>
      <c r="E15" s="1853" t="str">
        <f>IFERROR(VLOOKUP(C15,DG!A:C,3,0),"")</f>
        <v>Cáp thép 5/8"</v>
      </c>
      <c r="F15" s="1850" t="str">
        <f>VLOOKUP(C15,DG!A:D,4,0)</f>
        <v>kg</v>
      </c>
      <c r="G15" s="1245">
        <v>42</v>
      </c>
      <c r="H15" s="1705">
        <f>IF(D15&lt;2000,COUNTIF($E$2:E15,E15),0)</f>
        <v>1</v>
      </c>
      <c r="I15" s="1711">
        <f t="shared" si="0"/>
        <v>248</v>
      </c>
      <c r="K15" s="1516"/>
    </row>
    <row r="16" spans="1:12" hidden="1">
      <c r="C16" s="1788" t="s">
        <v>1392</v>
      </c>
      <c r="D16" s="1524">
        <f>IFERROR(VLOOKUP(C16,DG!A:F,6,0),3000)</f>
        <v>16</v>
      </c>
      <c r="E16" s="1853" t="str">
        <f>IFERROR(VLOOKUP(C16,DG!A:C,3,0),"")</f>
        <v>Cáp thép 5/8"</v>
      </c>
      <c r="F16" s="1850" t="str">
        <f>VLOOKUP(C16,DG!A:D,4,0)</f>
        <v>kg</v>
      </c>
      <c r="G16" s="1257">
        <v>34</v>
      </c>
      <c r="H16" s="1705">
        <f>IF(D16&lt;2000,COUNTIF($E$2:E16,E16),0)</f>
        <v>2</v>
      </c>
      <c r="I16" s="1711">
        <f t="shared" si="0"/>
        <v>248</v>
      </c>
      <c r="K16" s="1516"/>
    </row>
    <row r="17" spans="3:11" ht="16.5" hidden="1" customHeight="1">
      <c r="C17" s="1959" t="s">
        <v>1392</v>
      </c>
      <c r="D17" s="1524">
        <f>IFERROR(VLOOKUP(C17,DG!A:F,6,0),3000)</f>
        <v>16</v>
      </c>
      <c r="E17" s="1853" t="str">
        <f>IFERROR(VLOOKUP(C17,DG!A:C,3,0),"")</f>
        <v>Cáp thép 5/8"</v>
      </c>
      <c r="F17" s="1850" t="str">
        <f>VLOOKUP(C17,DG!A:D,4,0)</f>
        <v>kg</v>
      </c>
      <c r="G17" s="1353">
        <v>60</v>
      </c>
      <c r="H17" s="1705">
        <f>IF(D17&lt;2000,COUNTIF($E$2:E17,E17),0)</f>
        <v>3</v>
      </c>
      <c r="I17" s="1711">
        <f t="shared" si="0"/>
        <v>248</v>
      </c>
      <c r="K17" s="1516"/>
    </row>
    <row r="18" spans="3:11" hidden="1">
      <c r="C18" s="1788" t="s">
        <v>1392</v>
      </c>
      <c r="D18" s="1524">
        <f>IFERROR(VLOOKUP(C18,DG!A:F,6,0),3000)</f>
        <v>16</v>
      </c>
      <c r="E18" s="1853" t="str">
        <f>IFERROR(VLOOKUP(C18,DG!A:C,3,0),"")</f>
        <v>Cáp thép 5/8"</v>
      </c>
      <c r="F18" s="1850" t="str">
        <f>VLOOKUP(C18,DG!A:D,4,0)</f>
        <v>kg</v>
      </c>
      <c r="G18" s="1353">
        <v>112</v>
      </c>
      <c r="H18" s="1705">
        <f>IF(D18&lt;2000,COUNTIF($E$2:E18,E18),0)</f>
        <v>4</v>
      </c>
      <c r="I18" s="1711">
        <f t="shared" si="0"/>
        <v>248</v>
      </c>
      <c r="K18" s="1516"/>
    </row>
    <row r="19" spans="3:11">
      <c r="C19" s="1788" t="s">
        <v>4964</v>
      </c>
      <c r="D19" s="1524">
        <f>IFERROR(VLOOKUP(C19,DG!A:F,6,0),3000)</f>
        <v>50</v>
      </c>
      <c r="E19" s="1853" t="str">
        <f>IFERROR(VLOOKUP(C19,DG!A:C,3,0),"")</f>
        <v>Cáp nhôm lõi thép bọc 24KV AC/XLPE50 mm2</v>
      </c>
      <c r="F19" s="1850" t="str">
        <f>VLOOKUP(C19,DG!A:D,4,0)</f>
        <v>mét</v>
      </c>
      <c r="G19" s="1242">
        <v>159</v>
      </c>
      <c r="H19" s="1705">
        <f>IF(D19&lt;2000,COUNTIF($E$2:E19,E19),0)</f>
        <v>1</v>
      </c>
      <c r="I19" s="1711">
        <f t="shared" si="0"/>
        <v>159</v>
      </c>
      <c r="K19" s="1516"/>
    </row>
    <row r="20" spans="3:11">
      <c r="C20" s="1522" t="s">
        <v>1661</v>
      </c>
      <c r="D20" s="1524">
        <f>IFERROR(VLOOKUP(C20,DG!A:F,6,0),3000)</f>
        <v>50</v>
      </c>
      <c r="E20" s="1853" t="str">
        <f>IFERROR(VLOOKUP(C20,DG!A:C,3,0),"")</f>
        <v>Boulon 16x250+ 2 long đền vuông D18-50x50x3/Zn</v>
      </c>
      <c r="F20" s="1850" t="str">
        <f>VLOOKUP(C20,DG!A:D,4,0)</f>
        <v>bộ</v>
      </c>
      <c r="G20" s="1353">
        <v>302</v>
      </c>
      <c r="H20" s="1705">
        <f>IF(D20&lt;2000,COUNTIF($E$2:E20,E20),0)</f>
        <v>1</v>
      </c>
      <c r="I20" s="1711">
        <f t="shared" si="0"/>
        <v>302</v>
      </c>
      <c r="K20" s="1516"/>
    </row>
    <row r="21" spans="3:11" ht="16.5" customHeight="1">
      <c r="C21" s="1788" t="s">
        <v>1662</v>
      </c>
      <c r="D21" s="1524">
        <f>IFERROR(VLOOKUP(C21,DG!A:F,6,0),3000)</f>
        <v>50</v>
      </c>
      <c r="E21" s="1853" t="str">
        <f>IFERROR(VLOOKUP(C21,DG!A:C,3,0),"")</f>
        <v>Boulon 16x300+ 2 long đền vuông D18-50x50x3/Zn</v>
      </c>
      <c r="F21" s="1850" t="str">
        <f>VLOOKUP(C21,DG!A:D,4,0)</f>
        <v>bộ</v>
      </c>
      <c r="G21" s="1353">
        <v>10</v>
      </c>
      <c r="H21" s="1705">
        <f>IF(D21&lt;2000,COUNTIF($E$2:E21,E21),0)</f>
        <v>1</v>
      </c>
      <c r="I21" s="1711">
        <f t="shared" si="0"/>
        <v>231</v>
      </c>
      <c r="K21" s="1516"/>
    </row>
    <row r="22" spans="3:11" ht="16.5" hidden="1" customHeight="1">
      <c r="C22" s="1788" t="s">
        <v>1662</v>
      </c>
      <c r="D22" s="1524">
        <f>IFERROR(VLOOKUP(C22,DG!A:F,6,0),3000)</f>
        <v>50</v>
      </c>
      <c r="E22" s="1853" t="str">
        <f>IFERROR(VLOOKUP(C22,DG!A:C,3,0),"")</f>
        <v>Boulon 16x300+ 2 long đền vuông D18-50x50x3/Zn</v>
      </c>
      <c r="F22" s="1850" t="str">
        <f>VLOOKUP(C22,DG!A:D,4,0)</f>
        <v>bộ</v>
      </c>
      <c r="G22" s="1257">
        <v>16</v>
      </c>
      <c r="H22" s="1705">
        <f>IF(D22&lt;2000,COUNTIF($E$2:E22,E22),0)</f>
        <v>2</v>
      </c>
      <c r="I22" s="1711">
        <f t="shared" si="0"/>
        <v>231</v>
      </c>
      <c r="K22" s="1516"/>
    </row>
    <row r="23" spans="3:11" hidden="1">
      <c r="C23" s="1788" t="s">
        <v>1662</v>
      </c>
      <c r="D23" s="1524">
        <f>IFERROR(VLOOKUP(C23,DG!A:F,6,0),3000)</f>
        <v>50</v>
      </c>
      <c r="E23" s="1853" t="str">
        <f>IFERROR(VLOOKUP(C23,DG!A:C,3,0),"")</f>
        <v>Boulon 16x300+ 2 long đền vuông D18-50x50x3/Zn</v>
      </c>
      <c r="F23" s="1850" t="str">
        <f>VLOOKUP(C23,DG!A:D,4,0)</f>
        <v>bộ</v>
      </c>
      <c r="G23" s="1245">
        <v>163</v>
      </c>
      <c r="H23" s="1705">
        <f>IF(D23&lt;2000,COUNTIF($E$2:E23,E23),0)</f>
        <v>3</v>
      </c>
      <c r="I23" s="1711">
        <f t="shared" si="0"/>
        <v>231</v>
      </c>
      <c r="K23" s="1516"/>
    </row>
    <row r="24" spans="3:11" hidden="1">
      <c r="C24" s="2264" t="s">
        <v>1662</v>
      </c>
      <c r="D24" s="1524">
        <f>IFERROR(VLOOKUP(C24,DG!A:F,6,0),3000)</f>
        <v>50</v>
      </c>
      <c r="E24" s="1853" t="str">
        <f>IFERROR(VLOOKUP(C24,DG!A:C,3,0),"")</f>
        <v>Boulon 16x300+ 2 long đền vuông D18-50x50x3/Zn</v>
      </c>
      <c r="F24" s="1850" t="str">
        <f>VLOOKUP(C24,DG!A:D,4,0)</f>
        <v>bộ</v>
      </c>
      <c r="G24" s="1353">
        <v>42</v>
      </c>
      <c r="H24" s="1705">
        <f>IF(D24&lt;2000,COUNTIF($E$2:E24,E24),0)</f>
        <v>4</v>
      </c>
      <c r="I24" s="1711">
        <f t="shared" si="0"/>
        <v>231</v>
      </c>
      <c r="K24" s="1516"/>
    </row>
    <row r="25" spans="3:11">
      <c r="C25" s="1788" t="s">
        <v>418</v>
      </c>
      <c r="D25" s="1524">
        <f>IFERROR(VLOOKUP(C25,DG!A:F,6,0),3000)</f>
        <v>50</v>
      </c>
      <c r="E25" s="1853" t="str">
        <f>IFERROR(VLOOKUP(C25,DG!A:C,3,0),"")</f>
        <v>Boulon 16x300VRS+ 4 long đền vuông D18-50x50x3/Zn</v>
      </c>
      <c r="F25" s="1850" t="str">
        <f>VLOOKUP(C25,DG!A:D,4,0)</f>
        <v>bộ</v>
      </c>
      <c r="G25" s="1257">
        <v>20</v>
      </c>
      <c r="H25" s="1705">
        <f>IF(D25&lt;2000,COUNTIF($E$2:E25,E25),0)</f>
        <v>1</v>
      </c>
      <c r="I25" s="1711">
        <f t="shared" si="0"/>
        <v>44</v>
      </c>
      <c r="K25" s="1516"/>
    </row>
    <row r="26" spans="3:11" hidden="1">
      <c r="C26" s="1788" t="s">
        <v>418</v>
      </c>
      <c r="D26" s="1524">
        <f>IFERROR(VLOOKUP(C26,DG!A:F,6,0),3000)</f>
        <v>50</v>
      </c>
      <c r="E26" s="1853" t="str">
        <f>IFERROR(VLOOKUP(C26,DG!A:C,3,0),"")</f>
        <v>Boulon 16x300VRS+ 4 long đền vuông D18-50x50x3/Zn</v>
      </c>
      <c r="F26" s="1850" t="str">
        <f>VLOOKUP(C26,DG!A:D,4,0)</f>
        <v>bộ</v>
      </c>
      <c r="G26" s="1245">
        <v>24</v>
      </c>
      <c r="H26" s="1705">
        <f>IF(D26&lt;2000,COUNTIF($E$2:E26,E26),0)</f>
        <v>2</v>
      </c>
      <c r="I26" s="1711">
        <f t="shared" si="0"/>
        <v>44</v>
      </c>
      <c r="K26" s="1516"/>
    </row>
    <row r="27" spans="3:11">
      <c r="C27" s="1788" t="s">
        <v>1839</v>
      </c>
      <c r="D27" s="1524">
        <f>IFERROR(VLOOKUP(C27,DG!A:F,6,0),3000)</f>
        <v>50</v>
      </c>
      <c r="E27" s="1853" t="str">
        <f>IFERROR(VLOOKUP(C27,DG!A:C,3,0),"")</f>
        <v>Boulon 16x50+ 2 long đền vuông D18-50x50x3/Zn</v>
      </c>
      <c r="F27" s="1850" t="str">
        <f>VLOOKUP(C27,DG!A:D,4,0)</f>
        <v>bộ</v>
      </c>
      <c r="G27" s="1245">
        <v>20</v>
      </c>
      <c r="H27" s="1705">
        <f>IF(D27&lt;2000,COUNTIF($E$2:E27,E27),0)</f>
        <v>1</v>
      </c>
      <c r="I27" s="1711">
        <f t="shared" si="0"/>
        <v>227</v>
      </c>
      <c r="K27" s="1516"/>
    </row>
    <row r="28" spans="3:11" hidden="1">
      <c r="C28" s="1788" t="s">
        <v>1839</v>
      </c>
      <c r="D28" s="1524">
        <f>IFERROR(VLOOKUP(C28,DG!A:F,6,0),3000)</f>
        <v>50</v>
      </c>
      <c r="E28" s="1853" t="str">
        <f>IFERROR(VLOOKUP(C28,DG!A:C,3,0),"")</f>
        <v>Boulon 16x50+ 2 long đền vuông D18-50x50x3/Zn</v>
      </c>
      <c r="F28" s="1850" t="str">
        <f>VLOOKUP(C28,DG!A:D,4,0)</f>
        <v>bộ</v>
      </c>
      <c r="G28" s="1245">
        <v>40</v>
      </c>
      <c r="H28" s="1705">
        <f>IF(D28&lt;2000,COUNTIF($E$2:E28,E28),0)</f>
        <v>2</v>
      </c>
      <c r="I28" s="1711">
        <f t="shared" si="0"/>
        <v>227</v>
      </c>
      <c r="K28" s="1516"/>
    </row>
    <row r="29" spans="3:11" hidden="1">
      <c r="C29" s="2263" t="s">
        <v>1839</v>
      </c>
      <c r="D29" s="1524">
        <f>IFERROR(VLOOKUP(C29,DG!A:F,6,0),3000)</f>
        <v>50</v>
      </c>
      <c r="E29" s="1853" t="str">
        <f>IFERROR(VLOOKUP(C29,DG!A:C,3,0),"")</f>
        <v>Boulon 16x50+ 2 long đền vuông D18-50x50x3/Zn</v>
      </c>
      <c r="F29" s="1850" t="str">
        <f>VLOOKUP(C29,DG!A:D,4,0)</f>
        <v>bộ</v>
      </c>
      <c r="G29" s="1245">
        <v>151</v>
      </c>
      <c r="H29" s="1705">
        <f>IF(D29&lt;2000,COUNTIF($E$2:E29,E29),0)</f>
        <v>3</v>
      </c>
      <c r="I29" s="1711">
        <f t="shared" si="0"/>
        <v>227</v>
      </c>
      <c r="K29" s="1516"/>
    </row>
    <row r="30" spans="3:11" ht="16.5" hidden="1" customHeight="1">
      <c r="C30" s="1191" t="s">
        <v>1839</v>
      </c>
      <c r="D30" s="1524">
        <f>IFERROR(VLOOKUP(C30,DG!A:F,6,0),3000)</f>
        <v>50</v>
      </c>
      <c r="E30" s="1853" t="str">
        <f>IFERROR(VLOOKUP(C30,DG!A:C,3,0),"")</f>
        <v>Boulon 16x50+ 2 long đền vuông D18-50x50x3/Zn</v>
      </c>
      <c r="F30" s="1850" t="str">
        <f>VLOOKUP(C30,DG!A:D,4,0)</f>
        <v>bộ</v>
      </c>
      <c r="G30" s="1353">
        <v>16</v>
      </c>
      <c r="H30" s="1705">
        <f>IF(D30&lt;2000,COUNTIF($E$2:E30,E30),0)</f>
        <v>4</v>
      </c>
      <c r="I30" s="1711">
        <f t="shared" si="0"/>
        <v>227</v>
      </c>
      <c r="K30" s="1516"/>
    </row>
    <row r="31" spans="3:11" ht="16.5" customHeight="1">
      <c r="C31" s="1788" t="s">
        <v>1591</v>
      </c>
      <c r="D31" s="1524">
        <f>IFERROR(VLOOKUP(C31,DG!A:F,6,0),3000)</f>
        <v>50</v>
      </c>
      <c r="E31" s="1853" t="str">
        <f>IFERROR(VLOOKUP(C31,DG!A:C,3,0),"")</f>
        <v>Boulon 16x500+ 2 long đền vuông D18-50x50x3/Zn</v>
      </c>
      <c r="F31" s="1850" t="str">
        <f>VLOOKUP(C31,DG!A:D,4,0)</f>
        <v>bộ</v>
      </c>
      <c r="G31" s="1249">
        <v>20</v>
      </c>
      <c r="H31" s="1705">
        <f>IF(D31&lt;2000,COUNTIF($E$2:E31,E31),0)</f>
        <v>1</v>
      </c>
      <c r="I31" s="1711">
        <f t="shared" si="0"/>
        <v>20</v>
      </c>
      <c r="K31" s="1516"/>
    </row>
    <row r="32" spans="3:11" ht="16.5" customHeight="1">
      <c r="C32" s="1191" t="s">
        <v>1198</v>
      </c>
      <c r="D32" s="1524">
        <f>IFERROR(VLOOKUP(C32,DG!A:F,6,0),3000)</f>
        <v>50</v>
      </c>
      <c r="E32" s="1853" t="str">
        <f>IFERROR(VLOOKUP(C32,DG!A:C,3,0),"")</f>
        <v>Boulon 16x500VRS+ 4 long đền vuông D18-50x50x3/Zn</v>
      </c>
      <c r="F32" s="1850" t="str">
        <f>VLOOKUP(C32,DG!A:D,4,0)</f>
        <v>bộ</v>
      </c>
      <c r="G32" s="1353">
        <v>0</v>
      </c>
      <c r="H32" s="1705">
        <f>IF(D32&lt;2000,COUNTIF($E$2:E32,E32),0)</f>
        <v>1</v>
      </c>
      <c r="I32" s="1711">
        <f t="shared" si="0"/>
        <v>0</v>
      </c>
      <c r="K32" s="1516"/>
    </row>
    <row r="33" spans="3:11">
      <c r="C33" s="2264" t="s">
        <v>1414</v>
      </c>
      <c r="D33" s="1524">
        <f>IFERROR(VLOOKUP(C33,DG!A:F,6,0),3000)</f>
        <v>50</v>
      </c>
      <c r="E33" s="1853" t="str">
        <f>IFERROR(VLOOKUP(C33,DG!A:C,3,0),"")</f>
        <v>Boulon 16x550VRS+ 4 long đền vuông D18-50x50x3/Zn</v>
      </c>
      <c r="F33" s="1850" t="str">
        <f>VLOOKUP(C33,DG!A:D,4,0)</f>
        <v>bộ</v>
      </c>
      <c r="G33" s="1353">
        <v>10</v>
      </c>
      <c r="H33" s="1705">
        <f>IF(D33&lt;2000,COUNTIF($E$2:E33,E33),0)</f>
        <v>1</v>
      </c>
      <c r="I33" s="1711">
        <f t="shared" si="0"/>
        <v>50</v>
      </c>
      <c r="K33" s="1516"/>
    </row>
    <row r="34" spans="3:11" hidden="1">
      <c r="C34" s="1788" t="s">
        <v>535</v>
      </c>
      <c r="D34" s="1524">
        <f>IFERROR(VLOOKUP(C34,DG!A:F,6,0),3000)</f>
        <v>50</v>
      </c>
      <c r="E34" s="1853" t="str">
        <f>IFERROR(VLOOKUP(C34,DG!A:C,3,0),"")</f>
        <v>Boulon 16x550VRS+ 4 long đền vuông D18-50x50x3/Zn</v>
      </c>
      <c r="F34" s="1850" t="str">
        <f>VLOOKUP(C34,DG!A:D,4,0)</f>
        <v>bộ</v>
      </c>
      <c r="G34" s="1353">
        <v>40</v>
      </c>
      <c r="H34" s="1705">
        <f>IF(D34&lt;2000,COUNTIF($E$2:E34,E34),0)</f>
        <v>2</v>
      </c>
      <c r="I34" s="1711">
        <f t="shared" si="0"/>
        <v>50</v>
      </c>
      <c r="K34" s="1516"/>
    </row>
    <row r="35" spans="3:11">
      <c r="C35" s="1191" t="s">
        <v>1592</v>
      </c>
      <c r="D35" s="1524">
        <f>IFERROR(VLOOKUP(C35,DG!A:F,6,0),3000)</f>
        <v>50</v>
      </c>
      <c r="E35" s="1853" t="str">
        <f>IFERROR(VLOOKUP(C35,DG!A:C,3,0),"")</f>
        <v>Boulon 16x650VRS+ 4 long đền vuông D18-50x50x3/Zn</v>
      </c>
      <c r="F35" s="1850" t="str">
        <f>VLOOKUP(C35,DG!A:D,4,0)</f>
        <v>bộ</v>
      </c>
      <c r="G35" s="1848">
        <v>10</v>
      </c>
      <c r="H35" s="1705">
        <f>IF(D35&lt;2000,COUNTIF($E$2:E35,E35),0)</f>
        <v>1</v>
      </c>
      <c r="I35" s="1711">
        <f t="shared" si="0"/>
        <v>10</v>
      </c>
      <c r="K35" s="1516"/>
    </row>
    <row r="36" spans="3:11">
      <c r="C36" s="1191" t="s">
        <v>4953</v>
      </c>
      <c r="D36" s="1524">
        <f>IFERROR(VLOOKUP(C36,DG!A:F,6,0),3000)</f>
        <v>50</v>
      </c>
      <c r="E36" s="1853" t="str">
        <f>IFERROR(VLOOKUP(C36,DG!A:C,3,0),"")</f>
        <v>Boulon 16x750VRS+ 4 long đền vuông D18-50x50x3/Zn</v>
      </c>
      <c r="F36" s="1850" t="str">
        <f>VLOOKUP(C36,DG!A:D,4,0)</f>
        <v>bộ</v>
      </c>
      <c r="G36" s="1353">
        <v>10</v>
      </c>
      <c r="H36" s="1705">
        <f>IF(D36&lt;2000,COUNTIF($E$2:E36,E36),0)</f>
        <v>1</v>
      </c>
      <c r="I36" s="1711">
        <f t="shared" si="0"/>
        <v>10</v>
      </c>
      <c r="K36" s="1516"/>
    </row>
    <row r="37" spans="3:11">
      <c r="C37" s="1191" t="s">
        <v>570</v>
      </c>
      <c r="D37" s="1524">
        <f>IFERROR(VLOOKUP(C37,DG!A:F,6,0),3000)</f>
        <v>50</v>
      </c>
      <c r="E37" s="1853" t="str">
        <f>IFERROR(VLOOKUP(C37,DG!A:C,3,0),"")</f>
        <v>Boulon 22x650+ 2 long đền vuông D24-50x50x3/Zn</v>
      </c>
      <c r="F37" s="1850" t="str">
        <f>VLOOKUP(C37,DG!A:D,4,0)</f>
        <v>bộ</v>
      </c>
      <c r="G37" s="1353">
        <v>15</v>
      </c>
      <c r="H37" s="1705">
        <f>IF(D37&lt;2000,COUNTIF($E$2:E37,E37),0)</f>
        <v>1</v>
      </c>
      <c r="I37" s="1711">
        <f t="shared" si="0"/>
        <v>55</v>
      </c>
      <c r="K37" s="1516"/>
    </row>
    <row r="38" spans="3:11" hidden="1">
      <c r="C38" s="1788" t="s">
        <v>570</v>
      </c>
      <c r="D38" s="1524">
        <f>IFERROR(VLOOKUP(C38,DG!A:F,6,0),3000)</f>
        <v>50</v>
      </c>
      <c r="E38" s="1853" t="str">
        <f>IFERROR(VLOOKUP(C38,DG!A:C,3,0),"")</f>
        <v>Boulon 22x650+ 2 long đền vuông D24-50x50x3/Zn</v>
      </c>
      <c r="F38" s="1850" t="str">
        <f>VLOOKUP(C38,DG!A:D,4,0)</f>
        <v>bộ</v>
      </c>
      <c r="G38" s="1245">
        <v>40</v>
      </c>
      <c r="H38" s="1705">
        <f>IF(D38&lt;2000,COUNTIF($E$2:E38,E38),0)</f>
        <v>2</v>
      </c>
      <c r="I38" s="1711">
        <f t="shared" si="0"/>
        <v>55</v>
      </c>
      <c r="K38" s="1516"/>
    </row>
    <row r="39" spans="3:11">
      <c r="C39" s="1788" t="s">
        <v>420</v>
      </c>
      <c r="D39" s="1524">
        <f>IFERROR(VLOOKUP(C39,DG!A:F,6,0),3000)</f>
        <v>50</v>
      </c>
      <c r="E39" s="1853" t="str">
        <f>IFERROR(VLOOKUP(C39,DG!A:C,3,0),"")</f>
        <v>Boulon mắt 16x300+ 2 long đền vuông D18-50x50x3/Zn</v>
      </c>
      <c r="F39" s="1850" t="str">
        <f>VLOOKUP(C39,DG!A:D,4,0)</f>
        <v>bộ</v>
      </c>
      <c r="G39" s="1353">
        <v>7</v>
      </c>
      <c r="H39" s="1705">
        <f>IF(D39&lt;2000,COUNTIF($E$2:E39,E39),0)</f>
        <v>1</v>
      </c>
      <c r="I39" s="1711">
        <f t="shared" si="0"/>
        <v>48</v>
      </c>
      <c r="K39" s="1516"/>
    </row>
    <row r="40" spans="3:11" hidden="1">
      <c r="C40" s="1788" t="s">
        <v>420</v>
      </c>
      <c r="D40" s="1524">
        <f>IFERROR(VLOOKUP(C40,DG!A:F,6,0),3000)</f>
        <v>50</v>
      </c>
      <c r="E40" s="1853" t="str">
        <f>IFERROR(VLOOKUP(C40,DG!A:C,3,0),"")</f>
        <v>Boulon mắt 16x300+ 2 long đền vuông D18-50x50x3/Zn</v>
      </c>
      <c r="F40" s="1850" t="str">
        <f>VLOOKUP(C40,DG!A:D,4,0)</f>
        <v>bộ</v>
      </c>
      <c r="G40" s="1245">
        <v>3</v>
      </c>
      <c r="H40" s="1705">
        <f>IF(D40&lt;2000,COUNTIF($E$2:E40,E40),0)</f>
        <v>2</v>
      </c>
      <c r="I40" s="1711">
        <f t="shared" si="0"/>
        <v>48</v>
      </c>
      <c r="K40" s="1516"/>
    </row>
    <row r="41" spans="3:11" hidden="1">
      <c r="C41" s="1788" t="s">
        <v>420</v>
      </c>
      <c r="D41" s="1524">
        <f>IFERROR(VLOOKUP(C41,DG!A:F,6,0),3000)</f>
        <v>50</v>
      </c>
      <c r="E41" s="1853" t="str">
        <f>IFERROR(VLOOKUP(C41,DG!A:C,3,0),"")</f>
        <v>Boulon mắt 16x300+ 2 long đền vuông D18-50x50x3/Zn</v>
      </c>
      <c r="F41" s="1850" t="str">
        <f>VLOOKUP(C41,DG!A:D,4,0)</f>
        <v>bộ</v>
      </c>
      <c r="G41" s="1249">
        <v>2</v>
      </c>
      <c r="H41" s="1705">
        <f>IF(D41&lt;2000,COUNTIF($E$2:E41,E41),0)</f>
        <v>3</v>
      </c>
      <c r="I41" s="1711">
        <f t="shared" si="0"/>
        <v>48</v>
      </c>
      <c r="K41" s="1516"/>
    </row>
    <row r="42" spans="3:11" hidden="1">
      <c r="C42" s="1788" t="s">
        <v>420</v>
      </c>
      <c r="D42" s="1524">
        <f>IFERROR(VLOOKUP(C42,DG!A:F,6,0),3000)</f>
        <v>50</v>
      </c>
      <c r="E42" s="1853" t="str">
        <f>IFERROR(VLOOKUP(C42,DG!A:C,3,0),"")</f>
        <v>Boulon mắt 16x300+ 2 long đền vuông D18-50x50x3/Zn</v>
      </c>
      <c r="F42" s="1850" t="str">
        <f>VLOOKUP(C42,DG!A:D,4,0)</f>
        <v>bộ</v>
      </c>
      <c r="G42" s="1353">
        <v>4</v>
      </c>
      <c r="H42" s="1705">
        <f>IF(D42&lt;2000,COUNTIF($E$2:E42,E42),0)</f>
        <v>4</v>
      </c>
      <c r="I42" s="1711">
        <f t="shared" si="0"/>
        <v>48</v>
      </c>
      <c r="K42" s="1516"/>
    </row>
    <row r="43" spans="3:11" hidden="1">
      <c r="C43" s="1191" t="s">
        <v>420</v>
      </c>
      <c r="D43" s="1524">
        <f>IFERROR(VLOOKUP(C43,DG!A:F,6,0),3000)</f>
        <v>50</v>
      </c>
      <c r="E43" s="1853" t="str">
        <f>IFERROR(VLOOKUP(C43,DG!A:C,3,0),"")</f>
        <v>Boulon mắt 16x300+ 2 long đền vuông D18-50x50x3/Zn</v>
      </c>
      <c r="F43" s="1850" t="str">
        <f>VLOOKUP(C43,DG!A:D,4,0)</f>
        <v>bộ</v>
      </c>
      <c r="G43" s="1353">
        <v>3</v>
      </c>
      <c r="H43" s="1705">
        <f>IF(D43&lt;2000,COUNTIF($E$2:E43,E43),0)</f>
        <v>5</v>
      </c>
      <c r="I43" s="1711">
        <f t="shared" si="0"/>
        <v>48</v>
      </c>
      <c r="K43" s="1516"/>
    </row>
    <row r="44" spans="3:11" hidden="1">
      <c r="C44" s="2263" t="s">
        <v>420</v>
      </c>
      <c r="D44" s="1524">
        <f>IFERROR(VLOOKUP(C44,DG!A:F,6,0),3000)</f>
        <v>50</v>
      </c>
      <c r="E44" s="1853" t="str">
        <f>IFERROR(VLOOKUP(C44,DG!A:C,3,0),"")</f>
        <v>Boulon mắt 16x300+ 2 long đền vuông D18-50x50x3/Zn</v>
      </c>
      <c r="F44" s="1850" t="str">
        <f>VLOOKUP(C44,DG!A:D,4,0)</f>
        <v>bộ</v>
      </c>
      <c r="G44" s="1245">
        <v>29</v>
      </c>
      <c r="H44" s="1705">
        <f>IF(D44&lt;2000,COUNTIF($E$2:E44,E44),0)</f>
        <v>6</v>
      </c>
      <c r="I44" s="1711">
        <f t="shared" si="0"/>
        <v>48</v>
      </c>
      <c r="K44" s="1516"/>
    </row>
    <row r="45" spans="3:11" ht="16.5" customHeight="1">
      <c r="C45" s="1788" t="s">
        <v>837</v>
      </c>
      <c r="D45" s="1524">
        <f>IFERROR(VLOOKUP(C45,DG!A:F,6,0),3000)</f>
        <v>50</v>
      </c>
      <c r="E45" s="1853" t="str">
        <f>IFERROR(VLOOKUP(C45,DG!A:C,3,0),"")</f>
        <v>Boulon móc 16x300+ long đền vuông D18-50x50x3/Zn</v>
      </c>
      <c r="F45" s="1850" t="str">
        <f>VLOOKUP(C45,DG!A:D,4,0)</f>
        <v>bộ</v>
      </c>
      <c r="G45" s="1244">
        <v>42</v>
      </c>
      <c r="H45" s="1705">
        <f>IF(D45&lt;2000,COUNTIF($E$2:E45,E45),0)</f>
        <v>1</v>
      </c>
      <c r="I45" s="1711">
        <f t="shared" si="0"/>
        <v>42</v>
      </c>
      <c r="K45" s="1516"/>
    </row>
    <row r="46" spans="3:11">
      <c r="C46" s="2264" t="s">
        <v>1644</v>
      </c>
      <c r="D46" s="1524">
        <f>IFERROR(VLOOKUP(C46,DG!A:F,6,0),3000)</f>
        <v>50</v>
      </c>
      <c r="E46" s="1853" t="str">
        <f>IFERROR(VLOOKUP(C46,DG!A:C,3,0),"")</f>
        <v>Cổ dê kẹp ống PVC  21</v>
      </c>
      <c r="F46" s="1850" t="str">
        <f>VLOOKUP(C46,DG!A:D,4,0)</f>
        <v>bộ</v>
      </c>
      <c r="G46" s="1848">
        <v>28</v>
      </c>
      <c r="H46" s="1705">
        <f>IF(D46&lt;2000,COUNTIF($E$2:E46,E46),0)</f>
        <v>1</v>
      </c>
      <c r="I46" s="1711">
        <f t="shared" si="0"/>
        <v>28</v>
      </c>
      <c r="K46" s="1516"/>
    </row>
    <row r="47" spans="3:11" ht="16.5" customHeight="1">
      <c r="C47" s="1788" t="s">
        <v>4972</v>
      </c>
      <c r="D47" s="1524">
        <f>IFERROR(VLOOKUP(C47,DG!A:F,6,0),3000)</f>
        <v>50</v>
      </c>
      <c r="E47" s="1853" t="str">
        <f>IFERROR(VLOOKUP(C47,DG!A:C,3,0),"")</f>
        <v>Chụp kẹp Uquai</v>
      </c>
      <c r="F47" s="1850" t="str">
        <f>VLOOKUP(C47,DG!A:D,4,0)</f>
        <v>bộ</v>
      </c>
      <c r="G47" s="1257">
        <v>56</v>
      </c>
      <c r="H47" s="1705">
        <f>IF(D47&lt;2000,COUNTIF($E$2:E47,E47),0)</f>
        <v>1</v>
      </c>
      <c r="I47" s="1711">
        <f t="shared" si="0"/>
        <v>56</v>
      </c>
      <c r="K47" s="1516"/>
    </row>
    <row r="48" spans="3:11">
      <c r="C48" s="1191" t="s">
        <v>612</v>
      </c>
      <c r="D48" s="1524">
        <f>IFERROR(VLOOKUP(C48,DG!A:F,6,0),3000)</f>
        <v>50</v>
      </c>
      <c r="E48" s="1853" t="str">
        <f>IFERROR(VLOOKUP(C48,DG!A:C,3,0),"")</f>
        <v>Bộ chống chằng hẹp Ø60/50x1500+2BL12x40+BL16x250/80</v>
      </c>
      <c r="F48" s="1850" t="str">
        <f>VLOOKUP(C48,DG!A:D,4,0)</f>
        <v>bộ</v>
      </c>
      <c r="G48" s="1353">
        <v>3</v>
      </c>
      <c r="H48" s="1705">
        <f>IF(D48&lt;2000,COUNTIF($E$2:E48,E48),0)</f>
        <v>1</v>
      </c>
      <c r="I48" s="1711">
        <f t="shared" si="0"/>
        <v>3</v>
      </c>
      <c r="K48" s="1516"/>
    </row>
    <row r="49" spans="2:12" s="1516" customFormat="1">
      <c r="B49" s="1525"/>
      <c r="C49" s="1788" t="s">
        <v>2217</v>
      </c>
      <c r="D49" s="1524">
        <f>IFERROR(VLOOKUP(C49,DG!A:F,6,0),3000)</f>
        <v>50</v>
      </c>
      <c r="E49" s="1853" t="str">
        <f>IFERROR(VLOOKUP(C49,DG!A:C,3,0),"")</f>
        <v>Đầu cosse ép Cu 150mm2</v>
      </c>
      <c r="F49" s="1850" t="str">
        <f>VLOOKUP(C49,DG!A:D,4,0)</f>
        <v>cái</v>
      </c>
      <c r="G49" s="1245">
        <v>15</v>
      </c>
      <c r="H49" s="1705">
        <f>IF(D49&lt;2000,COUNTIF($E$2:E49,E49),0)</f>
        <v>1</v>
      </c>
      <c r="I49" s="1711">
        <f t="shared" si="0"/>
        <v>15</v>
      </c>
      <c r="J49" s="1863"/>
      <c r="L49" s="1863"/>
    </row>
    <row r="50" spans="2:12" s="1516" customFormat="1">
      <c r="B50" s="1525"/>
      <c r="C50" s="1788" t="s">
        <v>1298</v>
      </c>
      <c r="D50" s="1524">
        <f>IFERROR(VLOOKUP(C50,DG!A:F,6,0),3000)</f>
        <v>50</v>
      </c>
      <c r="E50" s="1853" t="str">
        <f>IFERROR(VLOOKUP(C50,DG!A:C,3,0),"")</f>
        <v>Chân sứ đứng D20</v>
      </c>
      <c r="F50" s="1850" t="str">
        <f>VLOOKUP(C50,DG!A:D,4,0)</f>
        <v>cái</v>
      </c>
      <c r="G50" s="1353">
        <v>591</v>
      </c>
      <c r="H50" s="1705">
        <f>IF(D50&lt;2000,COUNTIF($E$2:E50,E50),0)</f>
        <v>1</v>
      </c>
      <c r="I50" s="1711">
        <f t="shared" si="0"/>
        <v>591</v>
      </c>
      <c r="J50" s="1863"/>
      <c r="L50" s="1863"/>
    </row>
    <row r="51" spans="2:12" s="1516" customFormat="1">
      <c r="B51" s="1525"/>
      <c r="C51" s="1788" t="s">
        <v>1560</v>
      </c>
      <c r="D51" s="1524">
        <f>IFERROR(VLOOKUP(C51,DG!A:F,6,0),3000)</f>
        <v>50</v>
      </c>
      <c r="E51" s="1853" t="str">
        <f>IFERROR(VLOOKUP(C51,DG!A:C,3,0),"")</f>
        <v>Cọc tiếp đất Ø 16- 2,4m + kẹp cọc</v>
      </c>
      <c r="F51" s="1850" t="str">
        <f>VLOOKUP(C51,DG!A:D,4,0)</f>
        <v>bộ</v>
      </c>
      <c r="G51" s="1245">
        <v>14</v>
      </c>
      <c r="H51" s="1705">
        <f>IF(D51&lt;2000,COUNTIF($E$2:E51,E51),0)</f>
        <v>1</v>
      </c>
      <c r="I51" s="1711">
        <f t="shared" si="0"/>
        <v>14</v>
      </c>
      <c r="J51" s="1863"/>
      <c r="L51" s="1863"/>
    </row>
    <row r="52" spans="2:12" s="1516" customFormat="1">
      <c r="B52" s="1525"/>
      <c r="C52" s="1788" t="s">
        <v>641</v>
      </c>
      <c r="D52" s="1524">
        <f>IFERROR(VLOOKUP(C52,DG!A:F,6,0),3000)</f>
        <v>50</v>
      </c>
      <c r="E52" s="1853" t="str">
        <f>IFERROR(VLOOKUP(C52,DG!A:C,3,0),"")</f>
        <v>Đà cản BTCT 1,2m</v>
      </c>
      <c r="F52" s="1850" t="str">
        <f>VLOOKUP(C52,DG!A:D,4,0)</f>
        <v>cái</v>
      </c>
      <c r="G52" s="1257">
        <v>40</v>
      </c>
      <c r="H52" s="1705">
        <f>IF(D52&lt;2000,COUNTIF($E$2:E52,E52),0)</f>
        <v>1</v>
      </c>
      <c r="I52" s="1711">
        <f t="shared" si="0"/>
        <v>40</v>
      </c>
      <c r="J52" s="1863"/>
      <c r="L52" s="1863"/>
    </row>
    <row r="53" spans="2:12" s="1516" customFormat="1">
      <c r="B53" s="1525"/>
      <c r="C53" s="1191" t="s">
        <v>1627</v>
      </c>
      <c r="D53" s="1524">
        <f>IFERROR(VLOOKUP(C53,DG!A:F,6,0),3000)</f>
        <v>50</v>
      </c>
      <c r="E53" s="1853" t="str">
        <f>IFERROR(VLOOKUP(C53,DG!A:C,3,0),"")</f>
        <v>Đà cản BTCT 1,5m</v>
      </c>
      <c r="F53" s="1850" t="str">
        <f>VLOOKUP(C53,DG!A:D,4,0)</f>
        <v>cái</v>
      </c>
      <c r="G53" s="1353">
        <v>15</v>
      </c>
      <c r="H53" s="1705">
        <f>IF(D53&lt;2000,COUNTIF($E$2:E53,E53),0)</f>
        <v>1</v>
      </c>
      <c r="I53" s="1711">
        <f t="shared" si="0"/>
        <v>15</v>
      </c>
      <c r="J53" s="1863"/>
      <c r="L53" s="1863"/>
    </row>
    <row r="54" spans="2:12">
      <c r="C54" s="1788" t="s">
        <v>4959</v>
      </c>
      <c r="D54" s="1524">
        <f>IFERROR(VLOOKUP(C54,DG!A:F,6,0),3000)</f>
        <v>50</v>
      </c>
      <c r="E54" s="1853" t="str">
        <f>IFERROR(VLOOKUP(C54,DG!A:C,3,0),"")</f>
        <v>Đà Sắt góc L75 x75 x8 dài 2m (3 ốp)</v>
      </c>
      <c r="F54" s="1850" t="str">
        <f>VLOOKUP(C54,DG!A:D,4,0)</f>
        <v>thanh</v>
      </c>
      <c r="G54" s="1245">
        <v>16</v>
      </c>
      <c r="H54" s="1705">
        <f>IF(D54&lt;2000,COUNTIF($E$2:E54,E54),0)</f>
        <v>1</v>
      </c>
      <c r="I54" s="1711">
        <f t="shared" si="0"/>
        <v>167</v>
      </c>
      <c r="K54" s="1516"/>
    </row>
    <row r="55" spans="2:12" hidden="1">
      <c r="C55" s="1788" t="s">
        <v>4959</v>
      </c>
      <c r="D55" s="1524">
        <f>IFERROR(VLOOKUP(C55,DG!A:F,6,0),3000)</f>
        <v>50</v>
      </c>
      <c r="E55" s="1853" t="str">
        <f>IFERROR(VLOOKUP(C55,DG!A:C,3,0),"")</f>
        <v>Đà Sắt góc L75 x75 x8 dài 2m (3 ốp)</v>
      </c>
      <c r="F55" s="1850" t="str">
        <f>VLOOKUP(C55,DG!A:D,4,0)</f>
        <v>thanh</v>
      </c>
      <c r="G55" s="1257">
        <v>151</v>
      </c>
      <c r="H55" s="1705">
        <f>IF(D55&lt;2000,COUNTIF($E$2:E55,E55),0)</f>
        <v>2</v>
      </c>
      <c r="I55" s="1711">
        <f t="shared" si="0"/>
        <v>167</v>
      </c>
      <c r="K55" s="1516"/>
    </row>
    <row r="56" spans="2:12">
      <c r="C56" s="1522" t="s">
        <v>4957</v>
      </c>
      <c r="D56" s="1524">
        <f>IFERROR(VLOOKUP(C56,DG!A:F,6,0),3000)</f>
        <v>50</v>
      </c>
      <c r="E56" s="1853" t="str">
        <f>IFERROR(VLOOKUP(C56,DG!A:C,3,0),"")</f>
        <v>Đà Sắt góc L75 x75 x8 dài 2,2m (4 ốp)</v>
      </c>
      <c r="F56" s="1850" t="str">
        <f>VLOOKUP(C56,DG!A:D,4,0)</f>
        <v>thanh</v>
      </c>
      <c r="G56" s="1353">
        <v>20</v>
      </c>
      <c r="H56" s="1705">
        <f>IF(D56&lt;2000,COUNTIF($E$2:E56,E56),0)</f>
        <v>1</v>
      </c>
      <c r="I56" s="1711">
        <f t="shared" si="0"/>
        <v>30</v>
      </c>
      <c r="K56" s="1516"/>
    </row>
    <row r="57" spans="2:12" hidden="1">
      <c r="C57" s="1788" t="s">
        <v>4957</v>
      </c>
      <c r="D57" s="1524">
        <f>IFERROR(VLOOKUP(C57,DG!A:F,6,0),3000)</f>
        <v>50</v>
      </c>
      <c r="E57" s="1853" t="str">
        <f>IFERROR(VLOOKUP(C57,DG!A:C,3,0),"")</f>
        <v>Đà Sắt góc L75 x75 x8 dài 2,2m (4 ốp)</v>
      </c>
      <c r="F57" s="1850" t="str">
        <f>VLOOKUP(C57,DG!A:D,4,0)</f>
        <v>thanh</v>
      </c>
      <c r="G57" s="1257">
        <v>10</v>
      </c>
      <c r="H57" s="1705">
        <f>IF(D57&lt;2000,COUNTIF($E$2:E57,E57),0)</f>
        <v>2</v>
      </c>
      <c r="I57" s="1711">
        <f t="shared" si="0"/>
        <v>30</v>
      </c>
      <c r="K57" s="1516"/>
    </row>
    <row r="58" spans="2:12">
      <c r="C58" s="1788" t="s">
        <v>230</v>
      </c>
      <c r="D58" s="1524">
        <f>IFERROR(VLOOKUP(C58,DG!A:F,6,0),3000)</f>
        <v>50</v>
      </c>
      <c r="E58" s="1853" t="str">
        <f>IFERROR(VLOOKUP(C58,DG!A:C,3,0),"")</f>
        <v xml:space="preserve">Dây nhôm buộc </v>
      </c>
      <c r="F58" s="1850" t="str">
        <f>VLOOKUP(C58,DG!A:D,4,0)</f>
        <v>kg</v>
      </c>
      <c r="G58" s="1257">
        <v>4.5999999999999996</v>
      </c>
      <c r="H58" s="1705">
        <f>IF(D58&lt;2000,COUNTIF($E$2:E58,E58),0)</f>
        <v>1</v>
      </c>
      <c r="I58" s="1711">
        <f t="shared" si="0"/>
        <v>4.5999999999999996</v>
      </c>
      <c r="K58" s="1516"/>
    </row>
    <row r="59" spans="2:12">
      <c r="C59" s="1788" t="s">
        <v>4975</v>
      </c>
      <c r="D59" s="1524">
        <f>IFERROR(VLOOKUP(C59,DG!A:F,6,0),3000)</f>
        <v>50</v>
      </c>
      <c r="E59" s="1853" t="str">
        <f>IFERROR(VLOOKUP(C59,DG!A:C,3,0),"")</f>
        <v>Dây buộc cổ sứ SSF (185-240mm2)</v>
      </c>
      <c r="F59" s="1850" t="str">
        <f>VLOOKUP(C59,DG!A:D,4,0)</f>
        <v>cái</v>
      </c>
      <c r="G59" s="1257">
        <v>48</v>
      </c>
      <c r="H59" s="1705">
        <f>IF(D59&lt;2000,COUNTIF($E$2:E59,E59),0)</f>
        <v>1</v>
      </c>
      <c r="I59" s="1711">
        <f t="shared" si="0"/>
        <v>48</v>
      </c>
      <c r="K59" s="1516"/>
    </row>
    <row r="60" spans="2:12">
      <c r="C60" s="1788" t="s">
        <v>4974</v>
      </c>
      <c r="D60" s="1524">
        <f>IFERROR(VLOOKUP(C60,DG!A:F,6,0),3000)</f>
        <v>50</v>
      </c>
      <c r="E60" s="1853" t="str">
        <f>IFERROR(VLOOKUP(C60,DG!A:C,3,0),"")</f>
        <v>Dây buộc đầu sứ TTF (185-240mm2)</v>
      </c>
      <c r="F60" s="1850" t="str">
        <f>VLOOKUP(C60,DG!A:D,4,0)</f>
        <v>cái</v>
      </c>
      <c r="G60" s="1257">
        <v>543</v>
      </c>
      <c r="H60" s="1705">
        <f>IF(D60&lt;2000,COUNTIF($E$2:E60,E60),0)</f>
        <v>1</v>
      </c>
      <c r="I60" s="1711">
        <f t="shared" si="0"/>
        <v>543</v>
      </c>
      <c r="K60" s="1516"/>
    </row>
    <row r="61" spans="2:12">
      <c r="C61" s="1191" t="s">
        <v>3</v>
      </c>
      <c r="D61" s="1524">
        <f>IFERROR(VLOOKUP(C61,DG!A:F,6,0),3000)</f>
        <v>50</v>
      </c>
      <c r="E61" s="1853" t="str">
        <f>IFERROR(VLOOKUP(C61,DG!A:C,3,0),"")</f>
        <v>Cáp Duplex 2x16</v>
      </c>
      <c r="F61" s="1850" t="str">
        <f>VLOOKUP(C61,DG!A:D,4,0)</f>
        <v>m</v>
      </c>
      <c r="G61" s="1353">
        <v>174</v>
      </c>
      <c r="H61" s="1705">
        <f>IF(D61&lt;2000,COUNTIF($E$2:E61,E61),0)</f>
        <v>1</v>
      </c>
      <c r="I61" s="1711">
        <f t="shared" si="0"/>
        <v>174</v>
      </c>
      <c r="K61" s="1516"/>
    </row>
    <row r="62" spans="2:12">
      <c r="C62" s="1788" t="s">
        <v>878</v>
      </c>
      <c r="D62" s="1524">
        <f>IFERROR(VLOOKUP(C62,DG!A:F,6,0),3000)</f>
        <v>50</v>
      </c>
      <c r="E62" s="1853" t="str">
        <f>IFERROR(VLOOKUP(C62,DG!A:C,3,0),"")</f>
        <v>Ghíp nối IPC 95-35</v>
      </c>
      <c r="F62" s="1850" t="str">
        <f>VLOOKUP(C62,DG!A:D,4,0)</f>
        <v>cái</v>
      </c>
      <c r="G62" s="1353">
        <v>353</v>
      </c>
      <c r="H62" s="1705">
        <f>IF(D62&lt;2000,COUNTIF($E$2:E62,E62),0)</f>
        <v>1</v>
      </c>
      <c r="I62" s="1711">
        <f t="shared" si="0"/>
        <v>353</v>
      </c>
      <c r="K62" s="1516"/>
    </row>
    <row r="63" spans="2:12">
      <c r="C63" s="1788" t="s">
        <v>4965</v>
      </c>
      <c r="D63" s="1524">
        <f>IFERROR(VLOOKUP(C63,DG!A:F,6,0),3000)</f>
        <v>50</v>
      </c>
      <c r="E63" s="1853" t="str">
        <f>IFERROR(VLOOKUP(C63,DG!A:C,3,0),"")</f>
        <v>Giáp níu dừng dây bọc 185 + yếm móng U + Mắt nối yếm</v>
      </c>
      <c r="F63" s="1850" t="str">
        <f>VLOOKUP(C63,DG!A:D,4,0)</f>
        <v>cái</v>
      </c>
      <c r="G63" s="1353">
        <v>96</v>
      </c>
      <c r="H63" s="1705">
        <f>IF(D63&lt;2000,COUNTIF($E$2:E63,E63),0)</f>
        <v>1</v>
      </c>
      <c r="I63" s="1711">
        <f t="shared" si="0"/>
        <v>96</v>
      </c>
      <c r="K63" s="1516"/>
    </row>
    <row r="64" spans="2:12">
      <c r="C64" s="2264" t="s">
        <v>4966</v>
      </c>
      <c r="D64" s="1524">
        <f>IFERROR(VLOOKUP(C64,DG!A:F,6,0),3000)</f>
        <v>50</v>
      </c>
      <c r="E64" s="1853" t="str">
        <f>IFERROR(VLOOKUP(C64,DG!A:C,3,0),"")</f>
        <v>Giáp níu dừng dây bọc 50mm2 + yếm móng U + Mắt nối yếm</v>
      </c>
      <c r="F64" s="1850" t="str">
        <f>VLOOKUP(C64,DG!A:D,4,0)</f>
        <v>cái</v>
      </c>
      <c r="G64" s="1353">
        <v>19</v>
      </c>
      <c r="H64" s="1705">
        <f>IF(D64&lt;2000,COUNTIF($E$2:E64,E64),0)</f>
        <v>1</v>
      </c>
      <c r="I64" s="1711">
        <f t="shared" si="0"/>
        <v>19</v>
      </c>
      <c r="K64" s="1516"/>
    </row>
    <row r="65" spans="3:11">
      <c r="C65" s="1788" t="s">
        <v>1630</v>
      </c>
      <c r="D65" s="1524">
        <f>IFERROR(VLOOKUP(C65,DG!A:F,6,0),3000)</f>
        <v>50</v>
      </c>
      <c r="E65" s="1853" t="str">
        <f>IFERROR(VLOOKUP(C65,DG!A:C,3,0),"")</f>
        <v>Kẹp cáp 3 boulon</v>
      </c>
      <c r="F65" s="1850" t="str">
        <f>VLOOKUP(C65,DG!A:D,4,0)</f>
        <v>cái</v>
      </c>
      <c r="G65" s="1245">
        <v>24</v>
      </c>
      <c r="H65" s="1705">
        <f>IF(D65&lt;2000,COUNTIF($E$2:E65,E65),0)</f>
        <v>1</v>
      </c>
      <c r="I65" s="1711">
        <f t="shared" si="0"/>
        <v>144</v>
      </c>
      <c r="K65" s="1516"/>
    </row>
    <row r="66" spans="3:11" hidden="1">
      <c r="C66" s="1788" t="s">
        <v>1630</v>
      </c>
      <c r="D66" s="1524">
        <f>IFERROR(VLOOKUP(C66,DG!A:F,6,0),3000)</f>
        <v>50</v>
      </c>
      <c r="E66" s="1853" t="str">
        <f>IFERROR(VLOOKUP(C66,DG!A:C,3,0),"")</f>
        <v>Kẹp cáp 3 boulon</v>
      </c>
      <c r="F66" s="1850" t="str">
        <f>VLOOKUP(C66,DG!A:D,4,0)</f>
        <v>cái</v>
      </c>
      <c r="G66" s="1244">
        <v>16</v>
      </c>
      <c r="H66" s="1705">
        <f>IF(D66&lt;2000,COUNTIF($E$2:E66,E66),0)</f>
        <v>2</v>
      </c>
      <c r="I66" s="1711">
        <f t="shared" ref="I66:I129" si="1">IF(G66&gt;0,SUMIF(C:C,C66,G:G),0)</f>
        <v>144</v>
      </c>
      <c r="K66" s="1516"/>
    </row>
    <row r="67" spans="3:11" hidden="1">
      <c r="C67" s="2265" t="s">
        <v>1630</v>
      </c>
      <c r="D67" s="1524">
        <f>IFERROR(VLOOKUP(C67,DG!A:F,6,0),3000)</f>
        <v>50</v>
      </c>
      <c r="E67" s="1853" t="str">
        <f>IFERROR(VLOOKUP(C67,DG!A:C,3,0),"")</f>
        <v>Kẹp cáp 3 boulon</v>
      </c>
      <c r="F67" s="1850" t="str">
        <f>VLOOKUP(C67,DG!A:D,4,0)</f>
        <v>cái</v>
      </c>
      <c r="G67" s="1353">
        <v>32</v>
      </c>
      <c r="H67" s="1705">
        <f>IF(D67&lt;2000,COUNTIF($E$2:E67,E67),0)</f>
        <v>3</v>
      </c>
      <c r="I67" s="1711">
        <f t="shared" si="1"/>
        <v>144</v>
      </c>
      <c r="K67" s="1516"/>
    </row>
    <row r="68" spans="3:11" hidden="1">
      <c r="C68" s="1788" t="s">
        <v>1630</v>
      </c>
      <c r="D68" s="1524">
        <f>IFERROR(VLOOKUP(C68,DG!A:F,6,0),3000)</f>
        <v>50</v>
      </c>
      <c r="E68" s="1853" t="str">
        <f>IFERROR(VLOOKUP(C68,DG!A:C,3,0),"")</f>
        <v>Kẹp cáp 3 boulon</v>
      </c>
      <c r="F68" s="1850" t="str">
        <f>VLOOKUP(C68,DG!A:D,4,0)</f>
        <v>cái</v>
      </c>
      <c r="G68" s="1244">
        <v>16</v>
      </c>
      <c r="H68" s="1705">
        <f>IF(D68&lt;2000,COUNTIF($E$2:E68,E68),0)</f>
        <v>4</v>
      </c>
      <c r="I68" s="1711">
        <f t="shared" si="1"/>
        <v>144</v>
      </c>
      <c r="K68" s="1516"/>
    </row>
    <row r="69" spans="3:11" hidden="1">
      <c r="C69" s="2264" t="s">
        <v>1630</v>
      </c>
      <c r="D69" s="1524">
        <f>IFERROR(VLOOKUP(C69,DG!A:F,6,0),3000)</f>
        <v>50</v>
      </c>
      <c r="E69" s="1853" t="str">
        <f>IFERROR(VLOOKUP(C69,DG!A:C,3,0),"")</f>
        <v>Kẹp cáp 3 boulon</v>
      </c>
      <c r="F69" s="1850" t="str">
        <f>VLOOKUP(C69,DG!A:D,4,0)</f>
        <v>cái</v>
      </c>
      <c r="G69" s="1353">
        <v>56</v>
      </c>
      <c r="H69" s="1705">
        <f>IF(D69&lt;2000,COUNTIF($E$2:E69,E69),0)</f>
        <v>5</v>
      </c>
      <c r="I69" s="1711">
        <f t="shared" si="1"/>
        <v>144</v>
      </c>
      <c r="K69" s="1516"/>
    </row>
    <row r="70" spans="3:11">
      <c r="C70" s="1788" t="s">
        <v>4973</v>
      </c>
      <c r="D70" s="1524">
        <f>IFERROR(VLOOKUP(C70,DG!A:F,6,0),3000)</f>
        <v>50</v>
      </c>
      <c r="E70" s="1853" t="str">
        <f>IFERROR(VLOOKUP(C70,DG!A:C,3,0),"")</f>
        <v>Dây đai + khóa đai Inoc</v>
      </c>
      <c r="F70" s="1850" t="str">
        <f>VLOOKUP(C70,DG!A:D,4,0)</f>
        <v>Bộ</v>
      </c>
      <c r="G70" s="1257">
        <v>74</v>
      </c>
      <c r="H70" s="1705">
        <f>IF(D70&lt;2000,COUNTIF($E$2:E70,E70),0)</f>
        <v>1</v>
      </c>
      <c r="I70" s="1711">
        <f t="shared" si="1"/>
        <v>74</v>
      </c>
      <c r="K70" s="1516"/>
    </row>
    <row r="71" spans="3:11">
      <c r="C71" s="1191" t="s">
        <v>4967</v>
      </c>
      <c r="D71" s="1524">
        <f>IFERROR(VLOOKUP(C71,DG!A:F,6,0),3000)</f>
        <v>50</v>
      </c>
      <c r="E71" s="1853" t="str">
        <f>IFERROR(VLOOKUP(C71,DG!A:C,3,0),"")</f>
        <v>Kẹp ép WR 279</v>
      </c>
      <c r="F71" s="1850" t="str">
        <f>VLOOKUP(C71,DG!A:D,4,0)</f>
        <v>cái</v>
      </c>
      <c r="G71" s="1353">
        <v>10</v>
      </c>
      <c r="H71" s="1705">
        <f>IF(D71&lt;2000,COUNTIF($E$2:E71,E71),0)</f>
        <v>1</v>
      </c>
      <c r="I71" s="1711">
        <f t="shared" si="1"/>
        <v>10</v>
      </c>
      <c r="K71" s="1516"/>
    </row>
    <row r="72" spans="3:11">
      <c r="C72" s="1788" t="s">
        <v>4517</v>
      </c>
      <c r="D72" s="1524">
        <f>IFERROR(VLOOKUP(C72,DG!A:F,6,0),3000)</f>
        <v>50</v>
      </c>
      <c r="E72" s="1853" t="str">
        <f>IFERROR(VLOOKUP(C72,DG!A:C,3,0),"")</f>
        <v>Kẹp ép WR 399</v>
      </c>
      <c r="F72" s="1850" t="str">
        <f>VLOOKUP(C72,DG!A:D,4,0)</f>
        <v>cái</v>
      </c>
      <c r="G72" s="1245">
        <v>28</v>
      </c>
      <c r="H72" s="1705">
        <f>IF(D72&lt;2000,COUNTIF($E$2:E72,E72),0)</f>
        <v>1</v>
      </c>
      <c r="I72" s="1711">
        <f t="shared" si="1"/>
        <v>102</v>
      </c>
      <c r="K72" s="1516"/>
    </row>
    <row r="73" spans="3:11" hidden="1">
      <c r="C73" s="1788" t="s">
        <v>4517</v>
      </c>
      <c r="D73" s="1524">
        <f>IFERROR(VLOOKUP(C73,DG!A:F,6,0),3000)</f>
        <v>50</v>
      </c>
      <c r="E73" s="1853" t="str">
        <f>IFERROR(VLOOKUP(C73,DG!A:C,3,0),"")</f>
        <v>Kẹp ép WR 399</v>
      </c>
      <c r="F73" s="1850" t="str">
        <f>VLOOKUP(C73,DG!A:D,4,0)</f>
        <v>cái</v>
      </c>
      <c r="G73" s="1257">
        <v>40</v>
      </c>
      <c r="H73" s="1705">
        <f>IF(D73&lt;2000,COUNTIF($E$2:E73,E73),0)</f>
        <v>2</v>
      </c>
      <c r="I73" s="1711">
        <f t="shared" si="1"/>
        <v>102</v>
      </c>
      <c r="K73" s="1516"/>
    </row>
    <row r="74" spans="3:11" hidden="1">
      <c r="C74" s="1788" t="s">
        <v>4517</v>
      </c>
      <c r="D74" s="1524">
        <f>IFERROR(VLOOKUP(C74,DG!A:F,6,0),3000)</f>
        <v>50</v>
      </c>
      <c r="E74" s="1853" t="str">
        <f>IFERROR(VLOOKUP(C74,DG!A:C,3,0),"")</f>
        <v>Kẹp ép WR 399</v>
      </c>
      <c r="F74" s="1850" t="str">
        <f>VLOOKUP(C74,DG!A:D,4,0)</f>
        <v>cái</v>
      </c>
      <c r="G74" s="1245">
        <v>30</v>
      </c>
      <c r="H74" s="1705">
        <f>IF(D74&lt;2000,COUNTIF($E$2:E74,E74),0)</f>
        <v>3</v>
      </c>
      <c r="I74" s="1711">
        <f t="shared" si="1"/>
        <v>102</v>
      </c>
      <c r="K74" s="1516"/>
    </row>
    <row r="75" spans="3:11" hidden="1">
      <c r="C75" s="1191" t="s">
        <v>4968</v>
      </c>
      <c r="D75" s="1524">
        <f>IFERROR(VLOOKUP(C75,DG!A:F,6,0),3000)</f>
        <v>50</v>
      </c>
      <c r="E75" s="1853" t="str">
        <f>IFERROR(VLOOKUP(C75,DG!A:C,3,0),"")</f>
        <v>Kẹp ép WR 399</v>
      </c>
      <c r="F75" s="1850" t="str">
        <f>VLOOKUP(C75,DG!A:D,4,0)</f>
        <v>cái</v>
      </c>
      <c r="G75" s="1353">
        <v>4</v>
      </c>
      <c r="H75" s="1705">
        <f>IF(D75&lt;2000,COUNTIF($E$2:E75,E75),0)</f>
        <v>4</v>
      </c>
      <c r="I75" s="1711">
        <f t="shared" si="1"/>
        <v>102</v>
      </c>
      <c r="K75" s="1516"/>
    </row>
    <row r="76" spans="3:11">
      <c r="C76" s="2263" t="s">
        <v>4969</v>
      </c>
      <c r="D76" s="1524">
        <f>IFERROR(VLOOKUP(C76,DG!A:F,6,0),3000)</f>
        <v>50</v>
      </c>
      <c r="E76" s="1853" t="str">
        <f>IFERROR(VLOOKUP(C76,DG!A:C,3,0),"")</f>
        <v>Kẹp ép WR 419</v>
      </c>
      <c r="F76" s="1850" t="str">
        <f>VLOOKUP(C76,DG!A:D,4,0)</f>
        <v>cái</v>
      </c>
      <c r="G76" s="1245">
        <v>70</v>
      </c>
      <c r="H76" s="1705">
        <f>IF(D76&lt;2000,COUNTIF($E$2:E76,E76),0)</f>
        <v>1</v>
      </c>
      <c r="I76" s="1711">
        <f t="shared" si="1"/>
        <v>70</v>
      </c>
      <c r="K76" s="1516"/>
    </row>
    <row r="77" spans="3:11">
      <c r="C77" s="1788" t="s">
        <v>4970</v>
      </c>
      <c r="D77" s="1524">
        <f>IFERROR(VLOOKUP(C77,DG!A:F,6,0),3000)</f>
        <v>50</v>
      </c>
      <c r="E77" s="1853" t="str">
        <f>IFERROR(VLOOKUP(C77,DG!A:C,3,0),"")</f>
        <v>Kẹp ép WR 929</v>
      </c>
      <c r="F77" s="1850" t="str">
        <f>VLOOKUP(C77,DG!A:D,4,0)</f>
        <v>cái</v>
      </c>
      <c r="G77" s="1245">
        <v>100</v>
      </c>
      <c r="H77" s="1705">
        <f>IF(D77&lt;2000,COUNTIF($E$2:E77,E77),0)</f>
        <v>1</v>
      </c>
      <c r="I77" s="1711">
        <f t="shared" si="1"/>
        <v>100</v>
      </c>
      <c r="K77" s="1516"/>
    </row>
    <row r="78" spans="3:11">
      <c r="C78" s="1788" t="s">
        <v>1079</v>
      </c>
      <c r="D78" s="1524">
        <f>IFERROR(VLOOKUP(C78,DG!A:F,6,0),3000)</f>
        <v>50</v>
      </c>
      <c r="E78" s="1853" t="str">
        <f>IFERROR(VLOOKUP(C78,DG!A:C,3,0),"")</f>
        <v>Kẹp hotline 4/0</v>
      </c>
      <c r="F78" s="1850" t="str">
        <f>VLOOKUP(C78,DG!A:D,4,0)</f>
        <v>cái</v>
      </c>
      <c r="G78" s="1245">
        <v>47</v>
      </c>
      <c r="H78" s="1705">
        <f>IF(D78&lt;2000,COUNTIF($E$2:E78,E78),0)</f>
        <v>1</v>
      </c>
      <c r="I78" s="1711">
        <f t="shared" si="1"/>
        <v>47</v>
      </c>
      <c r="K78" s="1516"/>
    </row>
    <row r="79" spans="3:11">
      <c r="C79" s="1788" t="s">
        <v>434</v>
      </c>
      <c r="D79" s="1524">
        <f>IFERROR(VLOOKUP(C79,DG!A:F,6,0),3000)</f>
        <v>50</v>
      </c>
      <c r="E79" s="1853" t="str">
        <f>IFERROR(VLOOKUP(C79,DG!A:C,3,0),"")</f>
        <v>Khóa néo dây cỡ dây 120</v>
      </c>
      <c r="F79" s="1850" t="str">
        <f>VLOOKUP(C79,DG!A:D,4,0)</f>
        <v>cái</v>
      </c>
      <c r="G79" s="1353">
        <v>29</v>
      </c>
      <c r="H79" s="1705">
        <f>IF(D79&lt;2000,COUNTIF($E$2:E79,E79),0)</f>
        <v>1</v>
      </c>
      <c r="I79" s="1711">
        <f t="shared" si="1"/>
        <v>29</v>
      </c>
      <c r="K79" s="1516"/>
    </row>
    <row r="80" spans="3:11">
      <c r="C80" s="1788" t="s">
        <v>237</v>
      </c>
      <c r="D80" s="1524">
        <f>IFERROR(VLOOKUP(C80,DG!A:F,6,0),3000)</f>
        <v>50</v>
      </c>
      <c r="E80" s="1853" t="str">
        <f>IFERROR(VLOOKUP(C80,DG!A:C,3,0),"")</f>
        <v>Kẹp quai 4/0</v>
      </c>
      <c r="F80" s="1850" t="str">
        <f>VLOOKUP(C80,DG!A:D,4,0)</f>
        <v>cái</v>
      </c>
      <c r="G80" s="1245">
        <v>56</v>
      </c>
      <c r="H80" s="1705">
        <f>IF(D80&lt;2000,COUNTIF($E$2:E80,E80),0)</f>
        <v>1</v>
      </c>
      <c r="I80" s="1711">
        <f t="shared" si="1"/>
        <v>56</v>
      </c>
      <c r="K80" s="1516"/>
    </row>
    <row r="81" spans="3:11">
      <c r="C81" s="1788" t="s">
        <v>2054</v>
      </c>
      <c r="D81" s="1524">
        <f>IFERROR(VLOOKUP(C81,DG!A:F,6,0),3000)</f>
        <v>50</v>
      </c>
      <c r="E81" s="1853" t="str">
        <f>IFERROR(VLOOKUP(C81,DG!A:C,3,0),"")</f>
        <v>Máng che dây chằng dày 1,6mm</v>
      </c>
      <c r="F81" s="1850" t="str">
        <f>VLOOKUP(C81,DG!A:D,4,0)</f>
        <v>cái</v>
      </c>
      <c r="G81" s="1249">
        <v>2</v>
      </c>
      <c r="H81" s="1705">
        <f>IF(D81&lt;2000,COUNTIF($E$2:E81,E81),0)</f>
        <v>1</v>
      </c>
      <c r="I81" s="1711">
        <f t="shared" si="1"/>
        <v>8</v>
      </c>
      <c r="K81" s="1516"/>
    </row>
    <row r="82" spans="3:11" ht="16.5" hidden="1" customHeight="1">
      <c r="C82" s="1788" t="s">
        <v>2054</v>
      </c>
      <c r="D82" s="1524">
        <f>IFERROR(VLOOKUP(C82,DG!A:F,6,0),3000)</f>
        <v>50</v>
      </c>
      <c r="E82" s="1853" t="str">
        <f>IFERROR(VLOOKUP(C82,DG!A:C,3,0),"")</f>
        <v>Máng che dây chằng dày 1,6mm</v>
      </c>
      <c r="F82" s="1850" t="str">
        <f>VLOOKUP(C82,DG!A:D,4,0)</f>
        <v>cái</v>
      </c>
      <c r="G82" s="1244">
        <v>2</v>
      </c>
      <c r="H82" s="1705">
        <f>IF(D82&lt;2000,COUNTIF($E$2:E82,E82),0)</f>
        <v>2</v>
      </c>
      <c r="I82" s="1711">
        <f t="shared" si="1"/>
        <v>8</v>
      </c>
      <c r="K82" s="1516"/>
    </row>
    <row r="83" spans="3:11" hidden="1">
      <c r="C83" s="1788" t="s">
        <v>2054</v>
      </c>
      <c r="D83" s="1524">
        <f>IFERROR(VLOOKUP(C83,DG!A:F,6,0),3000)</f>
        <v>50</v>
      </c>
      <c r="E83" s="1853" t="str">
        <f>IFERROR(VLOOKUP(C83,DG!A:C,3,0),"")</f>
        <v>Máng che dây chằng dày 1,6mm</v>
      </c>
      <c r="F83" s="1850" t="str">
        <f>VLOOKUP(C83,DG!A:D,4,0)</f>
        <v>cái</v>
      </c>
      <c r="G83" s="1245">
        <v>1</v>
      </c>
      <c r="H83" s="1705">
        <f>IF(D83&lt;2000,COUNTIF($E$2:E83,E83),0)</f>
        <v>3</v>
      </c>
      <c r="I83" s="1711">
        <f t="shared" si="1"/>
        <v>8</v>
      </c>
      <c r="K83" s="1516"/>
    </row>
    <row r="84" spans="3:11" ht="16.5" hidden="1" customHeight="1">
      <c r="C84" s="1788" t="s">
        <v>2054</v>
      </c>
      <c r="D84" s="1524">
        <f>IFERROR(VLOOKUP(C84,DG!A:F,6,0),3000)</f>
        <v>50</v>
      </c>
      <c r="E84" s="1853" t="str">
        <f>IFERROR(VLOOKUP(C84,DG!A:C,3,0),"")</f>
        <v>Máng che dây chằng dày 1,6mm</v>
      </c>
      <c r="F84" s="1850" t="str">
        <f>VLOOKUP(C84,DG!A:D,4,0)</f>
        <v>cái</v>
      </c>
      <c r="G84" s="1257">
        <v>3</v>
      </c>
      <c r="H84" s="1705">
        <f>IF(D84&lt;2000,COUNTIF($E$2:E84,E84),0)</f>
        <v>4</v>
      </c>
      <c r="I84" s="1711">
        <f t="shared" si="1"/>
        <v>8</v>
      </c>
      <c r="K84" s="1516"/>
    </row>
    <row r="85" spans="3:11">
      <c r="C85" s="1788" t="s">
        <v>4963</v>
      </c>
      <c r="D85" s="1524">
        <f>IFERROR(VLOOKUP(C85,DG!A:F,6,0),3000)</f>
        <v>50</v>
      </c>
      <c r="E85" s="1853" t="str">
        <f>IFERROR(VLOOKUP(C85,DG!A:C,3,0),"")</f>
        <v>Máng che dây chằng dày 0,4x2000</v>
      </c>
      <c r="F85" s="1850" t="str">
        <f>VLOOKUP(C85,DG!A:D,4,0)</f>
        <v>cái</v>
      </c>
      <c r="G85" s="1244">
        <v>7</v>
      </c>
      <c r="H85" s="1705">
        <f>IF(D85&lt;2000,COUNTIF($E$2:E85,E85),0)</f>
        <v>1</v>
      </c>
      <c r="I85" s="1711">
        <f t="shared" si="1"/>
        <v>7</v>
      </c>
      <c r="K85" s="1516"/>
    </row>
    <row r="86" spans="3:11">
      <c r="C86" s="1788" t="s">
        <v>1538</v>
      </c>
      <c r="D86" s="1524">
        <f>IFERROR(VLOOKUP(C86,DG!A:F,6,0),3000)</f>
        <v>50</v>
      </c>
      <c r="E86" s="1853" t="str">
        <f>IFERROR(VLOOKUP(C86,DG!A:C,3,0),"")</f>
        <v xml:space="preserve">Móc treo chữ U </v>
      </c>
      <c r="F86" s="1850" t="str">
        <f>VLOOKUP(C86,DG!A:D,4,0)</f>
        <v>cái</v>
      </c>
      <c r="G86" s="1245">
        <v>186</v>
      </c>
      <c r="H86" s="1705">
        <f>IF(D86&lt;2000,COUNTIF($E$2:E86,E86),0)</f>
        <v>1</v>
      </c>
      <c r="I86" s="1711">
        <f t="shared" si="1"/>
        <v>186</v>
      </c>
      <c r="K86" s="1516"/>
    </row>
    <row r="87" spans="3:11">
      <c r="C87" s="1788" t="s">
        <v>1322</v>
      </c>
      <c r="D87" s="1524">
        <f>IFERROR(VLOOKUP(C87,DG!A:F,6,0),3000)</f>
        <v>50</v>
      </c>
      <c r="E87" s="1853" t="str">
        <f>IFERROR(VLOOKUP(C87,DG!A:C,3,0),"")</f>
        <v>Neo xòe 8 hướng (dày 3,2mm)</v>
      </c>
      <c r="F87" s="1850" t="str">
        <f>VLOOKUP(C87,DG!A:D,4,0)</f>
        <v>cái</v>
      </c>
      <c r="G87" s="1245">
        <v>2</v>
      </c>
      <c r="H87" s="1705">
        <f>IF(D87&lt;2000,COUNTIF($E$2:E87,E87),0)</f>
        <v>1</v>
      </c>
      <c r="I87" s="1711">
        <f t="shared" si="1"/>
        <v>2</v>
      </c>
      <c r="K87" s="1516"/>
    </row>
    <row r="88" spans="3:11">
      <c r="C88" s="1788" t="s">
        <v>4971</v>
      </c>
      <c r="D88" s="1524">
        <f>IFERROR(VLOOKUP(C88,DG!A:F,6,0),3000)</f>
        <v>50</v>
      </c>
      <c r="E88" s="1853" t="str">
        <f>IFERROR(VLOOKUP(C88,DG!A:C,3,0),"")</f>
        <v>Ong co nhiệt cách điện 24kV D60</v>
      </c>
      <c r="F88" s="1850" t="str">
        <f>VLOOKUP(C88,DG!A:D,4,0)</f>
        <v>m</v>
      </c>
      <c r="G88" s="1245">
        <v>15</v>
      </c>
      <c r="H88" s="1705">
        <f>IF(D88&lt;2000,COUNTIF($E$2:E88,E88),0)</f>
        <v>1</v>
      </c>
      <c r="I88" s="1711">
        <f t="shared" si="1"/>
        <v>15</v>
      </c>
      <c r="K88" s="1516"/>
    </row>
    <row r="89" spans="3:11">
      <c r="C89" s="1788" t="s">
        <v>577</v>
      </c>
      <c r="D89" s="1524">
        <f>IFERROR(VLOOKUP(C89,DG!A:F,6,0),3000)</f>
        <v>50</v>
      </c>
      <c r="E89" s="1853" t="str">
        <f>IFERROR(VLOOKUP(C89,DG!A:C,3,0),"")</f>
        <v>Ống nối dây cỡ 120mm2</v>
      </c>
      <c r="F89" s="1850" t="str">
        <f>VLOOKUP(C89,DG!A:D,4,0)</f>
        <v>cái</v>
      </c>
      <c r="G89" s="1245">
        <v>5</v>
      </c>
      <c r="H89" s="1705">
        <f>IF(D89&lt;2000,COUNTIF($E$2:E89,E89),0)</f>
        <v>1</v>
      </c>
      <c r="I89" s="1711">
        <f t="shared" si="1"/>
        <v>5</v>
      </c>
      <c r="K89" s="1516"/>
    </row>
    <row r="90" spans="3:11">
      <c r="C90" s="1788" t="s">
        <v>576</v>
      </c>
      <c r="D90" s="1524">
        <f>IFERROR(VLOOKUP(C90,DG!A:F,6,0),3000)</f>
        <v>50</v>
      </c>
      <c r="E90" s="1853" t="str">
        <f>IFERROR(VLOOKUP(C90,DG!A:C,3,0),"")</f>
        <v>Ống nối dây cỡ 185mm2</v>
      </c>
      <c r="F90" s="1850" t="str">
        <f>VLOOKUP(C90,DG!A:D,4,0)</f>
        <v>cái</v>
      </c>
      <c r="G90" s="1257">
        <v>16</v>
      </c>
      <c r="H90" s="1705">
        <f>IF(D90&lt;2000,COUNTIF($E$2:E90,E90),0)</f>
        <v>1</v>
      </c>
      <c r="I90" s="1711">
        <f t="shared" si="1"/>
        <v>16</v>
      </c>
      <c r="K90" s="1516"/>
    </row>
    <row r="91" spans="3:11">
      <c r="C91" s="1788" t="s">
        <v>1539</v>
      </c>
      <c r="D91" s="1524">
        <f>IFERROR(VLOOKUP(C91,DG!A:F,6,0),3000)</f>
        <v>50</v>
      </c>
      <c r="E91" s="1853" t="str">
        <f>IFERROR(VLOOKUP(C91,DG!A:C,3,0),"")</f>
        <v>Ống nối dây cỡ 50mm2</v>
      </c>
      <c r="F91" s="1850" t="str">
        <f>VLOOKUP(C91,DG!A:D,4,0)</f>
        <v>cái</v>
      </c>
      <c r="G91" s="1245">
        <v>12</v>
      </c>
      <c r="H91" s="1705">
        <f>IF(D91&lt;2000,COUNTIF($E$2:E91,E91),0)</f>
        <v>1</v>
      </c>
      <c r="I91" s="1711">
        <f t="shared" si="1"/>
        <v>12</v>
      </c>
      <c r="K91" s="1516"/>
    </row>
    <row r="92" spans="3:11">
      <c r="C92" s="1788" t="s">
        <v>4955</v>
      </c>
      <c r="D92" s="1524">
        <f>IFERROR(VLOOKUP(C92,DG!A:F,6,0),3000)</f>
        <v>50</v>
      </c>
      <c r="E92" s="1853" t="str">
        <f>IFERROR(VLOOKUP(C92,DG!A:C,3,0),"")</f>
        <v>Ốc xiết cáp</v>
      </c>
      <c r="F92" s="1850" t="str">
        <f>VLOOKUP(C92,DG!A:D,4,0)</f>
        <v>cái</v>
      </c>
      <c r="G92" s="1257">
        <v>28</v>
      </c>
      <c r="H92" s="1705">
        <f>IF(D92&lt;2000,COUNTIF($E$2:E92,E92),0)</f>
        <v>1</v>
      </c>
      <c r="I92" s="1711">
        <f t="shared" si="1"/>
        <v>98</v>
      </c>
      <c r="K92" s="1516"/>
    </row>
    <row r="93" spans="3:11" hidden="1">
      <c r="C93" s="1788" t="s">
        <v>4955</v>
      </c>
      <c r="D93" s="1524">
        <f>IFERROR(VLOOKUP(C93,DG!A:F,6,0),3000)</f>
        <v>50</v>
      </c>
      <c r="E93" s="1853" t="str">
        <f>IFERROR(VLOOKUP(C93,DG!A:C,3,0),"")</f>
        <v>Ốc xiết cáp</v>
      </c>
      <c r="F93" s="1850" t="str">
        <f>VLOOKUP(C93,DG!A:D,4,0)</f>
        <v>cái</v>
      </c>
      <c r="G93" s="1257">
        <v>40</v>
      </c>
      <c r="H93" s="1705">
        <f>IF(D93&lt;2000,COUNTIF($E$2:E93,E93),0)</f>
        <v>2</v>
      </c>
      <c r="I93" s="1711">
        <f t="shared" si="1"/>
        <v>98</v>
      </c>
      <c r="K93" s="1516"/>
    </row>
    <row r="94" spans="3:11" hidden="1">
      <c r="C94" s="1788" t="s">
        <v>4955</v>
      </c>
      <c r="D94" s="1524">
        <f>IFERROR(VLOOKUP(C94,DG!A:F,6,0),3000)</f>
        <v>50</v>
      </c>
      <c r="E94" s="1853" t="str">
        <f>IFERROR(VLOOKUP(C94,DG!A:C,3,0),"")</f>
        <v>Ốc xiết cáp</v>
      </c>
      <c r="F94" s="1850" t="str">
        <f>VLOOKUP(C94,DG!A:D,4,0)</f>
        <v>cái</v>
      </c>
      <c r="G94" s="1353">
        <v>30</v>
      </c>
      <c r="H94" s="1705">
        <f>IF(D94&lt;2000,COUNTIF($E$2:E94,E94),0)</f>
        <v>3</v>
      </c>
      <c r="I94" s="1711">
        <f t="shared" si="1"/>
        <v>98</v>
      </c>
      <c r="K94" s="1516"/>
    </row>
    <row r="95" spans="3:11">
      <c r="C95" s="1788" t="s">
        <v>580</v>
      </c>
      <c r="D95" s="1524">
        <f>IFERROR(VLOOKUP(C95,DG!A:F,6,0),3000)</f>
        <v>50</v>
      </c>
      <c r="E95" s="1853" t="str">
        <f>IFERROR(VLOOKUP(C95,DG!A:C,3,0),"")</f>
        <v xml:space="preserve">Ống PVC D21x1,6mm </v>
      </c>
      <c r="F95" s="1850" t="str">
        <f>VLOOKUP(C95,DG!A:D,4,0)</f>
        <v>m</v>
      </c>
      <c r="G95" s="1245">
        <v>21</v>
      </c>
      <c r="H95" s="1705">
        <f>IF(D95&lt;2000,COUNTIF($E$2:E95,E95),0)</f>
        <v>1</v>
      </c>
      <c r="I95" s="1711">
        <f t="shared" si="1"/>
        <v>21</v>
      </c>
      <c r="K95" s="1516"/>
    </row>
    <row r="96" spans="3:11">
      <c r="C96" s="1788" t="s">
        <v>1962</v>
      </c>
      <c r="D96" s="1524">
        <f>IFERROR(VLOOKUP(C96,DG!A:F,6,0),3000)</f>
        <v>50</v>
      </c>
      <c r="E96" s="1853" t="str">
        <f>IFERROR(VLOOKUP(C96,DG!A:C,3,0),"")</f>
        <v>Uclevis</v>
      </c>
      <c r="F96" s="1850" t="str">
        <f>VLOOKUP(C96,DG!A:D,4,0)</f>
        <v>bộ</v>
      </c>
      <c r="G96" s="1257">
        <v>163</v>
      </c>
      <c r="H96" s="1705">
        <f>IF(D96&lt;2000,COUNTIF($E$2:E96,E96),0)</f>
        <v>1</v>
      </c>
      <c r="I96" s="1711">
        <f t="shared" si="1"/>
        <v>163</v>
      </c>
      <c r="K96" s="1516"/>
    </row>
    <row r="97" spans="3:11">
      <c r="C97" s="1788" t="s">
        <v>112</v>
      </c>
      <c r="D97" s="1524">
        <f>IFERROR(VLOOKUP(C97,DG!A:F,6,0),3000)</f>
        <v>50</v>
      </c>
      <c r="E97" s="1853" t="str">
        <f>IFERROR(VLOOKUP(C97,DG!A:C,3,0),"")</f>
        <v>Sứ chằng</v>
      </c>
      <c r="F97" s="1850" t="str">
        <f>VLOOKUP(C97,DG!A:D,4,0)</f>
        <v>cái</v>
      </c>
      <c r="G97" s="1245">
        <v>3</v>
      </c>
      <c r="H97" s="1705">
        <f>IF(D97&lt;2000,COUNTIF($E$2:E97,E97),0)</f>
        <v>1</v>
      </c>
      <c r="I97" s="1711">
        <f t="shared" si="1"/>
        <v>18</v>
      </c>
      <c r="K97" s="1516"/>
    </row>
    <row r="98" spans="3:11" hidden="1">
      <c r="C98" s="1788" t="s">
        <v>112</v>
      </c>
      <c r="D98" s="1524">
        <f>IFERROR(VLOOKUP(C98,DG!A:F,6,0),3000)</f>
        <v>50</v>
      </c>
      <c r="E98" s="1853" t="str">
        <f>IFERROR(VLOOKUP(C98,DG!A:C,3,0),"")</f>
        <v>Sứ chằng</v>
      </c>
      <c r="F98" s="1850" t="str">
        <f>VLOOKUP(C98,DG!A:D,4,0)</f>
        <v>cái</v>
      </c>
      <c r="G98" s="1245">
        <v>2</v>
      </c>
      <c r="H98" s="1705">
        <f>IF(D98&lt;2000,COUNTIF($E$2:E98,E98),0)</f>
        <v>2</v>
      </c>
      <c r="I98" s="1711">
        <f t="shared" si="1"/>
        <v>18</v>
      </c>
      <c r="K98" s="1516"/>
    </row>
    <row r="99" spans="3:11" hidden="1">
      <c r="C99" s="2265" t="s">
        <v>112</v>
      </c>
      <c r="D99" s="1524">
        <f>IFERROR(VLOOKUP(C99,DG!A:F,6,0),3000)</f>
        <v>50</v>
      </c>
      <c r="E99" s="1853" t="str">
        <f>IFERROR(VLOOKUP(C99,DG!A:C,3,0),"")</f>
        <v>Sứ chằng</v>
      </c>
      <c r="F99" s="1850" t="str">
        <f>VLOOKUP(C99,DG!A:D,4,0)</f>
        <v>cái</v>
      </c>
      <c r="G99" s="1353">
        <v>4</v>
      </c>
      <c r="H99" s="1705">
        <f>IF(D99&lt;2000,COUNTIF($E$2:E99,E99),0)</f>
        <v>3</v>
      </c>
      <c r="I99" s="1711">
        <f t="shared" si="1"/>
        <v>18</v>
      </c>
      <c r="K99" s="1516"/>
    </row>
    <row r="100" spans="3:11" hidden="1">
      <c r="C100" s="1191" t="s">
        <v>112</v>
      </c>
      <c r="D100" s="1524">
        <f>IFERROR(VLOOKUP(C100,DG!A:F,6,0),3000)</f>
        <v>50</v>
      </c>
      <c r="E100" s="1853" t="str">
        <f>IFERROR(VLOOKUP(C100,DG!A:C,3,0),"")</f>
        <v>Sứ chằng</v>
      </c>
      <c r="F100" s="1850" t="str">
        <f>VLOOKUP(C100,DG!A:D,4,0)</f>
        <v>cái</v>
      </c>
      <c r="G100" s="1353">
        <v>2</v>
      </c>
      <c r="H100" s="1705">
        <f>IF(D100&lt;2000,COUNTIF($E$2:E100,E100),0)</f>
        <v>4</v>
      </c>
      <c r="I100" s="1711">
        <f t="shared" si="1"/>
        <v>18</v>
      </c>
    </row>
    <row r="101" spans="3:11" hidden="1">
      <c r="C101" s="1788" t="s">
        <v>112</v>
      </c>
      <c r="D101" s="1524">
        <f>IFERROR(VLOOKUP(C101,DG!A:F,6,0),3000)</f>
        <v>50</v>
      </c>
      <c r="E101" s="1853" t="str">
        <f>IFERROR(VLOOKUP(C101,DG!A:C,3,0),"")</f>
        <v>Sứ chằng</v>
      </c>
      <c r="F101" s="1850" t="str">
        <f>VLOOKUP(C101,DG!A:D,4,0)</f>
        <v>cái</v>
      </c>
      <c r="G101" s="1245">
        <v>7</v>
      </c>
      <c r="H101" s="1705">
        <f>IF(D101&lt;2000,COUNTIF($E$2:E101,E101),0)</f>
        <v>5</v>
      </c>
      <c r="I101" s="1711">
        <f t="shared" si="1"/>
        <v>18</v>
      </c>
    </row>
    <row r="102" spans="3:11">
      <c r="C102" s="2266" t="s">
        <v>1481</v>
      </c>
      <c r="D102" s="1524">
        <f>IFERROR(VLOOKUP(C102,DG!A:F,6,0),3000)</f>
        <v>50</v>
      </c>
      <c r="E102" s="1853" t="str">
        <f>IFERROR(VLOOKUP(C102,DG!A:C,3,0),"")</f>
        <v xml:space="preserve">Sứ ống chỉ </v>
      </c>
      <c r="F102" s="1850" t="str">
        <f>VLOOKUP(C102,DG!A:D,4,0)</f>
        <v>cái</v>
      </c>
      <c r="G102" s="1353">
        <v>163</v>
      </c>
      <c r="H102" s="1705">
        <f>IF(D102&lt;2000,COUNTIF($E$2:E102,E102),0)</f>
        <v>1</v>
      </c>
      <c r="I102" s="1711">
        <f t="shared" si="1"/>
        <v>163</v>
      </c>
    </row>
    <row r="103" spans="3:11">
      <c r="C103" s="1788" t="s">
        <v>4960</v>
      </c>
      <c r="D103" s="1524">
        <f>IFERROR(VLOOKUP(C103,DG!A:F,6,0),3000)</f>
        <v>50</v>
      </c>
      <c r="E103" s="1853" t="str">
        <f>IFERROR(VLOOKUP(C103,DG!A:C,3,0),"")</f>
        <v>Thanh chống đà sắt góc L50x50x5 dài 1,15m</v>
      </c>
      <c r="F103" s="1850" t="str">
        <f>VLOOKUP(C103,DG!A:D,4,0)</f>
        <v>thanh</v>
      </c>
      <c r="G103" s="1244">
        <v>16</v>
      </c>
      <c r="H103" s="1705">
        <f>IF(D103&lt;2000,COUNTIF($E$2:E103,E103),0)</f>
        <v>1</v>
      </c>
      <c r="I103" s="1711">
        <f t="shared" si="1"/>
        <v>167</v>
      </c>
    </row>
    <row r="104" spans="3:11" hidden="1">
      <c r="C104" s="1788" t="s">
        <v>4960</v>
      </c>
      <c r="D104" s="1524">
        <f>IFERROR(VLOOKUP(C104,DG!A:F,6,0),3000)</f>
        <v>50</v>
      </c>
      <c r="E104" s="1853" t="str">
        <f>IFERROR(VLOOKUP(C104,DG!A:C,3,0),"")</f>
        <v>Thanh chống đà sắt góc L50x50x5 dài 1,15m</v>
      </c>
      <c r="F104" s="1850" t="str">
        <f>VLOOKUP(C104,DG!A:D,4,0)</f>
        <v>thanh</v>
      </c>
      <c r="G104" s="1257">
        <v>151</v>
      </c>
      <c r="H104" s="1705">
        <f>IF(D104&lt;2000,COUNTIF($E$2:E104,E104),0)</f>
        <v>2</v>
      </c>
      <c r="I104" s="1711">
        <f t="shared" si="1"/>
        <v>167</v>
      </c>
    </row>
    <row r="105" spans="3:11">
      <c r="C105" s="1788" t="s">
        <v>4958</v>
      </c>
      <c r="D105" s="1524">
        <f>IFERROR(VLOOKUP(C105,DG!A:F,6,0),3000)</f>
        <v>50</v>
      </c>
      <c r="E105" s="1853" t="str">
        <f>IFERROR(VLOOKUP(C105,DG!A:C,3,0),"")</f>
        <v>Thanh chống đà sắt góc L50x50x5 dài 0,81m</v>
      </c>
      <c r="F105" s="1850" t="str">
        <f>VLOOKUP(C105,DG!A:D,4,0)</f>
        <v>thanh</v>
      </c>
      <c r="G105" s="1353">
        <v>40</v>
      </c>
      <c r="H105" s="1705">
        <f>IF(D105&lt;2000,COUNTIF($E$2:E105,E105),0)</f>
        <v>1</v>
      </c>
      <c r="I105" s="1711">
        <f t="shared" si="1"/>
        <v>60</v>
      </c>
    </row>
    <row r="106" spans="3:11" hidden="1">
      <c r="C106" s="1191" t="s">
        <v>4958</v>
      </c>
      <c r="D106" s="1524">
        <f>IFERROR(VLOOKUP(C106,DG!A:F,6,0),3000)</f>
        <v>50</v>
      </c>
      <c r="E106" s="1853" t="str">
        <f>IFERROR(VLOOKUP(C106,DG!A:C,3,0),"")</f>
        <v>Thanh chống đà sắt góc L50x50x5 dài 0,81m</v>
      </c>
      <c r="F106" s="1850" t="str">
        <f>VLOOKUP(C106,DG!A:D,4,0)</f>
        <v>thanh</v>
      </c>
      <c r="G106" s="1353">
        <v>20</v>
      </c>
      <c r="H106" s="1705">
        <f>IF(D106&lt;2000,COUNTIF($E$2:E106,E106),0)</f>
        <v>2</v>
      </c>
      <c r="I106" s="1711">
        <f t="shared" si="1"/>
        <v>60</v>
      </c>
    </row>
    <row r="107" spans="3:11">
      <c r="C107" s="2263" t="s">
        <v>2225</v>
      </c>
      <c r="D107" s="1524">
        <f>IFERROR(VLOOKUP(C107,DG!A:F,6,0),3000)</f>
        <v>50</v>
      </c>
      <c r="E107" s="1853" t="str">
        <f>IFERROR(VLOOKUP(C107,DG!A:C,3,0),"")</f>
        <v>Ty neo Ø18x2400</v>
      </c>
      <c r="F107" s="1850" t="str">
        <f>VLOOKUP(C107,DG!A:D,4,0)</f>
        <v>cái</v>
      </c>
      <c r="G107" s="1245">
        <v>2</v>
      </c>
      <c r="H107" s="1705">
        <f>IF(D107&lt;2000,COUNTIF($E$2:E107,E107),0)</f>
        <v>1</v>
      </c>
      <c r="I107" s="1711">
        <f t="shared" si="1"/>
        <v>2</v>
      </c>
    </row>
    <row r="108" spans="3:11">
      <c r="C108" s="1191" t="s">
        <v>4962</v>
      </c>
      <c r="D108" s="1524">
        <f>IFERROR(VLOOKUP(C108,DG!A:F,6,0),3000)</f>
        <v>50</v>
      </c>
      <c r="E108" s="1853" t="str">
        <f>IFERROR(VLOOKUP(C108,DG!A:C,3,0),"")</f>
        <v>Xà đỡ lệch góc 3 pha 2m - 1 mạch</v>
      </c>
      <c r="F108" s="1850" t="str">
        <f>VLOOKUP(C108,DG!A:D,4,0)</f>
        <v>bộ</v>
      </c>
      <c r="G108" s="1661">
        <v>8</v>
      </c>
      <c r="H108" s="1705">
        <f>IF(D108&lt;2000,COUNTIF($E$2:E108,E108),0)</f>
        <v>1</v>
      </c>
      <c r="I108" s="1711">
        <f t="shared" si="1"/>
        <v>8</v>
      </c>
    </row>
    <row r="109" spans="3:11">
      <c r="C109" s="1788" t="s">
        <v>2053</v>
      </c>
      <c r="D109" s="1524">
        <f>IFERROR(VLOOKUP(C109,DG!A:F,6,0),3000)</f>
        <v>50</v>
      </c>
      <c r="E109" s="1853" t="str">
        <f>IFERROR(VLOOKUP(C109,DG!A:C,3,0),"")</f>
        <v>Yếm cáp dày 2mm</v>
      </c>
      <c r="F109" s="1850" t="str">
        <f>VLOOKUP(C109,DG!A:D,4,0)</f>
        <v>cái</v>
      </c>
      <c r="G109" s="1257">
        <v>6</v>
      </c>
      <c r="H109" s="1705">
        <f>IF(D109&lt;2000,COUNTIF($E$2:E109,E109),0)</f>
        <v>1</v>
      </c>
      <c r="I109" s="1711">
        <f t="shared" si="1"/>
        <v>36</v>
      </c>
    </row>
    <row r="110" spans="3:11" hidden="1">
      <c r="C110" s="1788" t="s">
        <v>2053</v>
      </c>
      <c r="D110" s="1524">
        <f>IFERROR(VLOOKUP(C110,DG!A:F,6,0),3000)</f>
        <v>50</v>
      </c>
      <c r="E110" s="1853" t="str">
        <f>IFERROR(VLOOKUP(C110,DG!A:C,3,0),"")</f>
        <v>Yếm cáp dày 2mm</v>
      </c>
      <c r="F110" s="1850" t="str">
        <f>VLOOKUP(C110,DG!A:D,4,0)</f>
        <v>cái</v>
      </c>
      <c r="G110" s="1257">
        <v>4</v>
      </c>
      <c r="H110" s="1705">
        <f>IF(D110&lt;2000,COUNTIF($E$2:E110,E110),0)</f>
        <v>2</v>
      </c>
      <c r="I110" s="1711">
        <f t="shared" si="1"/>
        <v>36</v>
      </c>
    </row>
    <row r="111" spans="3:11" hidden="1">
      <c r="C111" s="1788" t="s">
        <v>2053</v>
      </c>
      <c r="D111" s="1524">
        <f>IFERROR(VLOOKUP(C111,DG!A:F,6,0),3000)</f>
        <v>50</v>
      </c>
      <c r="E111" s="1853" t="str">
        <f>IFERROR(VLOOKUP(C111,DG!A:C,3,0),"")</f>
        <v>Yếm cáp dày 2mm</v>
      </c>
      <c r="F111" s="1850" t="str">
        <f>VLOOKUP(C111,DG!A:D,4,0)</f>
        <v>cái</v>
      </c>
      <c r="G111" s="1242">
        <v>8</v>
      </c>
      <c r="H111" s="1705">
        <f>IF(D111&lt;2000,COUNTIF($E$2:E111,E111),0)</f>
        <v>3</v>
      </c>
      <c r="I111" s="1711">
        <f t="shared" si="1"/>
        <v>36</v>
      </c>
    </row>
    <row r="112" spans="3:11" hidden="1">
      <c r="C112" s="1788" t="s">
        <v>2053</v>
      </c>
      <c r="D112" s="1524">
        <f>IFERROR(VLOOKUP(C112,DG!A:F,6,0),3000)</f>
        <v>50</v>
      </c>
      <c r="E112" s="1853" t="str">
        <f>IFERROR(VLOOKUP(C112,DG!A:C,3,0),"")</f>
        <v>Yếm cáp dày 2mm</v>
      </c>
      <c r="F112" s="1850" t="str">
        <f>VLOOKUP(C112,DG!A:D,4,0)</f>
        <v>cái</v>
      </c>
      <c r="G112" s="1353">
        <v>4</v>
      </c>
      <c r="H112" s="1705">
        <f>IF(D112&lt;2000,COUNTIF($E$2:E112,E112),0)</f>
        <v>4</v>
      </c>
      <c r="I112" s="1711">
        <f t="shared" si="1"/>
        <v>36</v>
      </c>
    </row>
    <row r="113" spans="3:9" hidden="1">
      <c r="C113" s="1788" t="s">
        <v>2053</v>
      </c>
      <c r="D113" s="1524">
        <f>IFERROR(VLOOKUP(C113,DG!A:F,6,0),3000)</f>
        <v>50</v>
      </c>
      <c r="E113" s="1853" t="str">
        <f>IFERROR(VLOOKUP(C113,DG!A:C,3,0),"")</f>
        <v>Yếm cáp dày 2mm</v>
      </c>
      <c r="F113" s="1850" t="str">
        <f>VLOOKUP(C113,DG!A:D,4,0)</f>
        <v>cái</v>
      </c>
      <c r="G113" s="1244">
        <v>14</v>
      </c>
      <c r="H113" s="1705">
        <f>IF(D113&lt;2000,COUNTIF($E$2:E113,E113),0)</f>
        <v>5</v>
      </c>
      <c r="I113" s="1711">
        <f t="shared" si="1"/>
        <v>36</v>
      </c>
    </row>
    <row r="114" spans="3:9">
      <c r="C114" s="1191" t="s">
        <v>4961</v>
      </c>
      <c r="D114" s="1524">
        <f>IFERROR(VLOOKUP(C114,DG!A:F,6,0),3000)</f>
        <v>55</v>
      </c>
      <c r="E114" s="1853" t="str">
        <f>IFERROR(VLOOKUP(C114,DG!A:C,3,0),"")</f>
        <v>Xà đỡ thẳng lệch 3 pha 2m - 1 mạch</v>
      </c>
      <c r="F114" s="1850" t="str">
        <f>VLOOKUP(C114,DG!A:D,4,0)</f>
        <v>bộ</v>
      </c>
      <c r="G114" s="1353">
        <v>151</v>
      </c>
      <c r="H114" s="1705">
        <f>IF(D114&lt;2000,COUNTIF($E$2:E114,E114),0)</f>
        <v>1</v>
      </c>
      <c r="I114" s="1711">
        <f t="shared" si="1"/>
        <v>151</v>
      </c>
    </row>
    <row r="115" spans="3:9">
      <c r="C115" s="2263" t="s">
        <v>759</v>
      </c>
      <c r="D115" s="1524">
        <f>IFERROR(VLOOKUP(C115,DG!A:F,6,0),3000)</f>
        <v>996</v>
      </c>
      <c r="E115" s="1853" t="str">
        <f>IFERROR(VLOOKUP(C115,DG!A:C,3,0),"")</f>
        <v xml:space="preserve">Ximăng </v>
      </c>
      <c r="F115" s="1850" t="str">
        <f>VLOOKUP(C115,DG!A:D,4,0)</f>
        <v>kg</v>
      </c>
      <c r="G115" s="1245">
        <v>3350</v>
      </c>
      <c r="H115" s="1705">
        <f>IF(D115&lt;2000,COUNTIF($E$2:E115,E115),0)</f>
        <v>1</v>
      </c>
      <c r="I115" s="1711">
        <f t="shared" si="1"/>
        <v>3350</v>
      </c>
    </row>
    <row r="116" spans="3:9">
      <c r="C116" s="1788" t="s">
        <v>1622</v>
      </c>
      <c r="D116" s="1524">
        <f>IFERROR(VLOOKUP(C116,DG!A:F,6,0),3000)</f>
        <v>997</v>
      </c>
      <c r="E116" s="1853" t="str">
        <f>IFERROR(VLOOKUP(C116,DG!A:C,3,0),"")</f>
        <v>Biển số - Bảng nguy hiểm</v>
      </c>
      <c r="F116" s="1850" t="str">
        <f>VLOOKUP(C116,DG!A:D,4,0)</f>
        <v>cái</v>
      </c>
      <c r="G116" s="1257">
        <v>24</v>
      </c>
      <c r="H116" s="1705">
        <f>IF(D116&lt;2000,COUNTIF($E$2:E116,E116),0)</f>
        <v>1</v>
      </c>
      <c r="I116" s="1711">
        <f t="shared" si="1"/>
        <v>24</v>
      </c>
    </row>
    <row r="117" spans="3:9">
      <c r="C117" s="1788" t="s">
        <v>4665</v>
      </c>
      <c r="D117" s="1524">
        <f>IFERROR(VLOOKUP(C117,DG!A:F,6,0),3000)</f>
        <v>997</v>
      </c>
      <c r="E117" s="1853" t="str">
        <f>IFERROR(VLOOKUP(C117,DG!A:C,3,0),"")</f>
        <v>Cát vàng</v>
      </c>
      <c r="F117" s="1850" t="str">
        <f>VLOOKUP(C117,DG!A:D,4,0)</f>
        <v>m3</v>
      </c>
      <c r="G117" s="1245">
        <v>5.3800000000000008</v>
      </c>
      <c r="H117" s="1705">
        <f>IF(D117&lt;2000,COUNTIF($E$2:E117,E117),0)</f>
        <v>1</v>
      </c>
      <c r="I117" s="1711">
        <f t="shared" si="1"/>
        <v>5.3800000000000008</v>
      </c>
    </row>
    <row r="118" spans="3:9">
      <c r="C118" s="1788" t="s">
        <v>2118</v>
      </c>
      <c r="D118" s="1524">
        <f>IFERROR(VLOOKUP(C118,DG!A:F,6,0),3000)</f>
        <v>997</v>
      </c>
      <c r="E118" s="1853" t="str">
        <f>IFERROR(VLOOKUP(C118,DG!A:C,3,0),"")</f>
        <v>Đinh các loại</v>
      </c>
      <c r="F118" s="1850" t="str">
        <f>VLOOKUP(C118,DG!A:D,4,0)</f>
        <v>kg</v>
      </c>
      <c r="G118" s="1245">
        <v>6.75</v>
      </c>
      <c r="H118" s="1705">
        <f>IF(D118&lt;2000,COUNTIF($E$2:E118,E118),0)</f>
        <v>1</v>
      </c>
      <c r="I118" s="1711">
        <f t="shared" si="1"/>
        <v>6.75</v>
      </c>
    </row>
    <row r="119" spans="3:9">
      <c r="C119" s="2263" t="s">
        <v>4954</v>
      </c>
      <c r="D119" s="1524">
        <f>IFERROR(VLOOKUP(C119,DG!A:F,6,0),3000)</f>
        <v>997</v>
      </c>
      <c r="E119" s="1853" t="str">
        <f>IFERROR(VLOOKUP(C119,DG!A:C,3,0),"")</f>
        <v>Ván khuôn gỗ móng - móng vuông, chữ nhật</v>
      </c>
      <c r="F119" s="1850" t="str">
        <f>VLOOKUP(C119,DG!A:D,4,0)</f>
        <v>100m2</v>
      </c>
      <c r="G119" s="1245">
        <v>0.44999999999999996</v>
      </c>
      <c r="H119" s="1705">
        <f>IF(D119&lt;2000,COUNTIF($E$2:E119,E119),0)</f>
        <v>1</v>
      </c>
      <c r="I119" s="1711">
        <f t="shared" si="1"/>
        <v>0.44999999999999996</v>
      </c>
    </row>
    <row r="120" spans="3:9">
      <c r="C120" s="1788" t="s">
        <v>1865</v>
      </c>
      <c r="D120" s="1524">
        <f>IFERROR(VLOOKUP(C120,DG!A:F,6,0),3000)</f>
        <v>999</v>
      </c>
      <c r="E120" s="1853" t="str">
        <f>IFERROR(VLOOKUP(C120,DG!A:C,3,0),"")</f>
        <v>Đá 2x4</v>
      </c>
      <c r="F120" s="1850" t="str">
        <f>VLOOKUP(C120,DG!A:D,4,0)</f>
        <v>m3</v>
      </c>
      <c r="G120" s="1245">
        <v>9.08</v>
      </c>
      <c r="H120" s="1705">
        <f>IF(D120&lt;2000,COUNTIF($E$2:E120,E120),0)</f>
        <v>1</v>
      </c>
      <c r="I120" s="1711">
        <f t="shared" si="1"/>
        <v>9.08</v>
      </c>
    </row>
    <row r="121" spans="3:9">
      <c r="C121" s="1788" t="s">
        <v>4949</v>
      </c>
      <c r="D121" s="1524">
        <f>IFERROR(VLOOKUP(C121,DG!A:F,6,0),3000)</f>
        <v>1999</v>
      </c>
      <c r="E121" s="1853" t="str">
        <f>IFERROR(VLOOKUP(C121,DG!A:C,3,0),"")</f>
        <v>Gỗ chống</v>
      </c>
      <c r="F121" s="1850" t="str">
        <f>VLOOKUP(C121,DG!A:D,4,0)</f>
        <v>m3</v>
      </c>
      <c r="G121" s="1353">
        <v>0.151</v>
      </c>
      <c r="H121" s="1705">
        <f>IF(D121&lt;2000,COUNTIF($E$2:E121,E121),0)</f>
        <v>1</v>
      </c>
      <c r="I121" s="1711">
        <f t="shared" si="1"/>
        <v>0.151</v>
      </c>
    </row>
    <row r="122" spans="3:9">
      <c r="C122" s="1788" t="s">
        <v>4950</v>
      </c>
      <c r="D122" s="1524">
        <f>IFERROR(VLOOKUP(C122,DG!A:F,6,0),3000)</f>
        <v>1999</v>
      </c>
      <c r="E122" s="1853" t="str">
        <f>IFERROR(VLOOKUP(C122,DG!A:C,3,0),"")</f>
        <v>Gỗ đà nẹp</v>
      </c>
      <c r="F122" s="1850" t="str">
        <f>VLOOKUP(C122,DG!A:D,4,0)</f>
        <v>m3</v>
      </c>
      <c r="G122" s="1353">
        <v>9.5000000000000001E-2</v>
      </c>
      <c r="H122" s="1705">
        <f>IF(D122&lt;2000,COUNTIF($E$2:E122,E122),0)</f>
        <v>1</v>
      </c>
      <c r="I122" s="1711">
        <f t="shared" si="1"/>
        <v>9.5000000000000001E-2</v>
      </c>
    </row>
    <row r="123" spans="3:9">
      <c r="C123" s="2263" t="s">
        <v>4951</v>
      </c>
      <c r="D123" s="1524">
        <f>IFERROR(VLOOKUP(C123,DG!A:F,6,0),3000)</f>
        <v>1999</v>
      </c>
      <c r="E123" s="1853" t="str">
        <f>IFERROR(VLOOKUP(C123,DG!A:C,3,0),"")</f>
        <v>Gỗ ván (cả nẹp)</v>
      </c>
      <c r="F123" s="1850" t="str">
        <f>VLOOKUP(C123,DG!A:D,4,0)</f>
        <v>m3</v>
      </c>
      <c r="G123" s="1242">
        <v>0.35599999999999998</v>
      </c>
      <c r="H123" s="1705">
        <f>IF(D123&lt;2000,COUNTIF($E$2:E123,E123),0)</f>
        <v>1</v>
      </c>
      <c r="I123" s="1711">
        <f t="shared" si="1"/>
        <v>0.35599999999999998</v>
      </c>
    </row>
    <row r="124" spans="3:9" hidden="1">
      <c r="C124" s="1788" t="s">
        <v>2231</v>
      </c>
      <c r="D124" s="1524">
        <f>IFERROR(VLOOKUP(C124,DG!A:F,6,0),3000)</f>
        <v>2000</v>
      </c>
      <c r="E124" s="1853" t="str">
        <f>IFERROR(VLOOKUP(C124,DG!A:C,3,0),"")</f>
        <v>Dựng trụ BTLT 12m thủ công + cơ giới</v>
      </c>
      <c r="F124" s="1850" t="str">
        <f>VLOOKUP(C124,DG!A:D,4,0)</f>
        <v>trụ</v>
      </c>
      <c r="G124" s="1257">
        <v>96</v>
      </c>
      <c r="H124" s="1705">
        <f>IF(D124&lt;2000,COUNTIF($E$2:E124,E124),0)</f>
        <v>0</v>
      </c>
      <c r="I124" s="1711">
        <f t="shared" si="1"/>
        <v>96</v>
      </c>
    </row>
    <row r="125" spans="3:9" hidden="1">
      <c r="C125" s="2264" t="s">
        <v>1712</v>
      </c>
      <c r="D125" s="1524">
        <f>IFERROR(VLOOKUP(C125,DG!A:F,6,0),3000)</f>
        <v>2000</v>
      </c>
      <c r="E125" s="1853" t="str">
        <f>IFERROR(VLOOKUP(C125,DG!A:C,3,0),"")</f>
        <v>Dựng trụ BTLT 14m thủ công + cơ giới</v>
      </c>
      <c r="F125" s="1850" t="str">
        <f>VLOOKUP(C125,DG!A:D,4,0)</f>
        <v>trụ</v>
      </c>
      <c r="G125" s="1353">
        <v>15</v>
      </c>
      <c r="H125" s="1705">
        <f>IF(D125&lt;2000,COUNTIF($E$2:E125,E125),0)</f>
        <v>0</v>
      </c>
      <c r="I125" s="1711">
        <f t="shared" si="1"/>
        <v>15</v>
      </c>
    </row>
    <row r="126" spans="3:9" hidden="1">
      <c r="C126" s="2264" t="s">
        <v>2606</v>
      </c>
      <c r="D126" s="1524">
        <f>IFERROR(VLOOKUP(C126,DG!A:F,6,0),3000)</f>
        <v>2000</v>
      </c>
      <c r="E126" s="1853" t="str">
        <f>IFERROR(VLOOKUP(C126,DG!A:C,3,0),"")</f>
        <v>Chuỗi sứ treo Polymer 25kV lắp vào xà : CĐT ply-X</v>
      </c>
      <c r="F126" s="1850" t="str">
        <f>VLOOKUP(C126,DG!A:D,4,0)</f>
        <v>bộ</v>
      </c>
      <c r="G126" s="1353">
        <v>93</v>
      </c>
      <c r="H126" s="1705">
        <f>IF(D126&lt;2000,COUNTIF($E$2:E126,E126),0)</f>
        <v>0</v>
      </c>
      <c r="I126" s="1711">
        <f t="shared" si="1"/>
        <v>93</v>
      </c>
    </row>
    <row r="127" spans="3:9" hidden="1">
      <c r="C127" s="1191" t="s">
        <v>757</v>
      </c>
      <c r="D127" s="1524">
        <f>IFERROR(VLOOKUP(C127,DG!A:F,6,0),3000)</f>
        <v>2000</v>
      </c>
      <c r="E127" s="1853" t="str">
        <f>IFERROR(VLOOKUP(C127,DG!A:C,3,0),"")</f>
        <v>Bộ chằng vượt đơn: CK-B</v>
      </c>
      <c r="F127" s="1850" t="str">
        <f>VLOOKUP(C127,DG!A:D,4,0)</f>
        <v>Bộ</v>
      </c>
      <c r="G127" s="1353">
        <v>1</v>
      </c>
      <c r="H127" s="1705">
        <f>IF(D127&lt;2000,COUNTIF($E$2:E127,E127),0)</f>
        <v>0</v>
      </c>
      <c r="I127" s="1711">
        <f t="shared" si="1"/>
        <v>1</v>
      </c>
    </row>
    <row r="128" spans="3:9" hidden="1">
      <c r="C128" s="1788" t="s">
        <v>669</v>
      </c>
      <c r="D128" s="1524">
        <f>IFERROR(VLOOKUP(C128,DG!A:F,6,0),3000)</f>
        <v>2000</v>
      </c>
      <c r="E128" s="1853" t="str">
        <f>IFERROR(VLOOKUP(C128,DG!A:C,3,0),"")</f>
        <v>Bộ chằng lệch đơn cho trụ 12m: CL12-B</v>
      </c>
      <c r="F128" s="1850" t="str">
        <f>VLOOKUP(C128,DG!A:D,4,0)</f>
        <v>Bộ</v>
      </c>
      <c r="G128" s="1245">
        <v>3</v>
      </c>
      <c r="H128" s="1705">
        <f>IF(D128&lt;2000,COUNTIF($E$2:E128,E128),0)</f>
        <v>0</v>
      </c>
      <c r="I128" s="1711">
        <f t="shared" si="1"/>
        <v>3</v>
      </c>
    </row>
    <row r="129" spans="3:9" hidden="1">
      <c r="C129" s="1788" t="s">
        <v>668</v>
      </c>
      <c r="D129" s="1524">
        <f>IFERROR(VLOOKUP(C129,DG!A:F,6,0),3000)</f>
        <v>2000</v>
      </c>
      <c r="E129" s="1853" t="str">
        <f>IFERROR(VLOOKUP(C129,DG!A:C,3,0),"")</f>
        <v>Bộ chằng xuống đơn cho trụ 12m: CX12-B</v>
      </c>
      <c r="F129" s="1850" t="str">
        <f>VLOOKUP(C129,DG!A:D,4,0)</f>
        <v>Bộ</v>
      </c>
      <c r="G129" s="1353">
        <v>7</v>
      </c>
      <c r="H129" s="1705">
        <f>IF(D129&lt;2000,COUNTIF($E$2:E129,E129),0)</f>
        <v>0</v>
      </c>
      <c r="I129" s="1711">
        <f t="shared" si="1"/>
        <v>7</v>
      </c>
    </row>
    <row r="130" spans="3:9" hidden="1">
      <c r="C130" s="1788" t="s">
        <v>671</v>
      </c>
      <c r="D130" s="1524">
        <f>IFERROR(VLOOKUP(C130,DG!A:F,6,0),3000)</f>
        <v>2000</v>
      </c>
      <c r="E130" s="1853" t="str">
        <f>IFERROR(VLOOKUP(C130,DG!A:C,3,0),"")</f>
        <v>Bộ chằng xuống đơn cho trụ 14m: CX14-B</v>
      </c>
      <c r="F130" s="1850" t="str">
        <f>VLOOKUP(C130,DG!A:D,4,0)</f>
        <v>Bộ</v>
      </c>
      <c r="G130" s="1518">
        <v>2</v>
      </c>
      <c r="H130" s="1705">
        <f>IF(D130&lt;2000,COUNTIF($E$2:E130,E130),0)</f>
        <v>0</v>
      </c>
      <c r="I130" s="1711">
        <f t="shared" ref="I130:I193" si="2">IF(G130&gt;0,SUMIF(C:C,C130,G:G),0)</f>
        <v>2</v>
      </c>
    </row>
    <row r="131" spans="3:9" hidden="1">
      <c r="C131" s="1788" t="s">
        <v>930</v>
      </c>
      <c r="D131" s="1524">
        <f>IFERROR(VLOOKUP(C131,DG!A:F,6,0),3000)</f>
        <v>2000</v>
      </c>
      <c r="E131" s="1853" t="str">
        <f>IFERROR(VLOOKUP(C131,DG!A:C,3,0),"")</f>
        <v>Bộ chằng xuống kép cho trụ 14m: CXX14-B</v>
      </c>
      <c r="F131" s="1850" t="str">
        <f>VLOOKUP(C131,DG!A:D,4,0)</f>
        <v>Bộ</v>
      </c>
      <c r="G131" s="1249">
        <v>2</v>
      </c>
      <c r="H131" s="1705">
        <f>IF(D131&lt;2000,COUNTIF($E$2:E131,E131),0)</f>
        <v>0</v>
      </c>
      <c r="I131" s="1711">
        <f t="shared" si="2"/>
        <v>2</v>
      </c>
    </row>
    <row r="132" spans="3:9" hidden="1">
      <c r="C132" s="2264" t="s">
        <v>1086</v>
      </c>
      <c r="D132" s="1524">
        <f>IFERROR(VLOOKUP(C132,DG!A:F,6,0),3000)</f>
        <v>2000</v>
      </c>
      <c r="E132" s="1853" t="str">
        <f>IFERROR(VLOOKUP(C132,DG!A:C,3,0),"")</f>
        <v>Đắp đất rãnh tiếp độ chặt k=0,95</v>
      </c>
      <c r="F132" s="1850" t="str">
        <f>VLOOKUP(C132,DG!A:D,4,0)</f>
        <v>m3</v>
      </c>
      <c r="G132" s="1353">
        <v>0.42</v>
      </c>
      <c r="H132" s="1705">
        <f>IF(D132&lt;2000,COUNTIF($E$2:E132,E132),0)</f>
        <v>0</v>
      </c>
      <c r="I132" s="1711">
        <f t="shared" si="2"/>
        <v>0.42</v>
      </c>
    </row>
    <row r="133" spans="3:9" hidden="1">
      <c r="C133" s="1788" t="s">
        <v>2005</v>
      </c>
      <c r="D133" s="1524">
        <f>IFERROR(VLOOKUP(C133,DG!A:F,6,0),3000)</f>
        <v>2000</v>
      </c>
      <c r="E133" s="1853" t="str">
        <f>IFERROR(VLOOKUP(C133,DG!A:C,3,0),"")</f>
        <v>Đổ bêtông móng trụ M150 &lt;=250cm</v>
      </c>
      <c r="F133" s="1850" t="str">
        <f>VLOOKUP(C133,DG!A:D,4,0)</f>
        <v>m3</v>
      </c>
      <c r="G133" s="1245">
        <v>11.34</v>
      </c>
      <c r="H133" s="1705">
        <f>IF(D133&lt;2000,COUNTIF($E$2:E133,E133),0)</f>
        <v>0</v>
      </c>
      <c r="I133" s="1711">
        <f t="shared" si="2"/>
        <v>11.34</v>
      </c>
    </row>
    <row r="134" spans="3:9" hidden="1">
      <c r="C134" s="1788" t="s">
        <v>1134</v>
      </c>
      <c r="D134" s="1524">
        <f>IFERROR(VLOOKUP(C134,DG!A:F,6,0),3000)</f>
        <v>2000</v>
      </c>
      <c r="E134" s="1853" t="str">
        <f>IFERROR(VLOOKUP(C134,DG!A:C,3,0),"")</f>
        <v>Đóng cọc tiếp địa đất cấp 3</v>
      </c>
      <c r="F134" s="1850" t="str">
        <f>VLOOKUP(C134,DG!A:D,4,0)</f>
        <v>cọc</v>
      </c>
      <c r="G134" s="1245">
        <v>14</v>
      </c>
      <c r="H134" s="1705">
        <f>IF(D134&lt;2000,COUNTIF($E$2:E134,E134),0)</f>
        <v>0</v>
      </c>
      <c r="I134" s="1711">
        <f t="shared" si="2"/>
        <v>14</v>
      </c>
    </row>
    <row r="135" spans="3:9" hidden="1">
      <c r="C135" s="2265" t="s">
        <v>1972</v>
      </c>
      <c r="D135" s="1524">
        <f>IFERROR(VLOOKUP(C135,DG!A:F,6,0),3000)</f>
        <v>2000</v>
      </c>
      <c r="E135" s="1853" t="str">
        <f>IFERROR(VLOOKUP(C135,DG!A:C,3,0),"")</f>
        <v>Phần trung thế 3 pha xây dựng mới</v>
      </c>
      <c r="F135" s="1850" t="str">
        <f>VLOOKUP(C135,DG!A:D,4,0)</f>
        <v>Tbộ</v>
      </c>
      <c r="G135" s="1353">
        <v>2</v>
      </c>
      <c r="H135" s="1705">
        <f>IF(D135&lt;2000,COUNTIF($E$2:E135,E135),0)</f>
        <v>0</v>
      </c>
      <c r="I135" s="1711">
        <f t="shared" si="2"/>
        <v>2</v>
      </c>
    </row>
    <row r="136" spans="3:9" hidden="1">
      <c r="C136" s="1788" t="s">
        <v>1085</v>
      </c>
      <c r="D136" s="1524">
        <f>IFERROR(VLOOKUP(C136,DG!A:F,6,0),3000)</f>
        <v>2000</v>
      </c>
      <c r="E136" s="1853" t="str">
        <f>IFERROR(VLOOKUP(C136,DG!A:C,3,0),"")</f>
        <v>Đào rãnh tiếp địa đất cấp 3</v>
      </c>
      <c r="F136" s="1850" t="str">
        <f>VLOOKUP(C136,DG!A:D,4,0)</f>
        <v>m3</v>
      </c>
      <c r="G136" s="1257">
        <v>0.42</v>
      </c>
      <c r="H136" s="1705">
        <f>IF(D136&lt;2000,COUNTIF($E$2:E136,E136),0)</f>
        <v>0</v>
      </c>
      <c r="I136" s="1711">
        <f t="shared" si="2"/>
        <v>0.42</v>
      </c>
    </row>
    <row r="137" spans="3:9" hidden="1">
      <c r="C137" s="2263" t="s">
        <v>2563</v>
      </c>
      <c r="D137" s="1524">
        <f>IFERROR(VLOOKUP(C137,DG!A:F,6,0),3000)</f>
        <v>2000</v>
      </c>
      <c r="E137" s="1853" t="str">
        <f>IFERROR(VLOOKUP(C137,DG!A:C,3,0),"")</f>
        <v>Bộ Uclevis đỡ dây trung hòa: Đth-U</v>
      </c>
      <c r="F137" s="1850" t="str">
        <f>VLOOKUP(C137,DG!A:D,4,0)</f>
        <v>bộ</v>
      </c>
      <c r="G137" s="1245">
        <v>163</v>
      </c>
      <c r="H137" s="1705">
        <f>IF(D137&lt;2000,COUNTIF($E$2:E137,E137),0)</f>
        <v>0</v>
      </c>
      <c r="I137" s="1711">
        <f t="shared" si="2"/>
        <v>163</v>
      </c>
    </row>
    <row r="138" spans="3:9" hidden="1">
      <c r="C138" s="1788" t="s">
        <v>942</v>
      </c>
      <c r="D138" s="1524">
        <f>IFERROR(VLOOKUP(C138,DG!A:F,6,0),3000)</f>
        <v>2000</v>
      </c>
      <c r="E138" s="1853" t="str">
        <f>IFERROR(VLOOKUP(C138,DG!A:C,3,0),"")</f>
        <v>Kéo dây nhôm bọc 185mm2</v>
      </c>
      <c r="F138" s="1850" t="str">
        <f>VLOOKUP(C138,DG!A:D,4,0)</f>
        <v>km</v>
      </c>
      <c r="G138" s="1244">
        <v>19.013999999999999</v>
      </c>
      <c r="H138" s="1705">
        <f>IF(D138&lt;2000,COUNTIF($E$2:E138,E138),0)</f>
        <v>0</v>
      </c>
      <c r="I138" s="1711">
        <f t="shared" si="2"/>
        <v>19.013999999999999</v>
      </c>
    </row>
    <row r="139" spans="3:9" hidden="1">
      <c r="C139" s="1788" t="s">
        <v>454</v>
      </c>
      <c r="D139" s="1524">
        <f>IFERROR(VLOOKUP(C139,DG!A:F,6,0),3000)</f>
        <v>2000</v>
      </c>
      <c r="E139" s="1853" t="str">
        <f>IFERROR(VLOOKUP(C139,DG!A:C,3,0),"")</f>
        <v>Kéo dây nhôm bọc 50mm2</v>
      </c>
      <c r="F139" s="1850" t="str">
        <f>VLOOKUP(C139,DG!A:D,4,0)</f>
        <v>km</v>
      </c>
      <c r="G139" s="1353">
        <v>0.159</v>
      </c>
      <c r="H139" s="1705">
        <f>IF(D139&lt;2000,COUNTIF($E$2:E139,E139),0)</f>
        <v>0</v>
      </c>
      <c r="I139" s="1711">
        <f t="shared" si="2"/>
        <v>0.159</v>
      </c>
    </row>
    <row r="140" spans="3:9" hidden="1">
      <c r="C140" s="1788" t="s">
        <v>140</v>
      </c>
      <c r="D140" s="1524">
        <f>IFERROR(VLOOKUP(C140,DG!A:F,6,0),3000)</f>
        <v>2000</v>
      </c>
      <c r="E140" s="1853" t="str">
        <f>IFERROR(VLOOKUP(C140,DG!A:C,3,0),"")</f>
        <v>Kéo dây nhôm lõi thép cỡ dây 120mm2</v>
      </c>
      <c r="F140" s="1850" t="str">
        <f>VLOOKUP(C140,DG!A:D,4,0)</f>
        <v>km</v>
      </c>
      <c r="G140" s="1245">
        <v>6.3380000000000001</v>
      </c>
      <c r="H140" s="1705">
        <f>IF(D140&lt;2000,COUNTIF($E$2:E140,E140),0)</f>
        <v>0</v>
      </c>
      <c r="I140" s="1711">
        <f t="shared" si="2"/>
        <v>6.3380000000000001</v>
      </c>
    </row>
    <row r="141" spans="3:9" hidden="1">
      <c r="C141" s="1788" t="s">
        <v>1569</v>
      </c>
      <c r="D141" s="1524">
        <f>IFERROR(VLOOKUP(C141,DG!A:F,6,0),3000)</f>
        <v>2000</v>
      </c>
      <c r="E141" s="1853" t="str">
        <f>IFERROR(VLOOKUP(C141,DG!A:C,3,0),"")</f>
        <v xml:space="preserve">Kéo dây tiếp địa </v>
      </c>
      <c r="F141" s="1850" t="str">
        <f>VLOOKUP(C141,DG!A:D,4,0)</f>
        <v>mét</v>
      </c>
      <c r="G141" s="1257">
        <v>31.360000000000003</v>
      </c>
      <c r="H141" s="1705">
        <f>IF(D141&lt;2000,COUNTIF($E$2:E141,E141),0)</f>
        <v>0</v>
      </c>
      <c r="I141" s="1711">
        <f t="shared" si="2"/>
        <v>31.360000000000003</v>
      </c>
    </row>
    <row r="142" spans="3:9" hidden="1">
      <c r="C142" s="1191" t="s">
        <v>1559</v>
      </c>
      <c r="D142" s="1524">
        <f>IFERROR(VLOOKUP(C142,DG!A:F,6,0),3000)</f>
        <v>2000</v>
      </c>
      <c r="E142" s="1853" t="str">
        <f>IFERROR(VLOOKUP(C142,DG!A:C,3,0),"")</f>
        <v>Lắp chuỗi sứ néo Polymer</v>
      </c>
      <c r="F142" s="1850" t="str">
        <f>VLOOKUP(C142,DG!A:D,4,0)</f>
        <v>chuỗi</v>
      </c>
      <c r="G142" s="1353">
        <v>93</v>
      </c>
      <c r="H142" s="1705">
        <f>IF(D142&lt;2000,COUNTIF($E$2:E142,E142),0)</f>
        <v>0</v>
      </c>
      <c r="I142" s="1711">
        <f t="shared" si="2"/>
        <v>93</v>
      </c>
    </row>
    <row r="143" spans="3:9" hidden="1">
      <c r="C143" s="1788" t="s">
        <v>1959</v>
      </c>
      <c r="D143" s="1524">
        <f>IFERROR(VLOOKUP(C143,DG!A:F,6,0),3000)</f>
        <v>2000</v>
      </c>
      <c r="E143" s="1853" t="str">
        <f>IFERROR(VLOOKUP(C143,DG!A:C,3,0),"")</f>
        <v>Lắp bộ chống lệch</v>
      </c>
      <c r="F143" s="1850" t="str">
        <f>VLOOKUP(C143,DG!A:D,4,0)</f>
        <v>bộ</v>
      </c>
      <c r="G143" s="1245">
        <v>3</v>
      </c>
      <c r="H143" s="1705">
        <f>IF(D143&lt;2000,COUNTIF($E$2:E143,E143),0)</f>
        <v>0</v>
      </c>
      <c r="I143" s="1711">
        <f t="shared" si="2"/>
        <v>3</v>
      </c>
    </row>
    <row r="144" spans="3:9" hidden="1">
      <c r="C144" s="2263" t="s">
        <v>1971</v>
      </c>
      <c r="D144" s="1524">
        <f>IFERROR(VLOOKUP(C144,DG!A:F,6,0),3000)</f>
        <v>2000</v>
      </c>
      <c r="E144" s="1853" t="str">
        <f>IFERROR(VLOOKUP(C144,DG!A:C,3,0),"")</f>
        <v>Lắp bộ dây néo</v>
      </c>
      <c r="F144" s="1850" t="str">
        <f>VLOOKUP(C144,DG!A:D,4,0)</f>
        <v>bộ</v>
      </c>
      <c r="G144" s="1244">
        <v>7</v>
      </c>
      <c r="H144" s="1705">
        <f>IF(D144&lt;2000,COUNTIF($E$2:E144,E144),0)</f>
        <v>0</v>
      </c>
      <c r="I144" s="1711">
        <f t="shared" si="2"/>
        <v>18</v>
      </c>
    </row>
    <row r="145" spans="3:9" hidden="1">
      <c r="C145" s="1788" t="s">
        <v>1971</v>
      </c>
      <c r="D145" s="1524">
        <f>IFERROR(VLOOKUP(C145,DG!A:F,6,0),3000)</f>
        <v>2000</v>
      </c>
      <c r="E145" s="1853" t="str">
        <f>IFERROR(VLOOKUP(C145,DG!A:C,3,0),"")</f>
        <v>Lắp bộ dây néo</v>
      </c>
      <c r="F145" s="1850" t="str">
        <f>VLOOKUP(C145,DG!A:D,4,0)</f>
        <v>bộ</v>
      </c>
      <c r="G145" s="1257">
        <v>3</v>
      </c>
      <c r="H145" s="1705">
        <f>IF(D145&lt;2000,COUNTIF($E$2:E145,E145),0)</f>
        <v>0</v>
      </c>
      <c r="I145" s="1711">
        <f t="shared" si="2"/>
        <v>18</v>
      </c>
    </row>
    <row r="146" spans="3:9" hidden="1">
      <c r="C146" s="1788" t="s">
        <v>1971</v>
      </c>
      <c r="D146" s="1524">
        <f>IFERROR(VLOOKUP(C146,DG!A:F,6,0),3000)</f>
        <v>2000</v>
      </c>
      <c r="E146" s="1853" t="str">
        <f>IFERROR(VLOOKUP(C146,DG!A:C,3,0),"")</f>
        <v>Lắp bộ dây néo</v>
      </c>
      <c r="F146" s="1850" t="str">
        <f>VLOOKUP(C146,DG!A:D,4,0)</f>
        <v>bộ</v>
      </c>
      <c r="G146" s="1251">
        <v>2</v>
      </c>
      <c r="H146" s="1705">
        <f>IF(D146&lt;2000,COUNTIF($E$2:E146,E146),0)</f>
        <v>0</v>
      </c>
      <c r="I146" s="1711">
        <f t="shared" si="2"/>
        <v>18</v>
      </c>
    </row>
    <row r="147" spans="3:9" hidden="1">
      <c r="C147" s="2265" t="s">
        <v>1971</v>
      </c>
      <c r="D147" s="1524">
        <f>IFERROR(VLOOKUP(C147,DG!A:F,6,0),3000)</f>
        <v>2000</v>
      </c>
      <c r="E147" s="1853" t="str">
        <f>IFERROR(VLOOKUP(C147,DG!A:C,3,0),"")</f>
        <v>Lắp bộ dây néo</v>
      </c>
      <c r="F147" s="1850" t="str">
        <f>VLOOKUP(C147,DG!A:D,4,0)</f>
        <v>bộ</v>
      </c>
      <c r="G147" s="1353">
        <v>4</v>
      </c>
      <c r="H147" s="1705">
        <f>IF(D147&lt;2000,COUNTIF($E$2:E147,E147),0)</f>
        <v>0</v>
      </c>
      <c r="I147" s="1711">
        <f t="shared" si="2"/>
        <v>18</v>
      </c>
    </row>
    <row r="148" spans="3:9" hidden="1">
      <c r="C148" s="1788" t="s">
        <v>1971</v>
      </c>
      <c r="D148" s="1524">
        <f>IFERROR(VLOOKUP(C148,DG!A:F,6,0),3000)</f>
        <v>2000</v>
      </c>
      <c r="E148" s="1853" t="str">
        <f>IFERROR(VLOOKUP(C148,DG!A:C,3,0),"")</f>
        <v>Lắp bộ dây néo</v>
      </c>
      <c r="F148" s="1850" t="str">
        <f>VLOOKUP(C148,DG!A:D,4,0)</f>
        <v>bộ</v>
      </c>
      <c r="G148" s="1245">
        <v>2</v>
      </c>
      <c r="H148" s="1705">
        <f>IF(D148&lt;2000,COUNTIF($E$2:E148,E148),0)</f>
        <v>0</v>
      </c>
      <c r="I148" s="1711">
        <f t="shared" si="2"/>
        <v>18</v>
      </c>
    </row>
    <row r="149" spans="3:9" hidden="1">
      <c r="C149" s="1788" t="s">
        <v>4976</v>
      </c>
      <c r="D149" s="1524">
        <f>IFERROR(VLOOKUP(C149,DG!A:F,6,0),3000)</f>
        <v>2000</v>
      </c>
      <c r="E149" s="1853" t="str">
        <f>IFERROR(VLOOKUP(C149,DG!A:C,3,0),"")</f>
        <v>Lắp sứ đứng 24KV + ty</v>
      </c>
      <c r="F149" s="1850" t="str">
        <f>VLOOKUP(C149,DG!A:D,4,0)</f>
        <v>bộ</v>
      </c>
      <c r="G149" s="1244">
        <v>591</v>
      </c>
      <c r="H149" s="1705">
        <f>IF(D149&lt;2000,COUNTIF($E$2:E149,E149),0)</f>
        <v>0</v>
      </c>
      <c r="I149" s="1711">
        <f t="shared" si="2"/>
        <v>591</v>
      </c>
    </row>
    <row r="150" spans="3:9" hidden="1">
      <c r="C150" s="1788" t="s">
        <v>352</v>
      </c>
      <c r="D150" s="1524">
        <f>IFERROR(VLOOKUP(C150,DG!A:F,6,0),3000)</f>
        <v>2000</v>
      </c>
      <c r="E150" s="1853" t="str">
        <f>IFERROR(VLOOKUP(C150,DG!A:C,3,0),"")</f>
        <v>Lắp rack sứ + sứ ống chỉ</v>
      </c>
      <c r="F150" s="1850" t="str">
        <f>VLOOKUP(C150,DG!A:D,4,0)</f>
        <v>bộ</v>
      </c>
      <c r="G150" s="1245">
        <v>163</v>
      </c>
      <c r="H150" s="1705">
        <f>IF(D150&lt;2000,COUNTIF($E$2:E150,E150),0)</f>
        <v>0</v>
      </c>
      <c r="I150" s="1711">
        <f t="shared" si="2"/>
        <v>163</v>
      </c>
    </row>
    <row r="151" spans="3:9" hidden="1">
      <c r="C151" s="1788" t="s">
        <v>2051</v>
      </c>
      <c r="D151" s="1524">
        <f>IFERROR(VLOOKUP(C151,DG!A:F,6,0),3000)</f>
        <v>2000</v>
      </c>
      <c r="E151" s="1853" t="str">
        <f>IFERROR(VLOOKUP(C151,DG!A:C,3,0),"")</f>
        <v>Lắp xà néo ≤ 50kg</v>
      </c>
      <c r="F151" s="1850" t="str">
        <f>VLOOKUP(C151,DG!A:D,4,0)</f>
        <v>bộ</v>
      </c>
      <c r="G151" s="1257">
        <v>5</v>
      </c>
      <c r="H151" s="1705">
        <f>IF(D151&lt;2000,COUNTIF($E$2:E151,E151),0)</f>
        <v>0</v>
      </c>
      <c r="I151" s="1711">
        <f t="shared" si="2"/>
        <v>15</v>
      </c>
    </row>
    <row r="152" spans="3:9" hidden="1">
      <c r="C152" s="1191" t="s">
        <v>2051</v>
      </c>
      <c r="D152" s="1524">
        <f>IFERROR(VLOOKUP(C152,DG!A:F,6,0),3000)</f>
        <v>2000</v>
      </c>
      <c r="E152" s="1853" t="str">
        <f>IFERROR(VLOOKUP(C152,DG!A:C,3,0),"")</f>
        <v>Lắp xà néo ≤ 50kg</v>
      </c>
      <c r="F152" s="1850" t="str">
        <f>VLOOKUP(C152,DG!A:D,4,0)</f>
        <v>bộ</v>
      </c>
      <c r="G152" s="1353">
        <v>10</v>
      </c>
      <c r="H152" s="1705">
        <f>IF(D152&lt;2000,COUNTIF($E$2:E152,E152),0)</f>
        <v>0</v>
      </c>
      <c r="I152" s="1711">
        <f t="shared" si="2"/>
        <v>15</v>
      </c>
    </row>
    <row r="153" spans="3:9" hidden="1">
      <c r="C153" s="1788" t="s">
        <v>220</v>
      </c>
      <c r="D153" s="1524">
        <f>IFERROR(VLOOKUP(C153,DG!A:F,6,0),3000)</f>
        <v>2000</v>
      </c>
      <c r="E153" s="1853" t="str">
        <f>IFERROR(VLOOKUP(C153,DG!A:C,3,0),"")</f>
        <v>Đặt đà cản 1,2m</v>
      </c>
      <c r="F153" s="1850" t="str">
        <f>VLOOKUP(C153,DG!A:D,4,0)</f>
        <v>cái</v>
      </c>
      <c r="G153" s="1244">
        <v>36</v>
      </c>
      <c r="H153" s="1705">
        <f>IF(D153&lt;2000,COUNTIF($E$2:E153,E153),0)</f>
        <v>0</v>
      </c>
      <c r="I153" s="1711">
        <f t="shared" si="2"/>
        <v>36</v>
      </c>
    </row>
    <row r="154" spans="3:9" hidden="1">
      <c r="C154" s="1788" t="s">
        <v>304</v>
      </c>
      <c r="D154" s="1524">
        <f>IFERROR(VLOOKUP(C154,DG!A:F,6,0),3000)</f>
        <v>2000</v>
      </c>
      <c r="E154" s="1853" t="str">
        <f>IFERROR(VLOOKUP(C154,DG!A:C,3,0),"")</f>
        <v>Móng M12a</v>
      </c>
      <c r="F154" s="1850" t="str">
        <f>VLOOKUP(C154,DG!A:D,4,0)</f>
        <v>Móng</v>
      </c>
      <c r="G154" s="1257">
        <v>40</v>
      </c>
      <c r="H154" s="1705">
        <f>IF(D154&lt;2000,COUNTIF($E$2:E154,E154),0)</f>
        <v>0</v>
      </c>
      <c r="I154" s="1711">
        <f t="shared" si="2"/>
        <v>40</v>
      </c>
    </row>
    <row r="155" spans="3:9" hidden="1">
      <c r="C155" s="1788" t="s">
        <v>2369</v>
      </c>
      <c r="D155" s="1524">
        <f>IFERROR(VLOOKUP(C155,DG!A:F,6,0),3000)</f>
        <v>2000</v>
      </c>
      <c r="E155" s="1853" t="str">
        <f>IFERROR(VLOOKUP(C155,DG!A:C,3,0),"")</f>
        <v>Móng bê tông trụ đôi 12m</v>
      </c>
      <c r="F155" s="1850" t="str">
        <f>VLOOKUP(C155,DG!A:D,4,0)</f>
        <v>Móng</v>
      </c>
      <c r="G155" s="1353">
        <v>10</v>
      </c>
      <c r="H155" s="1705">
        <f>IF(D155&lt;2000,COUNTIF($E$2:E155,E155),0)</f>
        <v>0</v>
      </c>
      <c r="I155" s="1711">
        <f t="shared" si="2"/>
        <v>10</v>
      </c>
    </row>
    <row r="156" spans="3:9" hidden="1">
      <c r="C156" s="1788" t="s">
        <v>653</v>
      </c>
      <c r="D156" s="1524">
        <f>IFERROR(VLOOKUP(C156,DG!A:F,6,0),3000)</f>
        <v>2000</v>
      </c>
      <c r="E156" s="1853" t="str">
        <f>IFERROR(VLOOKUP(C156,DG!A:C,3,0),"")</f>
        <v>Móng M14a</v>
      </c>
      <c r="F156" s="1850" t="str">
        <f>VLOOKUP(C156,DG!A:D,4,0)</f>
        <v>Móng</v>
      </c>
      <c r="G156" s="1242">
        <v>15</v>
      </c>
      <c r="H156" s="1705">
        <f>IF(D156&lt;2000,COUNTIF($E$2:E156,E156),0)</f>
        <v>0</v>
      </c>
      <c r="I156" s="1711">
        <f t="shared" si="2"/>
        <v>15</v>
      </c>
    </row>
    <row r="157" spans="3:9" hidden="1">
      <c r="C157" s="1788" t="s">
        <v>21</v>
      </c>
      <c r="D157" s="1524">
        <f>IFERROR(VLOOKUP(C157,DG!A:F,6,0),3000)</f>
        <v>2000</v>
      </c>
      <c r="E157" s="1853" t="str">
        <f>IFERROR(VLOOKUP(C157,DG!A:C,3,0),"")</f>
        <v>Đắp đất hố móng, độ chặt k=0,95</v>
      </c>
      <c r="F157" s="1850" t="str">
        <f>VLOOKUP(C157,DG!A:D,4,0)</f>
        <v>m3</v>
      </c>
      <c r="G157" s="1245">
        <v>6.4799999999999995</v>
      </c>
      <c r="H157" s="1705">
        <f>IF(D157&lt;2000,COUNTIF($E$2:E157,E157),0)</f>
        <v>0</v>
      </c>
      <c r="I157" s="1711">
        <f t="shared" si="2"/>
        <v>21.770000000000003</v>
      </c>
    </row>
    <row r="158" spans="3:9" hidden="1">
      <c r="C158" s="1788" t="s">
        <v>21</v>
      </c>
      <c r="D158" s="1524">
        <f>IFERROR(VLOOKUP(C158,DG!A:F,6,0),3000)</f>
        <v>2000</v>
      </c>
      <c r="E158" s="1853" t="str">
        <f>IFERROR(VLOOKUP(C158,DG!A:C,3,0),"")</f>
        <v>Đắp đất hố móng, độ chặt k=0,95</v>
      </c>
      <c r="F158" s="1850" t="str">
        <f>VLOOKUP(C158,DG!A:D,4,0)</f>
        <v>m3</v>
      </c>
      <c r="G158" s="1353">
        <v>10.440000000000001</v>
      </c>
      <c r="H158" s="1705">
        <f>IF(D158&lt;2000,COUNTIF($E$2:E158,E158),0)</f>
        <v>0</v>
      </c>
      <c r="I158" s="1711">
        <f t="shared" si="2"/>
        <v>21.770000000000003</v>
      </c>
    </row>
    <row r="159" spans="3:9" hidden="1">
      <c r="C159" s="1788" t="s">
        <v>21</v>
      </c>
      <c r="D159" s="1524">
        <f>IFERROR(VLOOKUP(C159,DG!A:F,6,0),3000)</f>
        <v>2000</v>
      </c>
      <c r="E159" s="1853" t="str">
        <f>IFERROR(VLOOKUP(C159,DG!A:C,3,0),"")</f>
        <v>Đắp đất hố móng, độ chặt k=0,95</v>
      </c>
      <c r="F159" s="1850" t="str">
        <f>VLOOKUP(C159,DG!A:D,4,0)</f>
        <v>m3</v>
      </c>
      <c r="G159" s="1245">
        <v>0</v>
      </c>
      <c r="H159" s="1705">
        <f>IF(D159&lt;2000,COUNTIF($E$2:E159,E159),0)</f>
        <v>0</v>
      </c>
      <c r="I159" s="1711">
        <f t="shared" si="2"/>
        <v>0</v>
      </c>
    </row>
    <row r="160" spans="3:9" hidden="1">
      <c r="C160" s="2264" t="s">
        <v>21</v>
      </c>
      <c r="D160" s="1524">
        <f>IFERROR(VLOOKUP(C160,DG!A:F,6,0),3000)</f>
        <v>2000</v>
      </c>
      <c r="E160" s="1853" t="str">
        <f>IFERROR(VLOOKUP(C160,DG!A:C,3,0),"")</f>
        <v>Đắp đất hố móng, độ chặt k=0,95</v>
      </c>
      <c r="F160" s="1850" t="str">
        <f>VLOOKUP(C160,DG!A:D,4,0)</f>
        <v>m3</v>
      </c>
      <c r="G160" s="1353">
        <v>4.0500000000000007</v>
      </c>
      <c r="H160" s="1705">
        <f>IF(D160&lt;2000,COUNTIF($E$2:E160,E160),0)</f>
        <v>0</v>
      </c>
      <c r="I160" s="1711">
        <f t="shared" si="2"/>
        <v>21.770000000000003</v>
      </c>
    </row>
    <row r="161" spans="3:9" hidden="1">
      <c r="C161" s="1788" t="s">
        <v>21</v>
      </c>
      <c r="D161" s="1524">
        <f>IFERROR(VLOOKUP(C161,DG!A:F,6,0),3000)</f>
        <v>2000</v>
      </c>
      <c r="E161" s="1853" t="str">
        <f>IFERROR(VLOOKUP(C161,DG!A:C,3,0),"")</f>
        <v>Đắp đất hố móng, độ chặt k=0,95</v>
      </c>
      <c r="F161" s="1850" t="str">
        <f>VLOOKUP(C161,DG!A:D,4,0)</f>
        <v>m3</v>
      </c>
      <c r="G161" s="1244">
        <v>0.8</v>
      </c>
      <c r="H161" s="1705">
        <f>IF(D161&lt;2000,COUNTIF($E$2:E161,E161),0)</f>
        <v>0</v>
      </c>
      <c r="I161" s="1711">
        <f t="shared" si="2"/>
        <v>21.770000000000003</v>
      </c>
    </row>
    <row r="162" spans="3:9" hidden="1">
      <c r="C162" s="1191" t="s">
        <v>644</v>
      </c>
      <c r="D162" s="1524">
        <f>IFERROR(VLOOKUP(C162,DG!A:F,6,0),3000)</f>
        <v>2000</v>
      </c>
      <c r="E162" s="1853" t="str">
        <f>IFERROR(VLOOKUP(C162,DG!A:C,3,0),"")</f>
        <v>Đào hố móng đất cấp 3 sâu &gt;1m DT&lt;5m2</v>
      </c>
      <c r="F162" s="1850" t="str">
        <f>VLOOKUP(C162,DG!A:D,4,0)</f>
        <v>m3</v>
      </c>
      <c r="G162" s="1353">
        <v>12.707999999999998</v>
      </c>
      <c r="H162" s="1705">
        <f>IF(D162&lt;2000,COUNTIF($E$2:E162,E162),0)</f>
        <v>0</v>
      </c>
      <c r="I162" s="1711">
        <f t="shared" si="2"/>
        <v>13.507999999999999</v>
      </c>
    </row>
    <row r="163" spans="3:9" hidden="1">
      <c r="C163" s="1788" t="s">
        <v>644</v>
      </c>
      <c r="D163" s="1524">
        <f>IFERROR(VLOOKUP(C163,DG!A:F,6,0),3000)</f>
        <v>2000</v>
      </c>
      <c r="E163" s="1853" t="str">
        <f>IFERROR(VLOOKUP(C163,DG!A:C,3,0),"")</f>
        <v>Đào hố móng đất cấp 3 sâu &gt;1m DT&lt;5m2</v>
      </c>
      <c r="F163" s="1850" t="str">
        <f>VLOOKUP(C163,DG!A:D,4,0)</f>
        <v>m3</v>
      </c>
      <c r="G163" s="1353">
        <v>0.8</v>
      </c>
      <c r="H163" s="1705">
        <f>IF(D163&lt;2000,COUNTIF($E$2:E163,E163),0)</f>
        <v>0</v>
      </c>
      <c r="I163" s="1711">
        <f t="shared" si="2"/>
        <v>13.507999999999999</v>
      </c>
    </row>
    <row r="164" spans="3:9" hidden="1">
      <c r="C164" s="1788" t="s">
        <v>4948</v>
      </c>
      <c r="D164" s="1524">
        <f>IFERROR(VLOOKUP(C164,DG!A:F,6,0),3000)</f>
        <v>2000</v>
      </c>
      <c r="E164" s="1853" t="str">
        <f>IFERROR(VLOOKUP(C164,DG!A:C,3,0),"")</f>
        <v>Đo đất móng cột, trụ, hố kiểm tra rộng &gt;3m, su ≤2m, đất cấp 3 bằng thủ công (p dụng cho móng đ cản)</v>
      </c>
      <c r="F164" s="1850" t="str">
        <f>VLOOKUP(C164,DG!A:D,4,0)</f>
        <v>m3</v>
      </c>
      <c r="G164" s="1245">
        <v>34.799999999999997</v>
      </c>
      <c r="H164" s="1705">
        <f>IF(D164&lt;2000,COUNTIF($E$2:E164,E164),0)</f>
        <v>0</v>
      </c>
      <c r="I164" s="1711">
        <f t="shared" si="2"/>
        <v>48.3</v>
      </c>
    </row>
    <row r="165" spans="3:9" hidden="1">
      <c r="C165" s="1191" t="s">
        <v>4948</v>
      </c>
      <c r="D165" s="1524">
        <f>IFERROR(VLOOKUP(C165,DG!A:F,6,0),3000)</f>
        <v>2000</v>
      </c>
      <c r="E165" s="1853" t="str">
        <f>IFERROR(VLOOKUP(C165,DG!A:C,3,0),"")</f>
        <v>Đo đất móng cột, trụ, hố kiểm tra rộng &gt;3m, su ≤2m, đất cấp 3 bằng thủ công (p dụng cho móng đ cản)</v>
      </c>
      <c r="F165" s="1850" t="str">
        <f>VLOOKUP(C165,DG!A:D,4,0)</f>
        <v>m3</v>
      </c>
      <c r="G165" s="1353">
        <v>13.5</v>
      </c>
      <c r="H165" s="1705">
        <f>IF(D165&lt;2000,COUNTIF($E$2:E165,E165),0)</f>
        <v>0</v>
      </c>
      <c r="I165" s="1711">
        <f t="shared" si="2"/>
        <v>48.3</v>
      </c>
    </row>
    <row r="166" spans="3:9" hidden="1">
      <c r="C166" s="1788" t="s">
        <v>4952</v>
      </c>
      <c r="D166" s="1524">
        <f>IFERROR(VLOOKUP(C166,DG!A:F,6,0),3000)</f>
        <v>2000</v>
      </c>
      <c r="E166" s="1853" t="str">
        <f>IFERROR(VLOOKUP(C166,DG!A:C,3,0),"")</f>
        <v>Đo đất mĩng cột, trụ, hố kiểm tra rộng &gt;1m, su &gt;1m, đất cấp 3 bằng thủ cơng</v>
      </c>
      <c r="F166" s="1850" t="str">
        <f>VLOOKUP(C166,DG!A:D,4,0)</f>
        <v>m3</v>
      </c>
      <c r="G166" s="1353">
        <v>19.3</v>
      </c>
      <c r="H166" s="1705">
        <f>IF(D166&lt;2000,COUNTIF($E$2:E166,E166),0)</f>
        <v>0</v>
      </c>
      <c r="I166" s="1711">
        <f t="shared" si="2"/>
        <v>19.3</v>
      </c>
    </row>
    <row r="167" spans="3:9" hidden="1">
      <c r="C167" s="1788" t="s">
        <v>1674</v>
      </c>
      <c r="D167" s="1524">
        <f>IFERROR(VLOOKUP(C167,DG!A:F,6,0),3000)</f>
        <v>2000</v>
      </c>
      <c r="E167" s="1853" t="str">
        <f>IFERROR(VLOOKUP(C167,DG!A:C,3,0),"")</f>
        <v>Bộ khóa néo dây trung hòa vào trụ: Nth-T</v>
      </c>
      <c r="F167" s="1850" t="str">
        <f>VLOOKUP(C167,DG!A:D,4,0)</f>
        <v>bộ</v>
      </c>
      <c r="G167" s="1244">
        <v>29</v>
      </c>
      <c r="H167" s="1705">
        <f>IF(D167&lt;2000,COUNTIF($E$2:E167,E167),0)</f>
        <v>0</v>
      </c>
      <c r="I167" s="1711">
        <f t="shared" si="2"/>
        <v>29</v>
      </c>
    </row>
    <row r="168" spans="3:9" hidden="1">
      <c r="C168" s="1191" t="s">
        <v>1544</v>
      </c>
      <c r="D168" s="1524">
        <f>IFERROR(VLOOKUP(C168,DG!A:F,6,0),3000)</f>
        <v>2000</v>
      </c>
      <c r="E168" s="1853" t="str">
        <f>IFERROR(VLOOKUP(C168,DG!A:C,3,0),"")</f>
        <v>Bộ móng neo xòe cho chằng xuống: NXX</v>
      </c>
      <c r="F168" s="1850" t="str">
        <f>VLOOKUP(C168,DG!A:D,4,0)</f>
        <v>Bộ</v>
      </c>
      <c r="G168" s="1353">
        <v>2</v>
      </c>
      <c r="H168" s="1705">
        <f>IF(D168&lt;2000,COUNTIF($E$2:E168,E168),0)</f>
        <v>0</v>
      </c>
      <c r="I168" s="1711">
        <f t="shared" si="2"/>
        <v>2</v>
      </c>
    </row>
    <row r="169" spans="3:9" hidden="1">
      <c r="C169" s="1191" t="s">
        <v>357</v>
      </c>
      <c r="D169" s="1524">
        <f>IFERROR(VLOOKUP(C169,DG!A:F,6,0),3000)</f>
        <v>2000</v>
      </c>
      <c r="E169" s="1853" t="str">
        <f>IFERROR(VLOOKUP(C169,DG!A:C,3,0),"")</f>
        <v>V/c phụ kiện vào vị trí (cự ly &lt;=100m)</v>
      </c>
      <c r="F169" s="1850" t="str">
        <f>VLOOKUP(C169,DG!A:D,4,0)</f>
        <v>tấn</v>
      </c>
      <c r="G169" s="1353">
        <v>0</v>
      </c>
      <c r="H169" s="1705">
        <f>IF(D169&lt;2000,COUNTIF($E$2:E169,E169),0)</f>
        <v>0</v>
      </c>
      <c r="I169" s="1711">
        <f t="shared" si="2"/>
        <v>0</v>
      </c>
    </row>
    <row r="170" spans="3:9" hidden="1">
      <c r="C170" s="1788" t="s">
        <v>2568</v>
      </c>
      <c r="D170" s="1524">
        <f>IFERROR(VLOOKUP(C170,DG!A:F,6,0),3000)</f>
        <v>2000</v>
      </c>
      <c r="E170" s="1853" t="str">
        <f>IFERROR(VLOOKUP(C170,DG!A:C,3,0),"")</f>
        <v>Bộ cách điện đứng+ty sứ : SĐU</v>
      </c>
      <c r="F170" s="1850" t="str">
        <f>VLOOKUP(C170,DG!A:D,4,0)</f>
        <v>bộ</v>
      </c>
      <c r="G170" s="1245">
        <v>591</v>
      </c>
      <c r="H170" s="1705">
        <f>IF(D170&lt;2000,COUNTIF($E$2:E170,E170),0)</f>
        <v>0</v>
      </c>
      <c r="I170" s="1711">
        <f t="shared" si="2"/>
        <v>591</v>
      </c>
    </row>
    <row r="171" spans="3:9" hidden="1">
      <c r="C171" s="2263" t="s">
        <v>1169</v>
      </c>
      <c r="D171" s="1524">
        <f>IFERROR(VLOOKUP(C171,DG!A:F,6,0),3000)</f>
        <v>2000</v>
      </c>
      <c r="E171" s="1853" t="str">
        <f>IFERROR(VLOOKUP(C171,DG!A:C,3,0),"")</f>
        <v>Phần thiết bị đường dây 3 pha 1 mạch</v>
      </c>
      <c r="F171" s="1850">
        <f>VLOOKUP(C171,DG!A:D,4,0)</f>
        <v>0</v>
      </c>
      <c r="G171" s="1245">
        <v>0</v>
      </c>
      <c r="H171" s="1705">
        <f>IF(D171&lt;2000,COUNTIF($E$2:E171,E171),0)</f>
        <v>0</v>
      </c>
      <c r="I171" s="1711">
        <f t="shared" si="2"/>
        <v>0</v>
      </c>
    </row>
    <row r="172" spans="3:9" hidden="1">
      <c r="C172" s="1788" t="s">
        <v>2103</v>
      </c>
      <c r="D172" s="1524">
        <f>IFERROR(VLOOKUP(C172,DG!A:F,6,0),3000)</f>
        <v>2000</v>
      </c>
      <c r="E172" s="1853" t="str">
        <f>IFERROR(VLOOKUP(C172,DG!A:C,3,0),"")</f>
        <v>Tiếp địa trụ recloser và TBA 1 pha</v>
      </c>
      <c r="F172" s="1850" t="str">
        <f>VLOOKUP(C172,DG!A:D,4,0)</f>
        <v>Bộ</v>
      </c>
      <c r="G172" s="1353">
        <v>10</v>
      </c>
      <c r="H172" s="1705">
        <f>IF(D172&lt;2000,COUNTIF($E$2:E172,E172),0)</f>
        <v>0</v>
      </c>
      <c r="I172" s="1711">
        <f t="shared" si="2"/>
        <v>10</v>
      </c>
    </row>
    <row r="173" spans="3:9" hidden="1">
      <c r="C173" s="1788" t="s">
        <v>2297</v>
      </c>
      <c r="D173" s="1524">
        <f>IFERROR(VLOOKUP(C173,DG!A:F,6,0),3000)</f>
        <v>2000</v>
      </c>
      <c r="E173" s="1853" t="str">
        <f>IFERROR(VLOOKUP(C173,DG!A:C,3,0),"")</f>
        <v>Tiếp địa lặp lại trụ 12m</v>
      </c>
      <c r="F173" s="1850" t="str">
        <f>VLOOKUP(C173,DG!A:D,4,0)</f>
        <v>Bộ</v>
      </c>
      <c r="G173" s="1257">
        <v>14</v>
      </c>
      <c r="H173" s="1705">
        <f>IF(D173&lt;2000,COUNTIF($E$2:E173,E173),0)</f>
        <v>0</v>
      </c>
      <c r="I173" s="1711">
        <f t="shared" si="2"/>
        <v>14</v>
      </c>
    </row>
    <row r="174" spans="3:9" hidden="1">
      <c r="C174" s="1788" t="s">
        <v>2356</v>
      </c>
      <c r="D174" s="1524">
        <f>IFERROR(VLOOKUP(C174,DG!A:F,6,0),3000)</f>
        <v>2000</v>
      </c>
      <c r="E174" s="1853" t="str">
        <f>IFERROR(VLOOKUP(C174,DG!A:C,3,0),"")</f>
        <v>Bộ xà lệch đơn L75x75x8 dài 2m: X-20ĐL2/3</v>
      </c>
      <c r="F174" s="1850" t="str">
        <f>VLOOKUP(C174,DG!A:D,4,0)</f>
        <v>Bộ</v>
      </c>
      <c r="G174" s="1257">
        <v>151</v>
      </c>
      <c r="H174" s="1705">
        <f>IF(D174&lt;2000,COUNTIF($E$2:E174,E174),0)</f>
        <v>0</v>
      </c>
      <c r="I174" s="1711">
        <f t="shared" si="2"/>
        <v>151</v>
      </c>
    </row>
    <row r="175" spans="3:9" hidden="1">
      <c r="C175" s="2263" t="s">
        <v>2181</v>
      </c>
      <c r="D175" s="1524">
        <f>IFERROR(VLOOKUP(C175,DG!A:F,6,0),3000)</f>
        <v>2000</v>
      </c>
      <c r="E175" s="1853" t="str">
        <f>IFERROR(VLOOKUP(C175,DG!A:C,3,0),"")</f>
        <v>Bộ xà lệch kép L75x75x8 dài 2m: X-20KL2/3</v>
      </c>
      <c r="F175" s="1850" t="str">
        <f>VLOOKUP(C175,DG!A:D,4,0)</f>
        <v>Bộ</v>
      </c>
      <c r="G175" s="1251">
        <v>8</v>
      </c>
      <c r="H175" s="1705">
        <f>IF(D175&lt;2000,COUNTIF($E$2:E175,E175),0)</f>
        <v>0</v>
      </c>
      <c r="I175" s="1711">
        <f t="shared" si="2"/>
        <v>8</v>
      </c>
    </row>
    <row r="176" spans="3:9" hidden="1">
      <c r="C176" s="2263" t="s">
        <v>5315</v>
      </c>
      <c r="D176" s="1524">
        <f>IFERROR(VLOOKUP(C176,DG!A:F,6,0),3000)</f>
        <v>2000</v>
      </c>
      <c r="E176" s="1853" t="str">
        <f>IFERROR(VLOOKUP(C176,DG!A:C,3,0),"")</f>
        <v>Bộ xà đơn L75x75x8 dài 2.2m: X-22Đ - C810</v>
      </c>
      <c r="F176" s="1850" t="str">
        <f>VLOOKUP(C176,DG!A:D,4,0)</f>
        <v>Bộ</v>
      </c>
      <c r="G176" s="1251">
        <v>5</v>
      </c>
      <c r="H176" s="1705">
        <f>IF(D176&lt;2000,COUNTIF($E$2:E176,E176),0)</f>
        <v>0</v>
      </c>
      <c r="I176" s="1711">
        <f t="shared" si="2"/>
        <v>5</v>
      </c>
    </row>
    <row r="177" spans="3:9" hidden="1">
      <c r="C177" s="1788" t="s">
        <v>5316</v>
      </c>
      <c r="D177" s="1524">
        <f>IFERROR(VLOOKUP(C177,DG!A:F,6,0),3000)</f>
        <v>2000</v>
      </c>
      <c r="E177" s="1853" t="str">
        <f>IFERROR(VLOOKUP(C177,DG!A:C,3,0),"")</f>
        <v>Bộ xà kép L75x75x8 dài 2.2m: X-22K-Đ - C810 (lắp trụ đơn)</v>
      </c>
      <c r="F177" s="1850" t="str">
        <f>VLOOKUP(C177,DG!A:D,4,0)</f>
        <v>Bộ</v>
      </c>
      <c r="G177" s="1257">
        <v>10</v>
      </c>
      <c r="H177" s="1705">
        <f>IF(D177&lt;2000,COUNTIF($E$2:E177,E177),0)</f>
        <v>0</v>
      </c>
      <c r="I177" s="1711">
        <f t="shared" si="2"/>
        <v>10</v>
      </c>
    </row>
    <row r="178" spans="3:9" hidden="1">
      <c r="C178" s="1191">
        <v>0</v>
      </c>
      <c r="D178" s="1524">
        <f>IFERROR(VLOOKUP(C178,DG!A:F,6,0),3000)</f>
        <v>3000</v>
      </c>
      <c r="E178" s="1853" t="str">
        <f>IFERROR(VLOOKUP(C178,DG!A:C,3,0),"")</f>
        <v/>
      </c>
      <c r="F178" s="1850" t="e">
        <f>VLOOKUP(C178,DG!A:D,4,0)</f>
        <v>#N/A</v>
      </c>
      <c r="G178" s="1353"/>
      <c r="H178" s="1705">
        <f>IF(D178&lt;2000,COUNTIF($E$2:E178,E178),0)</f>
        <v>0</v>
      </c>
      <c r="I178" s="1711">
        <f t="shared" si="2"/>
        <v>0</v>
      </c>
    </row>
    <row r="179" spans="3:9" hidden="1">
      <c r="C179" s="1788">
        <v>0</v>
      </c>
      <c r="D179" s="1524">
        <f>IFERROR(VLOOKUP(C179,DG!A:F,6,0),3000)</f>
        <v>3000</v>
      </c>
      <c r="E179" s="1853" t="str">
        <f>IFERROR(VLOOKUP(C179,DG!A:C,3,0),"")</f>
        <v/>
      </c>
      <c r="F179" s="1850" t="e">
        <f>VLOOKUP(C179,DG!A:D,4,0)</f>
        <v>#N/A</v>
      </c>
      <c r="G179" s="1353"/>
      <c r="H179" s="1705">
        <f>IF(D179&lt;2000,COUNTIF($E$2:E179,E179),0)</f>
        <v>0</v>
      </c>
      <c r="I179" s="1711">
        <f t="shared" si="2"/>
        <v>0</v>
      </c>
    </row>
    <row r="180" spans="3:9" hidden="1">
      <c r="C180" s="1191">
        <v>0</v>
      </c>
      <c r="D180" s="1524">
        <f>IFERROR(VLOOKUP(C180,DG!A:F,6,0),3000)</f>
        <v>3000</v>
      </c>
      <c r="E180" s="1853" t="str">
        <f>IFERROR(VLOOKUP(C180,DG!A:C,3,0),"")</f>
        <v/>
      </c>
      <c r="F180" s="1850" t="e">
        <f>VLOOKUP(C180,DG!A:D,4,0)</f>
        <v>#N/A</v>
      </c>
      <c r="G180" s="1353">
        <v>0</v>
      </c>
      <c r="H180" s="1705">
        <f>IF(D180&lt;2000,COUNTIF($E$2:E180,E180),0)</f>
        <v>0</v>
      </c>
      <c r="I180" s="1711">
        <f t="shared" si="2"/>
        <v>0</v>
      </c>
    </row>
    <row r="181" spans="3:9" hidden="1">
      <c r="C181" s="1788" t="s">
        <v>5123</v>
      </c>
      <c r="D181" s="1524">
        <f>IFERROR(VLOOKUP(C181,DG!A:F,6,0),3000)</f>
        <v>3000</v>
      </c>
      <c r="E181" s="1853" t="str">
        <f>IFERROR(VLOOKUP(C181,DG!A:C,3,0),"")</f>
        <v/>
      </c>
      <c r="F181" s="1850" t="e">
        <f>VLOOKUP(C181,DG!A:D,4,0)</f>
        <v>#N/A</v>
      </c>
      <c r="G181" s="1257">
        <v>96</v>
      </c>
      <c r="H181" s="1705">
        <f>IF(D181&lt;2000,COUNTIF($E$2:E181,E181),0)</f>
        <v>0</v>
      </c>
      <c r="I181" s="1711">
        <f t="shared" si="2"/>
        <v>96</v>
      </c>
    </row>
    <row r="182" spans="3:9" hidden="1">
      <c r="C182" s="1788" t="s">
        <v>5124</v>
      </c>
      <c r="D182" s="1524">
        <f>IFERROR(VLOOKUP(C182,DG!A:F,6,0),3000)</f>
        <v>3000</v>
      </c>
      <c r="E182" s="1853" t="str">
        <f>IFERROR(VLOOKUP(C182,DG!A:C,3,0),"")</f>
        <v/>
      </c>
      <c r="F182" s="1850" t="e">
        <f>VLOOKUP(C182,DG!A:D,4,0)</f>
        <v>#N/A</v>
      </c>
      <c r="G182" s="1257">
        <v>15</v>
      </c>
      <c r="H182" s="1705">
        <f>IF(D182&lt;2000,COUNTIF($E$2:E182,E182),0)</f>
        <v>0</v>
      </c>
      <c r="I182" s="1711">
        <f t="shared" si="2"/>
        <v>15</v>
      </c>
    </row>
    <row r="183" spans="3:9" hidden="1">
      <c r="C183" s="1788" t="s">
        <v>5314</v>
      </c>
      <c r="D183" s="1524">
        <f>IFERROR(VLOOKUP(C183,DG!A:F,6,0),3000)</f>
        <v>3000</v>
      </c>
      <c r="E183" s="1853" t="str">
        <f>IFERROR(VLOOKUP(C183,DG!A:C,3,0),"")</f>
        <v/>
      </c>
      <c r="F183" s="1850" t="e">
        <f>VLOOKUP(C183,DG!A:D,4,0)</f>
        <v>#N/A</v>
      </c>
      <c r="G183" s="1245">
        <v>15</v>
      </c>
      <c r="H183" s="1705">
        <f>IF(D183&lt;2000,COUNTIF($E$2:E183,E183),0)</f>
        <v>0</v>
      </c>
      <c r="I183" s="1711">
        <f t="shared" si="2"/>
        <v>15</v>
      </c>
    </row>
    <row r="184" spans="3:9" hidden="1">
      <c r="D184" s="1524">
        <f>IFERROR(VLOOKUP(C184,DG!A:F,6,0),3000)</f>
        <v>3000</v>
      </c>
      <c r="E184" s="1853" t="str">
        <f>IFERROR(VLOOKUP(C184,DG!A:C,3,0),"")</f>
        <v/>
      </c>
      <c r="F184" s="1850" t="e">
        <f>VLOOKUP(C184,DG!A:D,4,0)</f>
        <v>#N/A</v>
      </c>
      <c r="G184" s="1257">
        <v>0</v>
      </c>
      <c r="H184" s="1705">
        <f>IF(D184&lt;2000,COUNTIF($E$2:E184,E184),0)</f>
        <v>0</v>
      </c>
      <c r="I184" s="1711">
        <f t="shared" si="2"/>
        <v>0</v>
      </c>
    </row>
    <row r="185" spans="3:9" hidden="1">
      <c r="D185" s="1524">
        <f>IFERROR(VLOOKUP(C185,DG!A:F,6,0),3000)</f>
        <v>3000</v>
      </c>
      <c r="E185" s="1853" t="str">
        <f>IFERROR(VLOOKUP(C185,DG!A:C,3,0),"")</f>
        <v/>
      </c>
      <c r="F185" s="1850" t="e">
        <f>VLOOKUP(C185,DG!A:D,4,0)</f>
        <v>#N/A</v>
      </c>
      <c r="G185" s="1257"/>
      <c r="H185" s="1705">
        <f>IF(D185&lt;2000,COUNTIF($E$2:E185,E185),0)</f>
        <v>0</v>
      </c>
      <c r="I185" s="1711">
        <f t="shared" si="2"/>
        <v>0</v>
      </c>
    </row>
    <row r="186" spans="3:9" hidden="1">
      <c r="D186" s="1524">
        <f>IFERROR(VLOOKUP(C186,DG!A:F,6,0),3000)</f>
        <v>3000</v>
      </c>
      <c r="E186" s="1853" t="str">
        <f>IFERROR(VLOOKUP(C186,DG!A:C,3,0),"")</f>
        <v/>
      </c>
      <c r="F186" s="1850" t="e">
        <f>VLOOKUP(C186,DG!A:D,4,0)</f>
        <v>#N/A</v>
      </c>
      <c r="G186" s="1257"/>
      <c r="H186" s="1705">
        <f>IF(D186&lt;2000,COUNTIF($E$2:E186,E186),0)</f>
        <v>0</v>
      </c>
      <c r="I186" s="1711">
        <f t="shared" si="2"/>
        <v>0</v>
      </c>
    </row>
    <row r="187" spans="3:9" hidden="1">
      <c r="D187" s="1524">
        <f>IFERROR(VLOOKUP(C187,DG!A:F,6,0),3000)</f>
        <v>3000</v>
      </c>
      <c r="E187" s="1853" t="str">
        <f>IFERROR(VLOOKUP(C187,DG!A:C,3,0),"")</f>
        <v/>
      </c>
      <c r="F187" s="1850" t="e">
        <f>VLOOKUP(C187,DG!A:D,4,0)</f>
        <v>#N/A</v>
      </c>
      <c r="G187" s="1257"/>
      <c r="H187" s="1705">
        <f>IF(D187&lt;2000,COUNTIF($E$2:E187,E187),0)</f>
        <v>0</v>
      </c>
      <c r="I187" s="1711">
        <f t="shared" si="2"/>
        <v>0</v>
      </c>
    </row>
    <row r="188" spans="3:9" hidden="1">
      <c r="D188" s="1524">
        <f>IFERROR(VLOOKUP(C188,DG!A:F,6,0),3000)</f>
        <v>3000</v>
      </c>
      <c r="E188" s="1853" t="str">
        <f>IFERROR(VLOOKUP(C188,DG!A:C,3,0),"")</f>
        <v/>
      </c>
      <c r="F188" s="1850" t="e">
        <f>VLOOKUP(C188,DG!A:D,4,0)</f>
        <v>#N/A</v>
      </c>
      <c r="G188" s="1257"/>
      <c r="H188" s="1705">
        <f>IF(D188&lt;2000,COUNTIF($E$2:E188,E188),0)</f>
        <v>0</v>
      </c>
      <c r="I188" s="1711">
        <f t="shared" si="2"/>
        <v>0</v>
      </c>
    </row>
    <row r="189" spans="3:9" hidden="1">
      <c r="D189" s="1524">
        <f>IFERROR(VLOOKUP(C189,DG!A:F,6,0),3000)</f>
        <v>3000</v>
      </c>
      <c r="E189" s="1853" t="str">
        <f>IFERROR(VLOOKUP(C189,DG!A:C,3,0),"")</f>
        <v/>
      </c>
      <c r="F189" s="1850" t="e">
        <f>VLOOKUP(C189,DG!A:D,4,0)</f>
        <v>#N/A</v>
      </c>
      <c r="G189" s="1257"/>
      <c r="H189" s="1705">
        <f>IF(D189&lt;2000,COUNTIF($E$2:E189,E189),0)</f>
        <v>0</v>
      </c>
      <c r="I189" s="1711">
        <f t="shared" si="2"/>
        <v>0</v>
      </c>
    </row>
    <row r="190" spans="3:9" hidden="1">
      <c r="D190" s="1524">
        <f>IFERROR(VLOOKUP(C190,DG!A:F,6,0),3000)</f>
        <v>3000</v>
      </c>
      <c r="E190" s="1853" t="str">
        <f>IFERROR(VLOOKUP(C190,DG!A:C,3,0),"")</f>
        <v/>
      </c>
      <c r="F190" s="1850" t="e">
        <f>VLOOKUP(C190,DG!A:D,4,0)</f>
        <v>#N/A</v>
      </c>
      <c r="G190" s="1257"/>
      <c r="H190" s="1705">
        <f>IF(D190&lt;2000,COUNTIF($E$2:E190,E190),0)</f>
        <v>0</v>
      </c>
      <c r="I190" s="1711">
        <f t="shared" si="2"/>
        <v>0</v>
      </c>
    </row>
    <row r="191" spans="3:9" hidden="1">
      <c r="D191" s="1524">
        <f>IFERROR(VLOOKUP(C191,DG!A:F,6,0),3000)</f>
        <v>3000</v>
      </c>
      <c r="E191" s="1853" t="str">
        <f>IFERROR(VLOOKUP(C191,DG!A:C,3,0),"")</f>
        <v/>
      </c>
      <c r="F191" s="1850" t="e">
        <f>VLOOKUP(C191,DG!A:D,4,0)</f>
        <v>#N/A</v>
      </c>
      <c r="G191" s="1257"/>
      <c r="H191" s="1705">
        <f>IF(D191&lt;2000,COUNTIF($E$2:E191,E191),0)</f>
        <v>0</v>
      </c>
      <c r="I191" s="1711">
        <f t="shared" si="2"/>
        <v>0</v>
      </c>
    </row>
    <row r="192" spans="3:9" hidden="1">
      <c r="D192" s="1524">
        <f>IFERROR(VLOOKUP(C192,DG!A:F,6,0),3000)</f>
        <v>3000</v>
      </c>
      <c r="E192" s="1853" t="str">
        <f>IFERROR(VLOOKUP(C192,DG!A:C,3,0),"")</f>
        <v/>
      </c>
      <c r="F192" s="1850" t="e">
        <f>VLOOKUP(C192,DG!A:D,4,0)</f>
        <v>#N/A</v>
      </c>
      <c r="G192" s="1257"/>
      <c r="H192" s="1705">
        <f>IF(D192&lt;2000,COUNTIF($E$2:E192,E192),0)</f>
        <v>0</v>
      </c>
      <c r="I192" s="1711">
        <f t="shared" si="2"/>
        <v>0</v>
      </c>
    </row>
    <row r="193" spans="4:9" hidden="1">
      <c r="D193" s="1524">
        <f>IFERROR(VLOOKUP(C193,DG!A:F,6,0),3000)</f>
        <v>3000</v>
      </c>
      <c r="E193" s="1853" t="str">
        <f>IFERROR(VLOOKUP(C193,DG!A:C,3,0),"")</f>
        <v/>
      </c>
      <c r="F193" s="1850" t="e">
        <f>VLOOKUP(C193,DG!A:D,4,0)</f>
        <v>#N/A</v>
      </c>
      <c r="G193" s="1257"/>
      <c r="H193" s="1705">
        <f>IF(D193&lt;2000,COUNTIF($E$2:E193,E193),0)</f>
        <v>0</v>
      </c>
      <c r="I193" s="1711">
        <f t="shared" si="2"/>
        <v>0</v>
      </c>
    </row>
    <row r="194" spans="4:9" hidden="1">
      <c r="D194" s="1524">
        <f>IFERROR(VLOOKUP(C194,DG!A:F,6,0),3000)</f>
        <v>3000</v>
      </c>
      <c r="E194" s="1853" t="str">
        <f>IFERROR(VLOOKUP(C194,DG!A:C,3,0),"")</f>
        <v/>
      </c>
      <c r="F194" s="1850" t="e">
        <f>VLOOKUP(C194,DG!A:D,4,0)</f>
        <v>#N/A</v>
      </c>
      <c r="G194" s="1257"/>
      <c r="H194" s="1705">
        <f>IF(D194&lt;2000,COUNTIF($E$2:E194,E194),0)</f>
        <v>0</v>
      </c>
      <c r="I194" s="1711">
        <f t="shared" ref="I194:I257" si="3">IF(G194&gt;0,SUMIF(C:C,C194,G:G),0)</f>
        <v>0</v>
      </c>
    </row>
    <row r="195" spans="4:9" hidden="1">
      <c r="D195" s="1524">
        <f>IFERROR(VLOOKUP(C195,DG!A:F,6,0),3000)</f>
        <v>3000</v>
      </c>
      <c r="E195" s="1853" t="str">
        <f>IFERROR(VLOOKUP(C195,DG!A:C,3,0),"")</f>
        <v/>
      </c>
      <c r="F195" s="1850" t="e">
        <f>VLOOKUP(C195,DG!A:D,4,0)</f>
        <v>#N/A</v>
      </c>
      <c r="G195" s="1257"/>
      <c r="H195" s="1705">
        <f>IF(D195&lt;2000,COUNTIF($E$2:E195,E195),0)</f>
        <v>0</v>
      </c>
      <c r="I195" s="1711">
        <f t="shared" si="3"/>
        <v>0</v>
      </c>
    </row>
    <row r="196" spans="4:9" hidden="1">
      <c r="D196" s="1524">
        <f>IFERROR(VLOOKUP(C196,DG!A:F,6,0),3000)</f>
        <v>3000</v>
      </c>
      <c r="E196" s="1853" t="str">
        <f>IFERROR(VLOOKUP(C196,DG!A:C,3,0),"")</f>
        <v/>
      </c>
      <c r="F196" s="1850" t="e">
        <f>VLOOKUP(C196,DG!A:D,4,0)</f>
        <v>#N/A</v>
      </c>
      <c r="G196" s="1257"/>
      <c r="H196" s="1705">
        <f>IF(D196&lt;2000,COUNTIF($E$2:E196,E196),0)</f>
        <v>0</v>
      </c>
      <c r="I196" s="1711">
        <f t="shared" si="3"/>
        <v>0</v>
      </c>
    </row>
    <row r="197" spans="4:9" hidden="1">
      <c r="D197" s="1524">
        <f>IFERROR(VLOOKUP(C197,DG!A:F,6,0),3000)</f>
        <v>3000</v>
      </c>
      <c r="E197" s="1853" t="str">
        <f>IFERROR(VLOOKUP(C197,DG!A:C,3,0),"")</f>
        <v/>
      </c>
      <c r="F197" s="1850" t="e">
        <f>VLOOKUP(C197,DG!A:D,4,0)</f>
        <v>#N/A</v>
      </c>
      <c r="G197" s="1257"/>
      <c r="H197" s="1705">
        <f>IF(D197&lt;2000,COUNTIF($E$2:E197,E197),0)</f>
        <v>0</v>
      </c>
      <c r="I197" s="1711">
        <f t="shared" si="3"/>
        <v>0</v>
      </c>
    </row>
    <row r="198" spans="4:9" hidden="1">
      <c r="D198" s="1524">
        <f>IFERROR(VLOOKUP(C198,DG!A:F,6,0),3000)</f>
        <v>3000</v>
      </c>
      <c r="E198" s="1853" t="str">
        <f>IFERROR(VLOOKUP(C198,DG!A:C,3,0),"")</f>
        <v/>
      </c>
      <c r="F198" s="1850" t="e">
        <f>VLOOKUP(C198,DG!A:D,4,0)</f>
        <v>#N/A</v>
      </c>
      <c r="G198" s="1257"/>
      <c r="H198" s="1705">
        <f>IF(D198&lt;2000,COUNTIF($E$2:E198,E198),0)</f>
        <v>0</v>
      </c>
      <c r="I198" s="1711">
        <f t="shared" si="3"/>
        <v>0</v>
      </c>
    </row>
    <row r="199" spans="4:9" hidden="1">
      <c r="D199" s="1524">
        <f>IFERROR(VLOOKUP(C199,DG!A:F,6,0),3000)</f>
        <v>3000</v>
      </c>
      <c r="E199" s="1853" t="str">
        <f>IFERROR(VLOOKUP(C199,DG!A:C,3,0),"")</f>
        <v/>
      </c>
      <c r="F199" s="1850" t="e">
        <f>VLOOKUP(C199,DG!A:D,4,0)</f>
        <v>#N/A</v>
      </c>
      <c r="G199" s="1257"/>
      <c r="H199" s="1705">
        <f>IF(D199&lt;2000,COUNTIF($E$2:E199,E199),0)</f>
        <v>0</v>
      </c>
      <c r="I199" s="1711">
        <f t="shared" si="3"/>
        <v>0</v>
      </c>
    </row>
    <row r="200" spans="4:9" hidden="1">
      <c r="D200" s="1524">
        <f>IFERROR(VLOOKUP(C200,DG!A:F,6,0),3000)</f>
        <v>3000</v>
      </c>
      <c r="E200" s="1853" t="str">
        <f>IFERROR(VLOOKUP(C200,DG!A:C,3,0),"")</f>
        <v/>
      </c>
      <c r="F200" s="1850" t="e">
        <f>VLOOKUP(C200,DG!A:D,4,0)</f>
        <v>#N/A</v>
      </c>
      <c r="G200" s="1257"/>
      <c r="H200" s="1705">
        <f>IF(D200&lt;2000,COUNTIF($E$2:E200,E200),0)</f>
        <v>0</v>
      </c>
      <c r="I200" s="1711">
        <f t="shared" si="3"/>
        <v>0</v>
      </c>
    </row>
    <row r="201" spans="4:9" hidden="1">
      <c r="D201" s="1524">
        <f>IFERROR(VLOOKUP(C201,DG!A:F,6,0),3000)</f>
        <v>3000</v>
      </c>
      <c r="E201" s="1853" t="str">
        <f>IFERROR(VLOOKUP(C201,DG!A:C,3,0),"")</f>
        <v/>
      </c>
      <c r="F201" s="1850" t="e">
        <f>VLOOKUP(C201,DG!A:D,4,0)</f>
        <v>#N/A</v>
      </c>
      <c r="G201" s="1257"/>
      <c r="H201" s="1705">
        <f>IF(D201&lt;2000,COUNTIF($E$2:E201,E201),0)</f>
        <v>0</v>
      </c>
      <c r="I201" s="1711">
        <f t="shared" si="3"/>
        <v>0</v>
      </c>
    </row>
    <row r="202" spans="4:9" hidden="1">
      <c r="D202" s="1524">
        <f>IFERROR(VLOOKUP(C202,DG!A:F,6,0),3000)</f>
        <v>3000</v>
      </c>
      <c r="E202" s="1853" t="str">
        <f>IFERROR(VLOOKUP(C202,DG!A:C,3,0),"")</f>
        <v/>
      </c>
      <c r="F202" s="1850" t="e">
        <f>VLOOKUP(C202,DG!A:D,4,0)</f>
        <v>#N/A</v>
      </c>
      <c r="G202" s="1257"/>
      <c r="H202" s="1705">
        <f>IF(D202&lt;2000,COUNTIF($E$2:E202,E202),0)</f>
        <v>0</v>
      </c>
      <c r="I202" s="1711">
        <f t="shared" si="3"/>
        <v>0</v>
      </c>
    </row>
    <row r="203" spans="4:9" hidden="1">
      <c r="D203" s="1524">
        <f>IFERROR(VLOOKUP(C203,DG!A:F,6,0),3000)</f>
        <v>3000</v>
      </c>
      <c r="E203" s="1853" t="str">
        <f>IFERROR(VLOOKUP(C203,DG!A:C,3,0),"")</f>
        <v/>
      </c>
      <c r="F203" s="1850" t="e">
        <f>VLOOKUP(C203,DG!A:D,4,0)</f>
        <v>#N/A</v>
      </c>
      <c r="G203" s="1257"/>
      <c r="H203" s="1705">
        <f>IF(D203&lt;2000,COUNTIF($E$2:E203,E203),0)</f>
        <v>0</v>
      </c>
      <c r="I203" s="1711">
        <f t="shared" si="3"/>
        <v>0</v>
      </c>
    </row>
    <row r="204" spans="4:9" hidden="1">
      <c r="D204" s="1524">
        <f>IFERROR(VLOOKUP(C204,DG!A:F,6,0),3000)</f>
        <v>3000</v>
      </c>
      <c r="E204" s="1853" t="str">
        <f>IFERROR(VLOOKUP(C204,DG!A:C,3,0),"")</f>
        <v/>
      </c>
      <c r="F204" s="1850" t="e">
        <f>VLOOKUP(C204,DG!A:D,4,0)</f>
        <v>#N/A</v>
      </c>
      <c r="G204" s="1257"/>
      <c r="H204" s="1705">
        <f>IF(D204&lt;2000,COUNTIF($E$2:E204,E204),0)</f>
        <v>0</v>
      </c>
      <c r="I204" s="1711">
        <f t="shared" si="3"/>
        <v>0</v>
      </c>
    </row>
    <row r="205" spans="4:9" hidden="1">
      <c r="D205" s="1524">
        <f>IFERROR(VLOOKUP(C205,DG!A:F,6,0),3000)</f>
        <v>3000</v>
      </c>
      <c r="E205" s="1853" t="str">
        <f>IFERROR(VLOOKUP(C205,DG!A:C,3,0),"")</f>
        <v/>
      </c>
      <c r="F205" s="1850" t="e">
        <f>VLOOKUP(C205,DG!A:D,4,0)</f>
        <v>#N/A</v>
      </c>
      <c r="G205" s="1257"/>
      <c r="H205" s="1705">
        <f>IF(D205&lt;2000,COUNTIF($E$2:E205,E205),0)</f>
        <v>0</v>
      </c>
      <c r="I205" s="1711">
        <f t="shared" si="3"/>
        <v>0</v>
      </c>
    </row>
    <row r="206" spans="4:9" hidden="1">
      <c r="D206" s="1524">
        <f>IFERROR(VLOOKUP(C206,DG!A:F,6,0),3000)</f>
        <v>3000</v>
      </c>
      <c r="E206" s="1853" t="str">
        <f>IFERROR(VLOOKUP(C206,DG!A:C,3,0),"")</f>
        <v/>
      </c>
      <c r="F206" s="1850" t="e">
        <f>VLOOKUP(C206,DG!A:D,4,0)</f>
        <v>#N/A</v>
      </c>
      <c r="G206" s="1257"/>
      <c r="H206" s="1705">
        <f>IF(D206&lt;2000,COUNTIF($E$2:E206,E206),0)</f>
        <v>0</v>
      </c>
      <c r="I206" s="1711">
        <f t="shared" si="3"/>
        <v>0</v>
      </c>
    </row>
    <row r="207" spans="4:9" hidden="1">
      <c r="D207" s="1524">
        <f>IFERROR(VLOOKUP(C207,DG!A:F,6,0),3000)</f>
        <v>3000</v>
      </c>
      <c r="E207" s="1853" t="str">
        <f>IFERROR(VLOOKUP(C207,DG!A:C,3,0),"")</f>
        <v/>
      </c>
      <c r="F207" s="1850" t="e">
        <f>VLOOKUP(C207,DG!A:D,4,0)</f>
        <v>#N/A</v>
      </c>
      <c r="G207" s="1257"/>
      <c r="H207" s="1705">
        <f>IF(D207&lt;2000,COUNTIF($E$2:E207,E207),0)</f>
        <v>0</v>
      </c>
      <c r="I207" s="1711">
        <f t="shared" si="3"/>
        <v>0</v>
      </c>
    </row>
    <row r="208" spans="4:9" hidden="1">
      <c r="D208" s="1524">
        <f>IFERROR(VLOOKUP(C208,DG!A:F,6,0),3000)</f>
        <v>3000</v>
      </c>
      <c r="E208" s="1853" t="str">
        <f>IFERROR(VLOOKUP(C208,DG!A:C,3,0),"")</f>
        <v/>
      </c>
      <c r="F208" s="1850" t="e">
        <f>VLOOKUP(C208,DG!A:D,4,0)</f>
        <v>#N/A</v>
      </c>
      <c r="G208" s="1257"/>
      <c r="H208" s="1705">
        <f>IF(D208&lt;2000,COUNTIF($E$2:E208,E208),0)</f>
        <v>0</v>
      </c>
      <c r="I208" s="1711">
        <f t="shared" si="3"/>
        <v>0</v>
      </c>
    </row>
    <row r="209" spans="4:9" hidden="1">
      <c r="D209" s="1524">
        <f>IFERROR(VLOOKUP(C209,DG!A:F,6,0),3000)</f>
        <v>3000</v>
      </c>
      <c r="E209" s="1853" t="str">
        <f>IFERROR(VLOOKUP(C209,DG!A:C,3,0),"")</f>
        <v/>
      </c>
      <c r="F209" s="1850" t="e">
        <f>VLOOKUP(C209,DG!A:D,4,0)</f>
        <v>#N/A</v>
      </c>
      <c r="G209" s="1257"/>
      <c r="H209" s="1705">
        <f>IF(D209&lt;2000,COUNTIF($E$2:E209,E209),0)</f>
        <v>0</v>
      </c>
      <c r="I209" s="1711">
        <f t="shared" si="3"/>
        <v>0</v>
      </c>
    </row>
    <row r="210" spans="4:9" hidden="1">
      <c r="D210" s="1524">
        <f>IFERROR(VLOOKUP(C210,DG!A:F,6,0),3000)</f>
        <v>3000</v>
      </c>
      <c r="E210" s="1853" t="str">
        <f>IFERROR(VLOOKUP(C210,DG!A:C,3,0),"")</f>
        <v/>
      </c>
      <c r="F210" s="1850" t="e">
        <f>VLOOKUP(C210,DG!A:D,4,0)</f>
        <v>#N/A</v>
      </c>
      <c r="G210" s="1257"/>
      <c r="H210" s="1705">
        <f>IF(D210&lt;2000,COUNTIF($E$2:E210,E210),0)</f>
        <v>0</v>
      </c>
      <c r="I210" s="1711">
        <f t="shared" si="3"/>
        <v>0</v>
      </c>
    </row>
    <row r="211" spans="4:9" hidden="1">
      <c r="D211" s="1524">
        <f>IFERROR(VLOOKUP(C211,DG!A:F,6,0),3000)</f>
        <v>3000</v>
      </c>
      <c r="E211" s="1853" t="str">
        <f>IFERROR(VLOOKUP(C211,DG!A:C,3,0),"")</f>
        <v/>
      </c>
      <c r="F211" s="1850" t="e">
        <f>VLOOKUP(C211,DG!A:D,4,0)</f>
        <v>#N/A</v>
      </c>
      <c r="G211" s="1257"/>
      <c r="H211" s="1705">
        <f>IF(D211&lt;2000,COUNTIF($E$2:E211,E211),0)</f>
        <v>0</v>
      </c>
      <c r="I211" s="1711">
        <f t="shared" si="3"/>
        <v>0</v>
      </c>
    </row>
    <row r="212" spans="4:9" hidden="1">
      <c r="D212" s="1524">
        <f>IFERROR(VLOOKUP(C212,DG!A:F,6,0),3000)</f>
        <v>3000</v>
      </c>
      <c r="E212" s="1853" t="str">
        <f>IFERROR(VLOOKUP(C212,DG!A:C,3,0),"")</f>
        <v/>
      </c>
      <c r="F212" s="1850" t="e">
        <f>VLOOKUP(C212,DG!A:D,4,0)</f>
        <v>#N/A</v>
      </c>
      <c r="G212" s="1257"/>
      <c r="H212" s="1705">
        <f>IF(D212&lt;2000,COUNTIF($E$2:E212,E212),0)</f>
        <v>0</v>
      </c>
      <c r="I212" s="1711">
        <f t="shared" si="3"/>
        <v>0</v>
      </c>
    </row>
    <row r="213" spans="4:9" hidden="1">
      <c r="D213" s="1524">
        <f>IFERROR(VLOOKUP(C213,DG!A:F,6,0),3000)</f>
        <v>3000</v>
      </c>
      <c r="E213" s="1853" t="str">
        <f>IFERROR(VLOOKUP(C213,DG!A:C,3,0),"")</f>
        <v/>
      </c>
      <c r="F213" s="1850" t="e">
        <f>VLOOKUP(C213,DG!A:D,4,0)</f>
        <v>#N/A</v>
      </c>
      <c r="G213" s="1257"/>
      <c r="H213" s="1705">
        <f>IF(D213&lt;2000,COUNTIF($E$2:E213,E213),0)</f>
        <v>0</v>
      </c>
      <c r="I213" s="1711">
        <f t="shared" si="3"/>
        <v>0</v>
      </c>
    </row>
    <row r="214" spans="4:9" hidden="1">
      <c r="D214" s="1524">
        <f>IFERROR(VLOOKUP(C214,DG!A:F,6,0),3000)</f>
        <v>3000</v>
      </c>
      <c r="E214" s="1853" t="str">
        <f>IFERROR(VLOOKUP(C214,DG!A:C,3,0),"")</f>
        <v/>
      </c>
      <c r="F214" s="1850" t="e">
        <f>VLOOKUP(C214,DG!A:D,4,0)</f>
        <v>#N/A</v>
      </c>
      <c r="G214" s="1257"/>
      <c r="H214" s="1705">
        <f>IF(D214&lt;2000,COUNTIF($E$2:E214,E214),0)</f>
        <v>0</v>
      </c>
      <c r="I214" s="1711">
        <f t="shared" si="3"/>
        <v>0</v>
      </c>
    </row>
    <row r="215" spans="4:9" hidden="1">
      <c r="D215" s="1524">
        <f>IFERROR(VLOOKUP(C215,DG!A:F,6,0),3000)</f>
        <v>3000</v>
      </c>
      <c r="E215" s="1853" t="str">
        <f>IFERROR(VLOOKUP(C215,DG!A:C,3,0),"")</f>
        <v/>
      </c>
      <c r="F215" s="1850" t="e">
        <f>VLOOKUP(C215,DG!A:D,4,0)</f>
        <v>#N/A</v>
      </c>
      <c r="G215" s="1257"/>
      <c r="H215" s="1705">
        <f>IF(D215&lt;2000,COUNTIF($E$2:E215,E215),0)</f>
        <v>0</v>
      </c>
      <c r="I215" s="1711">
        <f t="shared" si="3"/>
        <v>0</v>
      </c>
    </row>
    <row r="216" spans="4:9" hidden="1">
      <c r="D216" s="1524">
        <f>IFERROR(VLOOKUP(C216,DG!A:F,6,0),3000)</f>
        <v>3000</v>
      </c>
      <c r="E216" s="1853" t="str">
        <f>IFERROR(VLOOKUP(C216,DG!A:C,3,0),"")</f>
        <v/>
      </c>
      <c r="F216" s="1850" t="e">
        <f>VLOOKUP(C216,DG!A:D,4,0)</f>
        <v>#N/A</v>
      </c>
      <c r="G216" s="1257"/>
      <c r="H216" s="1705">
        <f>IF(D216&lt;2000,COUNTIF($E$2:E216,E216),0)</f>
        <v>0</v>
      </c>
      <c r="I216" s="1711">
        <f t="shared" si="3"/>
        <v>0</v>
      </c>
    </row>
    <row r="217" spans="4:9" hidden="1">
      <c r="D217" s="1524">
        <f>IFERROR(VLOOKUP(C217,DG!A:F,6,0),3000)</f>
        <v>3000</v>
      </c>
      <c r="E217" s="1853" t="str">
        <f>IFERROR(VLOOKUP(C217,DG!A:C,3,0),"")</f>
        <v/>
      </c>
      <c r="F217" s="1850" t="e">
        <f>VLOOKUP(C217,DG!A:D,4,0)</f>
        <v>#N/A</v>
      </c>
      <c r="G217" s="1257"/>
      <c r="H217" s="1705">
        <f>IF(D217&lt;2000,COUNTIF($E$2:E217,E217),0)</f>
        <v>0</v>
      </c>
      <c r="I217" s="1711">
        <f t="shared" si="3"/>
        <v>0</v>
      </c>
    </row>
    <row r="218" spans="4:9" hidden="1">
      <c r="D218" s="1524">
        <f>IFERROR(VLOOKUP(C218,DG!A:F,6,0),3000)</f>
        <v>3000</v>
      </c>
      <c r="E218" s="1853" t="str">
        <f>IFERROR(VLOOKUP(C218,DG!A:C,3,0),"")</f>
        <v/>
      </c>
      <c r="F218" s="1850" t="e">
        <f>VLOOKUP(C218,DG!A:D,4,0)</f>
        <v>#N/A</v>
      </c>
      <c r="G218" s="1257"/>
      <c r="H218" s="1705">
        <f>IF(D218&lt;2000,COUNTIF($E$2:E218,E218),0)</f>
        <v>0</v>
      </c>
      <c r="I218" s="1711">
        <f t="shared" si="3"/>
        <v>0</v>
      </c>
    </row>
    <row r="219" spans="4:9" hidden="1">
      <c r="D219" s="1524">
        <f>IFERROR(VLOOKUP(C219,DG!A:F,6,0),3000)</f>
        <v>3000</v>
      </c>
      <c r="E219" s="1853" t="str">
        <f>IFERROR(VLOOKUP(C219,DG!A:C,3,0),"")</f>
        <v/>
      </c>
      <c r="F219" s="1850" t="e">
        <f>VLOOKUP(C219,DG!A:D,4,0)</f>
        <v>#N/A</v>
      </c>
      <c r="G219" s="1257"/>
      <c r="H219" s="1705">
        <f>IF(D219&lt;2000,COUNTIF($E$2:E219,E219),0)</f>
        <v>0</v>
      </c>
      <c r="I219" s="1711">
        <f t="shared" si="3"/>
        <v>0</v>
      </c>
    </row>
    <row r="220" spans="4:9" hidden="1">
      <c r="D220" s="1524">
        <f>IFERROR(VLOOKUP(C220,DG!A:F,6,0),3000)</f>
        <v>3000</v>
      </c>
      <c r="E220" s="1853" t="str">
        <f>IFERROR(VLOOKUP(C220,DG!A:C,3,0),"")</f>
        <v/>
      </c>
      <c r="F220" s="1850" t="e">
        <f>VLOOKUP(C220,DG!A:D,4,0)</f>
        <v>#N/A</v>
      </c>
      <c r="G220" s="1257"/>
      <c r="H220" s="1705">
        <f>IF(D220&lt;2000,COUNTIF($E$2:E220,E220),0)</f>
        <v>0</v>
      </c>
      <c r="I220" s="1711">
        <f t="shared" si="3"/>
        <v>0</v>
      </c>
    </row>
    <row r="221" spans="4:9" hidden="1">
      <c r="D221" s="1524">
        <f>IFERROR(VLOOKUP(C221,DG!A:F,6,0),3000)</f>
        <v>3000</v>
      </c>
      <c r="E221" s="1853" t="str">
        <f>IFERROR(VLOOKUP(C221,DG!A:C,3,0),"")</f>
        <v/>
      </c>
      <c r="F221" s="1850" t="e">
        <f>VLOOKUP(C221,DG!A:D,4,0)</f>
        <v>#N/A</v>
      </c>
      <c r="G221" s="1257"/>
      <c r="H221" s="1705">
        <f>IF(D221&lt;2000,COUNTIF($E$2:E221,E221),0)</f>
        <v>0</v>
      </c>
      <c r="I221" s="1711">
        <f t="shared" si="3"/>
        <v>0</v>
      </c>
    </row>
    <row r="222" spans="4:9" hidden="1">
      <c r="D222" s="1524">
        <f>IFERROR(VLOOKUP(C222,DG!A:F,6,0),3000)</f>
        <v>3000</v>
      </c>
      <c r="E222" s="1853" t="str">
        <f>IFERROR(VLOOKUP(C222,DG!A:C,3,0),"")</f>
        <v/>
      </c>
      <c r="F222" s="1850" t="e">
        <f>VLOOKUP(C222,DG!A:D,4,0)</f>
        <v>#N/A</v>
      </c>
      <c r="G222" s="1257"/>
      <c r="H222" s="1705">
        <f>IF(D222&lt;2000,COUNTIF($E$2:E222,E222),0)</f>
        <v>0</v>
      </c>
      <c r="I222" s="1711">
        <f t="shared" si="3"/>
        <v>0</v>
      </c>
    </row>
    <row r="223" spans="4:9" hidden="1">
      <c r="D223" s="1524">
        <f>IFERROR(VLOOKUP(C223,DG!A:F,6,0),3000)</f>
        <v>3000</v>
      </c>
      <c r="E223" s="1853" t="str">
        <f>IFERROR(VLOOKUP(C223,DG!A:C,3,0),"")</f>
        <v/>
      </c>
      <c r="F223" s="1850" t="e">
        <f>VLOOKUP(C223,DG!A:D,4,0)</f>
        <v>#N/A</v>
      </c>
      <c r="G223" s="1257"/>
      <c r="H223" s="1705">
        <f>IF(D223&lt;2000,COUNTIF($E$2:E223,E223),0)</f>
        <v>0</v>
      </c>
      <c r="I223" s="1711">
        <f t="shared" si="3"/>
        <v>0</v>
      </c>
    </row>
    <row r="224" spans="4:9" hidden="1">
      <c r="D224" s="1524">
        <f>IFERROR(VLOOKUP(C224,DG!A:F,6,0),3000)</f>
        <v>3000</v>
      </c>
      <c r="E224" s="1853" t="str">
        <f>IFERROR(VLOOKUP(C224,DG!A:C,3,0),"")</f>
        <v/>
      </c>
      <c r="F224" s="1850" t="e">
        <f>VLOOKUP(C224,DG!A:D,4,0)</f>
        <v>#N/A</v>
      </c>
      <c r="G224" s="1257"/>
      <c r="H224" s="1705">
        <f>IF(D224&lt;2000,COUNTIF($E$2:E224,E224),0)</f>
        <v>0</v>
      </c>
      <c r="I224" s="1711">
        <f t="shared" si="3"/>
        <v>0</v>
      </c>
    </row>
    <row r="225" spans="4:9" hidden="1">
      <c r="D225" s="1524">
        <f>IFERROR(VLOOKUP(C225,DG!A:F,6,0),3000)</f>
        <v>3000</v>
      </c>
      <c r="E225" s="1853" t="str">
        <f>IFERROR(VLOOKUP(C225,DG!A:C,3,0),"")</f>
        <v/>
      </c>
      <c r="F225" s="1850" t="e">
        <f>VLOOKUP(C225,DG!A:D,4,0)</f>
        <v>#N/A</v>
      </c>
      <c r="G225" s="1257"/>
      <c r="H225" s="1705">
        <f>IF(D225&lt;2000,COUNTIF($E$2:E225,E225),0)</f>
        <v>0</v>
      </c>
      <c r="I225" s="1711">
        <f t="shared" si="3"/>
        <v>0</v>
      </c>
    </row>
    <row r="226" spans="4:9" hidden="1">
      <c r="D226" s="1524">
        <f>IFERROR(VLOOKUP(C226,DG!A:F,6,0),3000)</f>
        <v>3000</v>
      </c>
      <c r="E226" s="1853" t="str">
        <f>IFERROR(VLOOKUP(C226,DG!A:C,3,0),"")</f>
        <v/>
      </c>
      <c r="F226" s="1850" t="e">
        <f>VLOOKUP(C226,DG!A:D,4,0)</f>
        <v>#N/A</v>
      </c>
      <c r="G226" s="1257"/>
      <c r="H226" s="1705">
        <f>IF(D226&lt;2000,COUNTIF($E$2:E226,E226),0)</f>
        <v>0</v>
      </c>
      <c r="I226" s="1711">
        <f t="shared" si="3"/>
        <v>0</v>
      </c>
    </row>
    <row r="227" spans="4:9" hidden="1">
      <c r="D227" s="1524">
        <f>IFERROR(VLOOKUP(C227,DG!A:F,6,0),3000)</f>
        <v>3000</v>
      </c>
      <c r="E227" s="1853" t="str">
        <f>IFERROR(VLOOKUP(C227,DG!A:C,3,0),"")</f>
        <v/>
      </c>
      <c r="F227" s="1850" t="e">
        <f>VLOOKUP(C227,DG!A:D,4,0)</f>
        <v>#N/A</v>
      </c>
      <c r="G227" s="1257"/>
      <c r="H227" s="1705">
        <f>IF(D227&lt;2000,COUNTIF($E$2:E227,E227),0)</f>
        <v>0</v>
      </c>
      <c r="I227" s="1711">
        <f t="shared" si="3"/>
        <v>0</v>
      </c>
    </row>
    <row r="228" spans="4:9" hidden="1">
      <c r="D228" s="1524">
        <f>IFERROR(VLOOKUP(C228,DG!A:F,6,0),3000)</f>
        <v>3000</v>
      </c>
      <c r="E228" s="1853" t="str">
        <f>IFERROR(VLOOKUP(C228,DG!A:C,3,0),"")</f>
        <v/>
      </c>
      <c r="F228" s="1850" t="e">
        <f>VLOOKUP(C228,DG!A:D,4,0)</f>
        <v>#N/A</v>
      </c>
      <c r="G228" s="1257"/>
      <c r="H228" s="1705">
        <f>IF(D228&lt;2000,COUNTIF($E$2:E228,E228),0)</f>
        <v>0</v>
      </c>
      <c r="I228" s="1711">
        <f t="shared" si="3"/>
        <v>0</v>
      </c>
    </row>
    <row r="229" spans="4:9" hidden="1">
      <c r="D229" s="1524">
        <f>IFERROR(VLOOKUP(C229,DG!A:F,6,0),3000)</f>
        <v>3000</v>
      </c>
      <c r="E229" s="1853" t="str">
        <f>IFERROR(VLOOKUP(C229,DG!A:C,3,0),"")</f>
        <v/>
      </c>
      <c r="F229" s="1850" t="e">
        <f>VLOOKUP(C229,DG!A:D,4,0)</f>
        <v>#N/A</v>
      </c>
      <c r="G229" s="1257"/>
      <c r="H229" s="1705">
        <f>IF(D229&lt;2000,COUNTIF($E$2:E229,E229),0)</f>
        <v>0</v>
      </c>
      <c r="I229" s="1711">
        <f t="shared" si="3"/>
        <v>0</v>
      </c>
    </row>
    <row r="230" spans="4:9" hidden="1">
      <c r="D230" s="1524">
        <f>IFERROR(VLOOKUP(C230,DG!A:F,6,0),3000)</f>
        <v>3000</v>
      </c>
      <c r="E230" s="1853" t="str">
        <f>IFERROR(VLOOKUP(C230,DG!A:C,3,0),"")</f>
        <v/>
      </c>
      <c r="F230" s="1850" t="e">
        <f>VLOOKUP(C230,DG!A:D,4,0)</f>
        <v>#N/A</v>
      </c>
      <c r="G230" s="1257"/>
      <c r="H230" s="1705">
        <f>IF(D230&lt;2000,COUNTIF($E$2:E230,E230),0)</f>
        <v>0</v>
      </c>
      <c r="I230" s="1711">
        <f t="shared" si="3"/>
        <v>0</v>
      </c>
    </row>
    <row r="231" spans="4:9" hidden="1">
      <c r="D231" s="1524">
        <f>IFERROR(VLOOKUP(C231,DG!A:F,6,0),3000)</f>
        <v>3000</v>
      </c>
      <c r="E231" s="1853" t="str">
        <f>IFERROR(VLOOKUP(C231,DG!A:C,3,0),"")</f>
        <v/>
      </c>
      <c r="F231" s="1850" t="e">
        <f>VLOOKUP(C231,DG!A:D,4,0)</f>
        <v>#N/A</v>
      </c>
      <c r="G231" s="1257"/>
      <c r="H231" s="1705">
        <f>IF(D231&lt;2000,COUNTIF($E$2:E231,E231),0)</f>
        <v>0</v>
      </c>
      <c r="I231" s="1711">
        <f t="shared" si="3"/>
        <v>0</v>
      </c>
    </row>
    <row r="232" spans="4:9" hidden="1">
      <c r="D232" s="1524">
        <f>IFERROR(VLOOKUP(C232,DG!A:F,6,0),3000)</f>
        <v>3000</v>
      </c>
      <c r="E232" s="1853" t="str">
        <f>IFERROR(VLOOKUP(C232,DG!A:C,3,0),"")</f>
        <v/>
      </c>
      <c r="F232" s="1850" t="e">
        <f>VLOOKUP(C232,DG!A:D,4,0)</f>
        <v>#N/A</v>
      </c>
      <c r="G232" s="1257"/>
      <c r="H232" s="1705">
        <f>IF(D232&lt;2000,COUNTIF($E$2:E232,E232),0)</f>
        <v>0</v>
      </c>
      <c r="I232" s="1711">
        <f t="shared" si="3"/>
        <v>0</v>
      </c>
    </row>
    <row r="233" spans="4:9" hidden="1">
      <c r="D233" s="1524">
        <f>IFERROR(VLOOKUP(C233,DG!A:F,6,0),3000)</f>
        <v>3000</v>
      </c>
      <c r="E233" s="1853" t="str">
        <f>IFERROR(VLOOKUP(C233,DG!A:C,3,0),"")</f>
        <v/>
      </c>
      <c r="F233" s="1850" t="e">
        <f>VLOOKUP(C233,DG!A:D,4,0)</f>
        <v>#N/A</v>
      </c>
      <c r="G233" s="1257"/>
      <c r="H233" s="1705">
        <f>IF(D233&lt;2000,COUNTIF($E$2:E233,E233),0)</f>
        <v>0</v>
      </c>
      <c r="I233" s="1711">
        <f t="shared" si="3"/>
        <v>0</v>
      </c>
    </row>
    <row r="234" spans="4:9" hidden="1">
      <c r="D234" s="1524">
        <f>IFERROR(VLOOKUP(C234,DG!A:F,6,0),3000)</f>
        <v>3000</v>
      </c>
      <c r="E234" s="1853" t="str">
        <f>IFERROR(VLOOKUP(C234,DG!A:C,3,0),"")</f>
        <v/>
      </c>
      <c r="F234" s="1850" t="e">
        <f>VLOOKUP(C234,DG!A:D,4,0)</f>
        <v>#N/A</v>
      </c>
      <c r="G234" s="1257"/>
      <c r="H234" s="1705">
        <f>IF(D234&lt;2000,COUNTIF($E$2:E234,E234),0)</f>
        <v>0</v>
      </c>
      <c r="I234" s="1711">
        <f t="shared" si="3"/>
        <v>0</v>
      </c>
    </row>
    <row r="235" spans="4:9" hidden="1">
      <c r="D235" s="1524">
        <f>IFERROR(VLOOKUP(C235,DG!A:F,6,0),3000)</f>
        <v>3000</v>
      </c>
      <c r="E235" s="1853" t="str">
        <f>IFERROR(VLOOKUP(C235,DG!A:C,3,0),"")</f>
        <v/>
      </c>
      <c r="F235" s="1850" t="e">
        <f>VLOOKUP(C235,DG!A:D,4,0)</f>
        <v>#N/A</v>
      </c>
      <c r="G235" s="1257"/>
      <c r="H235" s="1705">
        <f>IF(D235&lt;2000,COUNTIF($E$2:E235,E235),0)</f>
        <v>0</v>
      </c>
      <c r="I235" s="1711">
        <f t="shared" si="3"/>
        <v>0</v>
      </c>
    </row>
    <row r="236" spans="4:9" hidden="1">
      <c r="D236" s="1524">
        <f>IFERROR(VLOOKUP(C236,DG!A:F,6,0),3000)</f>
        <v>3000</v>
      </c>
      <c r="E236" s="1853" t="str">
        <f>IFERROR(VLOOKUP(C236,DG!A:C,3,0),"")</f>
        <v/>
      </c>
      <c r="F236" s="1850" t="e">
        <f>VLOOKUP(C236,DG!A:D,4,0)</f>
        <v>#N/A</v>
      </c>
      <c r="G236" s="1257"/>
      <c r="H236" s="1705">
        <f>IF(D236&lt;2000,COUNTIF($E$2:E236,E236),0)</f>
        <v>0</v>
      </c>
      <c r="I236" s="1711">
        <f t="shared" si="3"/>
        <v>0</v>
      </c>
    </row>
    <row r="237" spans="4:9" hidden="1">
      <c r="D237" s="1524">
        <f>IFERROR(VLOOKUP(C237,DG!A:F,6,0),3000)</f>
        <v>3000</v>
      </c>
      <c r="E237" s="1853" t="str">
        <f>IFERROR(VLOOKUP(C237,DG!A:C,3,0),"")</f>
        <v/>
      </c>
      <c r="F237" s="1850" t="e">
        <f>VLOOKUP(C237,DG!A:D,4,0)</f>
        <v>#N/A</v>
      </c>
      <c r="G237" s="1257"/>
      <c r="H237" s="1705">
        <f>IF(D237&lt;2000,COUNTIF($E$2:E237,E237),0)</f>
        <v>0</v>
      </c>
      <c r="I237" s="1711">
        <f t="shared" si="3"/>
        <v>0</v>
      </c>
    </row>
    <row r="238" spans="4:9" hidden="1">
      <c r="D238" s="1524">
        <f>IFERROR(VLOOKUP(C238,DG!A:F,6,0),3000)</f>
        <v>3000</v>
      </c>
      <c r="E238" s="1853" t="str">
        <f>IFERROR(VLOOKUP(C238,DG!A:C,3,0),"")</f>
        <v/>
      </c>
      <c r="F238" s="1850" t="e">
        <f>VLOOKUP(C238,DG!A:D,4,0)</f>
        <v>#N/A</v>
      </c>
      <c r="G238" s="1257"/>
      <c r="H238" s="1705">
        <f>IF(D238&lt;2000,COUNTIF($E$2:E238,E238),0)</f>
        <v>0</v>
      </c>
      <c r="I238" s="1711">
        <f t="shared" si="3"/>
        <v>0</v>
      </c>
    </row>
    <row r="239" spans="4:9" hidden="1">
      <c r="D239" s="1524">
        <f>IFERROR(VLOOKUP(C239,DG!A:F,6,0),3000)</f>
        <v>3000</v>
      </c>
      <c r="E239" s="1853" t="str">
        <f>IFERROR(VLOOKUP(C239,DG!A:C,3,0),"")</f>
        <v/>
      </c>
      <c r="F239" s="1850" t="e">
        <f>VLOOKUP(C239,DG!A:D,4,0)</f>
        <v>#N/A</v>
      </c>
      <c r="G239" s="1257"/>
      <c r="H239" s="1705">
        <f>IF(D239&lt;2000,COUNTIF($E$2:E239,E239),0)</f>
        <v>0</v>
      </c>
      <c r="I239" s="1711">
        <f t="shared" si="3"/>
        <v>0</v>
      </c>
    </row>
    <row r="240" spans="4:9" hidden="1">
      <c r="D240" s="1524">
        <f>IFERROR(VLOOKUP(C240,DG!A:F,6,0),3000)</f>
        <v>3000</v>
      </c>
      <c r="E240" s="1853" t="str">
        <f>IFERROR(VLOOKUP(C240,DG!A:C,3,0),"")</f>
        <v/>
      </c>
      <c r="F240" s="1850" t="e">
        <f>VLOOKUP(C240,DG!A:D,4,0)</f>
        <v>#N/A</v>
      </c>
      <c r="G240" s="1257"/>
      <c r="H240" s="1705">
        <f>IF(D240&lt;2000,COUNTIF($E$2:E240,E240),0)</f>
        <v>0</v>
      </c>
      <c r="I240" s="1711">
        <f t="shared" si="3"/>
        <v>0</v>
      </c>
    </row>
    <row r="241" spans="4:9" hidden="1">
      <c r="D241" s="1524">
        <f>IFERROR(VLOOKUP(C241,DG!A:F,6,0),3000)</f>
        <v>3000</v>
      </c>
      <c r="E241" s="1853" t="str">
        <f>IFERROR(VLOOKUP(C241,DG!A:C,3,0),"")</f>
        <v/>
      </c>
      <c r="F241" s="1850" t="e">
        <f>VLOOKUP(C241,DG!A:D,4,0)</f>
        <v>#N/A</v>
      </c>
      <c r="G241" s="1257"/>
      <c r="H241" s="1705">
        <f>IF(D241&lt;2000,COUNTIF($E$2:E241,E241),0)</f>
        <v>0</v>
      </c>
      <c r="I241" s="1711">
        <f t="shared" si="3"/>
        <v>0</v>
      </c>
    </row>
    <row r="242" spans="4:9" hidden="1">
      <c r="D242" s="1524">
        <f>IFERROR(VLOOKUP(C242,DG!A:F,6,0),3000)</f>
        <v>3000</v>
      </c>
      <c r="E242" s="1853" t="str">
        <f>IFERROR(VLOOKUP(C242,DG!A:C,3,0),"")</f>
        <v/>
      </c>
      <c r="F242" s="1850" t="e">
        <f>VLOOKUP(C242,DG!A:D,4,0)</f>
        <v>#N/A</v>
      </c>
      <c r="G242" s="1257"/>
      <c r="H242" s="1705">
        <f>IF(D242&lt;2000,COUNTIF($E$2:E242,E242),0)</f>
        <v>0</v>
      </c>
      <c r="I242" s="1711">
        <f t="shared" si="3"/>
        <v>0</v>
      </c>
    </row>
    <row r="243" spans="4:9" hidden="1">
      <c r="D243" s="1524">
        <f>IFERROR(VLOOKUP(C243,DG!A:F,6,0),3000)</f>
        <v>3000</v>
      </c>
      <c r="E243" s="1853" t="str">
        <f>IFERROR(VLOOKUP(C243,DG!A:C,3,0),"")</f>
        <v/>
      </c>
      <c r="F243" s="1850" t="e">
        <f>VLOOKUP(C243,DG!A:D,4,0)</f>
        <v>#N/A</v>
      </c>
      <c r="G243" s="1257"/>
      <c r="H243" s="1705">
        <f>IF(D243&lt;2000,COUNTIF($E$2:E243,E243),0)</f>
        <v>0</v>
      </c>
      <c r="I243" s="1711">
        <f t="shared" si="3"/>
        <v>0</v>
      </c>
    </row>
    <row r="244" spans="4:9" hidden="1">
      <c r="D244" s="1524">
        <f>IFERROR(VLOOKUP(C244,DG!A:F,6,0),3000)</f>
        <v>3000</v>
      </c>
      <c r="E244" s="1853" t="str">
        <f>IFERROR(VLOOKUP(C244,DG!A:C,3,0),"")</f>
        <v/>
      </c>
      <c r="F244" s="1850" t="e">
        <f>VLOOKUP(C244,DG!A:D,4,0)</f>
        <v>#N/A</v>
      </c>
      <c r="G244" s="1257"/>
      <c r="H244" s="1705">
        <f>IF(D244&lt;2000,COUNTIF($E$2:E244,E244),0)</f>
        <v>0</v>
      </c>
      <c r="I244" s="1711">
        <f t="shared" si="3"/>
        <v>0</v>
      </c>
    </row>
    <row r="245" spans="4:9" hidden="1">
      <c r="D245" s="1524">
        <f>IFERROR(VLOOKUP(C245,DG!A:F,6,0),3000)</f>
        <v>3000</v>
      </c>
      <c r="E245" s="1853" t="str">
        <f>IFERROR(VLOOKUP(C245,DG!A:C,3,0),"")</f>
        <v/>
      </c>
      <c r="F245" s="1850" t="e">
        <f>VLOOKUP(C245,DG!A:D,4,0)</f>
        <v>#N/A</v>
      </c>
      <c r="G245" s="1257"/>
      <c r="H245" s="1705">
        <f>IF(D245&lt;2000,COUNTIF($E$2:E245,E245),0)</f>
        <v>0</v>
      </c>
      <c r="I245" s="1711">
        <f t="shared" si="3"/>
        <v>0</v>
      </c>
    </row>
    <row r="246" spans="4:9" hidden="1">
      <c r="D246" s="1524">
        <f>IFERROR(VLOOKUP(C246,DG!A:F,6,0),3000)</f>
        <v>3000</v>
      </c>
      <c r="E246" s="1853" t="str">
        <f>IFERROR(VLOOKUP(C246,DG!A:C,3,0),"")</f>
        <v/>
      </c>
      <c r="F246" s="1850" t="e">
        <f>VLOOKUP(C246,DG!A:D,4,0)</f>
        <v>#N/A</v>
      </c>
      <c r="G246" s="1257"/>
      <c r="H246" s="1705">
        <f>IF(D246&lt;2000,COUNTIF($E$2:E246,E246),0)</f>
        <v>0</v>
      </c>
      <c r="I246" s="1711">
        <f t="shared" si="3"/>
        <v>0</v>
      </c>
    </row>
    <row r="247" spans="4:9" hidden="1">
      <c r="D247" s="1524">
        <f>IFERROR(VLOOKUP(C247,DG!A:F,6,0),3000)</f>
        <v>3000</v>
      </c>
      <c r="E247" s="1853" t="str">
        <f>IFERROR(VLOOKUP(C247,DG!A:C,3,0),"")</f>
        <v/>
      </c>
      <c r="F247" s="1850" t="e">
        <f>VLOOKUP(C247,DG!A:D,4,0)</f>
        <v>#N/A</v>
      </c>
      <c r="G247" s="1257"/>
      <c r="H247" s="1705">
        <f>IF(D247&lt;2000,COUNTIF($E$2:E247,E247),0)</f>
        <v>0</v>
      </c>
      <c r="I247" s="1711">
        <f t="shared" si="3"/>
        <v>0</v>
      </c>
    </row>
    <row r="248" spans="4:9" hidden="1">
      <c r="D248" s="1524">
        <f>IFERROR(VLOOKUP(C248,DG!A:F,6,0),3000)</f>
        <v>3000</v>
      </c>
      <c r="E248" s="1853" t="str">
        <f>IFERROR(VLOOKUP(C248,DG!A:C,3,0),"")</f>
        <v/>
      </c>
      <c r="F248" s="1850" t="e">
        <f>VLOOKUP(C248,DG!A:D,4,0)</f>
        <v>#N/A</v>
      </c>
      <c r="G248" s="1257"/>
      <c r="H248" s="1705">
        <f>IF(D248&lt;2000,COUNTIF($E$2:E248,E248),0)</f>
        <v>0</v>
      </c>
      <c r="I248" s="1711">
        <f t="shared" si="3"/>
        <v>0</v>
      </c>
    </row>
    <row r="249" spans="4:9" hidden="1">
      <c r="D249" s="1524">
        <f>IFERROR(VLOOKUP(C249,DG!A:F,6,0),3000)</f>
        <v>3000</v>
      </c>
      <c r="E249" s="1853" t="str">
        <f>IFERROR(VLOOKUP(C249,DG!A:C,3,0),"")</f>
        <v/>
      </c>
      <c r="F249" s="1850" t="e">
        <f>VLOOKUP(C249,DG!A:D,4,0)</f>
        <v>#N/A</v>
      </c>
      <c r="G249" s="1257"/>
      <c r="H249" s="1705">
        <f>IF(D249&lt;2000,COUNTIF($E$2:E249,E249),0)</f>
        <v>0</v>
      </c>
      <c r="I249" s="1711">
        <f t="shared" si="3"/>
        <v>0</v>
      </c>
    </row>
    <row r="250" spans="4:9" hidden="1">
      <c r="D250" s="1524">
        <f>IFERROR(VLOOKUP(C250,DG!A:F,6,0),3000)</f>
        <v>3000</v>
      </c>
      <c r="E250" s="1853" t="str">
        <f>IFERROR(VLOOKUP(C250,DG!A:C,3,0),"")</f>
        <v/>
      </c>
      <c r="F250" s="1850" t="e">
        <f>VLOOKUP(C250,DG!A:D,4,0)</f>
        <v>#N/A</v>
      </c>
      <c r="G250" s="1257"/>
      <c r="H250" s="1705">
        <f>IF(D250&lt;2000,COUNTIF($E$2:E250,E250),0)</f>
        <v>0</v>
      </c>
      <c r="I250" s="1711">
        <f t="shared" si="3"/>
        <v>0</v>
      </c>
    </row>
    <row r="251" spans="4:9" hidden="1">
      <c r="D251" s="1524">
        <f>IFERROR(VLOOKUP(C251,DG!A:F,6,0),3000)</f>
        <v>3000</v>
      </c>
      <c r="E251" s="1853" t="str">
        <f>IFERROR(VLOOKUP(C251,DG!A:C,3,0),"")</f>
        <v/>
      </c>
      <c r="F251" s="1850" t="e">
        <f>VLOOKUP(C251,DG!A:D,4,0)</f>
        <v>#N/A</v>
      </c>
      <c r="G251" s="1257"/>
      <c r="H251" s="1705">
        <f>IF(D251&lt;2000,COUNTIF($E$2:E251,E251),0)</f>
        <v>0</v>
      </c>
      <c r="I251" s="1711">
        <f t="shared" si="3"/>
        <v>0</v>
      </c>
    </row>
    <row r="252" spans="4:9" hidden="1">
      <c r="D252" s="1524">
        <f>IFERROR(VLOOKUP(C252,DG!A:F,6,0),3000)</f>
        <v>3000</v>
      </c>
      <c r="E252" s="1853" t="str">
        <f>IFERROR(VLOOKUP(C252,DG!A:C,3,0),"")</f>
        <v/>
      </c>
      <c r="F252" s="1850" t="e">
        <f>VLOOKUP(C252,DG!A:D,4,0)</f>
        <v>#N/A</v>
      </c>
      <c r="G252" s="1257"/>
      <c r="H252" s="1705">
        <f>IF(D252&lt;2000,COUNTIF($E$2:E252,E252),0)</f>
        <v>0</v>
      </c>
      <c r="I252" s="1711">
        <f t="shared" si="3"/>
        <v>0</v>
      </c>
    </row>
    <row r="253" spans="4:9" hidden="1">
      <c r="D253" s="1524">
        <f>IFERROR(VLOOKUP(C253,DG!A:F,6,0),3000)</f>
        <v>3000</v>
      </c>
      <c r="E253" s="1853" t="str">
        <f>IFERROR(VLOOKUP(C253,DG!A:C,3,0),"")</f>
        <v/>
      </c>
      <c r="F253" s="1850" t="e">
        <f>VLOOKUP(C253,DG!A:D,4,0)</f>
        <v>#N/A</v>
      </c>
      <c r="G253" s="1257"/>
      <c r="H253" s="1705">
        <f>IF(D253&lt;2000,COUNTIF($E$2:E253,E253),0)</f>
        <v>0</v>
      </c>
      <c r="I253" s="1711">
        <f t="shared" si="3"/>
        <v>0</v>
      </c>
    </row>
    <row r="254" spans="4:9" hidden="1">
      <c r="D254" s="1524">
        <f>IFERROR(VLOOKUP(C254,DG!A:F,6,0),3000)</f>
        <v>3000</v>
      </c>
      <c r="E254" s="1853" t="str">
        <f>IFERROR(VLOOKUP(C254,DG!A:C,3,0),"")</f>
        <v/>
      </c>
      <c r="F254" s="1850" t="e">
        <f>VLOOKUP(C254,DG!A:D,4,0)</f>
        <v>#N/A</v>
      </c>
      <c r="G254" s="1257"/>
      <c r="H254" s="1705">
        <f>IF(D254&lt;2000,COUNTIF($E$2:E254,E254),0)</f>
        <v>0</v>
      </c>
      <c r="I254" s="1711">
        <f t="shared" si="3"/>
        <v>0</v>
      </c>
    </row>
    <row r="255" spans="4:9" hidden="1">
      <c r="D255" s="1524">
        <f>IFERROR(VLOOKUP(C255,DG!A:F,6,0),3000)</f>
        <v>3000</v>
      </c>
      <c r="E255" s="1853" t="str">
        <f>IFERROR(VLOOKUP(C255,DG!A:C,3,0),"")</f>
        <v/>
      </c>
      <c r="F255" s="1850" t="e">
        <f>VLOOKUP(C255,DG!A:D,4,0)</f>
        <v>#N/A</v>
      </c>
      <c r="G255" s="1257"/>
      <c r="H255" s="1705">
        <f>IF(D255&lt;2000,COUNTIF($E$2:E255,E255),0)</f>
        <v>0</v>
      </c>
      <c r="I255" s="1711">
        <f t="shared" si="3"/>
        <v>0</v>
      </c>
    </row>
    <row r="256" spans="4:9" hidden="1">
      <c r="D256" s="1524">
        <f>IFERROR(VLOOKUP(C256,DG!A:F,6,0),3000)</f>
        <v>3000</v>
      </c>
      <c r="E256" s="1853" t="str">
        <f>IFERROR(VLOOKUP(C256,DG!A:C,3,0),"")</f>
        <v/>
      </c>
      <c r="F256" s="1850" t="e">
        <f>VLOOKUP(C256,DG!A:D,4,0)</f>
        <v>#N/A</v>
      </c>
      <c r="G256" s="1257"/>
      <c r="H256" s="1705">
        <f>IF(D256&lt;2000,COUNTIF($E$2:E256,E256),0)</f>
        <v>0</v>
      </c>
      <c r="I256" s="1711">
        <f t="shared" si="3"/>
        <v>0</v>
      </c>
    </row>
    <row r="257" spans="4:9" hidden="1">
      <c r="D257" s="1524">
        <f>IFERROR(VLOOKUP(C257,DG!A:F,6,0),3000)</f>
        <v>3000</v>
      </c>
      <c r="E257" s="1853" t="str">
        <f>IFERROR(VLOOKUP(C257,DG!A:C,3,0),"")</f>
        <v/>
      </c>
      <c r="F257" s="1850" t="e">
        <f>VLOOKUP(C257,DG!A:D,4,0)</f>
        <v>#N/A</v>
      </c>
      <c r="G257" s="1257"/>
      <c r="H257" s="1705">
        <f>IF(D257&lt;2000,COUNTIF($E$2:E257,E257),0)</f>
        <v>0</v>
      </c>
      <c r="I257" s="1711">
        <f t="shared" si="3"/>
        <v>0</v>
      </c>
    </row>
    <row r="258" spans="4:9" hidden="1">
      <c r="D258" s="1524">
        <f>IFERROR(VLOOKUP(C258,DG!A:F,6,0),3000)</f>
        <v>3000</v>
      </c>
      <c r="E258" s="1853" t="str">
        <f>IFERROR(VLOOKUP(C258,DG!A:C,3,0),"")</f>
        <v/>
      </c>
      <c r="F258" s="1850" t="e">
        <f>VLOOKUP(C258,DG!A:D,4,0)</f>
        <v>#N/A</v>
      </c>
      <c r="G258" s="1257"/>
      <c r="H258" s="1705">
        <f>IF(D258&lt;2000,COUNTIF($E$2:E258,E258),0)</f>
        <v>0</v>
      </c>
      <c r="I258" s="1711">
        <f t="shared" ref="I258:I321" si="4">IF(G258&gt;0,SUMIF(C:C,C258,G:G),0)</f>
        <v>0</v>
      </c>
    </row>
    <row r="259" spans="4:9" hidden="1">
      <c r="D259" s="1524">
        <f>IFERROR(VLOOKUP(C259,DG!A:F,6,0),3000)</f>
        <v>3000</v>
      </c>
      <c r="E259" s="1853" t="str">
        <f>IFERROR(VLOOKUP(C259,DG!A:C,3,0),"")</f>
        <v/>
      </c>
      <c r="F259" s="1850" t="e">
        <f>VLOOKUP(C259,DG!A:D,4,0)</f>
        <v>#N/A</v>
      </c>
      <c r="G259" s="1257"/>
      <c r="H259" s="1705">
        <f>IF(D259&lt;2000,COUNTIF($E$2:E259,E259),0)</f>
        <v>0</v>
      </c>
      <c r="I259" s="1711">
        <f t="shared" si="4"/>
        <v>0</v>
      </c>
    </row>
    <row r="260" spans="4:9" hidden="1">
      <c r="D260" s="1524">
        <f>IFERROR(VLOOKUP(C260,DG!A:F,6,0),3000)</f>
        <v>3000</v>
      </c>
      <c r="E260" s="1853" t="str">
        <f>IFERROR(VLOOKUP(C260,DG!A:C,3,0),"")</f>
        <v/>
      </c>
      <c r="F260" s="1850" t="e">
        <f>VLOOKUP(C260,DG!A:D,4,0)</f>
        <v>#N/A</v>
      </c>
      <c r="G260" s="1257"/>
      <c r="H260" s="1705">
        <f>IF(D260&lt;2000,COUNTIF($E$2:E260,E260),0)</f>
        <v>0</v>
      </c>
      <c r="I260" s="1711">
        <f t="shared" si="4"/>
        <v>0</v>
      </c>
    </row>
    <row r="261" spans="4:9" hidden="1">
      <c r="D261" s="1524">
        <f>IFERROR(VLOOKUP(C261,DG!A:F,6,0),3000)</f>
        <v>3000</v>
      </c>
      <c r="E261" s="1853" t="str">
        <f>IFERROR(VLOOKUP(C261,DG!A:C,3,0),"")</f>
        <v/>
      </c>
      <c r="F261" s="1850" t="e">
        <f>VLOOKUP(C261,DG!A:D,4,0)</f>
        <v>#N/A</v>
      </c>
      <c r="G261" s="1257"/>
      <c r="H261" s="1705">
        <f>IF(D261&lt;2000,COUNTIF($E$2:E261,E261),0)</f>
        <v>0</v>
      </c>
      <c r="I261" s="1711">
        <f t="shared" si="4"/>
        <v>0</v>
      </c>
    </row>
    <row r="262" spans="4:9" hidden="1">
      <c r="D262" s="1524">
        <f>IFERROR(VLOOKUP(C262,DG!A:F,6,0),3000)</f>
        <v>3000</v>
      </c>
      <c r="E262" s="1853" t="str">
        <f>IFERROR(VLOOKUP(C262,DG!A:C,3,0),"")</f>
        <v/>
      </c>
      <c r="F262" s="1850" t="e">
        <f>VLOOKUP(C262,DG!A:D,4,0)</f>
        <v>#N/A</v>
      </c>
      <c r="G262" s="1257"/>
      <c r="H262" s="1705">
        <f>IF(D262&lt;2000,COUNTIF($E$2:E262,E262),0)</f>
        <v>0</v>
      </c>
      <c r="I262" s="1711">
        <f t="shared" si="4"/>
        <v>0</v>
      </c>
    </row>
    <row r="263" spans="4:9" hidden="1">
      <c r="D263" s="1524">
        <f>IFERROR(VLOOKUP(C263,DG!A:F,6,0),3000)</f>
        <v>3000</v>
      </c>
      <c r="E263" s="1853" t="str">
        <f>IFERROR(VLOOKUP(C263,DG!A:C,3,0),"")</f>
        <v/>
      </c>
      <c r="F263" s="1850" t="e">
        <f>VLOOKUP(C263,DG!A:D,4,0)</f>
        <v>#N/A</v>
      </c>
      <c r="G263" s="1257"/>
      <c r="H263" s="1705">
        <f>IF(D263&lt;2000,COUNTIF($E$2:E263,E263),0)</f>
        <v>0</v>
      </c>
      <c r="I263" s="1711">
        <f t="shared" si="4"/>
        <v>0</v>
      </c>
    </row>
    <row r="264" spans="4:9" hidden="1">
      <c r="D264" s="1524">
        <f>IFERROR(VLOOKUP(C264,DG!A:F,6,0),3000)</f>
        <v>3000</v>
      </c>
      <c r="E264" s="1853" t="str">
        <f>IFERROR(VLOOKUP(C264,DG!A:C,3,0),"")</f>
        <v/>
      </c>
      <c r="F264" s="1850" t="e">
        <f>VLOOKUP(C264,DG!A:D,4,0)</f>
        <v>#N/A</v>
      </c>
      <c r="G264" s="1257"/>
      <c r="H264" s="1705">
        <f>IF(D264&lt;2000,COUNTIF($E$2:E264,E264),0)</f>
        <v>0</v>
      </c>
      <c r="I264" s="1711">
        <f t="shared" si="4"/>
        <v>0</v>
      </c>
    </row>
    <row r="265" spans="4:9" hidden="1">
      <c r="D265" s="1524">
        <f>IFERROR(VLOOKUP(C265,DG!A:F,6,0),3000)</f>
        <v>3000</v>
      </c>
      <c r="E265" s="1853" t="str">
        <f>IFERROR(VLOOKUP(C265,DG!A:C,3,0),"")</f>
        <v/>
      </c>
      <c r="F265" s="1850" t="e">
        <f>VLOOKUP(C265,DG!A:D,4,0)</f>
        <v>#N/A</v>
      </c>
      <c r="G265" s="1257"/>
      <c r="H265" s="1705">
        <f>IF(D265&lt;2000,COUNTIF($E$2:E265,E265),0)</f>
        <v>0</v>
      </c>
      <c r="I265" s="1711">
        <f t="shared" si="4"/>
        <v>0</v>
      </c>
    </row>
    <row r="266" spans="4:9" hidden="1">
      <c r="D266" s="1524">
        <f>IFERROR(VLOOKUP(C266,DG!A:F,6,0),3000)</f>
        <v>3000</v>
      </c>
      <c r="E266" s="1853" t="str">
        <f>IFERROR(VLOOKUP(C266,DG!A:C,3,0),"")</f>
        <v/>
      </c>
      <c r="F266" s="1850" t="e">
        <f>VLOOKUP(C266,DG!A:D,4,0)</f>
        <v>#N/A</v>
      </c>
      <c r="G266" s="1257"/>
      <c r="H266" s="1705">
        <f>IF(D266&lt;2000,COUNTIF($E$2:E266,E266),0)</f>
        <v>0</v>
      </c>
      <c r="I266" s="1711">
        <f t="shared" si="4"/>
        <v>0</v>
      </c>
    </row>
    <row r="267" spans="4:9" hidden="1">
      <c r="D267" s="1524">
        <f>IFERROR(VLOOKUP(C267,DG!A:F,6,0),3000)</f>
        <v>3000</v>
      </c>
      <c r="E267" s="1853" t="str">
        <f>IFERROR(VLOOKUP(C267,DG!A:C,3,0),"")</f>
        <v/>
      </c>
      <c r="F267" s="1850" t="e">
        <f>VLOOKUP(C267,DG!A:D,4,0)</f>
        <v>#N/A</v>
      </c>
      <c r="G267" s="1257"/>
      <c r="H267" s="1705">
        <f>IF(D267&lt;2000,COUNTIF($E$2:E267,E267),0)</f>
        <v>0</v>
      </c>
      <c r="I267" s="1711">
        <f t="shared" si="4"/>
        <v>0</v>
      </c>
    </row>
    <row r="268" spans="4:9" hidden="1">
      <c r="D268" s="1524">
        <f>IFERROR(VLOOKUP(C268,DG!A:F,6,0),3000)</f>
        <v>3000</v>
      </c>
      <c r="E268" s="1853" t="str">
        <f>IFERROR(VLOOKUP(C268,DG!A:C,3,0),"")</f>
        <v/>
      </c>
      <c r="F268" s="1850" t="e">
        <f>VLOOKUP(C268,DG!A:D,4,0)</f>
        <v>#N/A</v>
      </c>
      <c r="G268" s="1257"/>
      <c r="H268" s="1705">
        <f>IF(D268&lt;2000,COUNTIF($E$2:E268,E268),0)</f>
        <v>0</v>
      </c>
      <c r="I268" s="1711">
        <f t="shared" si="4"/>
        <v>0</v>
      </c>
    </row>
    <row r="269" spans="4:9" hidden="1">
      <c r="D269" s="1524">
        <f>IFERROR(VLOOKUP(C269,DG!A:F,6,0),3000)</f>
        <v>3000</v>
      </c>
      <c r="E269" s="1853" t="str">
        <f>IFERROR(VLOOKUP(C269,DG!A:C,3,0),"")</f>
        <v/>
      </c>
      <c r="F269" s="1850" t="e">
        <f>VLOOKUP(C269,DG!A:D,4,0)</f>
        <v>#N/A</v>
      </c>
      <c r="G269" s="1257"/>
      <c r="H269" s="1705">
        <f>IF(D269&lt;2000,COUNTIF($E$2:E269,E269),0)</f>
        <v>0</v>
      </c>
      <c r="I269" s="1711">
        <f t="shared" si="4"/>
        <v>0</v>
      </c>
    </row>
    <row r="270" spans="4:9" hidden="1">
      <c r="D270" s="1524">
        <f>IFERROR(VLOOKUP(C270,DG!A:F,6,0),3000)</f>
        <v>3000</v>
      </c>
      <c r="E270" s="1853" t="str">
        <f>IFERROR(VLOOKUP(C270,DG!A:C,3,0),"")</f>
        <v/>
      </c>
      <c r="F270" s="1850" t="e">
        <f>VLOOKUP(C270,DG!A:D,4,0)</f>
        <v>#N/A</v>
      </c>
      <c r="G270" s="1257"/>
      <c r="H270" s="1705">
        <f>IF(D270&lt;2000,COUNTIF($E$2:E270,E270),0)</f>
        <v>0</v>
      </c>
      <c r="I270" s="1711">
        <f t="shared" si="4"/>
        <v>0</v>
      </c>
    </row>
    <row r="271" spans="4:9" hidden="1">
      <c r="D271" s="1524">
        <f>IFERROR(VLOOKUP(C271,DG!A:F,6,0),3000)</f>
        <v>3000</v>
      </c>
      <c r="E271" s="1853" t="str">
        <f>IFERROR(VLOOKUP(C271,DG!A:C,3,0),"")</f>
        <v/>
      </c>
      <c r="F271" s="1850" t="e">
        <f>VLOOKUP(C271,DG!A:D,4,0)</f>
        <v>#N/A</v>
      </c>
      <c r="G271" s="1257"/>
      <c r="H271" s="1705">
        <f>IF(D271&lt;2000,COUNTIF($E$2:E271,E271),0)</f>
        <v>0</v>
      </c>
      <c r="I271" s="1711">
        <f t="shared" si="4"/>
        <v>0</v>
      </c>
    </row>
    <row r="272" spans="4:9" hidden="1">
      <c r="D272" s="1524">
        <f>IFERROR(VLOOKUP(C272,DG!A:F,6,0),3000)</f>
        <v>3000</v>
      </c>
      <c r="E272" s="1853" t="str">
        <f>IFERROR(VLOOKUP(C272,DG!A:C,3,0),"")</f>
        <v/>
      </c>
      <c r="F272" s="1850" t="e">
        <f>VLOOKUP(C272,DG!A:D,4,0)</f>
        <v>#N/A</v>
      </c>
      <c r="G272" s="1257"/>
      <c r="H272" s="1705">
        <f>IF(D272&lt;2000,COUNTIF($E$2:E272,E272),0)</f>
        <v>0</v>
      </c>
      <c r="I272" s="1711">
        <f t="shared" si="4"/>
        <v>0</v>
      </c>
    </row>
    <row r="273" spans="4:9" hidden="1">
      <c r="D273" s="1524">
        <f>IFERROR(VLOOKUP(C273,DG!A:F,6,0),3000)</f>
        <v>3000</v>
      </c>
      <c r="E273" s="1853" t="str">
        <f>IFERROR(VLOOKUP(C273,DG!A:C,3,0),"")</f>
        <v/>
      </c>
      <c r="F273" s="1850" t="e">
        <f>VLOOKUP(C273,DG!A:D,4,0)</f>
        <v>#N/A</v>
      </c>
      <c r="G273" s="1257"/>
      <c r="H273" s="1705">
        <f>IF(D273&lt;2000,COUNTIF($E$2:E273,E273),0)</f>
        <v>0</v>
      </c>
      <c r="I273" s="1711">
        <f t="shared" si="4"/>
        <v>0</v>
      </c>
    </row>
    <row r="274" spans="4:9" hidden="1">
      <c r="D274" s="1524">
        <f>IFERROR(VLOOKUP(C274,DG!A:F,6,0),3000)</f>
        <v>3000</v>
      </c>
      <c r="E274" s="1853" t="str">
        <f>IFERROR(VLOOKUP(C274,DG!A:C,3,0),"")</f>
        <v/>
      </c>
      <c r="F274" s="1850" t="e">
        <f>VLOOKUP(C274,DG!A:D,4,0)</f>
        <v>#N/A</v>
      </c>
      <c r="G274" s="1257"/>
      <c r="H274" s="1705">
        <f>IF(D274&lt;2000,COUNTIF($E$2:E274,E274),0)</f>
        <v>0</v>
      </c>
      <c r="I274" s="1711">
        <f t="shared" si="4"/>
        <v>0</v>
      </c>
    </row>
    <row r="275" spans="4:9" hidden="1">
      <c r="D275" s="1524">
        <f>IFERROR(VLOOKUP(C275,DG!A:F,6,0),3000)</f>
        <v>3000</v>
      </c>
      <c r="E275" s="1853" t="str">
        <f>IFERROR(VLOOKUP(C275,DG!A:C,3,0),"")</f>
        <v/>
      </c>
      <c r="F275" s="1850" t="e">
        <f>VLOOKUP(C275,DG!A:D,4,0)</f>
        <v>#N/A</v>
      </c>
      <c r="G275" s="1257"/>
      <c r="H275" s="1705">
        <f>IF(D275&lt;2000,COUNTIF($E$2:E275,E275),0)</f>
        <v>0</v>
      </c>
      <c r="I275" s="1711">
        <f t="shared" si="4"/>
        <v>0</v>
      </c>
    </row>
    <row r="276" spans="4:9" hidden="1">
      <c r="D276" s="1524">
        <f>IFERROR(VLOOKUP(C276,DG!A:F,6,0),3000)</f>
        <v>3000</v>
      </c>
      <c r="E276" s="1853" t="str">
        <f>IFERROR(VLOOKUP(C276,DG!A:C,3,0),"")</f>
        <v/>
      </c>
      <c r="F276" s="1850" t="e">
        <f>VLOOKUP(C276,DG!A:D,4,0)</f>
        <v>#N/A</v>
      </c>
      <c r="G276" s="1257"/>
      <c r="H276" s="1705">
        <f>IF(D276&lt;2000,COUNTIF($E$2:E276,E276),0)</f>
        <v>0</v>
      </c>
      <c r="I276" s="1711">
        <f t="shared" si="4"/>
        <v>0</v>
      </c>
    </row>
    <row r="277" spans="4:9" hidden="1">
      <c r="D277" s="1524">
        <f>IFERROR(VLOOKUP(C277,DG!A:F,6,0),3000)</f>
        <v>3000</v>
      </c>
      <c r="E277" s="1853" t="str">
        <f>IFERROR(VLOOKUP(C277,DG!A:C,3,0),"")</f>
        <v/>
      </c>
      <c r="F277" s="1850" t="e">
        <f>VLOOKUP(C277,DG!A:D,4,0)</f>
        <v>#N/A</v>
      </c>
      <c r="G277" s="1257"/>
      <c r="H277" s="1705">
        <f>IF(D277&lt;2000,COUNTIF($E$2:E277,E277),0)</f>
        <v>0</v>
      </c>
      <c r="I277" s="1711">
        <f t="shared" si="4"/>
        <v>0</v>
      </c>
    </row>
    <row r="278" spans="4:9" hidden="1">
      <c r="D278" s="1524">
        <f>IFERROR(VLOOKUP(C278,DG!A:F,6,0),3000)</f>
        <v>3000</v>
      </c>
      <c r="E278" s="1853" t="str">
        <f>IFERROR(VLOOKUP(C278,DG!A:C,3,0),"")</f>
        <v/>
      </c>
      <c r="F278" s="1850" t="e">
        <f>VLOOKUP(C278,DG!A:D,4,0)</f>
        <v>#N/A</v>
      </c>
      <c r="G278" s="1257"/>
      <c r="H278" s="1705">
        <f>IF(D278&lt;2000,COUNTIF($E$2:E278,E278),0)</f>
        <v>0</v>
      </c>
      <c r="I278" s="1711">
        <f t="shared" si="4"/>
        <v>0</v>
      </c>
    </row>
    <row r="279" spans="4:9" hidden="1">
      <c r="D279" s="1524">
        <f>IFERROR(VLOOKUP(C279,DG!A:F,6,0),3000)</f>
        <v>3000</v>
      </c>
      <c r="E279" s="1853" t="str">
        <f>IFERROR(VLOOKUP(C279,DG!A:C,3,0),"")</f>
        <v/>
      </c>
      <c r="F279" s="1850" t="e">
        <f>VLOOKUP(C279,DG!A:D,4,0)</f>
        <v>#N/A</v>
      </c>
      <c r="G279" s="1257"/>
      <c r="H279" s="1705">
        <f>IF(D279&lt;2000,COUNTIF($E$2:E279,E279),0)</f>
        <v>0</v>
      </c>
      <c r="I279" s="1711">
        <f t="shared" si="4"/>
        <v>0</v>
      </c>
    </row>
    <row r="280" spans="4:9" hidden="1">
      <c r="D280" s="1524">
        <f>IFERROR(VLOOKUP(C280,DG!A:F,6,0),3000)</f>
        <v>3000</v>
      </c>
      <c r="E280" s="1853" t="str">
        <f>IFERROR(VLOOKUP(C280,DG!A:C,3,0),"")</f>
        <v/>
      </c>
      <c r="F280" s="1850" t="e">
        <f>VLOOKUP(C280,DG!A:D,4,0)</f>
        <v>#N/A</v>
      </c>
      <c r="G280" s="1257"/>
      <c r="H280" s="1705">
        <f>IF(D280&lt;2000,COUNTIF($E$2:E280,E280),0)</f>
        <v>0</v>
      </c>
      <c r="I280" s="1711">
        <f t="shared" si="4"/>
        <v>0</v>
      </c>
    </row>
    <row r="281" spans="4:9" hidden="1">
      <c r="D281" s="1524">
        <f>IFERROR(VLOOKUP(C281,DG!A:F,6,0),3000)</f>
        <v>3000</v>
      </c>
      <c r="E281" s="1853" t="str">
        <f>IFERROR(VLOOKUP(C281,DG!A:C,3,0),"")</f>
        <v/>
      </c>
      <c r="F281" s="1850" t="e">
        <f>VLOOKUP(C281,DG!A:D,4,0)</f>
        <v>#N/A</v>
      </c>
      <c r="G281" s="1257"/>
      <c r="H281" s="1705">
        <f>IF(D281&lt;2000,COUNTIF($E$2:E281,E281),0)</f>
        <v>0</v>
      </c>
      <c r="I281" s="1711">
        <f t="shared" si="4"/>
        <v>0</v>
      </c>
    </row>
    <row r="282" spans="4:9" hidden="1">
      <c r="D282" s="1524">
        <f>IFERROR(VLOOKUP(C282,DG!A:F,6,0),3000)</f>
        <v>3000</v>
      </c>
      <c r="E282" s="1853" t="str">
        <f>IFERROR(VLOOKUP(C282,DG!A:C,3,0),"")</f>
        <v/>
      </c>
      <c r="F282" s="1850" t="e">
        <f>VLOOKUP(C282,DG!A:D,4,0)</f>
        <v>#N/A</v>
      </c>
      <c r="G282" s="1257"/>
      <c r="H282" s="1705">
        <f>IF(D282&lt;2000,COUNTIF($E$2:E282,E282),0)</f>
        <v>0</v>
      </c>
      <c r="I282" s="1711">
        <f t="shared" si="4"/>
        <v>0</v>
      </c>
    </row>
    <row r="283" spans="4:9" hidden="1">
      <c r="D283" s="1524">
        <f>IFERROR(VLOOKUP(C283,DG!A:F,6,0),3000)</f>
        <v>3000</v>
      </c>
      <c r="E283" s="1853" t="str">
        <f>IFERROR(VLOOKUP(C283,DG!A:C,3,0),"")</f>
        <v/>
      </c>
      <c r="F283" s="1850" t="e">
        <f>VLOOKUP(C283,DG!A:D,4,0)</f>
        <v>#N/A</v>
      </c>
      <c r="G283" s="1257"/>
      <c r="H283" s="1705">
        <f>IF(D283&lt;2000,COUNTIF($E$2:E283,E283),0)</f>
        <v>0</v>
      </c>
      <c r="I283" s="1711">
        <f t="shared" si="4"/>
        <v>0</v>
      </c>
    </row>
    <row r="284" spans="4:9" hidden="1">
      <c r="D284" s="1524">
        <f>IFERROR(VLOOKUP(C284,DG!A:F,6,0),3000)</f>
        <v>3000</v>
      </c>
      <c r="E284" s="1853" t="str">
        <f>IFERROR(VLOOKUP(C284,DG!A:C,3,0),"")</f>
        <v/>
      </c>
      <c r="F284" s="1850" t="e">
        <f>VLOOKUP(C284,DG!A:D,4,0)</f>
        <v>#N/A</v>
      </c>
      <c r="G284" s="1257"/>
      <c r="H284" s="1705">
        <f>IF(D284&lt;2000,COUNTIF($E$2:E284,E284),0)</f>
        <v>0</v>
      </c>
      <c r="I284" s="1711">
        <f t="shared" si="4"/>
        <v>0</v>
      </c>
    </row>
    <row r="285" spans="4:9" hidden="1">
      <c r="D285" s="1524">
        <f>IFERROR(VLOOKUP(C285,DG!A:F,6,0),3000)</f>
        <v>3000</v>
      </c>
      <c r="E285" s="1853" t="str">
        <f>IFERROR(VLOOKUP(C285,DG!A:C,3,0),"")</f>
        <v/>
      </c>
      <c r="F285" s="1850" t="e">
        <f>VLOOKUP(C285,DG!A:D,4,0)</f>
        <v>#N/A</v>
      </c>
      <c r="G285" s="1257"/>
      <c r="H285" s="1705">
        <f>IF(D285&lt;2000,COUNTIF($E$2:E285,E285),0)</f>
        <v>0</v>
      </c>
      <c r="I285" s="1711">
        <f t="shared" si="4"/>
        <v>0</v>
      </c>
    </row>
    <row r="286" spans="4:9" hidden="1">
      <c r="D286" s="1524">
        <f>IFERROR(VLOOKUP(C286,DG!A:F,6,0),3000)</f>
        <v>3000</v>
      </c>
      <c r="E286" s="1853" t="str">
        <f>IFERROR(VLOOKUP(C286,DG!A:C,3,0),"")</f>
        <v/>
      </c>
      <c r="F286" s="1850" t="e">
        <f>VLOOKUP(C286,DG!A:D,4,0)</f>
        <v>#N/A</v>
      </c>
      <c r="G286" s="1257"/>
      <c r="H286" s="1705">
        <f>IF(D286&lt;2000,COUNTIF($E$2:E286,E286),0)</f>
        <v>0</v>
      </c>
      <c r="I286" s="1711">
        <f t="shared" si="4"/>
        <v>0</v>
      </c>
    </row>
    <row r="287" spans="4:9" hidden="1">
      <c r="D287" s="1524">
        <f>IFERROR(VLOOKUP(C287,DG!A:F,6,0),3000)</f>
        <v>3000</v>
      </c>
      <c r="E287" s="1853" t="str">
        <f>IFERROR(VLOOKUP(C287,DG!A:C,3,0),"")</f>
        <v/>
      </c>
      <c r="F287" s="1850" t="e">
        <f>VLOOKUP(C287,DG!A:D,4,0)</f>
        <v>#N/A</v>
      </c>
      <c r="G287" s="1257"/>
      <c r="H287" s="1705">
        <f>IF(D287&lt;2000,COUNTIF($E$2:E287,E287),0)</f>
        <v>0</v>
      </c>
      <c r="I287" s="1711">
        <f t="shared" si="4"/>
        <v>0</v>
      </c>
    </row>
    <row r="288" spans="4:9" hidden="1">
      <c r="D288" s="1524">
        <f>IFERROR(VLOOKUP(C288,DG!A:F,6,0),3000)</f>
        <v>3000</v>
      </c>
      <c r="E288" s="1853" t="str">
        <f>IFERROR(VLOOKUP(C288,DG!A:C,3,0),"")</f>
        <v/>
      </c>
      <c r="F288" s="1850" t="e">
        <f>VLOOKUP(C288,DG!A:D,4,0)</f>
        <v>#N/A</v>
      </c>
      <c r="G288" s="1257"/>
      <c r="H288" s="1705">
        <f>IF(D288&lt;2000,COUNTIF($E$2:E288,E288),0)</f>
        <v>0</v>
      </c>
      <c r="I288" s="1711">
        <f t="shared" si="4"/>
        <v>0</v>
      </c>
    </row>
    <row r="289" spans="4:9" hidden="1">
      <c r="D289" s="1524">
        <f>IFERROR(VLOOKUP(C289,DG!A:F,6,0),3000)</f>
        <v>3000</v>
      </c>
      <c r="E289" s="1853" t="str">
        <f>IFERROR(VLOOKUP(C289,DG!A:C,3,0),"")</f>
        <v/>
      </c>
      <c r="F289" s="1850" t="e">
        <f>VLOOKUP(C289,DG!A:D,4,0)</f>
        <v>#N/A</v>
      </c>
      <c r="G289" s="1257"/>
      <c r="H289" s="1705">
        <f>IF(D289&lt;2000,COUNTIF($E$2:E289,E289),0)</f>
        <v>0</v>
      </c>
      <c r="I289" s="1711">
        <f t="shared" si="4"/>
        <v>0</v>
      </c>
    </row>
    <row r="290" spans="4:9" hidden="1">
      <c r="D290" s="1524">
        <f>IFERROR(VLOOKUP(C290,DG!A:F,6,0),3000)</f>
        <v>3000</v>
      </c>
      <c r="E290" s="1853" t="str">
        <f>IFERROR(VLOOKUP(C290,DG!A:C,3,0),"")</f>
        <v/>
      </c>
      <c r="F290" s="1850" t="e">
        <f>VLOOKUP(C290,DG!A:D,4,0)</f>
        <v>#N/A</v>
      </c>
      <c r="G290" s="1257"/>
      <c r="H290" s="1705">
        <f>IF(D290&lt;2000,COUNTIF($E$2:E290,E290),0)</f>
        <v>0</v>
      </c>
      <c r="I290" s="1711">
        <f t="shared" si="4"/>
        <v>0</v>
      </c>
    </row>
    <row r="291" spans="4:9" hidden="1">
      <c r="D291" s="1524">
        <f>IFERROR(VLOOKUP(C291,DG!A:F,6,0),3000)</f>
        <v>3000</v>
      </c>
      <c r="E291" s="1853" t="str">
        <f>IFERROR(VLOOKUP(C291,DG!A:C,3,0),"")</f>
        <v/>
      </c>
      <c r="F291" s="1850" t="e">
        <f>VLOOKUP(C291,DG!A:D,4,0)</f>
        <v>#N/A</v>
      </c>
      <c r="G291" s="1257"/>
      <c r="H291" s="1705">
        <f>IF(D291&lt;2000,COUNTIF($E$2:E291,E291),0)</f>
        <v>0</v>
      </c>
      <c r="I291" s="1711">
        <f t="shared" si="4"/>
        <v>0</v>
      </c>
    </row>
    <row r="292" spans="4:9" hidden="1">
      <c r="D292" s="1524">
        <f>IFERROR(VLOOKUP(C292,DG!A:F,6,0),3000)</f>
        <v>3000</v>
      </c>
      <c r="E292" s="1853" t="str">
        <f>IFERROR(VLOOKUP(C292,DG!A:C,3,0),"")</f>
        <v/>
      </c>
      <c r="F292" s="1850" t="e">
        <f>VLOOKUP(C292,DG!A:D,4,0)</f>
        <v>#N/A</v>
      </c>
      <c r="G292" s="1257"/>
      <c r="H292" s="1705">
        <f>IF(D292&lt;2000,COUNTIF($E$2:E292,E292),0)</f>
        <v>0</v>
      </c>
      <c r="I292" s="1711">
        <f t="shared" si="4"/>
        <v>0</v>
      </c>
    </row>
    <row r="293" spans="4:9" hidden="1">
      <c r="D293" s="1524">
        <f>IFERROR(VLOOKUP(C293,DG!A:F,6,0),3000)</f>
        <v>3000</v>
      </c>
      <c r="E293" s="1853" t="str">
        <f>IFERROR(VLOOKUP(C293,DG!A:C,3,0),"")</f>
        <v/>
      </c>
      <c r="F293" s="1850" t="e">
        <f>VLOOKUP(C293,DG!A:D,4,0)</f>
        <v>#N/A</v>
      </c>
      <c r="G293" s="1257"/>
      <c r="H293" s="1705">
        <f>IF(D293&lt;2000,COUNTIF($E$2:E293,E293),0)</f>
        <v>0</v>
      </c>
      <c r="I293" s="1711">
        <f t="shared" si="4"/>
        <v>0</v>
      </c>
    </row>
    <row r="294" spans="4:9" hidden="1">
      <c r="D294" s="1524">
        <f>IFERROR(VLOOKUP(C294,DG!A:F,6,0),3000)</f>
        <v>3000</v>
      </c>
      <c r="E294" s="1853" t="str">
        <f>IFERROR(VLOOKUP(C294,DG!A:C,3,0),"")</f>
        <v/>
      </c>
      <c r="F294" s="1850" t="e">
        <f>VLOOKUP(C294,DG!A:D,4,0)</f>
        <v>#N/A</v>
      </c>
      <c r="G294" s="1257"/>
      <c r="H294" s="1705">
        <f>IF(D294&lt;2000,COUNTIF($E$2:E294,E294),0)</f>
        <v>0</v>
      </c>
      <c r="I294" s="1711">
        <f t="shared" si="4"/>
        <v>0</v>
      </c>
    </row>
    <row r="295" spans="4:9" hidden="1">
      <c r="D295" s="1524">
        <f>IFERROR(VLOOKUP(C295,DG!A:F,6,0),3000)</f>
        <v>3000</v>
      </c>
      <c r="E295" s="1853" t="str">
        <f>IFERROR(VLOOKUP(C295,DG!A:C,3,0),"")</f>
        <v/>
      </c>
      <c r="F295" s="1850" t="e">
        <f>VLOOKUP(C295,DG!A:D,4,0)</f>
        <v>#N/A</v>
      </c>
      <c r="G295" s="1257"/>
      <c r="H295" s="1705">
        <f>IF(D295&lt;2000,COUNTIF($E$2:E295,E295),0)</f>
        <v>0</v>
      </c>
      <c r="I295" s="1711">
        <f t="shared" si="4"/>
        <v>0</v>
      </c>
    </row>
    <row r="296" spans="4:9" hidden="1">
      <c r="D296" s="1524">
        <f>IFERROR(VLOOKUP(C296,DG!A:F,6,0),3000)</f>
        <v>3000</v>
      </c>
      <c r="E296" s="1853" t="str">
        <f>IFERROR(VLOOKUP(C296,DG!A:C,3,0),"")</f>
        <v/>
      </c>
      <c r="F296" s="1850" t="e">
        <f>VLOOKUP(C296,DG!A:D,4,0)</f>
        <v>#N/A</v>
      </c>
      <c r="G296" s="1257"/>
      <c r="H296" s="1705">
        <f>IF(D296&lt;2000,COUNTIF($E$2:E296,E296),0)</f>
        <v>0</v>
      </c>
      <c r="I296" s="1711">
        <f t="shared" si="4"/>
        <v>0</v>
      </c>
    </row>
    <row r="297" spans="4:9" hidden="1">
      <c r="D297" s="1524">
        <f>IFERROR(VLOOKUP(C297,DG!A:F,6,0),3000)</f>
        <v>3000</v>
      </c>
      <c r="E297" s="1853" t="str">
        <f>IFERROR(VLOOKUP(C297,DG!A:C,3,0),"")</f>
        <v/>
      </c>
      <c r="F297" s="1850" t="e">
        <f>VLOOKUP(C297,DG!A:D,4,0)</f>
        <v>#N/A</v>
      </c>
      <c r="G297" s="1257"/>
      <c r="H297" s="1705">
        <f>IF(D297&lt;2000,COUNTIF($E$2:E297,E297),0)</f>
        <v>0</v>
      </c>
      <c r="I297" s="1711">
        <f t="shared" si="4"/>
        <v>0</v>
      </c>
    </row>
    <row r="298" spans="4:9" hidden="1">
      <c r="D298" s="1524">
        <f>IFERROR(VLOOKUP(C298,DG!A:F,6,0),3000)</f>
        <v>3000</v>
      </c>
      <c r="E298" s="1853" t="str">
        <f>IFERROR(VLOOKUP(C298,DG!A:C,3,0),"")</f>
        <v/>
      </c>
      <c r="F298" s="1850" t="e">
        <f>VLOOKUP(C298,DG!A:D,4,0)</f>
        <v>#N/A</v>
      </c>
      <c r="G298" s="1257"/>
      <c r="H298" s="1705">
        <f>IF(D298&lt;2000,COUNTIF($E$2:E298,E298),0)</f>
        <v>0</v>
      </c>
      <c r="I298" s="1711">
        <f t="shared" si="4"/>
        <v>0</v>
      </c>
    </row>
    <row r="299" spans="4:9" hidden="1">
      <c r="D299" s="1524">
        <f>IFERROR(VLOOKUP(C299,DG!A:F,6,0),3000)</f>
        <v>3000</v>
      </c>
      <c r="E299" s="1853" t="str">
        <f>IFERROR(VLOOKUP(C299,DG!A:C,3,0),"")</f>
        <v/>
      </c>
      <c r="F299" s="1850" t="e">
        <f>VLOOKUP(C299,DG!A:D,4,0)</f>
        <v>#N/A</v>
      </c>
      <c r="G299" s="1257"/>
      <c r="H299" s="1705">
        <f>IF(D299&lt;2000,COUNTIF($E$2:E299,E299),0)</f>
        <v>0</v>
      </c>
      <c r="I299" s="1711">
        <f t="shared" si="4"/>
        <v>0</v>
      </c>
    </row>
    <row r="300" spans="4:9" hidden="1">
      <c r="D300" s="1524">
        <f>IFERROR(VLOOKUP(C300,DG!A:F,6,0),3000)</f>
        <v>3000</v>
      </c>
      <c r="E300" s="1853" t="str">
        <f>IFERROR(VLOOKUP(C300,DG!A:C,3,0),"")</f>
        <v/>
      </c>
      <c r="F300" s="1850" t="e">
        <f>VLOOKUP(C300,DG!A:D,4,0)</f>
        <v>#N/A</v>
      </c>
      <c r="G300" s="1257"/>
      <c r="H300" s="1705">
        <f>IF(D300&lt;2000,COUNTIF($E$2:E300,E300),0)</f>
        <v>0</v>
      </c>
      <c r="I300" s="1711">
        <f t="shared" si="4"/>
        <v>0</v>
      </c>
    </row>
    <row r="301" spans="4:9" hidden="1">
      <c r="D301" s="1524">
        <f>IFERROR(VLOOKUP(C301,DG!A:F,6,0),3000)</f>
        <v>3000</v>
      </c>
      <c r="E301" s="1853" t="str">
        <f>IFERROR(VLOOKUP(C301,DG!A:C,3,0),"")</f>
        <v/>
      </c>
      <c r="F301" s="1850" t="e">
        <f>VLOOKUP(C301,DG!A:D,4,0)</f>
        <v>#N/A</v>
      </c>
      <c r="G301" s="1257"/>
      <c r="H301" s="1705">
        <f>IF(D301&lt;2000,COUNTIF($E$2:E301,E301),0)</f>
        <v>0</v>
      </c>
      <c r="I301" s="1711">
        <f t="shared" si="4"/>
        <v>0</v>
      </c>
    </row>
    <row r="302" spans="4:9" hidden="1">
      <c r="D302" s="1524">
        <f>IFERROR(VLOOKUP(C302,DG!A:F,6,0),3000)</f>
        <v>3000</v>
      </c>
      <c r="E302" s="1853" t="str">
        <f>IFERROR(VLOOKUP(C302,DG!A:C,3,0),"")</f>
        <v/>
      </c>
      <c r="F302" s="1850" t="e">
        <f>VLOOKUP(C302,DG!A:D,4,0)</f>
        <v>#N/A</v>
      </c>
      <c r="G302" s="1257"/>
      <c r="H302" s="1705">
        <f>IF(D302&lt;2000,COUNTIF($E$2:E302,E302),0)</f>
        <v>0</v>
      </c>
      <c r="I302" s="1711">
        <f t="shared" si="4"/>
        <v>0</v>
      </c>
    </row>
    <row r="303" spans="4:9" hidden="1">
      <c r="D303" s="1524">
        <f>IFERROR(VLOOKUP(C303,DG!A:F,6,0),3000)</f>
        <v>3000</v>
      </c>
      <c r="E303" s="1853" t="str">
        <f>IFERROR(VLOOKUP(C303,DG!A:C,3,0),"")</f>
        <v/>
      </c>
      <c r="F303" s="1850" t="e">
        <f>VLOOKUP(C303,DG!A:D,4,0)</f>
        <v>#N/A</v>
      </c>
      <c r="G303" s="1257"/>
      <c r="H303" s="1705">
        <f>IF(D303&lt;2000,COUNTIF($E$2:E303,E303),0)</f>
        <v>0</v>
      </c>
      <c r="I303" s="1711">
        <f t="shared" si="4"/>
        <v>0</v>
      </c>
    </row>
    <row r="304" spans="4:9" hidden="1">
      <c r="D304" s="1524">
        <f>IFERROR(VLOOKUP(C304,DG!A:F,6,0),3000)</f>
        <v>3000</v>
      </c>
      <c r="E304" s="1853" t="str">
        <f>IFERROR(VLOOKUP(C304,DG!A:C,3,0),"")</f>
        <v/>
      </c>
      <c r="F304" s="1850" t="e">
        <f>VLOOKUP(C304,DG!A:D,4,0)</f>
        <v>#N/A</v>
      </c>
      <c r="G304" s="1257"/>
      <c r="H304" s="1705">
        <f>IF(D304&lt;2000,COUNTIF($E$2:E304,E304),0)</f>
        <v>0</v>
      </c>
      <c r="I304" s="1711">
        <f t="shared" si="4"/>
        <v>0</v>
      </c>
    </row>
    <row r="305" spans="4:9" hidden="1">
      <c r="D305" s="1524">
        <f>IFERROR(VLOOKUP(C305,DG!A:F,6,0),3000)</f>
        <v>3000</v>
      </c>
      <c r="E305" s="1853" t="str">
        <f>IFERROR(VLOOKUP(C305,DG!A:C,3,0),"")</f>
        <v/>
      </c>
      <c r="F305" s="1850" t="e">
        <f>VLOOKUP(C305,DG!A:D,4,0)</f>
        <v>#N/A</v>
      </c>
      <c r="G305" s="1257"/>
      <c r="H305" s="1705">
        <f>IF(D305&lt;2000,COUNTIF($E$2:E305,E305),0)</f>
        <v>0</v>
      </c>
      <c r="I305" s="1711">
        <f t="shared" si="4"/>
        <v>0</v>
      </c>
    </row>
    <row r="306" spans="4:9" hidden="1">
      <c r="D306" s="1524">
        <f>IFERROR(VLOOKUP(C306,DG!A:F,6,0),3000)</f>
        <v>3000</v>
      </c>
      <c r="E306" s="1853" t="str">
        <f>IFERROR(VLOOKUP(C306,DG!A:C,3,0),"")</f>
        <v/>
      </c>
      <c r="F306" s="1850" t="e">
        <f>VLOOKUP(C306,DG!A:D,4,0)</f>
        <v>#N/A</v>
      </c>
      <c r="G306" s="1257"/>
      <c r="H306" s="1705">
        <f>IF(D306&lt;2000,COUNTIF($E$2:E306,E306),0)</f>
        <v>0</v>
      </c>
      <c r="I306" s="1711">
        <f t="shared" si="4"/>
        <v>0</v>
      </c>
    </row>
    <row r="307" spans="4:9" hidden="1">
      <c r="D307" s="1524">
        <f>IFERROR(VLOOKUP(C307,DG!A:F,6,0),3000)</f>
        <v>3000</v>
      </c>
      <c r="E307" s="1853" t="str">
        <f>IFERROR(VLOOKUP(C307,DG!A:C,3,0),"")</f>
        <v/>
      </c>
      <c r="F307" s="1850" t="e">
        <f>VLOOKUP(C307,DG!A:D,4,0)</f>
        <v>#N/A</v>
      </c>
      <c r="G307" s="1257"/>
      <c r="H307" s="1705">
        <f>IF(D307&lt;2000,COUNTIF($E$2:E307,E307),0)</f>
        <v>0</v>
      </c>
      <c r="I307" s="1711">
        <f t="shared" si="4"/>
        <v>0</v>
      </c>
    </row>
    <row r="308" spans="4:9" hidden="1">
      <c r="D308" s="1524">
        <f>IFERROR(VLOOKUP(C308,DG!A:F,6,0),3000)</f>
        <v>3000</v>
      </c>
      <c r="E308" s="1853" t="str">
        <f>IFERROR(VLOOKUP(C308,DG!A:C,3,0),"")</f>
        <v/>
      </c>
      <c r="F308" s="1850" t="e">
        <f>VLOOKUP(C308,DG!A:D,4,0)</f>
        <v>#N/A</v>
      </c>
      <c r="G308" s="1257"/>
      <c r="H308" s="1705">
        <f>IF(D308&lt;2000,COUNTIF($E$2:E308,E308),0)</f>
        <v>0</v>
      </c>
      <c r="I308" s="1711">
        <f t="shared" si="4"/>
        <v>0</v>
      </c>
    </row>
    <row r="309" spans="4:9" hidden="1">
      <c r="D309" s="1524">
        <f>IFERROR(VLOOKUP(C309,DG!A:F,6,0),3000)</f>
        <v>3000</v>
      </c>
      <c r="E309" s="1853" t="str">
        <f>IFERROR(VLOOKUP(C309,DG!A:C,3,0),"")</f>
        <v/>
      </c>
      <c r="F309" s="1850" t="e">
        <f>VLOOKUP(C309,DG!A:D,4,0)</f>
        <v>#N/A</v>
      </c>
      <c r="G309" s="1257"/>
      <c r="H309" s="1705">
        <f>IF(D309&lt;2000,COUNTIF($E$2:E309,E309),0)</f>
        <v>0</v>
      </c>
      <c r="I309" s="1711">
        <f t="shared" si="4"/>
        <v>0</v>
      </c>
    </row>
    <row r="310" spans="4:9" hidden="1">
      <c r="D310" s="1524">
        <f>IFERROR(VLOOKUP(C310,DG!A:F,6,0),3000)</f>
        <v>3000</v>
      </c>
      <c r="E310" s="1853" t="str">
        <f>IFERROR(VLOOKUP(C310,DG!A:C,3,0),"")</f>
        <v/>
      </c>
      <c r="F310" s="1850" t="e">
        <f>VLOOKUP(C310,DG!A:D,4,0)</f>
        <v>#N/A</v>
      </c>
      <c r="G310" s="1257"/>
      <c r="H310" s="1705">
        <f>IF(D310&lt;2000,COUNTIF($E$2:E310,E310),0)</f>
        <v>0</v>
      </c>
      <c r="I310" s="1711">
        <f t="shared" si="4"/>
        <v>0</v>
      </c>
    </row>
    <row r="311" spans="4:9" hidden="1">
      <c r="D311" s="1524">
        <f>IFERROR(VLOOKUP(C311,DG!A:F,6,0),3000)</f>
        <v>3000</v>
      </c>
      <c r="E311" s="1853" t="str">
        <f>IFERROR(VLOOKUP(C311,DG!A:C,3,0),"")</f>
        <v/>
      </c>
      <c r="F311" s="1850" t="e">
        <f>VLOOKUP(C311,DG!A:D,4,0)</f>
        <v>#N/A</v>
      </c>
      <c r="G311" s="1257"/>
      <c r="H311" s="1705">
        <f>IF(D311&lt;2000,COUNTIF($E$2:E311,E311),0)</f>
        <v>0</v>
      </c>
      <c r="I311" s="1711">
        <f t="shared" si="4"/>
        <v>0</v>
      </c>
    </row>
    <row r="312" spans="4:9" hidden="1">
      <c r="D312" s="1524">
        <f>IFERROR(VLOOKUP(C312,DG!A:F,6,0),3000)</f>
        <v>3000</v>
      </c>
      <c r="E312" s="1853" t="str">
        <f>IFERROR(VLOOKUP(C312,DG!A:C,3,0),"")</f>
        <v/>
      </c>
      <c r="F312" s="1850" t="e">
        <f>VLOOKUP(C312,DG!A:D,4,0)</f>
        <v>#N/A</v>
      </c>
      <c r="G312" s="1257"/>
      <c r="H312" s="1705">
        <f>IF(D312&lt;2000,COUNTIF($E$2:E312,E312),0)</f>
        <v>0</v>
      </c>
      <c r="I312" s="1711">
        <f t="shared" si="4"/>
        <v>0</v>
      </c>
    </row>
    <row r="313" spans="4:9" hidden="1">
      <c r="D313" s="1524">
        <f>IFERROR(VLOOKUP(C313,DG!A:F,6,0),3000)</f>
        <v>3000</v>
      </c>
      <c r="E313" s="1853" t="str">
        <f>IFERROR(VLOOKUP(C313,DG!A:C,3,0),"")</f>
        <v/>
      </c>
      <c r="F313" s="1850" t="e">
        <f>VLOOKUP(C313,DG!A:D,4,0)</f>
        <v>#N/A</v>
      </c>
      <c r="G313" s="1257"/>
      <c r="H313" s="1705">
        <f>IF(D313&lt;2000,COUNTIF($E$2:E313,E313),0)</f>
        <v>0</v>
      </c>
      <c r="I313" s="1711">
        <f t="shared" si="4"/>
        <v>0</v>
      </c>
    </row>
    <row r="314" spans="4:9" hidden="1">
      <c r="D314" s="1524">
        <f>IFERROR(VLOOKUP(C314,DG!A:F,6,0),3000)</f>
        <v>3000</v>
      </c>
      <c r="E314" s="1853" t="str">
        <f>IFERROR(VLOOKUP(C314,DG!A:C,3,0),"")</f>
        <v/>
      </c>
      <c r="F314" s="1850" t="e">
        <f>VLOOKUP(C314,DG!A:D,4,0)</f>
        <v>#N/A</v>
      </c>
      <c r="G314" s="1257"/>
      <c r="H314" s="1705">
        <f>IF(D314&lt;2000,COUNTIF($E$2:E314,E314),0)</f>
        <v>0</v>
      </c>
      <c r="I314" s="1711">
        <f t="shared" si="4"/>
        <v>0</v>
      </c>
    </row>
    <row r="315" spans="4:9" hidden="1">
      <c r="D315" s="1524">
        <f>IFERROR(VLOOKUP(C315,DG!A:F,6,0),3000)</f>
        <v>3000</v>
      </c>
      <c r="E315" s="1853" t="str">
        <f>IFERROR(VLOOKUP(C315,DG!A:C,3,0),"")</f>
        <v/>
      </c>
      <c r="F315" s="1850" t="e">
        <f>VLOOKUP(C315,DG!A:D,4,0)</f>
        <v>#N/A</v>
      </c>
      <c r="G315" s="1257"/>
      <c r="H315" s="1705">
        <f>IF(D315&lt;2000,COUNTIF($E$2:E315,E315),0)</f>
        <v>0</v>
      </c>
      <c r="I315" s="1711">
        <f t="shared" si="4"/>
        <v>0</v>
      </c>
    </row>
    <row r="316" spans="4:9" hidden="1">
      <c r="D316" s="1524">
        <f>IFERROR(VLOOKUP(C316,DG!A:F,6,0),3000)</f>
        <v>3000</v>
      </c>
      <c r="E316" s="1853" t="str">
        <f>IFERROR(VLOOKUP(C316,DG!A:C,3,0),"")</f>
        <v/>
      </c>
      <c r="F316" s="1850" t="e">
        <f>VLOOKUP(C316,DG!A:D,4,0)</f>
        <v>#N/A</v>
      </c>
      <c r="G316" s="1257"/>
      <c r="H316" s="1705">
        <f>IF(D316&lt;2000,COUNTIF($E$2:E316,E316),0)</f>
        <v>0</v>
      </c>
      <c r="I316" s="1711">
        <f t="shared" si="4"/>
        <v>0</v>
      </c>
    </row>
    <row r="317" spans="4:9" hidden="1">
      <c r="D317" s="1524">
        <f>IFERROR(VLOOKUP(C317,DG!A:F,6,0),3000)</f>
        <v>3000</v>
      </c>
      <c r="E317" s="1853" t="str">
        <f>IFERROR(VLOOKUP(C317,DG!A:C,3,0),"")</f>
        <v/>
      </c>
      <c r="F317" s="1850" t="e">
        <f>VLOOKUP(C317,DG!A:D,4,0)</f>
        <v>#N/A</v>
      </c>
      <c r="G317" s="1257"/>
      <c r="H317" s="1705">
        <f>IF(D317&lt;2000,COUNTIF($E$2:E317,E317),0)</f>
        <v>0</v>
      </c>
      <c r="I317" s="1711">
        <f t="shared" si="4"/>
        <v>0</v>
      </c>
    </row>
    <row r="318" spans="4:9" hidden="1">
      <c r="D318" s="1524">
        <f>IFERROR(VLOOKUP(C318,DG!A:F,6,0),3000)</f>
        <v>3000</v>
      </c>
      <c r="E318" s="1853" t="str">
        <f>IFERROR(VLOOKUP(C318,DG!A:C,3,0),"")</f>
        <v/>
      </c>
      <c r="F318" s="1850" t="e">
        <f>VLOOKUP(C318,DG!A:D,4,0)</f>
        <v>#N/A</v>
      </c>
      <c r="G318" s="1257"/>
      <c r="H318" s="1705">
        <f>IF(D318&lt;2000,COUNTIF($E$2:E318,E318),0)</f>
        <v>0</v>
      </c>
      <c r="I318" s="1711">
        <f t="shared" si="4"/>
        <v>0</v>
      </c>
    </row>
    <row r="319" spans="4:9" hidden="1">
      <c r="D319" s="1524">
        <f>IFERROR(VLOOKUP(C319,DG!A:F,6,0),3000)</f>
        <v>3000</v>
      </c>
      <c r="E319" s="1853" t="str">
        <f>IFERROR(VLOOKUP(C319,DG!A:C,3,0),"")</f>
        <v/>
      </c>
      <c r="F319" s="1850" t="e">
        <f>VLOOKUP(C319,DG!A:D,4,0)</f>
        <v>#N/A</v>
      </c>
      <c r="G319" s="1257"/>
      <c r="H319" s="1705">
        <f>IF(D319&lt;2000,COUNTIF($E$2:E319,E319),0)</f>
        <v>0</v>
      </c>
      <c r="I319" s="1711">
        <f t="shared" si="4"/>
        <v>0</v>
      </c>
    </row>
    <row r="320" spans="4:9" hidden="1">
      <c r="D320" s="1524">
        <f>IFERROR(VLOOKUP(C320,DG!A:F,6,0),3000)</f>
        <v>3000</v>
      </c>
      <c r="E320" s="1853" t="str">
        <f>IFERROR(VLOOKUP(C320,DG!A:C,3,0),"")</f>
        <v/>
      </c>
      <c r="F320" s="1850" t="e">
        <f>VLOOKUP(C320,DG!A:D,4,0)</f>
        <v>#N/A</v>
      </c>
      <c r="G320" s="1257"/>
      <c r="H320" s="1705">
        <f>IF(D320&lt;2000,COUNTIF($E$2:E320,E320),0)</f>
        <v>0</v>
      </c>
      <c r="I320" s="1711">
        <f t="shared" si="4"/>
        <v>0</v>
      </c>
    </row>
    <row r="321" spans="4:9" hidden="1">
      <c r="D321" s="1524">
        <f>IFERROR(VLOOKUP(C321,DG!A:F,6,0),3000)</f>
        <v>3000</v>
      </c>
      <c r="E321" s="1853" t="str">
        <f>IFERROR(VLOOKUP(C321,DG!A:C,3,0),"")</f>
        <v/>
      </c>
      <c r="F321" s="1850" t="e">
        <f>VLOOKUP(C321,DG!A:D,4,0)</f>
        <v>#N/A</v>
      </c>
      <c r="G321" s="1257"/>
      <c r="H321" s="1705">
        <f>IF(D321&lt;2000,COUNTIF($E$2:E321,E321),0)</f>
        <v>0</v>
      </c>
      <c r="I321" s="1711">
        <f t="shared" si="4"/>
        <v>0</v>
      </c>
    </row>
    <row r="322" spans="4:9" hidden="1">
      <c r="D322" s="1524">
        <f>IFERROR(VLOOKUP(C322,DG!A:F,6,0),3000)</f>
        <v>3000</v>
      </c>
      <c r="E322" s="1853" t="str">
        <f>IFERROR(VLOOKUP(C322,DG!A:C,3,0),"")</f>
        <v/>
      </c>
      <c r="F322" s="1850" t="e">
        <f>VLOOKUP(C322,DG!A:D,4,0)</f>
        <v>#N/A</v>
      </c>
      <c r="G322" s="1257"/>
      <c r="H322" s="1705">
        <f>IF(D322&lt;2000,COUNTIF($E$2:E322,E322),0)</f>
        <v>0</v>
      </c>
      <c r="I322" s="1711">
        <f t="shared" ref="I322:I385" si="5">IF(G322&gt;0,SUMIF(C:C,C322,G:G),0)</f>
        <v>0</v>
      </c>
    </row>
    <row r="323" spans="4:9" hidden="1">
      <c r="D323" s="1524">
        <f>IFERROR(VLOOKUP(C323,DG!A:F,6,0),3000)</f>
        <v>3000</v>
      </c>
      <c r="E323" s="1853" t="str">
        <f>IFERROR(VLOOKUP(C323,DG!A:C,3,0),"")</f>
        <v/>
      </c>
      <c r="F323" s="1850" t="e">
        <f>VLOOKUP(C323,DG!A:D,4,0)</f>
        <v>#N/A</v>
      </c>
      <c r="G323" s="1257"/>
      <c r="H323" s="1705">
        <f>IF(D323&lt;2000,COUNTIF($E$2:E323,E323),0)</f>
        <v>0</v>
      </c>
      <c r="I323" s="1711">
        <f t="shared" si="5"/>
        <v>0</v>
      </c>
    </row>
    <row r="324" spans="4:9" hidden="1">
      <c r="D324" s="1524">
        <f>IFERROR(VLOOKUP(C324,DG!A:F,6,0),3000)</f>
        <v>3000</v>
      </c>
      <c r="E324" s="1853" t="str">
        <f>IFERROR(VLOOKUP(C324,DG!A:C,3,0),"")</f>
        <v/>
      </c>
      <c r="F324" s="1850" t="e">
        <f>VLOOKUP(C324,DG!A:D,4,0)</f>
        <v>#N/A</v>
      </c>
      <c r="G324" s="1257"/>
      <c r="H324" s="1705">
        <f>IF(D324&lt;2000,COUNTIF($E$2:E324,E324),0)</f>
        <v>0</v>
      </c>
      <c r="I324" s="1711">
        <f t="shared" si="5"/>
        <v>0</v>
      </c>
    </row>
    <row r="325" spans="4:9" hidden="1">
      <c r="D325" s="1524">
        <f>IFERROR(VLOOKUP(C325,DG!A:F,6,0),3000)</f>
        <v>3000</v>
      </c>
      <c r="E325" s="1853" t="str">
        <f>IFERROR(VLOOKUP(C325,DG!A:C,3,0),"")</f>
        <v/>
      </c>
      <c r="F325" s="1850" t="e">
        <f>VLOOKUP(C325,DG!A:D,4,0)</f>
        <v>#N/A</v>
      </c>
      <c r="G325" s="1257"/>
      <c r="H325" s="1705">
        <f>IF(D325&lt;2000,COUNTIF($E$2:E325,E325),0)</f>
        <v>0</v>
      </c>
      <c r="I325" s="1711">
        <f t="shared" si="5"/>
        <v>0</v>
      </c>
    </row>
    <row r="326" spans="4:9" hidden="1">
      <c r="D326" s="1524">
        <f>IFERROR(VLOOKUP(C326,DG!A:F,6,0),3000)</f>
        <v>3000</v>
      </c>
      <c r="E326" s="1853" t="str">
        <f>IFERROR(VLOOKUP(C326,DG!A:C,3,0),"")</f>
        <v/>
      </c>
      <c r="F326" s="1850" t="e">
        <f>VLOOKUP(C326,DG!A:D,4,0)</f>
        <v>#N/A</v>
      </c>
      <c r="G326" s="1257"/>
      <c r="H326" s="1705">
        <f>IF(D326&lt;2000,COUNTIF($E$2:E326,E326),0)</f>
        <v>0</v>
      </c>
      <c r="I326" s="1711">
        <f t="shared" si="5"/>
        <v>0</v>
      </c>
    </row>
    <row r="327" spans="4:9" hidden="1">
      <c r="D327" s="1524">
        <f>IFERROR(VLOOKUP(C327,DG!A:F,6,0),3000)</f>
        <v>3000</v>
      </c>
      <c r="E327" s="1853" t="str">
        <f>IFERROR(VLOOKUP(C327,DG!A:C,3,0),"")</f>
        <v/>
      </c>
      <c r="F327" s="1850" t="e">
        <f>VLOOKUP(C327,DG!A:D,4,0)</f>
        <v>#N/A</v>
      </c>
      <c r="G327" s="1257"/>
      <c r="H327" s="1705">
        <f>IF(D327&lt;2000,COUNTIF($E$2:E327,E327),0)</f>
        <v>0</v>
      </c>
      <c r="I327" s="1711">
        <f t="shared" si="5"/>
        <v>0</v>
      </c>
    </row>
    <row r="328" spans="4:9" hidden="1">
      <c r="D328" s="1524">
        <f>IFERROR(VLOOKUP(C328,DG!A:F,6,0),3000)</f>
        <v>3000</v>
      </c>
      <c r="E328" s="1853" t="str">
        <f>IFERROR(VLOOKUP(C328,DG!A:C,3,0),"")</f>
        <v/>
      </c>
      <c r="F328" s="1850" t="e">
        <f>VLOOKUP(C328,DG!A:D,4,0)</f>
        <v>#N/A</v>
      </c>
      <c r="G328" s="1257"/>
      <c r="H328" s="1705">
        <f>IF(D328&lt;2000,COUNTIF($E$2:E328,E328),0)</f>
        <v>0</v>
      </c>
      <c r="I328" s="1711">
        <f t="shared" si="5"/>
        <v>0</v>
      </c>
    </row>
    <row r="329" spans="4:9" hidden="1">
      <c r="D329" s="1524">
        <f>IFERROR(VLOOKUP(C329,DG!A:F,6,0),3000)</f>
        <v>3000</v>
      </c>
      <c r="E329" s="1853" t="str">
        <f>IFERROR(VLOOKUP(C329,DG!A:C,3,0),"")</f>
        <v/>
      </c>
      <c r="F329" s="1850" t="e">
        <f>VLOOKUP(C329,DG!A:D,4,0)</f>
        <v>#N/A</v>
      </c>
      <c r="G329" s="1257"/>
      <c r="H329" s="1705">
        <f>IF(D329&lt;2000,COUNTIF($E$2:E329,E329),0)</f>
        <v>0</v>
      </c>
      <c r="I329" s="1711">
        <f t="shared" si="5"/>
        <v>0</v>
      </c>
    </row>
    <row r="330" spans="4:9" hidden="1">
      <c r="D330" s="1524">
        <f>IFERROR(VLOOKUP(C330,DG!A:F,6,0),3000)</f>
        <v>3000</v>
      </c>
      <c r="E330" s="1853" t="str">
        <f>IFERROR(VLOOKUP(C330,DG!A:C,3,0),"")</f>
        <v/>
      </c>
      <c r="F330" s="1850" t="e">
        <f>VLOOKUP(C330,DG!A:D,4,0)</f>
        <v>#N/A</v>
      </c>
      <c r="G330" s="1257"/>
      <c r="H330" s="1705">
        <f>IF(D330&lt;2000,COUNTIF($E$2:E330,E330),0)</f>
        <v>0</v>
      </c>
      <c r="I330" s="1711">
        <f t="shared" si="5"/>
        <v>0</v>
      </c>
    </row>
    <row r="331" spans="4:9" hidden="1">
      <c r="D331" s="1524">
        <f>IFERROR(VLOOKUP(C331,DG!A:F,6,0),3000)</f>
        <v>3000</v>
      </c>
      <c r="E331" s="1853" t="str">
        <f>IFERROR(VLOOKUP(C331,DG!A:C,3,0),"")</f>
        <v/>
      </c>
      <c r="F331" s="1850" t="e">
        <f>VLOOKUP(C331,DG!A:D,4,0)</f>
        <v>#N/A</v>
      </c>
      <c r="G331" s="1257"/>
      <c r="H331" s="1705">
        <f>IF(D331&lt;2000,COUNTIF($E$2:E331,E331),0)</f>
        <v>0</v>
      </c>
      <c r="I331" s="1711">
        <f t="shared" si="5"/>
        <v>0</v>
      </c>
    </row>
    <row r="332" spans="4:9" hidden="1">
      <c r="D332" s="1524">
        <f>IFERROR(VLOOKUP(C332,DG!A:F,6,0),3000)</f>
        <v>3000</v>
      </c>
      <c r="E332" s="1853" t="str">
        <f>IFERROR(VLOOKUP(C332,DG!A:C,3,0),"")</f>
        <v/>
      </c>
      <c r="F332" s="1850" t="e">
        <f>VLOOKUP(C332,DG!A:D,4,0)</f>
        <v>#N/A</v>
      </c>
      <c r="G332" s="1257"/>
      <c r="H332" s="1705">
        <f>IF(D332&lt;2000,COUNTIF($E$2:E332,E332),0)</f>
        <v>0</v>
      </c>
      <c r="I332" s="1711">
        <f t="shared" si="5"/>
        <v>0</v>
      </c>
    </row>
    <row r="333" spans="4:9" hidden="1">
      <c r="D333" s="1524">
        <f>IFERROR(VLOOKUP(C333,DG!A:F,6,0),3000)</f>
        <v>3000</v>
      </c>
      <c r="E333" s="1853" t="str">
        <f>IFERROR(VLOOKUP(C333,DG!A:C,3,0),"")</f>
        <v/>
      </c>
      <c r="F333" s="1850" t="e">
        <f>VLOOKUP(C333,DG!A:D,4,0)</f>
        <v>#N/A</v>
      </c>
      <c r="G333" s="1257"/>
      <c r="H333" s="1705">
        <f>IF(D333&lt;2000,COUNTIF($E$2:E333,E333),0)</f>
        <v>0</v>
      </c>
      <c r="I333" s="1711">
        <f t="shared" si="5"/>
        <v>0</v>
      </c>
    </row>
    <row r="334" spans="4:9" hidden="1">
      <c r="D334" s="1524">
        <f>IFERROR(VLOOKUP(C334,DG!A:F,6,0),3000)</f>
        <v>3000</v>
      </c>
      <c r="E334" s="1853" t="str">
        <f>IFERROR(VLOOKUP(C334,DG!A:C,3,0),"")</f>
        <v/>
      </c>
      <c r="F334" s="1850" t="e">
        <f>VLOOKUP(C334,DG!A:D,4,0)</f>
        <v>#N/A</v>
      </c>
      <c r="G334" s="1257"/>
      <c r="H334" s="1705">
        <f>IF(D334&lt;2000,COUNTIF($E$2:E334,E334),0)</f>
        <v>0</v>
      </c>
      <c r="I334" s="1711">
        <f t="shared" si="5"/>
        <v>0</v>
      </c>
    </row>
    <row r="335" spans="4:9" hidden="1">
      <c r="D335" s="1524">
        <f>IFERROR(VLOOKUP(C335,DG!A:F,6,0),3000)</f>
        <v>3000</v>
      </c>
      <c r="E335" s="1853" t="str">
        <f>IFERROR(VLOOKUP(C335,DG!A:C,3,0),"")</f>
        <v/>
      </c>
      <c r="F335" s="1850" t="e">
        <f>VLOOKUP(C335,DG!A:D,4,0)</f>
        <v>#N/A</v>
      </c>
      <c r="G335" s="1257"/>
      <c r="H335" s="1705">
        <f>IF(D335&lt;2000,COUNTIF($E$2:E335,E335),0)</f>
        <v>0</v>
      </c>
      <c r="I335" s="1711">
        <f t="shared" si="5"/>
        <v>0</v>
      </c>
    </row>
    <row r="336" spans="4:9" hidden="1">
      <c r="D336" s="1524">
        <f>IFERROR(VLOOKUP(C336,DG!A:F,6,0),3000)</f>
        <v>3000</v>
      </c>
      <c r="E336" s="1853" t="str">
        <f>IFERROR(VLOOKUP(C336,DG!A:C,3,0),"")</f>
        <v/>
      </c>
      <c r="F336" s="1850" t="e">
        <f>VLOOKUP(C336,DG!A:D,4,0)</f>
        <v>#N/A</v>
      </c>
      <c r="G336" s="1257"/>
      <c r="H336" s="1705">
        <f>IF(D336&lt;2000,COUNTIF($E$2:E336,E336),0)</f>
        <v>0</v>
      </c>
      <c r="I336" s="1711">
        <f t="shared" si="5"/>
        <v>0</v>
      </c>
    </row>
    <row r="337" spans="4:9" hidden="1">
      <c r="D337" s="1524">
        <f>IFERROR(VLOOKUP(C337,DG!A:F,6,0),3000)</f>
        <v>3000</v>
      </c>
      <c r="E337" s="1853" t="str">
        <f>IFERROR(VLOOKUP(C337,DG!A:C,3,0),"")</f>
        <v/>
      </c>
      <c r="F337" s="1850" t="e">
        <f>VLOOKUP(C337,DG!A:D,4,0)</f>
        <v>#N/A</v>
      </c>
      <c r="G337" s="1257"/>
      <c r="H337" s="1705">
        <f>IF(D337&lt;2000,COUNTIF($E$2:E337,E337),0)</f>
        <v>0</v>
      </c>
      <c r="I337" s="1711">
        <f t="shared" si="5"/>
        <v>0</v>
      </c>
    </row>
    <row r="338" spans="4:9" hidden="1">
      <c r="D338" s="1524">
        <f>IFERROR(VLOOKUP(C338,DG!A:F,6,0),3000)</f>
        <v>3000</v>
      </c>
      <c r="E338" s="1853" t="str">
        <f>IFERROR(VLOOKUP(C338,DG!A:C,3,0),"")</f>
        <v/>
      </c>
      <c r="F338" s="1850" t="e">
        <f>VLOOKUP(C338,DG!A:D,4,0)</f>
        <v>#N/A</v>
      </c>
      <c r="G338" s="1257"/>
      <c r="H338" s="1705">
        <f>IF(D338&lt;2000,COUNTIF($E$2:E338,E338),0)</f>
        <v>0</v>
      </c>
      <c r="I338" s="1711">
        <f t="shared" si="5"/>
        <v>0</v>
      </c>
    </row>
    <row r="339" spans="4:9" hidden="1">
      <c r="D339" s="1524">
        <f>IFERROR(VLOOKUP(C339,DG!A:F,6,0),3000)</f>
        <v>3000</v>
      </c>
      <c r="E339" s="1853" t="str">
        <f>IFERROR(VLOOKUP(C339,DG!A:C,3,0),"")</f>
        <v/>
      </c>
      <c r="F339" s="1850" t="e">
        <f>VLOOKUP(C339,DG!A:D,4,0)</f>
        <v>#N/A</v>
      </c>
      <c r="G339" s="1257"/>
      <c r="H339" s="1705">
        <f>IF(D339&lt;2000,COUNTIF($E$2:E339,E339),0)</f>
        <v>0</v>
      </c>
      <c r="I339" s="1711">
        <f t="shared" si="5"/>
        <v>0</v>
      </c>
    </row>
    <row r="340" spans="4:9" hidden="1">
      <c r="D340" s="1524">
        <f>IFERROR(VLOOKUP(C340,DG!A:F,6,0),3000)</f>
        <v>3000</v>
      </c>
      <c r="E340" s="1853" t="str">
        <f>IFERROR(VLOOKUP(C340,DG!A:C,3,0),"")</f>
        <v/>
      </c>
      <c r="F340" s="1850" t="e">
        <f>VLOOKUP(C340,DG!A:D,4,0)</f>
        <v>#N/A</v>
      </c>
      <c r="G340" s="1257"/>
      <c r="H340" s="1705">
        <f>IF(D340&lt;2000,COUNTIF($E$2:E340,E340),0)</f>
        <v>0</v>
      </c>
      <c r="I340" s="1711">
        <f t="shared" si="5"/>
        <v>0</v>
      </c>
    </row>
    <row r="341" spans="4:9" hidden="1">
      <c r="D341" s="1524">
        <f>IFERROR(VLOOKUP(C341,DG!A:F,6,0),3000)</f>
        <v>3000</v>
      </c>
      <c r="E341" s="1853" t="str">
        <f>IFERROR(VLOOKUP(C341,DG!A:C,3,0),"")</f>
        <v/>
      </c>
      <c r="F341" s="1850" t="e">
        <f>VLOOKUP(C341,DG!A:D,4,0)</f>
        <v>#N/A</v>
      </c>
      <c r="G341" s="1257"/>
      <c r="H341" s="1705">
        <f>IF(D341&lt;2000,COUNTIF($E$2:E341,E341),0)</f>
        <v>0</v>
      </c>
      <c r="I341" s="1711">
        <f t="shared" si="5"/>
        <v>0</v>
      </c>
    </row>
    <row r="342" spans="4:9" hidden="1">
      <c r="D342" s="1524">
        <f>IFERROR(VLOOKUP(C342,DG!A:F,6,0),3000)</f>
        <v>3000</v>
      </c>
      <c r="E342" s="1853" t="str">
        <f>IFERROR(VLOOKUP(C342,DG!A:C,3,0),"")</f>
        <v/>
      </c>
      <c r="F342" s="1850" t="e">
        <f>VLOOKUP(C342,DG!A:D,4,0)</f>
        <v>#N/A</v>
      </c>
      <c r="G342" s="1257"/>
      <c r="H342" s="1705">
        <f>IF(D342&lt;2000,COUNTIF($E$2:E342,E342),0)</f>
        <v>0</v>
      </c>
      <c r="I342" s="1711">
        <f t="shared" si="5"/>
        <v>0</v>
      </c>
    </row>
    <row r="343" spans="4:9" hidden="1">
      <c r="D343" s="1524">
        <f>IFERROR(VLOOKUP(C343,DG!A:F,6,0),3000)</f>
        <v>3000</v>
      </c>
      <c r="E343" s="1853" t="str">
        <f>IFERROR(VLOOKUP(C343,DG!A:C,3,0),"")</f>
        <v/>
      </c>
      <c r="F343" s="1850" t="e">
        <f>VLOOKUP(C343,DG!A:D,4,0)</f>
        <v>#N/A</v>
      </c>
      <c r="G343" s="1257"/>
      <c r="H343" s="1705">
        <f>IF(D343&lt;2000,COUNTIF($E$2:E343,E343),0)</f>
        <v>0</v>
      </c>
      <c r="I343" s="1711">
        <f t="shared" si="5"/>
        <v>0</v>
      </c>
    </row>
    <row r="344" spans="4:9" hidden="1">
      <c r="D344" s="1524">
        <f>IFERROR(VLOOKUP(C344,DG!A:F,6,0),3000)</f>
        <v>3000</v>
      </c>
      <c r="E344" s="1853" t="str">
        <f>IFERROR(VLOOKUP(C344,DG!A:C,3,0),"")</f>
        <v/>
      </c>
      <c r="F344" s="1850" t="e">
        <f>VLOOKUP(C344,DG!A:D,4,0)</f>
        <v>#N/A</v>
      </c>
      <c r="G344" s="1257"/>
      <c r="H344" s="1705">
        <f>IF(D344&lt;2000,COUNTIF($E$2:E344,E344),0)</f>
        <v>0</v>
      </c>
      <c r="I344" s="1711">
        <f t="shared" si="5"/>
        <v>0</v>
      </c>
    </row>
    <row r="345" spans="4:9" hidden="1">
      <c r="D345" s="1524">
        <f>IFERROR(VLOOKUP(C345,DG!A:F,6,0),3000)</f>
        <v>3000</v>
      </c>
      <c r="E345" s="1853" t="str">
        <f>IFERROR(VLOOKUP(C345,DG!A:C,3,0),"")</f>
        <v/>
      </c>
      <c r="F345" s="1850" t="e">
        <f>VLOOKUP(C345,DG!A:D,4,0)</f>
        <v>#N/A</v>
      </c>
      <c r="G345" s="1257"/>
      <c r="H345" s="1705">
        <f>IF(D345&lt;2000,COUNTIF($E$2:E345,E345),0)</f>
        <v>0</v>
      </c>
      <c r="I345" s="1711">
        <f t="shared" si="5"/>
        <v>0</v>
      </c>
    </row>
    <row r="346" spans="4:9" hidden="1">
      <c r="D346" s="1524">
        <f>IFERROR(VLOOKUP(C346,DG!A:F,6,0),3000)</f>
        <v>3000</v>
      </c>
      <c r="E346" s="1853" t="str">
        <f>IFERROR(VLOOKUP(C346,DG!A:C,3,0),"")</f>
        <v/>
      </c>
      <c r="F346" s="1850" t="e">
        <f>VLOOKUP(C346,DG!A:D,4,0)</f>
        <v>#N/A</v>
      </c>
      <c r="G346" s="1257"/>
      <c r="H346" s="1705">
        <f>IF(D346&lt;2000,COUNTIF($E$2:E346,E346),0)</f>
        <v>0</v>
      </c>
      <c r="I346" s="1711">
        <f t="shared" si="5"/>
        <v>0</v>
      </c>
    </row>
    <row r="347" spans="4:9" hidden="1">
      <c r="D347" s="1524">
        <f>IFERROR(VLOOKUP(C347,DG!A:F,6,0),3000)</f>
        <v>3000</v>
      </c>
      <c r="E347" s="1853" t="str">
        <f>IFERROR(VLOOKUP(C347,DG!A:C,3,0),"")</f>
        <v/>
      </c>
      <c r="F347" s="1850" t="e">
        <f>VLOOKUP(C347,DG!A:D,4,0)</f>
        <v>#N/A</v>
      </c>
      <c r="G347" s="1257"/>
      <c r="H347" s="1705">
        <f>IF(D347&lt;2000,COUNTIF($E$2:E347,E347),0)</f>
        <v>0</v>
      </c>
      <c r="I347" s="1711">
        <f t="shared" si="5"/>
        <v>0</v>
      </c>
    </row>
    <row r="348" spans="4:9" hidden="1">
      <c r="D348" s="1524">
        <f>IFERROR(VLOOKUP(C348,DG!A:F,6,0),3000)</f>
        <v>3000</v>
      </c>
      <c r="E348" s="1853" t="str">
        <f>IFERROR(VLOOKUP(C348,DG!A:C,3,0),"")</f>
        <v/>
      </c>
      <c r="F348" s="1850" t="e">
        <f>VLOOKUP(C348,DG!A:D,4,0)</f>
        <v>#N/A</v>
      </c>
      <c r="G348" s="1257"/>
      <c r="H348" s="1705">
        <f>IF(D348&lt;2000,COUNTIF($E$2:E348,E348),0)</f>
        <v>0</v>
      </c>
      <c r="I348" s="1711">
        <f t="shared" si="5"/>
        <v>0</v>
      </c>
    </row>
    <row r="349" spans="4:9" hidden="1">
      <c r="D349" s="1524">
        <f>IFERROR(VLOOKUP(C349,DG!A:F,6,0),3000)</f>
        <v>3000</v>
      </c>
      <c r="E349" s="1853" t="str">
        <f>IFERROR(VLOOKUP(C349,DG!A:C,3,0),"")</f>
        <v/>
      </c>
      <c r="F349" s="1850" t="e">
        <f>VLOOKUP(C349,DG!A:D,4,0)</f>
        <v>#N/A</v>
      </c>
      <c r="G349" s="1257"/>
      <c r="H349" s="1705">
        <f>IF(D349&lt;2000,COUNTIF($E$2:E349,E349),0)</f>
        <v>0</v>
      </c>
      <c r="I349" s="1711">
        <f t="shared" si="5"/>
        <v>0</v>
      </c>
    </row>
    <row r="350" spans="4:9" hidden="1">
      <c r="D350" s="1524">
        <f>IFERROR(VLOOKUP(C350,DG!A:F,6,0),3000)</f>
        <v>3000</v>
      </c>
      <c r="E350" s="1853" t="str">
        <f>IFERROR(VLOOKUP(C350,DG!A:C,3,0),"")</f>
        <v/>
      </c>
      <c r="F350" s="1850" t="e">
        <f>VLOOKUP(C350,DG!A:D,4,0)</f>
        <v>#N/A</v>
      </c>
      <c r="G350" s="1257"/>
      <c r="H350" s="1705">
        <f>IF(D350&lt;2000,COUNTIF($E$2:E350,E350),0)</f>
        <v>0</v>
      </c>
      <c r="I350" s="1711">
        <f t="shared" si="5"/>
        <v>0</v>
      </c>
    </row>
    <row r="351" spans="4:9" hidden="1">
      <c r="D351" s="1524">
        <f>IFERROR(VLOOKUP(C351,DG!A:F,6,0),3000)</f>
        <v>3000</v>
      </c>
      <c r="E351" s="1853" t="str">
        <f>IFERROR(VLOOKUP(C351,DG!A:C,3,0),"")</f>
        <v/>
      </c>
      <c r="F351" s="1850" t="e">
        <f>VLOOKUP(C351,DG!A:D,4,0)</f>
        <v>#N/A</v>
      </c>
      <c r="G351" s="1257"/>
      <c r="H351" s="1705">
        <f>IF(D351&lt;2000,COUNTIF($E$2:E351,E351),0)</f>
        <v>0</v>
      </c>
      <c r="I351" s="1711">
        <f t="shared" si="5"/>
        <v>0</v>
      </c>
    </row>
    <row r="352" spans="4:9" hidden="1">
      <c r="D352" s="1524">
        <f>IFERROR(VLOOKUP(C352,DG!A:F,6,0),3000)</f>
        <v>3000</v>
      </c>
      <c r="E352" s="1853" t="str">
        <f>IFERROR(VLOOKUP(C352,DG!A:C,3,0),"")</f>
        <v/>
      </c>
      <c r="F352" s="1850" t="e">
        <f>VLOOKUP(C352,DG!A:D,4,0)</f>
        <v>#N/A</v>
      </c>
      <c r="G352" s="1257"/>
      <c r="H352" s="1705">
        <f>IF(D352&lt;2000,COUNTIF($E$2:E352,E352),0)</f>
        <v>0</v>
      </c>
      <c r="I352" s="1711">
        <f t="shared" si="5"/>
        <v>0</v>
      </c>
    </row>
    <row r="353" spans="4:9" hidden="1">
      <c r="D353" s="1524">
        <f>IFERROR(VLOOKUP(C353,DG!A:F,6,0),3000)</f>
        <v>3000</v>
      </c>
      <c r="E353" s="1853" t="str">
        <f>IFERROR(VLOOKUP(C353,DG!A:C,3,0),"")</f>
        <v/>
      </c>
      <c r="F353" s="1850" t="e">
        <f>VLOOKUP(C353,DG!A:D,4,0)</f>
        <v>#N/A</v>
      </c>
      <c r="G353" s="1257"/>
      <c r="H353" s="1705">
        <f>IF(D353&lt;2000,COUNTIF($E$2:E353,E353),0)</f>
        <v>0</v>
      </c>
      <c r="I353" s="1711">
        <f t="shared" si="5"/>
        <v>0</v>
      </c>
    </row>
    <row r="354" spans="4:9" hidden="1">
      <c r="D354" s="1524">
        <f>IFERROR(VLOOKUP(C354,DG!A:F,6,0),3000)</f>
        <v>3000</v>
      </c>
      <c r="E354" s="1853" t="str">
        <f>IFERROR(VLOOKUP(C354,DG!A:C,3,0),"")</f>
        <v/>
      </c>
      <c r="F354" s="1850" t="e">
        <f>VLOOKUP(C354,DG!A:D,4,0)</f>
        <v>#N/A</v>
      </c>
      <c r="G354" s="1257"/>
      <c r="H354" s="1705">
        <f>IF(D354&lt;2000,COUNTIF($E$2:E354,E354),0)</f>
        <v>0</v>
      </c>
      <c r="I354" s="1711">
        <f t="shared" si="5"/>
        <v>0</v>
      </c>
    </row>
    <row r="355" spans="4:9" hidden="1">
      <c r="D355" s="1524">
        <f>IFERROR(VLOOKUP(C355,DG!A:F,6,0),3000)</f>
        <v>3000</v>
      </c>
      <c r="E355" s="1853" t="str">
        <f>IFERROR(VLOOKUP(C355,DG!A:C,3,0),"")</f>
        <v/>
      </c>
      <c r="F355" s="1850" t="e">
        <f>VLOOKUP(C355,DG!A:D,4,0)</f>
        <v>#N/A</v>
      </c>
      <c r="G355" s="1257"/>
      <c r="H355" s="1705">
        <f>IF(D355&lt;2000,COUNTIF($E$2:E355,E355),0)</f>
        <v>0</v>
      </c>
      <c r="I355" s="1711">
        <f t="shared" si="5"/>
        <v>0</v>
      </c>
    </row>
    <row r="356" spans="4:9" hidden="1">
      <c r="D356" s="1524">
        <f>IFERROR(VLOOKUP(C356,DG!A:F,6,0),3000)</f>
        <v>3000</v>
      </c>
      <c r="E356" s="1853" t="str">
        <f>IFERROR(VLOOKUP(C356,DG!A:C,3,0),"")</f>
        <v/>
      </c>
      <c r="F356" s="1850" t="e">
        <f>VLOOKUP(C356,DG!A:D,4,0)</f>
        <v>#N/A</v>
      </c>
      <c r="G356" s="1257"/>
      <c r="H356" s="1705">
        <f>IF(D356&lt;2000,COUNTIF($E$2:E356,E356),0)</f>
        <v>0</v>
      </c>
      <c r="I356" s="1711">
        <f t="shared" si="5"/>
        <v>0</v>
      </c>
    </row>
    <row r="357" spans="4:9" hidden="1">
      <c r="D357" s="1524">
        <f>IFERROR(VLOOKUP(C357,DG!A:F,6,0),3000)</f>
        <v>3000</v>
      </c>
      <c r="E357" s="1853" t="str">
        <f>IFERROR(VLOOKUP(C357,DG!A:C,3,0),"")</f>
        <v/>
      </c>
      <c r="F357" s="1850" t="e">
        <f>VLOOKUP(C357,DG!A:D,4,0)</f>
        <v>#N/A</v>
      </c>
      <c r="G357" s="1257"/>
      <c r="H357" s="1705">
        <f>IF(D357&lt;2000,COUNTIF($E$2:E357,E357),0)</f>
        <v>0</v>
      </c>
      <c r="I357" s="1711">
        <f t="shared" si="5"/>
        <v>0</v>
      </c>
    </row>
    <row r="358" spans="4:9" hidden="1">
      <c r="D358" s="1524">
        <f>IFERROR(VLOOKUP(C358,DG!A:F,6,0),3000)</f>
        <v>3000</v>
      </c>
      <c r="E358" s="1853" t="str">
        <f>IFERROR(VLOOKUP(C358,DG!A:C,3,0),"")</f>
        <v/>
      </c>
      <c r="F358" s="1850" t="e">
        <f>VLOOKUP(C358,DG!A:D,4,0)</f>
        <v>#N/A</v>
      </c>
      <c r="G358" s="1257"/>
      <c r="H358" s="1705">
        <f>IF(D358&lt;2000,COUNTIF($E$2:E358,E358),0)</f>
        <v>0</v>
      </c>
      <c r="I358" s="1711">
        <f t="shared" si="5"/>
        <v>0</v>
      </c>
    </row>
    <row r="359" spans="4:9" hidden="1">
      <c r="D359" s="1524">
        <f>IFERROR(VLOOKUP(C359,DG!A:F,6,0),3000)</f>
        <v>3000</v>
      </c>
      <c r="E359" s="1853" t="str">
        <f>IFERROR(VLOOKUP(C359,DG!A:C,3,0),"")</f>
        <v/>
      </c>
      <c r="F359" s="1850" t="e">
        <f>VLOOKUP(C359,DG!A:D,4,0)</f>
        <v>#N/A</v>
      </c>
      <c r="G359" s="1257"/>
      <c r="H359" s="1705">
        <f>IF(D359&lt;2000,COUNTIF($E$2:E359,E359),0)</f>
        <v>0</v>
      </c>
      <c r="I359" s="1711">
        <f t="shared" si="5"/>
        <v>0</v>
      </c>
    </row>
    <row r="360" spans="4:9" hidden="1">
      <c r="D360" s="1524">
        <f>IFERROR(VLOOKUP(C360,DG!A:F,6,0),3000)</f>
        <v>3000</v>
      </c>
      <c r="E360" s="1853" t="str">
        <f>IFERROR(VLOOKUP(C360,DG!A:C,3,0),"")</f>
        <v/>
      </c>
      <c r="F360" s="1850" t="e">
        <f>VLOOKUP(C360,DG!A:D,4,0)</f>
        <v>#N/A</v>
      </c>
      <c r="G360" s="1257"/>
      <c r="H360" s="1705">
        <f>IF(D360&lt;2000,COUNTIF($E$2:E360,E360),0)</f>
        <v>0</v>
      </c>
      <c r="I360" s="1711">
        <f t="shared" si="5"/>
        <v>0</v>
      </c>
    </row>
    <row r="361" spans="4:9" hidden="1">
      <c r="D361" s="1524">
        <f>IFERROR(VLOOKUP(C361,DG!A:F,6,0),3000)</f>
        <v>3000</v>
      </c>
      <c r="E361" s="1853" t="str">
        <f>IFERROR(VLOOKUP(C361,DG!A:C,3,0),"")</f>
        <v/>
      </c>
      <c r="F361" s="1850" t="e">
        <f>VLOOKUP(C361,DG!A:D,4,0)</f>
        <v>#N/A</v>
      </c>
      <c r="G361" s="1257"/>
      <c r="H361" s="1705">
        <f>IF(D361&lt;2000,COUNTIF($E$2:E361,E361),0)</f>
        <v>0</v>
      </c>
      <c r="I361" s="1711">
        <f t="shared" si="5"/>
        <v>0</v>
      </c>
    </row>
    <row r="362" spans="4:9" hidden="1">
      <c r="D362" s="1524">
        <f>IFERROR(VLOOKUP(C362,DG!A:F,6,0),3000)</f>
        <v>3000</v>
      </c>
      <c r="E362" s="1853" t="str">
        <f>IFERROR(VLOOKUP(C362,DG!A:C,3,0),"")</f>
        <v/>
      </c>
      <c r="F362" s="1850" t="e">
        <f>VLOOKUP(C362,DG!A:D,4,0)</f>
        <v>#N/A</v>
      </c>
      <c r="G362" s="1257"/>
      <c r="H362" s="1705">
        <f>IF(D362&lt;2000,COUNTIF($E$2:E362,E362),0)</f>
        <v>0</v>
      </c>
      <c r="I362" s="1711">
        <f t="shared" si="5"/>
        <v>0</v>
      </c>
    </row>
    <row r="363" spans="4:9" hidden="1">
      <c r="D363" s="1524">
        <f>IFERROR(VLOOKUP(C363,DG!A:F,6,0),3000)</f>
        <v>3000</v>
      </c>
      <c r="E363" s="1853" t="str">
        <f>IFERROR(VLOOKUP(C363,DG!A:C,3,0),"")</f>
        <v/>
      </c>
      <c r="F363" s="1850" t="e">
        <f>VLOOKUP(C363,DG!A:D,4,0)</f>
        <v>#N/A</v>
      </c>
      <c r="G363" s="1257"/>
      <c r="H363" s="1705">
        <f>IF(D363&lt;2000,COUNTIF($E$2:E363,E363),0)</f>
        <v>0</v>
      </c>
      <c r="I363" s="1711">
        <f t="shared" si="5"/>
        <v>0</v>
      </c>
    </row>
    <row r="364" spans="4:9" hidden="1">
      <c r="D364" s="1524">
        <f>IFERROR(VLOOKUP(C364,DG!A:F,6,0),3000)</f>
        <v>3000</v>
      </c>
      <c r="E364" s="1853" t="str">
        <f>IFERROR(VLOOKUP(C364,DG!A:C,3,0),"")</f>
        <v/>
      </c>
      <c r="F364" s="1850" t="e">
        <f>VLOOKUP(C364,DG!A:D,4,0)</f>
        <v>#N/A</v>
      </c>
      <c r="G364" s="1257"/>
      <c r="H364" s="1705">
        <f>IF(D364&lt;2000,COUNTIF($E$2:E364,E364),0)</f>
        <v>0</v>
      </c>
      <c r="I364" s="1711">
        <f t="shared" si="5"/>
        <v>0</v>
      </c>
    </row>
    <row r="365" spans="4:9" hidden="1">
      <c r="D365" s="1524">
        <f>IFERROR(VLOOKUP(C365,DG!A:F,6,0),3000)</f>
        <v>3000</v>
      </c>
      <c r="E365" s="1853" t="str">
        <f>IFERROR(VLOOKUP(C365,DG!A:C,3,0),"")</f>
        <v/>
      </c>
      <c r="F365" s="1850" t="e">
        <f>VLOOKUP(C365,DG!A:D,4,0)</f>
        <v>#N/A</v>
      </c>
      <c r="G365" s="1257"/>
      <c r="H365" s="1705">
        <f>IF(D365&lt;2000,COUNTIF($E$2:E365,E365),0)</f>
        <v>0</v>
      </c>
      <c r="I365" s="1711">
        <f t="shared" si="5"/>
        <v>0</v>
      </c>
    </row>
    <row r="366" spans="4:9" hidden="1">
      <c r="D366" s="1524">
        <f>IFERROR(VLOOKUP(C366,DG!A:F,6,0),3000)</f>
        <v>3000</v>
      </c>
      <c r="E366" s="1853" t="str">
        <f>IFERROR(VLOOKUP(C366,DG!A:C,3,0),"")</f>
        <v/>
      </c>
      <c r="F366" s="1850" t="e">
        <f>VLOOKUP(C366,DG!A:D,4,0)</f>
        <v>#N/A</v>
      </c>
      <c r="G366" s="1257"/>
      <c r="H366" s="1705">
        <f>IF(D366&lt;2000,COUNTIF($E$2:E366,E366),0)</f>
        <v>0</v>
      </c>
      <c r="I366" s="1711">
        <f t="shared" si="5"/>
        <v>0</v>
      </c>
    </row>
    <row r="367" spans="4:9" hidden="1">
      <c r="D367" s="1524">
        <f>IFERROR(VLOOKUP(C367,DG!A:F,6,0),3000)</f>
        <v>3000</v>
      </c>
      <c r="E367" s="1853" t="str">
        <f>IFERROR(VLOOKUP(C367,DG!A:C,3,0),"")</f>
        <v/>
      </c>
      <c r="F367" s="1850" t="e">
        <f>VLOOKUP(C367,DG!A:D,4,0)</f>
        <v>#N/A</v>
      </c>
      <c r="G367" s="1257"/>
      <c r="H367" s="1705">
        <f>IF(D367&lt;2000,COUNTIF($E$2:E367,E367),0)</f>
        <v>0</v>
      </c>
      <c r="I367" s="1711">
        <f t="shared" si="5"/>
        <v>0</v>
      </c>
    </row>
    <row r="368" spans="4:9" hidden="1">
      <c r="D368" s="1524">
        <f>IFERROR(VLOOKUP(C368,DG!A:F,6,0),3000)</f>
        <v>3000</v>
      </c>
      <c r="E368" s="1853" t="str">
        <f>IFERROR(VLOOKUP(C368,DG!A:C,3,0),"")</f>
        <v/>
      </c>
      <c r="F368" s="1850" t="e">
        <f>VLOOKUP(C368,DG!A:D,4,0)</f>
        <v>#N/A</v>
      </c>
      <c r="G368" s="1257"/>
      <c r="H368" s="1705">
        <f>IF(D368&lt;2000,COUNTIF($E$2:E368,E368),0)</f>
        <v>0</v>
      </c>
      <c r="I368" s="1711">
        <f t="shared" si="5"/>
        <v>0</v>
      </c>
    </row>
    <row r="369" spans="4:9" hidden="1">
      <c r="D369" s="1524">
        <f>IFERROR(VLOOKUP(C369,DG!A:F,6,0),3000)</f>
        <v>3000</v>
      </c>
      <c r="E369" s="1853" t="str">
        <f>IFERROR(VLOOKUP(C369,DG!A:C,3,0),"")</f>
        <v/>
      </c>
      <c r="F369" s="1850" t="e">
        <f>VLOOKUP(C369,DG!A:D,4,0)</f>
        <v>#N/A</v>
      </c>
      <c r="G369" s="1257"/>
      <c r="H369" s="1705">
        <f>IF(D369&lt;2000,COUNTIF($E$2:E369,E369),0)</f>
        <v>0</v>
      </c>
      <c r="I369" s="1711">
        <f t="shared" si="5"/>
        <v>0</v>
      </c>
    </row>
    <row r="370" spans="4:9" hidden="1">
      <c r="D370" s="1524">
        <f>IFERROR(VLOOKUP(C370,DG!A:F,6,0),3000)</f>
        <v>3000</v>
      </c>
      <c r="E370" s="1853" t="str">
        <f>IFERROR(VLOOKUP(C370,DG!A:C,3,0),"")</f>
        <v/>
      </c>
      <c r="F370" s="1850" t="e">
        <f>VLOOKUP(C370,DG!A:D,4,0)</f>
        <v>#N/A</v>
      </c>
      <c r="G370" s="1257"/>
      <c r="H370" s="1705">
        <f>IF(D370&lt;2000,COUNTIF($E$2:E370,E370),0)</f>
        <v>0</v>
      </c>
      <c r="I370" s="1711">
        <f t="shared" si="5"/>
        <v>0</v>
      </c>
    </row>
    <row r="371" spans="4:9" hidden="1">
      <c r="D371" s="1524">
        <f>IFERROR(VLOOKUP(C371,DG!A:F,6,0),3000)</f>
        <v>3000</v>
      </c>
      <c r="E371" s="1853" t="str">
        <f>IFERROR(VLOOKUP(C371,DG!A:C,3,0),"")</f>
        <v/>
      </c>
      <c r="F371" s="1850" t="e">
        <f>VLOOKUP(C371,DG!A:D,4,0)</f>
        <v>#N/A</v>
      </c>
      <c r="G371" s="1257"/>
      <c r="H371" s="1705">
        <f>IF(D371&lt;2000,COUNTIF($E$2:E371,E371),0)</f>
        <v>0</v>
      </c>
      <c r="I371" s="1711">
        <f t="shared" si="5"/>
        <v>0</v>
      </c>
    </row>
    <row r="372" spans="4:9" hidden="1">
      <c r="D372" s="1524">
        <f>IFERROR(VLOOKUP(C372,DG!A:F,6,0),3000)</f>
        <v>3000</v>
      </c>
      <c r="E372" s="1853" t="str">
        <f>IFERROR(VLOOKUP(C372,DG!A:C,3,0),"")</f>
        <v/>
      </c>
      <c r="F372" s="1850" t="e">
        <f>VLOOKUP(C372,DG!A:D,4,0)</f>
        <v>#N/A</v>
      </c>
      <c r="G372" s="1257"/>
      <c r="H372" s="1705">
        <f>IF(D372&lt;2000,COUNTIF($E$2:E372,E372),0)</f>
        <v>0</v>
      </c>
      <c r="I372" s="1711">
        <f t="shared" si="5"/>
        <v>0</v>
      </c>
    </row>
    <row r="373" spans="4:9" hidden="1">
      <c r="D373" s="1524">
        <f>IFERROR(VLOOKUP(C373,DG!A:F,6,0),3000)</f>
        <v>3000</v>
      </c>
      <c r="E373" s="1853" t="str">
        <f>IFERROR(VLOOKUP(C373,DG!A:C,3,0),"")</f>
        <v/>
      </c>
      <c r="F373" s="1850" t="e">
        <f>VLOOKUP(C373,DG!A:D,4,0)</f>
        <v>#N/A</v>
      </c>
      <c r="G373" s="1257"/>
      <c r="H373" s="1705">
        <f>IF(D373&lt;2000,COUNTIF($E$2:E373,E373),0)</f>
        <v>0</v>
      </c>
      <c r="I373" s="1711">
        <f t="shared" si="5"/>
        <v>0</v>
      </c>
    </row>
    <row r="374" spans="4:9" hidden="1">
      <c r="D374" s="1524">
        <f>IFERROR(VLOOKUP(C374,DG!A:F,6,0),3000)</f>
        <v>3000</v>
      </c>
      <c r="E374" s="1853" t="str">
        <f>IFERROR(VLOOKUP(C374,DG!A:C,3,0),"")</f>
        <v/>
      </c>
      <c r="F374" s="1850" t="e">
        <f>VLOOKUP(C374,DG!A:D,4,0)</f>
        <v>#N/A</v>
      </c>
      <c r="G374" s="1257"/>
      <c r="H374" s="1705">
        <f>IF(D374&lt;2000,COUNTIF($E$2:E374,E374),0)</f>
        <v>0</v>
      </c>
      <c r="I374" s="1711">
        <f t="shared" si="5"/>
        <v>0</v>
      </c>
    </row>
    <row r="375" spans="4:9" hidden="1">
      <c r="D375" s="1524">
        <f>IFERROR(VLOOKUP(C375,DG!A:F,6,0),3000)</f>
        <v>3000</v>
      </c>
      <c r="E375" s="1853" t="str">
        <f>IFERROR(VLOOKUP(C375,DG!A:C,3,0),"")</f>
        <v/>
      </c>
      <c r="F375" s="1850" t="e">
        <f>VLOOKUP(C375,DG!A:D,4,0)</f>
        <v>#N/A</v>
      </c>
      <c r="G375" s="1257"/>
      <c r="H375" s="1705">
        <f>IF(D375&lt;2000,COUNTIF($E$2:E375,E375),0)</f>
        <v>0</v>
      </c>
      <c r="I375" s="1711">
        <f t="shared" si="5"/>
        <v>0</v>
      </c>
    </row>
    <row r="376" spans="4:9" hidden="1">
      <c r="D376" s="1524">
        <f>IFERROR(VLOOKUP(C376,DG!A:F,6,0),3000)</f>
        <v>3000</v>
      </c>
      <c r="E376" s="1853" t="str">
        <f>IFERROR(VLOOKUP(C376,DG!A:C,3,0),"")</f>
        <v/>
      </c>
      <c r="F376" s="1850" t="e">
        <f>VLOOKUP(C376,DG!A:D,4,0)</f>
        <v>#N/A</v>
      </c>
      <c r="G376" s="1257"/>
      <c r="H376" s="1705">
        <f>IF(D376&lt;2000,COUNTIF($E$2:E376,E376),0)</f>
        <v>0</v>
      </c>
      <c r="I376" s="1711">
        <f t="shared" si="5"/>
        <v>0</v>
      </c>
    </row>
    <row r="377" spans="4:9" hidden="1">
      <c r="D377" s="1524">
        <f>IFERROR(VLOOKUP(C377,DG!A:F,6,0),3000)</f>
        <v>3000</v>
      </c>
      <c r="E377" s="1853" t="str">
        <f>IFERROR(VLOOKUP(C377,DG!A:C,3,0),"")</f>
        <v/>
      </c>
      <c r="F377" s="1850" t="e">
        <f>VLOOKUP(C377,DG!A:D,4,0)</f>
        <v>#N/A</v>
      </c>
      <c r="G377" s="1257"/>
      <c r="H377" s="1705">
        <f>IF(D377&lt;2000,COUNTIF($E$2:E377,E377),0)</f>
        <v>0</v>
      </c>
      <c r="I377" s="1711">
        <f t="shared" si="5"/>
        <v>0</v>
      </c>
    </row>
    <row r="378" spans="4:9" hidden="1">
      <c r="D378" s="1524">
        <f>IFERROR(VLOOKUP(C378,DG!A:F,6,0),3000)</f>
        <v>3000</v>
      </c>
      <c r="E378" s="1853" t="str">
        <f>IFERROR(VLOOKUP(C378,DG!A:C,3,0),"")</f>
        <v/>
      </c>
      <c r="F378" s="1850" t="e">
        <f>VLOOKUP(C378,DG!A:D,4,0)</f>
        <v>#N/A</v>
      </c>
      <c r="G378" s="1257"/>
      <c r="H378" s="1705">
        <f>IF(D378&lt;2000,COUNTIF($E$2:E378,E378),0)</f>
        <v>0</v>
      </c>
      <c r="I378" s="1711">
        <f t="shared" si="5"/>
        <v>0</v>
      </c>
    </row>
    <row r="379" spans="4:9" hidden="1">
      <c r="D379" s="1524">
        <f>IFERROR(VLOOKUP(C379,DG!A:F,6,0),3000)</f>
        <v>3000</v>
      </c>
      <c r="E379" s="1853" t="str">
        <f>IFERROR(VLOOKUP(C379,DG!A:C,3,0),"")</f>
        <v/>
      </c>
      <c r="F379" s="1850" t="e">
        <f>VLOOKUP(C379,DG!A:D,4,0)</f>
        <v>#N/A</v>
      </c>
      <c r="G379" s="1257"/>
      <c r="H379" s="1705">
        <f>IF(D379&lt;2000,COUNTIF($E$2:E379,E379),0)</f>
        <v>0</v>
      </c>
      <c r="I379" s="1711">
        <f t="shared" si="5"/>
        <v>0</v>
      </c>
    </row>
    <row r="380" spans="4:9" hidden="1">
      <c r="D380" s="1524">
        <f>IFERROR(VLOOKUP(C380,DG!A:F,6,0),3000)</f>
        <v>3000</v>
      </c>
      <c r="E380" s="1853" t="str">
        <f>IFERROR(VLOOKUP(C380,DG!A:C,3,0),"")</f>
        <v/>
      </c>
      <c r="F380" s="1850" t="e">
        <f>VLOOKUP(C380,DG!A:D,4,0)</f>
        <v>#N/A</v>
      </c>
      <c r="G380" s="1257"/>
      <c r="H380" s="1705">
        <f>IF(D380&lt;2000,COUNTIF($E$2:E380,E380),0)</f>
        <v>0</v>
      </c>
      <c r="I380" s="1711">
        <f t="shared" si="5"/>
        <v>0</v>
      </c>
    </row>
    <row r="381" spans="4:9" hidden="1">
      <c r="D381" s="1524">
        <f>IFERROR(VLOOKUP(C381,DG!A:F,6,0),3000)</f>
        <v>3000</v>
      </c>
      <c r="E381" s="1853" t="str">
        <f>IFERROR(VLOOKUP(C381,DG!A:C,3,0),"")</f>
        <v/>
      </c>
      <c r="F381" s="1850" t="e">
        <f>VLOOKUP(C381,DG!A:D,4,0)</f>
        <v>#N/A</v>
      </c>
      <c r="G381" s="1257"/>
      <c r="H381" s="1705">
        <f>IF(D381&lt;2000,COUNTIF($E$2:E381,E381),0)</f>
        <v>0</v>
      </c>
      <c r="I381" s="1711">
        <f t="shared" si="5"/>
        <v>0</v>
      </c>
    </row>
    <row r="382" spans="4:9" hidden="1">
      <c r="D382" s="1524">
        <f>IFERROR(VLOOKUP(C382,DG!A:F,6,0),3000)</f>
        <v>3000</v>
      </c>
      <c r="E382" s="1853" t="str">
        <f>IFERROR(VLOOKUP(C382,DG!A:C,3,0),"")</f>
        <v/>
      </c>
      <c r="F382" s="1850" t="e">
        <f>VLOOKUP(C382,DG!A:D,4,0)</f>
        <v>#N/A</v>
      </c>
      <c r="G382" s="1257"/>
      <c r="H382" s="1705">
        <f>IF(D382&lt;2000,COUNTIF($E$2:E382,E382),0)</f>
        <v>0</v>
      </c>
      <c r="I382" s="1711">
        <f t="shared" si="5"/>
        <v>0</v>
      </c>
    </row>
    <row r="383" spans="4:9" hidden="1">
      <c r="D383" s="1524">
        <f>IFERROR(VLOOKUP(C383,DG!A:F,6,0),3000)</f>
        <v>3000</v>
      </c>
      <c r="E383" s="1853" t="str">
        <f>IFERROR(VLOOKUP(C383,DG!A:C,3,0),"")</f>
        <v/>
      </c>
      <c r="F383" s="1850" t="e">
        <f>VLOOKUP(C383,DG!A:D,4,0)</f>
        <v>#N/A</v>
      </c>
      <c r="G383" s="1257"/>
      <c r="H383" s="1705">
        <f>IF(D383&lt;2000,COUNTIF($E$2:E383,E383),0)</f>
        <v>0</v>
      </c>
      <c r="I383" s="1711">
        <f t="shared" si="5"/>
        <v>0</v>
      </c>
    </row>
    <row r="384" spans="4:9" hidden="1">
      <c r="D384" s="1524">
        <f>IFERROR(VLOOKUP(C384,DG!A:F,6,0),3000)</f>
        <v>3000</v>
      </c>
      <c r="E384" s="1853" t="str">
        <f>IFERROR(VLOOKUP(C384,DG!A:C,3,0),"")</f>
        <v/>
      </c>
      <c r="F384" s="1850" t="e">
        <f>VLOOKUP(C384,DG!A:D,4,0)</f>
        <v>#N/A</v>
      </c>
      <c r="G384" s="1257"/>
      <c r="H384" s="1705">
        <f>IF(D384&lt;2000,COUNTIF($E$2:E384,E384),0)</f>
        <v>0</v>
      </c>
      <c r="I384" s="1711">
        <f t="shared" si="5"/>
        <v>0</v>
      </c>
    </row>
    <row r="385" spans="4:9" hidden="1">
      <c r="D385" s="1524">
        <f>IFERROR(VLOOKUP(C385,DG!A:F,6,0),3000)</f>
        <v>3000</v>
      </c>
      <c r="E385" s="1853" t="str">
        <f>IFERROR(VLOOKUP(C385,DG!A:C,3,0),"")</f>
        <v/>
      </c>
      <c r="F385" s="1850" t="e">
        <f>VLOOKUP(C385,DG!A:D,4,0)</f>
        <v>#N/A</v>
      </c>
      <c r="G385" s="1257"/>
      <c r="H385" s="1705">
        <f>IF(D385&lt;2000,COUNTIF($E$2:E385,E385),0)</f>
        <v>0</v>
      </c>
      <c r="I385" s="1711">
        <f t="shared" si="5"/>
        <v>0</v>
      </c>
    </row>
    <row r="386" spans="4:9" hidden="1">
      <c r="D386" s="1524">
        <f>IFERROR(VLOOKUP(C386,DG!A:F,6,0),3000)</f>
        <v>3000</v>
      </c>
      <c r="E386" s="1853" t="str">
        <f>IFERROR(VLOOKUP(C386,DG!A:C,3,0),"")</f>
        <v/>
      </c>
      <c r="F386" s="1850" t="e">
        <f>VLOOKUP(C386,DG!A:D,4,0)</f>
        <v>#N/A</v>
      </c>
      <c r="G386" s="1257"/>
      <c r="H386" s="1705">
        <f>IF(D386&lt;2000,COUNTIF($E$2:E386,E386),0)</f>
        <v>0</v>
      </c>
      <c r="I386" s="1711">
        <f t="shared" ref="I386:I409" si="6">IF(G386&gt;0,SUMIF(C:C,C386,G:G),0)</f>
        <v>0</v>
      </c>
    </row>
    <row r="387" spans="4:9" hidden="1">
      <c r="D387" s="1524">
        <f>IFERROR(VLOOKUP(C387,DG!A:F,6,0),3000)</f>
        <v>3000</v>
      </c>
      <c r="E387" s="1853" t="str">
        <f>IFERROR(VLOOKUP(C387,DG!A:C,3,0),"")</f>
        <v/>
      </c>
      <c r="F387" s="1850" t="e">
        <f>VLOOKUP(C387,DG!A:D,4,0)</f>
        <v>#N/A</v>
      </c>
      <c r="G387" s="1257"/>
      <c r="H387" s="1705">
        <f>IF(D387&lt;2000,COUNTIF($E$2:E387,E387),0)</f>
        <v>0</v>
      </c>
      <c r="I387" s="1711">
        <f t="shared" si="6"/>
        <v>0</v>
      </c>
    </row>
    <row r="388" spans="4:9" hidden="1">
      <c r="D388" s="1524">
        <f>IFERROR(VLOOKUP(C388,DG!A:F,6,0),3000)</f>
        <v>3000</v>
      </c>
      <c r="E388" s="1853" t="str">
        <f>IFERROR(VLOOKUP(C388,DG!A:C,3,0),"")</f>
        <v/>
      </c>
      <c r="F388" s="1850" t="e">
        <f>VLOOKUP(C388,DG!A:D,4,0)</f>
        <v>#N/A</v>
      </c>
      <c r="G388" s="1257"/>
      <c r="H388" s="1705">
        <f>IF(D388&lt;2000,COUNTIF($E$2:E388,E388),0)</f>
        <v>0</v>
      </c>
      <c r="I388" s="1711">
        <f t="shared" si="6"/>
        <v>0</v>
      </c>
    </row>
    <row r="389" spans="4:9" hidden="1">
      <c r="D389" s="1524">
        <f>IFERROR(VLOOKUP(C389,DG!A:F,6,0),3000)</f>
        <v>3000</v>
      </c>
      <c r="E389" s="1853" t="str">
        <f>IFERROR(VLOOKUP(C389,DG!A:C,3,0),"")</f>
        <v/>
      </c>
      <c r="F389" s="1850" t="e">
        <f>VLOOKUP(C389,DG!A:D,4,0)</f>
        <v>#N/A</v>
      </c>
      <c r="G389" s="1257"/>
      <c r="H389" s="1705">
        <f>IF(D389&lt;2000,COUNTIF($E$2:E389,E389),0)</f>
        <v>0</v>
      </c>
      <c r="I389" s="1711">
        <f t="shared" si="6"/>
        <v>0</v>
      </c>
    </row>
    <row r="390" spans="4:9" hidden="1">
      <c r="D390" s="1524">
        <f>IFERROR(VLOOKUP(C390,DG!A:F,6,0),3000)</f>
        <v>3000</v>
      </c>
      <c r="E390" s="1853" t="str">
        <f>IFERROR(VLOOKUP(C390,DG!A:C,3,0),"")</f>
        <v/>
      </c>
      <c r="F390" s="1850" t="e">
        <f>VLOOKUP(C390,DG!A:D,4,0)</f>
        <v>#N/A</v>
      </c>
      <c r="G390" s="1257"/>
      <c r="H390" s="1705">
        <f>IF(D390&lt;2000,COUNTIF($E$2:E390,E390),0)</f>
        <v>0</v>
      </c>
      <c r="I390" s="1711">
        <f t="shared" si="6"/>
        <v>0</v>
      </c>
    </row>
    <row r="391" spans="4:9" hidden="1">
      <c r="D391" s="1524">
        <f>IFERROR(VLOOKUP(C391,DG!A:F,6,0),3000)</f>
        <v>3000</v>
      </c>
      <c r="E391" s="1853" t="str">
        <f>IFERROR(VLOOKUP(C391,DG!A:C,3,0),"")</f>
        <v/>
      </c>
      <c r="F391" s="1850" t="e">
        <f>VLOOKUP(C391,DG!A:D,4,0)</f>
        <v>#N/A</v>
      </c>
      <c r="G391" s="1257"/>
      <c r="H391" s="1705">
        <f>IF(D391&lt;2000,COUNTIF($E$2:E391,E391),0)</f>
        <v>0</v>
      </c>
      <c r="I391" s="1711">
        <f t="shared" si="6"/>
        <v>0</v>
      </c>
    </row>
    <row r="392" spans="4:9" hidden="1">
      <c r="D392" s="1524">
        <f>IFERROR(VLOOKUP(C392,DG!A:F,6,0),3000)</f>
        <v>3000</v>
      </c>
      <c r="E392" s="1853" t="str">
        <f>IFERROR(VLOOKUP(C392,DG!A:C,3,0),"")</f>
        <v/>
      </c>
      <c r="F392" s="1850" t="e">
        <f>VLOOKUP(C392,DG!A:D,4,0)</f>
        <v>#N/A</v>
      </c>
      <c r="G392" s="1257"/>
      <c r="H392" s="1705">
        <f>IF(D392&lt;2000,COUNTIF($E$2:E392,E392),0)</f>
        <v>0</v>
      </c>
      <c r="I392" s="1711">
        <f t="shared" si="6"/>
        <v>0</v>
      </c>
    </row>
    <row r="393" spans="4:9" hidden="1">
      <c r="D393" s="1524">
        <f>IFERROR(VLOOKUP(C393,DG!A:F,6,0),3000)</f>
        <v>3000</v>
      </c>
      <c r="E393" s="1853" t="str">
        <f>IFERROR(VLOOKUP(C393,DG!A:C,3,0),"")</f>
        <v/>
      </c>
      <c r="F393" s="1850" t="e">
        <f>VLOOKUP(C393,DG!A:D,4,0)</f>
        <v>#N/A</v>
      </c>
      <c r="G393" s="1257"/>
      <c r="H393" s="1705">
        <f>IF(D393&lt;2000,COUNTIF($E$2:E393,E393),0)</f>
        <v>0</v>
      </c>
      <c r="I393" s="1711">
        <f t="shared" si="6"/>
        <v>0</v>
      </c>
    </row>
    <row r="394" spans="4:9" hidden="1">
      <c r="D394" s="1524">
        <f>IFERROR(VLOOKUP(C394,DG!A:F,6,0),3000)</f>
        <v>3000</v>
      </c>
      <c r="E394" s="1853" t="str">
        <f>IFERROR(VLOOKUP(C394,DG!A:C,3,0),"")</f>
        <v/>
      </c>
      <c r="F394" s="1850" t="e">
        <f>VLOOKUP(C394,DG!A:D,4,0)</f>
        <v>#N/A</v>
      </c>
      <c r="G394" s="1257"/>
      <c r="H394" s="1705">
        <f>IF(D394&lt;2000,COUNTIF($E$2:E394,E394),0)</f>
        <v>0</v>
      </c>
      <c r="I394" s="1711">
        <f t="shared" si="6"/>
        <v>0</v>
      </c>
    </row>
    <row r="395" spans="4:9" hidden="1">
      <c r="D395" s="1524">
        <f>IFERROR(VLOOKUP(C395,DG!A:F,6,0),3000)</f>
        <v>3000</v>
      </c>
      <c r="E395" s="1853" t="str">
        <f>IFERROR(VLOOKUP(C395,DG!A:C,3,0),"")</f>
        <v/>
      </c>
      <c r="F395" s="1850" t="e">
        <f>VLOOKUP(C395,DG!A:D,4,0)</f>
        <v>#N/A</v>
      </c>
      <c r="G395" s="1257"/>
      <c r="H395" s="1705">
        <f>IF(D395&lt;2000,COUNTIF($E$2:E395,E395),0)</f>
        <v>0</v>
      </c>
      <c r="I395" s="1711">
        <f t="shared" si="6"/>
        <v>0</v>
      </c>
    </row>
    <row r="396" spans="4:9" hidden="1">
      <c r="D396" s="1524">
        <f>IFERROR(VLOOKUP(C396,DG!A:F,6,0),3000)</f>
        <v>3000</v>
      </c>
      <c r="E396" s="1853" t="str">
        <f>IFERROR(VLOOKUP(C396,DG!A:C,3,0),"")</f>
        <v/>
      </c>
      <c r="F396" s="1850" t="e">
        <f>VLOOKUP(C396,DG!A:D,4,0)</f>
        <v>#N/A</v>
      </c>
      <c r="G396" s="1257"/>
      <c r="H396" s="1705">
        <f>IF(D396&lt;2000,COUNTIF($E$2:E396,E396),0)</f>
        <v>0</v>
      </c>
      <c r="I396" s="1711">
        <f t="shared" si="6"/>
        <v>0</v>
      </c>
    </row>
    <row r="397" spans="4:9" hidden="1">
      <c r="D397" s="1524">
        <f>IFERROR(VLOOKUP(C397,DG!A:F,6,0),3000)</f>
        <v>3000</v>
      </c>
      <c r="E397" s="1853" t="str">
        <f>IFERROR(VLOOKUP(C397,DG!A:C,3,0),"")</f>
        <v/>
      </c>
      <c r="F397" s="1850" t="e">
        <f>VLOOKUP(C397,DG!A:D,4,0)</f>
        <v>#N/A</v>
      </c>
      <c r="G397" s="1257"/>
      <c r="H397" s="1705">
        <f>IF(D397&lt;2000,COUNTIF($E$2:E397,E397),0)</f>
        <v>0</v>
      </c>
      <c r="I397" s="1711">
        <f t="shared" si="6"/>
        <v>0</v>
      </c>
    </row>
    <row r="398" spans="4:9" hidden="1">
      <c r="D398" s="1524">
        <f>IFERROR(VLOOKUP(C398,DG!A:F,6,0),3000)</f>
        <v>3000</v>
      </c>
      <c r="E398" s="1853" t="str">
        <f>IFERROR(VLOOKUP(C398,DG!A:C,3,0),"")</f>
        <v/>
      </c>
      <c r="F398" s="1850" t="e">
        <f>VLOOKUP(C398,DG!A:D,4,0)</f>
        <v>#N/A</v>
      </c>
      <c r="G398" s="1257"/>
      <c r="H398" s="1705">
        <f>IF(D398&lt;2000,COUNTIF($E$2:E398,E398),0)</f>
        <v>0</v>
      </c>
      <c r="I398" s="1711">
        <f t="shared" si="6"/>
        <v>0</v>
      </c>
    </row>
    <row r="399" spans="4:9" hidden="1">
      <c r="D399" s="1524">
        <f>IFERROR(VLOOKUP(C399,DG!A:F,6,0),3000)</f>
        <v>3000</v>
      </c>
      <c r="E399" s="1853" t="str">
        <f>IFERROR(VLOOKUP(C399,DG!A:C,3,0),"")</f>
        <v/>
      </c>
      <c r="F399" s="1850" t="e">
        <f>VLOOKUP(C399,DG!A:D,4,0)</f>
        <v>#N/A</v>
      </c>
      <c r="G399" s="1257"/>
      <c r="H399" s="1705">
        <f>IF(D399&lt;2000,COUNTIF($E$2:E399,E399),0)</f>
        <v>0</v>
      </c>
      <c r="I399" s="1711">
        <f t="shared" si="6"/>
        <v>0</v>
      </c>
    </row>
    <row r="400" spans="4:9" hidden="1">
      <c r="D400" s="1524">
        <f>IFERROR(VLOOKUP(C400,DG!A:F,6,0),3000)</f>
        <v>3000</v>
      </c>
      <c r="E400" s="1853" t="str">
        <f>IFERROR(VLOOKUP(C400,DG!A:C,3,0),"")</f>
        <v/>
      </c>
      <c r="F400" s="1850" t="e">
        <f>VLOOKUP(C400,DG!A:D,4,0)</f>
        <v>#N/A</v>
      </c>
      <c r="G400" s="1257"/>
      <c r="H400" s="1705">
        <f>IF(D400&lt;2000,COUNTIF($E$2:E400,E400),0)</f>
        <v>0</v>
      </c>
      <c r="I400" s="1711">
        <f t="shared" si="6"/>
        <v>0</v>
      </c>
    </row>
    <row r="401" spans="4:9" hidden="1">
      <c r="D401" s="1524">
        <f>IFERROR(VLOOKUP(C401,DG!A:F,6,0),3000)</f>
        <v>3000</v>
      </c>
      <c r="E401" s="1853" t="str">
        <f>IFERROR(VLOOKUP(C401,DG!A:C,3,0),"")</f>
        <v/>
      </c>
      <c r="F401" s="1850" t="e">
        <f>VLOOKUP(C401,DG!A:D,4,0)</f>
        <v>#N/A</v>
      </c>
      <c r="G401" s="1257"/>
      <c r="H401" s="1705">
        <f>IF(D401&lt;2000,COUNTIF($E$2:E401,E401),0)</f>
        <v>0</v>
      </c>
      <c r="I401" s="1711">
        <f t="shared" si="6"/>
        <v>0</v>
      </c>
    </row>
    <row r="402" spans="4:9" hidden="1">
      <c r="D402" s="1524">
        <f>IFERROR(VLOOKUP(C402,DG!A:F,6,0),3000)</f>
        <v>3000</v>
      </c>
      <c r="E402" s="1853" t="str">
        <f>IFERROR(VLOOKUP(C402,DG!A:C,3,0),"")</f>
        <v/>
      </c>
      <c r="F402" s="1850" t="e">
        <f>VLOOKUP(C402,DG!A:D,4,0)</f>
        <v>#N/A</v>
      </c>
      <c r="G402" s="1257"/>
      <c r="H402" s="1705">
        <f>IF(D402&lt;2000,COUNTIF($E$2:E402,E402),0)</f>
        <v>0</v>
      </c>
      <c r="I402" s="1711">
        <f t="shared" si="6"/>
        <v>0</v>
      </c>
    </row>
    <row r="403" spans="4:9" hidden="1">
      <c r="D403" s="1524">
        <f>IFERROR(VLOOKUP(C403,DG!A:F,6,0),3000)</f>
        <v>3000</v>
      </c>
      <c r="E403" s="1853" t="str">
        <f>IFERROR(VLOOKUP(C403,DG!A:C,3,0),"")</f>
        <v/>
      </c>
      <c r="F403" s="1850" t="e">
        <f>VLOOKUP(C403,DG!A:D,4,0)</f>
        <v>#N/A</v>
      </c>
      <c r="G403" s="1257"/>
      <c r="H403" s="1705">
        <f>IF(D403&lt;2000,COUNTIF($E$2:E403,E403),0)</f>
        <v>0</v>
      </c>
      <c r="I403" s="1711">
        <f t="shared" si="6"/>
        <v>0</v>
      </c>
    </row>
    <row r="404" spans="4:9" hidden="1">
      <c r="D404" s="1524">
        <f>IFERROR(VLOOKUP(C404,DG!A:F,6,0),3000)</f>
        <v>3000</v>
      </c>
      <c r="E404" s="1853" t="str">
        <f>IFERROR(VLOOKUP(C404,DG!A:C,3,0),"")</f>
        <v/>
      </c>
      <c r="F404" s="1850" t="e">
        <f>VLOOKUP(C404,DG!A:D,4,0)</f>
        <v>#N/A</v>
      </c>
      <c r="G404" s="1257"/>
      <c r="H404" s="1705">
        <f>IF(D404&lt;2000,COUNTIF($E$2:E404,E404),0)</f>
        <v>0</v>
      </c>
      <c r="I404" s="1711">
        <f t="shared" si="6"/>
        <v>0</v>
      </c>
    </row>
    <row r="405" spans="4:9" hidden="1">
      <c r="D405" s="1524">
        <f>IFERROR(VLOOKUP(C405,DG!A:F,6,0),3000)</f>
        <v>3000</v>
      </c>
      <c r="E405" s="1853" t="str">
        <f>IFERROR(VLOOKUP(C405,DG!A:C,3,0),"")</f>
        <v/>
      </c>
      <c r="F405" s="1850" t="e">
        <f>VLOOKUP(C405,DG!A:D,4,0)</f>
        <v>#N/A</v>
      </c>
      <c r="G405" s="1257"/>
      <c r="H405" s="1705">
        <f>IF(D405&lt;2000,COUNTIF($E$2:E405,E405),0)</f>
        <v>0</v>
      </c>
      <c r="I405" s="1711">
        <f t="shared" si="6"/>
        <v>0</v>
      </c>
    </row>
    <row r="406" spans="4:9" hidden="1">
      <c r="D406" s="1524">
        <f>IFERROR(VLOOKUP(C406,DG!A:F,6,0),3000)</f>
        <v>3000</v>
      </c>
      <c r="E406" s="1853" t="str">
        <f>IFERROR(VLOOKUP(C406,DG!A:C,3,0),"")</f>
        <v/>
      </c>
      <c r="F406" s="1850" t="e">
        <f>VLOOKUP(C406,DG!A:D,4,0)</f>
        <v>#N/A</v>
      </c>
      <c r="G406" s="1257"/>
      <c r="H406" s="1705">
        <f>IF(D406&lt;2000,COUNTIF($E$2:E406,E406),0)</f>
        <v>0</v>
      </c>
      <c r="I406" s="1711">
        <f t="shared" si="6"/>
        <v>0</v>
      </c>
    </row>
    <row r="407" spans="4:9" hidden="1">
      <c r="D407" s="1524">
        <f>IFERROR(VLOOKUP(C407,DG!A:F,6,0),3000)</f>
        <v>3000</v>
      </c>
      <c r="E407" s="1853" t="str">
        <f>IFERROR(VLOOKUP(C407,DG!A:C,3,0),"")</f>
        <v/>
      </c>
      <c r="F407" s="1850" t="e">
        <f>VLOOKUP(C407,DG!A:D,4,0)</f>
        <v>#N/A</v>
      </c>
      <c r="G407" s="1257"/>
      <c r="H407" s="1705">
        <f>IF(D407&lt;2000,COUNTIF($E$2:E407,E407),0)</f>
        <v>0</v>
      </c>
      <c r="I407" s="1711">
        <f t="shared" si="6"/>
        <v>0</v>
      </c>
    </row>
    <row r="408" spans="4:9" hidden="1">
      <c r="D408" s="1524">
        <f>IFERROR(VLOOKUP(C408,DG!A:F,6,0),3000)</f>
        <v>3000</v>
      </c>
      <c r="E408" s="1853" t="str">
        <f>IFERROR(VLOOKUP(C408,DG!A:C,3,0),"")</f>
        <v/>
      </c>
      <c r="F408" s="1850" t="e">
        <f>VLOOKUP(C408,DG!A:D,4,0)</f>
        <v>#N/A</v>
      </c>
      <c r="G408" s="1257"/>
      <c r="H408" s="1705">
        <f>IF(D408&lt;2000,COUNTIF($E$2:E408,E408),0)</f>
        <v>0</v>
      </c>
      <c r="I408" s="1711">
        <f t="shared" si="6"/>
        <v>0</v>
      </c>
    </row>
    <row r="409" spans="4:9" hidden="1">
      <c r="D409" s="1524">
        <f>IFERROR(VLOOKUP(C409,DG!A:F,6,0),3000)</f>
        <v>3000</v>
      </c>
      <c r="E409" s="1853" t="str">
        <f>IFERROR(VLOOKUP(C409,DG!A:C,3,0),"")</f>
        <v/>
      </c>
      <c r="F409" s="1850" t="e">
        <f>VLOOKUP(C409,DG!A:D,4,0)</f>
        <v>#N/A</v>
      </c>
      <c r="G409" s="1257"/>
      <c r="H409" s="1705">
        <f>IF(D409&lt;2000,COUNTIF($E$2:E409,E409),0)</f>
        <v>0</v>
      </c>
      <c r="I409" s="1711">
        <f t="shared" si="6"/>
        <v>0</v>
      </c>
    </row>
    <row r="410" spans="4:9" hidden="1"/>
  </sheetData>
  <autoFilter ref="A1:L410">
    <filterColumn colId="7">
      <filters>
        <filter val="1"/>
      </filters>
    </filterColumn>
    <sortState ref="A2:L410">
      <sortCondition ref="D1:D410"/>
    </sortState>
  </autoFilter>
  <conditionalFormatting sqref="E1:E1048576">
    <cfRule type="containsText" dxfId="16" priority="12" operator="containsText" text="phần">
      <formula>NOT(ISERROR(SEARCH("phần",E1)))</formula>
    </cfRule>
    <cfRule type="containsText" dxfId="15" priority="13" operator="containsText" text="bộ">
      <formula>NOT(ISERROR(SEARCH("bộ",E1)))</formula>
    </cfRule>
    <cfRule type="containsText" dxfId="14" priority="14" operator="containsText" text="đóng">
      <formula>NOT(ISERROR(SEARCH("đóng",E1)))</formula>
    </cfRule>
    <cfRule type="containsText" dxfId="13" priority="15" operator="containsText" text="kéo">
      <formula>NOT(ISERROR(SEARCH("kéo",E1)))</formula>
    </cfRule>
    <cfRule type="cellIs" dxfId="12" priority="16" operator="equal">
      <formula>"đóng"</formula>
    </cfRule>
    <cfRule type="containsText" dxfId="11" priority="17" operator="containsText" text="đổ">
      <formula>NOT(ISERROR(SEARCH("đổ",E1)))</formula>
    </cfRule>
    <cfRule type="containsText" dxfId="10" priority="18" operator="containsText" text="đắp">
      <formula>NOT(ISERROR(SEARCH("đắp",E1)))</formula>
    </cfRule>
    <cfRule type="containsText" dxfId="9" priority="19" operator="containsText" text="Đào">
      <formula>NOT(ISERROR(SEARCH("Đào",E1)))</formula>
    </cfRule>
  </conditionalFormatting>
  <conditionalFormatting sqref="C3">
    <cfRule type="duplicateValues" dxfId="8" priority="10"/>
  </conditionalFormatting>
  <conditionalFormatting sqref="C98:C99">
    <cfRule type="duplicateValues" dxfId="7" priority="1"/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J18" sqref="J18"/>
    </sheetView>
  </sheetViews>
  <sheetFormatPr defaultColWidth="8.90625" defaultRowHeight="24.9" customHeight="1"/>
  <cols>
    <col min="1" max="1" width="5.453125" style="989" customWidth="1"/>
    <col min="2" max="2" width="4.1796875" style="990" customWidth="1"/>
    <col min="3" max="3" width="22.81640625" style="1007" customWidth="1"/>
    <col min="4" max="4" width="6.36328125" style="1007" bestFit="1" customWidth="1"/>
    <col min="5" max="5" width="7.90625" style="990" customWidth="1"/>
    <col min="6" max="6" width="24.36328125" style="990" customWidth="1"/>
    <col min="7" max="7" width="23.81640625" style="990" customWidth="1"/>
    <col min="8" max="8" width="18.36328125" style="990" hidden="1" customWidth="1"/>
    <col min="9" max="9" width="1" style="990" hidden="1" customWidth="1"/>
    <col min="10" max="10" width="13.90625" style="990" customWidth="1"/>
    <col min="11" max="11" width="10.36328125" style="1008" customWidth="1"/>
    <col min="12" max="12" width="14.1796875" style="990" customWidth="1"/>
    <col min="13" max="13" width="9.90625" style="1009" customWidth="1"/>
    <col min="14" max="14" width="6.81640625" style="990" customWidth="1"/>
    <col min="15" max="15" width="8.90625" style="990"/>
    <col min="16" max="16" width="12.81640625" style="1004" customWidth="1"/>
    <col min="17" max="17" width="12.81640625" style="1727" customWidth="1"/>
    <col min="18" max="18" width="10.81640625" style="991" customWidth="1"/>
    <col min="19" max="19" width="5.36328125" style="991" customWidth="1"/>
    <col min="20" max="20" width="54.36328125" style="991" customWidth="1"/>
    <col min="21" max="27" width="8.90625" style="991"/>
    <col min="28" max="16384" width="8.90625" style="935"/>
  </cols>
  <sheetData>
    <row r="1" spans="1:27" s="948" customFormat="1" ht="27" customHeight="1">
      <c r="A1" s="1864"/>
      <c r="B1" s="2616" t="s">
        <v>4359</v>
      </c>
      <c r="C1" s="2616"/>
      <c r="D1" s="2616"/>
      <c r="E1" s="2616"/>
      <c r="F1" s="2616"/>
      <c r="G1" s="2616"/>
      <c r="H1" s="2616"/>
      <c r="I1" s="2616"/>
      <c r="J1" s="2616"/>
      <c r="K1" s="2617"/>
      <c r="L1" s="2616"/>
      <c r="M1" s="2616"/>
      <c r="N1" s="2616"/>
      <c r="O1" s="1501"/>
      <c r="P1" s="1803"/>
      <c r="Q1" s="1804" t="s">
        <v>4360</v>
      </c>
      <c r="R1" s="1503">
        <v>42358</v>
      </c>
      <c r="S1" s="1504"/>
      <c r="T1" s="1504"/>
      <c r="U1" s="1504"/>
      <c r="V1" s="1504"/>
      <c r="W1" s="1504"/>
      <c r="X1" s="1504"/>
      <c r="Y1" s="1504"/>
      <c r="Z1" s="1504"/>
      <c r="AA1" s="1504"/>
    </row>
    <row r="2" spans="1:27" s="948" customFormat="1" ht="20.25" customHeight="1">
      <c r="A2" s="1864"/>
      <c r="B2" s="1501"/>
      <c r="C2" s="1502" t="str">
        <f>"         Công trình: "&amp;WORD!W2</f>
        <v xml:space="preserve">         Công trình: Nâng cấp đường dây trung thế từ recloser Xuân Bắc đến LBS khí Chế Biến tuyến 480 Xuân Bắc</v>
      </c>
      <c r="D2" s="1502"/>
      <c r="E2" s="1502"/>
      <c r="F2" s="1502"/>
      <c r="G2" s="1502"/>
      <c r="H2" s="1805"/>
      <c r="I2" s="1805"/>
      <c r="J2" s="1502"/>
      <c r="K2" s="1502"/>
      <c r="L2" s="1502"/>
      <c r="M2" s="1502"/>
      <c r="N2" s="1505"/>
      <c r="O2" s="1501"/>
      <c r="P2" s="1501"/>
      <c r="Q2" s="1806"/>
      <c r="R2" s="1506">
        <v>42362</v>
      </c>
      <c r="S2" s="1504"/>
      <c r="T2" s="1504"/>
      <c r="U2" s="1504"/>
      <c r="V2" s="1504"/>
      <c r="W2" s="1504"/>
      <c r="X2" s="1504"/>
      <c r="Y2" s="1504"/>
      <c r="Z2" s="1504"/>
      <c r="AA2" s="1504"/>
    </row>
    <row r="3" spans="1:27" s="1508" customFormat="1" ht="22.5" customHeight="1">
      <c r="A3" s="1865"/>
      <c r="B3" s="2618" t="str">
        <f>WORD!U2&amp;", ngày            tháng           năm 2019"</f>
        <v>Xuân Bắc, ngày            tháng           năm 2019</v>
      </c>
      <c r="C3" s="2618"/>
      <c r="D3" s="2618"/>
      <c r="E3" s="2618"/>
      <c r="F3" s="2618"/>
      <c r="G3" s="2618"/>
      <c r="H3" s="2619"/>
      <c r="I3" s="2619"/>
      <c r="J3" s="2618"/>
      <c r="K3" s="2620"/>
      <c r="L3" s="2618"/>
      <c r="M3" s="2618"/>
      <c r="N3" s="2618"/>
      <c r="O3" s="1139"/>
      <c r="P3" s="1139"/>
      <c r="Q3" s="1807"/>
      <c r="R3" s="1507"/>
      <c r="S3" s="1507"/>
      <c r="T3" s="1507"/>
      <c r="U3" s="1507"/>
      <c r="V3" s="1507"/>
      <c r="W3" s="1507"/>
      <c r="X3" s="1507"/>
      <c r="Y3" s="1507"/>
      <c r="Z3" s="1507"/>
      <c r="AA3" s="1507"/>
    </row>
    <row r="4" spans="1:27" s="993" customFormat="1" ht="44.25" customHeight="1">
      <c r="A4" s="1866"/>
      <c r="B4" s="2615" t="s">
        <v>1761</v>
      </c>
      <c r="C4" s="2615" t="s">
        <v>4361</v>
      </c>
      <c r="D4" s="2615" t="s">
        <v>4362</v>
      </c>
      <c r="E4" s="2615" t="s">
        <v>4363</v>
      </c>
      <c r="F4" s="2615" t="s">
        <v>4364</v>
      </c>
      <c r="G4" s="2615" t="s">
        <v>4365</v>
      </c>
      <c r="H4" s="2615" t="s">
        <v>4756</v>
      </c>
      <c r="I4" s="2615"/>
      <c r="J4" s="2615" t="s">
        <v>4366</v>
      </c>
      <c r="K4" s="2621"/>
      <c r="L4" s="2615" t="s">
        <v>4367</v>
      </c>
      <c r="M4" s="2615"/>
      <c r="N4" s="1780" t="s">
        <v>4368</v>
      </c>
      <c r="O4" s="1793"/>
      <c r="P4" s="1729" t="s">
        <v>4742</v>
      </c>
      <c r="Q4" s="1730"/>
      <c r="R4" s="1792"/>
      <c r="S4" s="992"/>
      <c r="T4" s="992"/>
      <c r="U4" s="992"/>
      <c r="V4" s="992"/>
      <c r="W4" s="992"/>
      <c r="X4" s="992"/>
      <c r="Y4" s="992"/>
      <c r="Z4" s="992"/>
      <c r="AA4" s="992"/>
    </row>
    <row r="5" spans="1:27" s="993" customFormat="1" ht="24.9" customHeight="1">
      <c r="A5" s="1866"/>
      <c r="B5" s="2615"/>
      <c r="C5" s="2615"/>
      <c r="D5" s="2615"/>
      <c r="E5" s="2615"/>
      <c r="F5" s="2615"/>
      <c r="G5" s="2615"/>
      <c r="H5" s="1498" t="s">
        <v>4369</v>
      </c>
      <c r="I5" s="1498" t="s">
        <v>4370</v>
      </c>
      <c r="J5" s="1780" t="s">
        <v>4369</v>
      </c>
      <c r="K5" s="1782" t="s">
        <v>4370</v>
      </c>
      <c r="L5" s="1780" t="s">
        <v>4371</v>
      </c>
      <c r="M5" s="1717" t="s">
        <v>4370</v>
      </c>
      <c r="N5" s="1498"/>
      <c r="O5" s="1499">
        <v>1</v>
      </c>
      <c r="P5" s="1732"/>
      <c r="Q5" s="1728"/>
      <c r="R5" s="1792"/>
      <c r="S5" s="992"/>
      <c r="T5" s="992"/>
      <c r="U5" s="992"/>
      <c r="V5" s="992"/>
      <c r="W5" s="992"/>
      <c r="X5" s="992"/>
      <c r="Y5" s="992"/>
      <c r="Z5" s="992"/>
      <c r="AA5" s="992"/>
    </row>
    <row r="6" spans="1:27" s="993" customFormat="1" ht="35.1" customHeight="1">
      <c r="A6" s="1867" t="s">
        <v>4956</v>
      </c>
      <c r="B6" s="2133">
        <v>1</v>
      </c>
      <c r="C6" s="2134" t="str">
        <f>(VLOOKUP(A6,DG!A:C,3,0))</f>
        <v>Trụ BTLT 12m F540 dự ứng lực (k=2)</v>
      </c>
      <c r="D6" s="2135" t="str">
        <f>IFERROR(VLOOKUP(A6,DG!A:D,4,0),0)</f>
        <v>trụ</v>
      </c>
      <c r="E6" s="2136">
        <f>SUMIF(TongHopKL!C:C,'NT-VT'!A6,TongHopKL!G:G)</f>
        <v>96</v>
      </c>
      <c r="F6" s="2133" t="str">
        <f>IFERROR(VLOOKUP(A6,Solieu!G:M,2,0),"nt")</f>
        <v>Cty Cổ phần Bê tông ly tâm Thủ Đức</v>
      </c>
      <c r="G6" s="2133" t="str">
        <f>IFERROR(VLOOKUP(A6,Solieu!G:M,3,0),"nt")</f>
        <v>Cty Cổ phần Bê tông ly tâm Thủ Đức</v>
      </c>
      <c r="H6" s="2133"/>
      <c r="I6" s="2137"/>
      <c r="J6" s="2138" t="str">
        <f>IFERROR(VLOOKUP(A6,Solieu!G:M,4,0),"nt")</f>
        <v>264/GCN/BTTĐ</v>
      </c>
      <c r="K6" s="2139">
        <f>IFERROR(VLOOKUP(A6,Solieu!G:M,5,0),"nt")</f>
        <v>43685</v>
      </c>
      <c r="L6" s="2140" t="str">
        <f>IFERROR(VLOOKUP(A6,Solieu!G:M,6,0),"nt")</f>
        <v/>
      </c>
      <c r="M6" s="2137">
        <f>IFERROR(VLOOKUP(A6,Solieu!G:M,7,0),"nt")</f>
        <v>0</v>
      </c>
      <c r="N6" s="1498" t="s">
        <v>4373</v>
      </c>
      <c r="O6" s="1795">
        <f>IF(E6&gt;0,1,0)</f>
        <v>1</v>
      </c>
      <c r="P6" s="52">
        <f>VLOOKUP(A6,TongHopKL!C:J,8,0)</f>
        <v>0</v>
      </c>
      <c r="Q6" s="1731"/>
      <c r="R6" s="1796"/>
      <c r="S6" s="994"/>
      <c r="T6" s="994"/>
      <c r="U6" s="992"/>
      <c r="V6" s="992"/>
      <c r="W6" s="992"/>
      <c r="X6" s="992"/>
      <c r="Y6" s="992"/>
      <c r="Z6" s="992"/>
      <c r="AA6" s="992"/>
    </row>
    <row r="7" spans="1:27" s="993" customFormat="1" ht="35.1" customHeight="1">
      <c r="A7" s="1867" t="s">
        <v>108</v>
      </c>
      <c r="B7" s="2133">
        <f>B6+1</f>
        <v>2</v>
      </c>
      <c r="C7" s="2134" t="str">
        <f>(VLOOKUP(A7,DG!A:C,3,0))</f>
        <v>Trụ BTLT 14m F650 dự ứng lực</v>
      </c>
      <c r="D7" s="2135" t="str">
        <f>IFERROR(VLOOKUP(A7,DG!A:D,4,0),0)</f>
        <v>trụ</v>
      </c>
      <c r="E7" s="2136">
        <f>SUMIF(TongHopKL!C:C,'NT-VT'!A7,TongHopKL!G:G)</f>
        <v>15</v>
      </c>
      <c r="F7" s="2133" t="str">
        <f>IFERROR(VLOOKUP(A7,Solieu!G:M,2,0),"nt")</f>
        <v>Cty Cổ phần Bê tông ly tâm Thủ Đức</v>
      </c>
      <c r="G7" s="2133" t="str">
        <f>IFERROR(VLOOKUP(A7,Solieu!G:M,3,0),"nt")</f>
        <v>Cty Cổ phần Bê tông ly tâm Thủ Đức</v>
      </c>
      <c r="H7" s="2133"/>
      <c r="I7" s="2137"/>
      <c r="J7" s="2138" t="str">
        <f>IFERROR(VLOOKUP(A7,Solieu!G:M,4,0),"nt")</f>
        <v>264/GCN/BTTĐ</v>
      </c>
      <c r="K7" s="2139">
        <f>IFERROR(VLOOKUP(A7,Solieu!G:M,5,0),"nt")</f>
        <v>43685</v>
      </c>
      <c r="L7" s="2140" t="str">
        <f>IFERROR(VLOOKUP(A7,Solieu!G:M,6,0),"nt")</f>
        <v/>
      </c>
      <c r="M7" s="2137">
        <f>IFERROR(VLOOKUP(A7,Solieu!G:M,7,0),"nt")</f>
        <v>0</v>
      </c>
      <c r="N7" s="1498" t="s">
        <v>4373</v>
      </c>
      <c r="O7" s="1795">
        <f t="shared" ref="O7:O70" si="0">IF(E7&gt;0,1,0)</f>
        <v>1</v>
      </c>
      <c r="P7" s="52">
        <f>VLOOKUP(A7,TongHopKL!C:J,8,0)</f>
        <v>0</v>
      </c>
      <c r="Q7" s="1731"/>
      <c r="R7" s="1796"/>
      <c r="S7" s="994"/>
      <c r="T7" s="995"/>
      <c r="U7" s="992"/>
      <c r="V7" s="992"/>
      <c r="W7" s="992"/>
      <c r="X7" s="992"/>
      <c r="Y7" s="992"/>
      <c r="Z7" s="992"/>
      <c r="AA7" s="992"/>
    </row>
    <row r="8" spans="1:27" s="993" customFormat="1" ht="35.1" customHeight="1">
      <c r="A8" s="1867" t="s">
        <v>703</v>
      </c>
      <c r="B8" s="2133">
        <f t="shared" ref="B8:B73" si="1">B7+1</f>
        <v>3</v>
      </c>
      <c r="C8" s="2134" t="str">
        <f>(VLOOKUP(A8,DG!A:C,3,0))</f>
        <v xml:space="preserve">Sứ đứng 24KV </v>
      </c>
      <c r="D8" s="2135" t="str">
        <f>IFERROR(VLOOKUP(A8,DG!A:D,4,0),0)</f>
        <v>cái</v>
      </c>
      <c r="E8" s="2136">
        <f>SUMIF(TongHopKL!C:C,'NT-VT'!A8,TongHopKL!G:G)</f>
        <v>591</v>
      </c>
      <c r="F8" s="2133" t="str">
        <f>IFERROR(VLOOKUP(A8,Solieu!G:M,2,0),"nt")</f>
        <v>Cty CP Sứ kỹ thuật Hoàng Liên Sơn</v>
      </c>
      <c r="G8" s="2133" t="str">
        <f>IFERROR(VLOOKUP(A8,Solieu!G:M,3,0),"nt")</f>
        <v>Cty TNHH Cao Linh</v>
      </c>
      <c r="H8" s="2133"/>
      <c r="I8" s="2137"/>
      <c r="J8" s="2138" t="str">
        <f>IFERROR(VLOOKUP(A8,Solieu!G:M,4,0),"nt")</f>
        <v>29619/CL</v>
      </c>
      <c r="K8" s="2139">
        <f>IFERROR(VLOOKUP(A8,Solieu!G:M,5,0),"nt")</f>
        <v>43660</v>
      </c>
      <c r="L8" s="2140" t="str">
        <f>IFERROR(VLOOKUP(A8,Solieu!G:M,6,0),"nt")</f>
        <v>19/4021/TN2-10</v>
      </c>
      <c r="M8" s="2137">
        <f>IFERROR(VLOOKUP(A8,Solieu!G:M,7,0),"nt")</f>
        <v>43713</v>
      </c>
      <c r="N8" s="1498" t="s">
        <v>4373</v>
      </c>
      <c r="O8" s="1795">
        <f t="shared" si="0"/>
        <v>1</v>
      </c>
      <c r="P8" s="52">
        <f>VLOOKUP(A8,TongHopKL!C:J,8,0)</f>
        <v>0</v>
      </c>
      <c r="Q8" s="1731"/>
      <c r="R8" s="1796"/>
      <c r="S8" s="994"/>
      <c r="T8" s="995"/>
      <c r="U8" s="992"/>
      <c r="V8" s="992"/>
      <c r="W8" s="992"/>
      <c r="X8" s="992"/>
      <c r="Y8" s="992"/>
      <c r="Z8" s="992"/>
      <c r="AA8" s="992"/>
    </row>
    <row r="9" spans="1:27" s="993" customFormat="1" ht="35.1" customHeight="1">
      <c r="A9" s="1867" t="s">
        <v>1558</v>
      </c>
      <c r="B9" s="2133">
        <f t="shared" si="1"/>
        <v>4</v>
      </c>
      <c r="C9" s="2134" t="str">
        <f>(VLOOKUP(A9,DG!A:C,3,0))</f>
        <v>Sứ treo polymer</v>
      </c>
      <c r="D9" s="2135" t="str">
        <f>IFERROR(VLOOKUP(A9,DG!A:D,4,0),0)</f>
        <v>chuỗi</v>
      </c>
      <c r="E9" s="2136">
        <f>SUMIF(TongHopKL!C:C,'NT-VT'!A9,TongHopKL!G:G)</f>
        <v>93</v>
      </c>
      <c r="F9" s="2133" t="str">
        <f>IFERROR(VLOOKUP(A9,Solieu!G:M,2,0),"nt")</f>
        <v>DTR/Korea</v>
      </c>
      <c r="G9" s="2133" t="str">
        <f>IFERROR(VLOOKUP(A9,Solieu!G:M,3,0),"nt")</f>
        <v>Cty TNHH Cao Linh</v>
      </c>
      <c r="H9" s="2133"/>
      <c r="I9" s="2137"/>
      <c r="J9" s="2138">
        <f>IFERROR(VLOOKUP(A9,Solieu!G:M,4,0),"nt")</f>
        <v>0</v>
      </c>
      <c r="K9" s="2139">
        <f>IFERROR(VLOOKUP(A9,Solieu!G:M,5,0),"nt")</f>
        <v>0</v>
      </c>
      <c r="L9" s="2140">
        <f>IFERROR(VLOOKUP(A9,Solieu!G:M,6,0),"nt")</f>
        <v>0</v>
      </c>
      <c r="M9" s="2137">
        <f>IFERROR(VLOOKUP(A9,Solieu!G:M,7,0),"nt")</f>
        <v>0</v>
      </c>
      <c r="N9" s="1498" t="s">
        <v>4373</v>
      </c>
      <c r="O9" s="1795">
        <f t="shared" si="0"/>
        <v>1</v>
      </c>
      <c r="P9" s="52">
        <f>VLOOKUP(A9,TongHopKL!C:J,8,0)</f>
        <v>0</v>
      </c>
      <c r="Q9" s="1731"/>
      <c r="R9" s="1792"/>
      <c r="S9" s="992"/>
      <c r="T9" s="995"/>
      <c r="U9" s="992"/>
      <c r="V9" s="992"/>
      <c r="W9" s="992"/>
      <c r="X9" s="992"/>
      <c r="Y9" s="992"/>
      <c r="Z9" s="992"/>
      <c r="AA9" s="992"/>
    </row>
    <row r="10" spans="1:27" s="993" customFormat="1" ht="35.1" customHeight="1">
      <c r="A10" s="1867" t="s">
        <v>4977</v>
      </c>
      <c r="B10" s="2133">
        <f t="shared" si="1"/>
        <v>5</v>
      </c>
      <c r="C10" s="2134" t="str">
        <f>(VLOOKUP(A10,DG!A:C,3,0))</f>
        <v>LTD 1P 24KV - 600A</v>
      </c>
      <c r="D10" s="2135" t="str">
        <f>IFERROR(VLOOKUP(A10,DG!A:D,4,0),0)</f>
        <v>cái</v>
      </c>
      <c r="E10" s="2136">
        <f>SUMIF(TongHopKL!C:C,'NT-VT'!A10,TongHopKL!G:G)</f>
        <v>6</v>
      </c>
      <c r="F10" s="2133" t="str">
        <f>IFERROR(VLOOKUP(A10,Solieu!G:M,2,0),"nt")</f>
        <v>Cty TNHH TM SX Thiết bị điện Tuấn Ân</v>
      </c>
      <c r="G10" s="2133" t="str">
        <f>IFERROR(VLOOKUP(A10,Solieu!G:M,3,0),"nt")</f>
        <v>Cty TNHH TM SX Thiết bị điện Tuấn Ân</v>
      </c>
      <c r="H10" s="2133"/>
      <c r="I10" s="2137"/>
      <c r="J10" s="2138" t="str">
        <f>IFERROR(VLOOKUP(A10,Solieu!G:M,4,0),"nt")</f>
        <v>MN13LTD/XXTA</v>
      </c>
      <c r="K10" s="2139">
        <f>IFERROR(VLOOKUP(A10,Solieu!G:M,5,0),"nt")</f>
        <v>43631</v>
      </c>
      <c r="L10" s="2140" t="str">
        <f>IFERROR(VLOOKUP(A10,Solieu!G:M,6,0),"nt")</f>
        <v>06006/BB-WVN</v>
      </c>
      <c r="M10" s="2137">
        <f>IFERROR(VLOOKUP(A10,Solieu!G:M,7,0),"nt")</f>
        <v>43665</v>
      </c>
      <c r="N10" s="1498" t="s">
        <v>4373</v>
      </c>
      <c r="O10" s="1795">
        <f t="shared" si="0"/>
        <v>1</v>
      </c>
      <c r="P10" s="52">
        <f>VLOOKUP(A10,TongHopKL!C:J,8,0)</f>
        <v>0</v>
      </c>
      <c r="Q10" s="1731"/>
      <c r="R10" s="1792"/>
      <c r="S10" s="992"/>
      <c r="T10" s="995"/>
      <c r="U10" s="992"/>
      <c r="V10" s="992"/>
      <c r="W10" s="992"/>
      <c r="X10" s="992"/>
      <c r="Y10" s="992"/>
      <c r="Z10" s="992"/>
      <c r="AA10" s="992"/>
    </row>
    <row r="11" spans="1:27" s="1497" customFormat="1" ht="35.1" customHeight="1">
      <c r="A11" s="2171" t="s">
        <v>1520</v>
      </c>
      <c r="B11" s="2133">
        <f t="shared" si="1"/>
        <v>6</v>
      </c>
      <c r="C11" s="2134" t="str">
        <f>(VLOOKUP(A11,DG!A:C,3,0))</f>
        <v>Cáp 24KV C/XLPE/PVC 150mm2</v>
      </c>
      <c r="D11" s="2135" t="str">
        <f>IFERROR(VLOOKUP(A11,DG!A:D,4,0),0)</f>
        <v>mét</v>
      </c>
      <c r="E11" s="2136">
        <f>SUMIF(TongHopKL!C:C,'NT-VT'!A11,TongHopKL!G:G)</f>
        <v>24</v>
      </c>
      <c r="F11" s="2133">
        <f>IFERROR(VLOOKUP(A11,Solieu!G:M,2,0),"nt")</f>
        <v>0</v>
      </c>
      <c r="G11" s="2133">
        <f>IFERROR(VLOOKUP(A11,Solieu!G:M,3,0),"nt")</f>
        <v>0</v>
      </c>
      <c r="H11" s="2133"/>
      <c r="I11" s="2137"/>
      <c r="J11" s="2138">
        <f>IFERROR(VLOOKUP(A11,Solieu!G:M,4,0),"nt")</f>
        <v>0</v>
      </c>
      <c r="K11" s="2139">
        <f>IFERROR(VLOOKUP(A11,Solieu!G:M,5,0),"nt")</f>
        <v>0</v>
      </c>
      <c r="L11" s="2140">
        <f>IFERROR(VLOOKUP(A11,Solieu!G:M,6,0),"nt")</f>
        <v>0</v>
      </c>
      <c r="M11" s="2137">
        <f>IFERROR(VLOOKUP(A11,Solieu!G:M,7,0),"nt")</f>
        <v>0</v>
      </c>
      <c r="N11" s="1498" t="s">
        <v>4373</v>
      </c>
      <c r="O11" s="1795">
        <f t="shared" si="0"/>
        <v>1</v>
      </c>
      <c r="P11" s="52">
        <f>VLOOKUP(A11,TongHopKL!C:J,8,0)</f>
        <v>0</v>
      </c>
      <c r="Q11" s="1731"/>
      <c r="R11" s="1496"/>
      <c r="S11" s="1495"/>
      <c r="T11" s="1495"/>
      <c r="U11" s="1495"/>
      <c r="V11" s="1495"/>
      <c r="W11" s="1495"/>
      <c r="X11" s="1495"/>
      <c r="Y11" s="1495"/>
      <c r="Z11" s="1495"/>
      <c r="AA11" s="1495"/>
    </row>
    <row r="12" spans="1:27" s="1497" customFormat="1" ht="35.1" customHeight="1">
      <c r="A12" s="2171" t="s">
        <v>704</v>
      </c>
      <c r="B12" s="2133">
        <f t="shared" si="1"/>
        <v>7</v>
      </c>
      <c r="C12" s="2134" t="str">
        <f>(VLOOKUP(A12,DG!A:C,3,0))</f>
        <v>Cáp 24KV C/XLPE/PVC 25mm2</v>
      </c>
      <c r="D12" s="2135" t="str">
        <f>IFERROR(VLOOKUP(A12,DG!A:D,4,0),0)</f>
        <v>mét</v>
      </c>
      <c r="E12" s="2136">
        <f>SUMIF(TongHopKL!C:C,'NT-VT'!A12,TongHopKL!G:G)</f>
        <v>59</v>
      </c>
      <c r="F12" s="2133">
        <f>IFERROR(VLOOKUP(A12,Solieu!G:M,2,0),"nt")</f>
        <v>0</v>
      </c>
      <c r="G12" s="2133">
        <f>IFERROR(VLOOKUP(A12,Solieu!G:M,3,0),"nt")</f>
        <v>0</v>
      </c>
      <c r="H12" s="2133"/>
      <c r="I12" s="2137"/>
      <c r="J12" s="2138">
        <f>IFERROR(VLOOKUP(A12,Solieu!G:M,4,0),"nt")</f>
        <v>0</v>
      </c>
      <c r="K12" s="2139">
        <f>IFERROR(VLOOKUP(A12,Solieu!G:M,5,0),"nt")</f>
        <v>0</v>
      </c>
      <c r="L12" s="2140"/>
      <c r="M12" s="2137"/>
      <c r="N12" s="1498" t="s">
        <v>4373</v>
      </c>
      <c r="O12" s="1795">
        <f t="shared" si="0"/>
        <v>1</v>
      </c>
      <c r="P12" s="52">
        <f>VLOOKUP(A12,TongHopKL!C:J,8,0)</f>
        <v>0</v>
      </c>
      <c r="Q12" s="1731"/>
      <c r="R12" s="1496"/>
      <c r="S12" s="1495"/>
      <c r="T12" s="1495"/>
      <c r="U12" s="1495"/>
      <c r="V12" s="1495"/>
      <c r="W12" s="1495"/>
      <c r="X12" s="1495"/>
      <c r="Y12" s="1495"/>
      <c r="Z12" s="1495"/>
      <c r="AA12" s="1495"/>
    </row>
    <row r="13" spans="1:27" s="1497" customFormat="1" ht="35.1" customHeight="1">
      <c r="A13" s="2171" t="s">
        <v>103</v>
      </c>
      <c r="B13" s="2133">
        <f t="shared" si="1"/>
        <v>8</v>
      </c>
      <c r="C13" s="2134" t="str">
        <f>(VLOOKUP(A13,DG!A:C,3,0))</f>
        <v>Cáp đồng trần M25mm2</v>
      </c>
      <c r="D13" s="2135" t="str">
        <f>IFERROR(VLOOKUP(A13,DG!A:D,4,0),0)</f>
        <v>kg</v>
      </c>
      <c r="E13" s="2136">
        <f>SUMIF(TongHopKL!C:C,'NT-VT'!A13,TongHopKL!G:G)</f>
        <v>60.510000000000005</v>
      </c>
      <c r="F13" s="2133">
        <f>IFERROR(VLOOKUP(A13,Solieu!G:M,2,0),"nt")</f>
        <v>0</v>
      </c>
      <c r="G13" s="2133">
        <f>IFERROR(VLOOKUP(A13,Solieu!G:M,3,0),"nt")</f>
        <v>0</v>
      </c>
      <c r="H13" s="2133"/>
      <c r="I13" s="2137"/>
      <c r="J13" s="2138">
        <f>IFERROR(VLOOKUP(A13,Solieu!G:M,4,0),"nt")</f>
        <v>0</v>
      </c>
      <c r="K13" s="2139">
        <f>IFERROR(VLOOKUP(A13,Solieu!G:M,5,0),"nt")</f>
        <v>0</v>
      </c>
      <c r="L13" s="2140"/>
      <c r="M13" s="2137"/>
      <c r="N13" s="1498" t="s">
        <v>4373</v>
      </c>
      <c r="O13" s="1795">
        <f t="shared" si="0"/>
        <v>1</v>
      </c>
      <c r="P13" s="52">
        <f>VLOOKUP(A13,TongHopKL!C:J,8,0)</f>
        <v>0</v>
      </c>
      <c r="Q13" s="1731"/>
      <c r="R13" s="1496"/>
      <c r="S13" s="1495"/>
      <c r="T13" s="1495"/>
      <c r="U13" s="1495"/>
      <c r="V13" s="1495"/>
      <c r="W13" s="1495"/>
      <c r="X13" s="1495"/>
      <c r="Y13" s="1495"/>
      <c r="Z13" s="1495"/>
      <c r="AA13" s="1495"/>
    </row>
    <row r="14" spans="1:27" s="1497" customFormat="1" ht="35.1" customHeight="1">
      <c r="A14" s="1868" t="s">
        <v>543</v>
      </c>
      <c r="B14" s="2133">
        <f t="shared" si="1"/>
        <v>9</v>
      </c>
      <c r="C14" s="2134" t="str">
        <f>(VLOOKUP(A14,DG!A:C,3,0))</f>
        <v>Cáp nhôm lõi thép AC-120/19</v>
      </c>
      <c r="D14" s="2135" t="str">
        <f>IFERROR(VLOOKUP(A14,DG!A:D,4,0),0)</f>
        <v>kg</v>
      </c>
      <c r="E14" s="2136">
        <f>SUMIF(TongHopKL!C:C,'NT-VT'!A14,TongHopKL!G:G)</f>
        <v>2985.1980000000008</v>
      </c>
      <c r="F14" s="2133" t="str">
        <f>IFERROR(VLOOKUP(A14,Solieu!G:M,2,0),"nt")</f>
        <v>Cty CP Dây cáp điện Việt Nam</v>
      </c>
      <c r="G14" s="2133" t="str">
        <f>IFERROR(VLOOKUP(A14,Solieu!G:M,3,0),"nt")</f>
        <v>Cty CP Dây cáp điện Việt Nam</v>
      </c>
      <c r="H14" s="2133"/>
      <c r="I14" s="2137"/>
      <c r="J14" s="2138" t="str">
        <f>IFERROR(VLOOKUP(A14,Solieu!G:M,4,0),"nt")</f>
        <v>2659.19/CN-QLCL</v>
      </c>
      <c r="K14" s="2139">
        <f>IFERROR(VLOOKUP(A14,Solieu!G:M,5,0),"nt")</f>
        <v>43682</v>
      </c>
      <c r="L14" s="2140"/>
      <c r="M14" s="2137"/>
      <c r="N14" s="1498" t="s">
        <v>4373</v>
      </c>
      <c r="O14" s="1795">
        <f t="shared" si="0"/>
        <v>1</v>
      </c>
      <c r="P14" s="52">
        <f>VLOOKUP(A14,TongHopKL!C:J,8,0)</f>
        <v>0</v>
      </c>
      <c r="Q14" s="1731"/>
      <c r="R14" s="1732"/>
      <c r="S14" s="1732"/>
      <c r="T14" s="1500"/>
      <c r="U14" s="1495"/>
      <c r="V14" s="1495"/>
      <c r="W14" s="1495"/>
      <c r="X14" s="1495"/>
      <c r="Y14" s="1495"/>
      <c r="Z14" s="1495"/>
      <c r="AA14" s="1495"/>
    </row>
    <row r="15" spans="1:27" s="993" customFormat="1" ht="35.1" customHeight="1">
      <c r="A15" s="1869" t="s">
        <v>1061</v>
      </c>
      <c r="B15" s="2133">
        <f t="shared" si="1"/>
        <v>10</v>
      </c>
      <c r="C15" s="2134" t="str">
        <f>(VLOOKUP(A15,DG!A:C,3,0))</f>
        <v>Cáp 24KV A/XLPE/PVC 185mm2</v>
      </c>
      <c r="D15" s="2135" t="str">
        <f>IFERROR(VLOOKUP(A15,DG!A:D,4,0),0)</f>
        <v>mét</v>
      </c>
      <c r="E15" s="2136">
        <f>SUMIF(TongHopKL!C:C,'NT-VT'!A15,TongHopKL!G:G)</f>
        <v>19014.000000000007</v>
      </c>
      <c r="F15" s="2133">
        <f>IFERROR(VLOOKUP(A15,Solieu!G:M,2,0),"nt")</f>
        <v>0</v>
      </c>
      <c r="G15" s="2133">
        <f>IFERROR(VLOOKUP(A15,Solieu!G:M,3,0),"nt")</f>
        <v>0</v>
      </c>
      <c r="H15" s="2133" t="s">
        <v>4383</v>
      </c>
      <c r="I15" s="2137">
        <v>42219</v>
      </c>
      <c r="J15" s="2138">
        <f>IFERROR(VLOOKUP(A15,Solieu!G:M,4,0),"nt")</f>
        <v>0</v>
      </c>
      <c r="K15" s="2139">
        <f>IFERROR(VLOOKUP(A15,Solieu!G:M,5,0),"nt")</f>
        <v>0</v>
      </c>
      <c r="L15" s="2140"/>
      <c r="M15" s="2137"/>
      <c r="N15" s="1498" t="s">
        <v>4373</v>
      </c>
      <c r="O15" s="1795">
        <f t="shared" si="0"/>
        <v>1</v>
      </c>
      <c r="P15" s="52">
        <f>VLOOKUP(A15,TongHopKL!C:J,8,0)</f>
        <v>0</v>
      </c>
      <c r="Q15" s="1731"/>
      <c r="R15" s="1796"/>
      <c r="S15" s="994"/>
      <c r="T15" s="995"/>
      <c r="U15" s="992"/>
      <c r="V15" s="992"/>
      <c r="W15" s="992"/>
      <c r="X15" s="992"/>
      <c r="Y15" s="992"/>
      <c r="Z15" s="992"/>
      <c r="AA15" s="992"/>
    </row>
    <row r="16" spans="1:27" s="993" customFormat="1" ht="35.1" customHeight="1">
      <c r="A16" s="1869" t="s">
        <v>276</v>
      </c>
      <c r="B16" s="2133">
        <f t="shared" si="1"/>
        <v>11</v>
      </c>
      <c r="C16" s="2134" t="str">
        <f>(VLOOKUP(A16,DG!A:C,3,0))</f>
        <v>Cáp thép 3/8"</v>
      </c>
      <c r="D16" s="2135" t="str">
        <f>IFERROR(VLOOKUP(A16,DG!A:D,4,0),0)</f>
        <v>kg</v>
      </c>
      <c r="E16" s="2136">
        <f>SUMIF(TongHopKL!C:C,'NT-VT'!A16,TongHopKL!G:G)</f>
        <v>30</v>
      </c>
      <c r="F16" s="2133" t="str">
        <f>IFERROR(VLOOKUP(A16,Solieu!G:M,2,0),"nt")</f>
        <v>Cty CP Dây cáp điện Việt Nam</v>
      </c>
      <c r="G16" s="2133" t="str">
        <f>IFERROR(VLOOKUP(A16,Solieu!G:M,3,0),"nt")</f>
        <v>Cty CP Dây cáp điện Việt Nam</v>
      </c>
      <c r="H16" s="2133" t="s">
        <v>4383</v>
      </c>
      <c r="I16" s="2137">
        <v>42219</v>
      </c>
      <c r="J16" s="2138" t="str">
        <f>IFERROR(VLOOKUP(A16,Solieu!G:M,4,0),"nt")</f>
        <v>2659.19/CN-QLCL</v>
      </c>
      <c r="K16" s="2139">
        <f>IFERROR(VLOOKUP(A16,Solieu!G:M,5,0),"nt")</f>
        <v>43682</v>
      </c>
      <c r="L16" s="2140"/>
      <c r="M16" s="2137"/>
      <c r="N16" s="1498" t="s">
        <v>4373</v>
      </c>
      <c r="O16" s="1795">
        <f t="shared" si="0"/>
        <v>1</v>
      </c>
      <c r="P16" s="52">
        <f>VLOOKUP(A16,TongHopKL!C:J,8,0)</f>
        <v>0</v>
      </c>
      <c r="Q16" s="1731"/>
      <c r="R16" s="1732"/>
      <c r="S16" s="1733"/>
      <c r="T16" s="992"/>
      <c r="U16" s="992"/>
      <c r="V16" s="992"/>
      <c r="W16" s="992"/>
      <c r="X16" s="992"/>
      <c r="Y16" s="992"/>
      <c r="Z16" s="992"/>
      <c r="AA16" s="992"/>
    </row>
    <row r="17" spans="1:27" s="993" customFormat="1" ht="35.1" customHeight="1">
      <c r="A17" s="1870" t="s">
        <v>1392</v>
      </c>
      <c r="B17" s="2133">
        <f t="shared" si="1"/>
        <v>12</v>
      </c>
      <c r="C17" s="2134" t="str">
        <f>(VLOOKUP(A17,DG!A:C,3,0))</f>
        <v>Cáp thép 5/8"</v>
      </c>
      <c r="D17" s="2135" t="str">
        <f>IFERROR(VLOOKUP(A17,DG!A:D,4,0),0)</f>
        <v>kg</v>
      </c>
      <c r="E17" s="2136">
        <f>SUMIF(TongHopKL!C:C,'NT-VT'!A17,TongHopKL!G:G)</f>
        <v>248</v>
      </c>
      <c r="F17" s="2133" t="str">
        <f>IFERROR(VLOOKUP(A17,Solieu!G:M,2,0),"nt")</f>
        <v>Cty CP Dây cáp điện Việt Nam</v>
      </c>
      <c r="G17" s="2133" t="str">
        <f>IFERROR(VLOOKUP(A17,Solieu!G:M,3,0),"nt")</f>
        <v>Cty CP Dây cáp điện Việt Nam</v>
      </c>
      <c r="H17" s="2133" t="s">
        <v>4383</v>
      </c>
      <c r="I17" s="2137">
        <v>42219</v>
      </c>
      <c r="J17" s="2138" t="str">
        <f>IFERROR(VLOOKUP(A17,Solieu!G:M,4,0),"nt")</f>
        <v>2659.19/CN-QLCL</v>
      </c>
      <c r="K17" s="2139">
        <f>IFERROR(VLOOKUP(A17,Solieu!G:M,5,0),"nt")</f>
        <v>43682</v>
      </c>
      <c r="L17" s="2140"/>
      <c r="M17" s="2137"/>
      <c r="N17" s="1498" t="s">
        <v>4373</v>
      </c>
      <c r="O17" s="1795">
        <f t="shared" si="0"/>
        <v>1</v>
      </c>
      <c r="P17" s="52">
        <f>VLOOKUP(A17,TongHopKL!C:J,8,0)</f>
        <v>0</v>
      </c>
      <c r="Q17" s="1731"/>
      <c r="R17" s="1796"/>
      <c r="S17" s="992"/>
      <c r="T17" s="992"/>
      <c r="U17" s="992"/>
      <c r="V17" s="992"/>
      <c r="W17" s="992"/>
      <c r="X17" s="992"/>
      <c r="Y17" s="992"/>
      <c r="Z17" s="992"/>
      <c r="AA17" s="992"/>
    </row>
    <row r="18" spans="1:27" s="993" customFormat="1" ht="35.1" customHeight="1">
      <c r="A18" s="1870" t="s">
        <v>4964</v>
      </c>
      <c r="B18" s="2133">
        <f t="shared" si="1"/>
        <v>13</v>
      </c>
      <c r="C18" s="2134" t="str">
        <f>(VLOOKUP(A18,DG!A:C,3,0))</f>
        <v>Cáp nhôm lõi thép bọc 24KV AC/XLPE50 mm2</v>
      </c>
      <c r="D18" s="2135" t="str">
        <f>IFERROR(VLOOKUP(A18,DG!A:D,4,0),0)</f>
        <v>mét</v>
      </c>
      <c r="E18" s="2136">
        <f>SUMIF(TongHopKL!C:C,'NT-VT'!A18,TongHopKL!G:G)</f>
        <v>159</v>
      </c>
      <c r="F18" s="2133">
        <f>IFERROR(VLOOKUP(A18,Solieu!G:M,2,0),"nt")</f>
        <v>0</v>
      </c>
      <c r="G18" s="2133">
        <f>IFERROR(VLOOKUP(A18,Solieu!G:M,3,0),"nt")</f>
        <v>0</v>
      </c>
      <c r="H18" s="2133" t="s">
        <v>4383</v>
      </c>
      <c r="I18" s="2137">
        <v>42219</v>
      </c>
      <c r="J18" s="2138">
        <f>IFERROR(VLOOKUP(A18,Solieu!G:M,4,0),"nt")</f>
        <v>0</v>
      </c>
      <c r="K18" s="2139">
        <f>IFERROR(VLOOKUP(A18,Solieu!G:M,5,0),"nt")</f>
        <v>0</v>
      </c>
      <c r="L18" s="2140"/>
      <c r="M18" s="2137"/>
      <c r="N18" s="1498" t="s">
        <v>4373</v>
      </c>
      <c r="O18" s="1795">
        <f t="shared" si="0"/>
        <v>1</v>
      </c>
      <c r="P18" s="52">
        <f>VLOOKUP(A18,TongHopKL!C:J,8,0)</f>
        <v>0</v>
      </c>
      <c r="Q18" s="1728"/>
      <c r="R18" s="1796"/>
      <c r="S18" s="992"/>
      <c r="T18" s="992"/>
      <c r="U18" s="992"/>
      <c r="V18" s="992"/>
      <c r="W18" s="992"/>
      <c r="X18" s="992"/>
      <c r="Y18" s="992"/>
      <c r="Z18" s="992"/>
      <c r="AA18" s="992"/>
    </row>
    <row r="19" spans="1:27" s="993" customFormat="1" ht="35.1" customHeight="1">
      <c r="A19" s="1869" t="s">
        <v>1661</v>
      </c>
      <c r="B19" s="2133">
        <f t="shared" si="1"/>
        <v>14</v>
      </c>
      <c r="C19" s="2134" t="str">
        <f>(VLOOKUP(A19,DG!A:C,3,0))</f>
        <v>Boulon 16x250+ 2 long đền vuông D18-50x50x3/Zn</v>
      </c>
      <c r="D19" s="2135" t="str">
        <f>IFERROR(VLOOKUP(A19,DG!A:D,4,0),0)</f>
        <v>bộ</v>
      </c>
      <c r="E19" s="2136">
        <f>SUMIF(TongHopKL!C:C,'NT-VT'!A19,TongHopKL!G:G)</f>
        <v>302</v>
      </c>
      <c r="F19" s="2133" t="str">
        <f>IFERROR(VLOOKUP(A19,Solieu!G:M,2,0),"nt")</f>
        <v>Cty TNHH Liên Minh Phát</v>
      </c>
      <c r="G19" s="2133" t="str">
        <f>IFERROR(VLOOKUP(A19,Solieu!G:M,3,0),"nt")</f>
        <v>Cty TNHH Liên Minh Phát</v>
      </c>
      <c r="H19" s="2133" t="s">
        <v>4383</v>
      </c>
      <c r="I19" s="2137">
        <v>42219</v>
      </c>
      <c r="J19" s="2138" t="str">
        <f>IFERROR(VLOOKUP(A19,Solieu!G:M,4,0),"nt")</f>
        <v>23.05/BBNTXX.ĐLXL</v>
      </c>
      <c r="K19" s="2139">
        <f>IFERROR(VLOOKUP(A19,Solieu!G:M,5,0),"nt")</f>
        <v>43608</v>
      </c>
      <c r="L19" s="2140"/>
      <c r="M19" s="2137"/>
      <c r="N19" s="1498" t="s">
        <v>4373</v>
      </c>
      <c r="O19" s="1795">
        <f t="shared" si="0"/>
        <v>1</v>
      </c>
      <c r="P19" s="52">
        <f>VLOOKUP(A19,TongHopKL!C:J,8,0)</f>
        <v>0</v>
      </c>
      <c r="Q19" s="1728"/>
      <c r="R19" s="1796"/>
      <c r="S19" s="992"/>
      <c r="T19" s="992"/>
      <c r="U19" s="992"/>
      <c r="V19" s="992"/>
      <c r="W19" s="992"/>
      <c r="X19" s="992"/>
      <c r="Y19" s="992"/>
      <c r="Z19" s="992"/>
      <c r="AA19" s="992"/>
    </row>
    <row r="20" spans="1:27" s="993" customFormat="1" ht="35.1" hidden="1" customHeight="1">
      <c r="A20" s="1869" t="s">
        <v>1662</v>
      </c>
      <c r="B20" s="2133">
        <f t="shared" si="1"/>
        <v>15</v>
      </c>
      <c r="C20" s="2134" t="str">
        <f>(VLOOKUP(A20,DG!A:C,3,0))</f>
        <v>Boulon 16x300+ 2 long đền vuông D18-50x50x3/Zn</v>
      </c>
      <c r="D20" s="2135" t="str">
        <f>IFERROR(VLOOKUP(A20,DG!A:D,4,0),0)</f>
        <v>bộ</v>
      </c>
      <c r="E20" s="2136">
        <f>SUMIF(TongHopKL!C:C,'NT-VT'!A20,TongHopKL!G:G)</f>
        <v>231</v>
      </c>
      <c r="F20" s="2133" t="str">
        <f>IFERROR(VLOOKUP(A20,Solieu!G:M,2,0),"nt")</f>
        <v>Cty TNHH Liên Minh Phát</v>
      </c>
      <c r="G20" s="2133" t="str">
        <f>IFERROR(VLOOKUP(A20,Solieu!G:M,3,0),"nt")</f>
        <v>Cty TNHH Liên Minh Phát</v>
      </c>
      <c r="H20" s="2133"/>
      <c r="I20" s="2137"/>
      <c r="J20" s="2138" t="str">
        <f>IFERROR(VLOOKUP(A20,Solieu!G:M,4,0),"nt")</f>
        <v>23.05/BBNTXX.ĐLXL</v>
      </c>
      <c r="K20" s="2139">
        <f>IFERROR(VLOOKUP(A20,Solieu!G:M,5,0),"nt")</f>
        <v>43608</v>
      </c>
      <c r="L20" s="2140"/>
      <c r="M20" s="2137"/>
      <c r="N20" s="1498" t="s">
        <v>4373</v>
      </c>
      <c r="O20" s="1795">
        <f t="shared" si="0"/>
        <v>1</v>
      </c>
      <c r="P20" s="52">
        <f>VLOOKUP(A20,TongHopKL!C:J,8,0)</f>
        <v>0</v>
      </c>
      <c r="Q20" s="1728"/>
      <c r="R20" s="1796"/>
      <c r="S20" s="994"/>
      <c r="T20" s="994"/>
      <c r="U20" s="992"/>
      <c r="V20" s="992"/>
      <c r="W20" s="992"/>
      <c r="X20" s="992"/>
      <c r="Y20" s="992"/>
      <c r="Z20" s="992"/>
      <c r="AA20" s="992"/>
    </row>
    <row r="21" spans="1:27" s="993" customFormat="1" ht="35.1" customHeight="1">
      <c r="A21" s="1869" t="s">
        <v>418</v>
      </c>
      <c r="B21" s="2133">
        <f t="shared" si="1"/>
        <v>16</v>
      </c>
      <c r="C21" s="2134" t="str">
        <f>(VLOOKUP(A21,DG!A:C,3,0))</f>
        <v>Boulon 16x300VRS+ 4 long đền vuông D18-50x50x3/Zn</v>
      </c>
      <c r="D21" s="2135" t="str">
        <f>IFERROR(VLOOKUP(A21,DG!A:D,4,0),0)</f>
        <v>bộ</v>
      </c>
      <c r="E21" s="2136">
        <f>SUMIF(TongHopKL!C:C,'NT-VT'!A21,TongHopKL!G:G)</f>
        <v>44</v>
      </c>
      <c r="F21" s="2133" t="str">
        <f>IFERROR(VLOOKUP(A21,Solieu!G:M,2,0),"nt")</f>
        <v>Cty TNHH Liên Minh Phát</v>
      </c>
      <c r="G21" s="2133" t="str">
        <f>IFERROR(VLOOKUP(A21,Solieu!G:M,3,0),"nt")</f>
        <v>Cty TNHH Liên Minh Phát</v>
      </c>
      <c r="H21" s="2138" t="s">
        <v>4800</v>
      </c>
      <c r="I21" s="2139">
        <v>42374</v>
      </c>
      <c r="J21" s="2138" t="str">
        <f>IFERROR(VLOOKUP(A21,Solieu!G:M,4,0),"nt")</f>
        <v>23.05/BBNTXX.ĐLXL</v>
      </c>
      <c r="K21" s="2139">
        <f>IFERROR(VLOOKUP(A21,Solieu!G:M,5,0),"nt")</f>
        <v>43608</v>
      </c>
      <c r="L21" s="2140"/>
      <c r="M21" s="2137"/>
      <c r="N21" s="1498" t="s">
        <v>4373</v>
      </c>
      <c r="O21" s="1795">
        <f t="shared" si="0"/>
        <v>1</v>
      </c>
      <c r="P21" s="1494"/>
      <c r="Q21" s="1728"/>
      <c r="R21" s="1796"/>
      <c r="S21" s="994"/>
      <c r="T21" s="995"/>
      <c r="U21" s="992"/>
      <c r="V21" s="992"/>
      <c r="W21" s="992"/>
      <c r="X21" s="992"/>
      <c r="Y21" s="992"/>
      <c r="Z21" s="992"/>
      <c r="AA21" s="992"/>
    </row>
    <row r="22" spans="1:27" s="993" customFormat="1" ht="35.1" customHeight="1">
      <c r="A22" s="1870" t="s">
        <v>1839</v>
      </c>
      <c r="B22" s="2133">
        <f t="shared" si="1"/>
        <v>17</v>
      </c>
      <c r="C22" s="2134" t="str">
        <f>(VLOOKUP(A22,DG!A:C,3,0))</f>
        <v>Boulon 16x50+ 2 long đền vuông D18-50x50x3/Zn</v>
      </c>
      <c r="D22" s="2135" t="str">
        <f>IFERROR(VLOOKUP(A22,DG!A:D,4,0),0)</f>
        <v>bộ</v>
      </c>
      <c r="E22" s="2136">
        <f>SUMIF(TongHopKL!C:C,'NT-VT'!A22,TongHopKL!G:G)</f>
        <v>227</v>
      </c>
      <c r="F22" s="2133" t="str">
        <f>IFERROR(VLOOKUP(A22,Solieu!G:M,2,0),"nt")</f>
        <v>Cty TNHH Liên Minh Phát</v>
      </c>
      <c r="G22" s="2133" t="str">
        <f>IFERROR(VLOOKUP(A22,Solieu!G:M,3,0),"nt")</f>
        <v>Cty TNHH Liên Minh Phát</v>
      </c>
      <c r="H22" s="2133"/>
      <c r="I22" s="2137"/>
      <c r="J22" s="2138" t="str">
        <f>IFERROR(VLOOKUP(A22,Solieu!G:M,4,0),"nt")</f>
        <v>23.05/BBNTXX.ĐLXL</v>
      </c>
      <c r="K22" s="2139">
        <f>IFERROR(VLOOKUP(A22,Solieu!G:M,5,0),"nt")</f>
        <v>43608</v>
      </c>
      <c r="L22" s="2140"/>
      <c r="M22" s="2137"/>
      <c r="N22" s="1498" t="s">
        <v>4373</v>
      </c>
      <c r="O22" s="1795">
        <f t="shared" si="0"/>
        <v>1</v>
      </c>
      <c r="P22" s="1494"/>
      <c r="Q22" s="1728"/>
      <c r="R22" s="1796"/>
      <c r="S22" s="992"/>
      <c r="T22" s="992"/>
      <c r="U22" s="992"/>
      <c r="V22" s="992"/>
      <c r="W22" s="992"/>
      <c r="X22" s="992"/>
      <c r="Y22" s="992"/>
      <c r="Z22" s="992"/>
      <c r="AA22" s="992"/>
    </row>
    <row r="23" spans="1:27" s="993" customFormat="1" ht="35.1" customHeight="1">
      <c r="A23" s="1867" t="s">
        <v>1591</v>
      </c>
      <c r="B23" s="2133">
        <f t="shared" si="1"/>
        <v>18</v>
      </c>
      <c r="C23" s="2134" t="str">
        <f>(VLOOKUP(A23,DG!A:C,3,0))</f>
        <v>Boulon 16x500+ 2 long đền vuông D18-50x50x3/Zn</v>
      </c>
      <c r="D23" s="2135" t="str">
        <f>IFERROR(VLOOKUP(A23,DG!A:D,4,0),0)</f>
        <v>bộ</v>
      </c>
      <c r="E23" s="2136">
        <f>SUMIF(TongHopKL!C:C,'NT-VT'!A23,TongHopKL!G:G)</f>
        <v>20</v>
      </c>
      <c r="F23" s="2133" t="str">
        <f>IFERROR(VLOOKUP(A23,Solieu!G:M,2,0),"nt")</f>
        <v>Cty TNHH Liên Minh Phát</v>
      </c>
      <c r="G23" s="2133" t="str">
        <f>IFERROR(VLOOKUP(A23,Solieu!G:M,3,0),"nt")</f>
        <v>Cty TNHH Liên Minh Phát</v>
      </c>
      <c r="H23" s="2138" t="s">
        <v>4384</v>
      </c>
      <c r="I23" s="2139" t="s">
        <v>4384</v>
      </c>
      <c r="J23" s="2138"/>
      <c r="K23" s="2139"/>
      <c r="L23" s="2141"/>
      <c r="M23" s="2137"/>
      <c r="N23" s="1498" t="s">
        <v>4373</v>
      </c>
      <c r="O23" s="1795">
        <f t="shared" si="0"/>
        <v>1</v>
      </c>
      <c r="P23" s="1494"/>
      <c r="Q23" s="1728"/>
      <c r="R23" s="1796"/>
      <c r="S23" s="992"/>
      <c r="T23" s="992"/>
      <c r="U23" s="992"/>
      <c r="V23" s="992"/>
      <c r="W23" s="992"/>
      <c r="X23" s="992"/>
      <c r="Y23" s="992"/>
      <c r="Z23" s="992"/>
      <c r="AA23" s="992"/>
    </row>
    <row r="24" spans="1:27" s="993" customFormat="1" ht="35.1" customHeight="1">
      <c r="A24" s="1870" t="s">
        <v>1198</v>
      </c>
      <c r="B24" s="2133">
        <f t="shared" si="1"/>
        <v>19</v>
      </c>
      <c r="C24" s="2134" t="str">
        <f>(VLOOKUP(A24,DG!A:C,3,0))</f>
        <v>Boulon 16x500VRS+ 4 long đền vuông D18-50x50x3/Zn</v>
      </c>
      <c r="D24" s="2135" t="str">
        <f>IFERROR(VLOOKUP(A24,DG!A:D,4,0),0)</f>
        <v>bộ</v>
      </c>
      <c r="E24" s="2136">
        <f>SUMIF(TongHopKL!C:C,'NT-VT'!A24,TongHopKL!G:G)</f>
        <v>0</v>
      </c>
      <c r="F24" s="2133" t="str">
        <f>IFERROR(VLOOKUP(A24,Solieu!G:M,2,0),"nt")</f>
        <v>Cty TNHH Liên Minh Phát</v>
      </c>
      <c r="G24" s="2133" t="str">
        <f>IFERROR(VLOOKUP(A24,Solieu!G:M,3,0),"nt")</f>
        <v>Cty TNHH Liên Minh Phát</v>
      </c>
      <c r="H24" s="2133"/>
      <c r="I24" s="2137"/>
      <c r="J24" s="2138"/>
      <c r="K24" s="2139"/>
      <c r="L24" s="2141"/>
      <c r="M24" s="2142"/>
      <c r="N24" s="1498" t="s">
        <v>4373</v>
      </c>
      <c r="O24" s="1795">
        <f t="shared" si="0"/>
        <v>0</v>
      </c>
      <c r="P24" s="1494"/>
      <c r="Q24" s="1728"/>
      <c r="R24" s="1796"/>
      <c r="S24" s="992"/>
      <c r="T24" s="992"/>
      <c r="U24" s="992"/>
      <c r="V24" s="992"/>
      <c r="W24" s="992"/>
      <c r="X24" s="992"/>
      <c r="Y24" s="992"/>
      <c r="Z24" s="992"/>
      <c r="AA24" s="992"/>
    </row>
    <row r="25" spans="1:27" s="993" customFormat="1" ht="35.1" customHeight="1">
      <c r="A25" s="1870" t="s">
        <v>1414</v>
      </c>
      <c r="B25" s="2133">
        <f t="shared" si="1"/>
        <v>20</v>
      </c>
      <c r="C25" s="2134" t="str">
        <f>(VLOOKUP(A25,DG!A:C,3,0))</f>
        <v>Boulon 16x550VRS+ 4 long đền vuông D18-50x50x3/Zn</v>
      </c>
      <c r="D25" s="2135" t="str">
        <f>IFERROR(VLOOKUP(A25,DG!A:D,4,0),0)</f>
        <v>bộ</v>
      </c>
      <c r="E25" s="2136">
        <f>SUMIF(TongHopKL!C:C,'NT-VT'!A25,TongHopKL!G:G)</f>
        <v>50</v>
      </c>
      <c r="F25" s="2133" t="str">
        <f>IFERROR(VLOOKUP(A25,Solieu!G:M,2,0),"nt")</f>
        <v>Cty TNHH Liên Minh Phát</v>
      </c>
      <c r="G25" s="2133" t="str">
        <f>IFERROR(VLOOKUP(A25,Solieu!G:M,3,0),"nt")</f>
        <v>Cty TNHH Liên Minh Phát</v>
      </c>
      <c r="H25" s="2133"/>
      <c r="I25" s="2137"/>
      <c r="J25" s="2138"/>
      <c r="K25" s="2139"/>
      <c r="L25" s="2141"/>
      <c r="M25" s="2142"/>
      <c r="N25" s="1498" t="s">
        <v>4373</v>
      </c>
      <c r="O25" s="1795">
        <f t="shared" si="0"/>
        <v>1</v>
      </c>
      <c r="P25" s="1494"/>
      <c r="Q25" s="1728"/>
      <c r="R25" s="1796"/>
      <c r="S25" s="992"/>
      <c r="T25" s="992"/>
      <c r="U25" s="992"/>
      <c r="V25" s="992"/>
      <c r="W25" s="992"/>
      <c r="X25" s="992"/>
      <c r="Y25" s="992"/>
      <c r="Z25" s="992"/>
      <c r="AA25" s="992"/>
    </row>
    <row r="26" spans="1:27" s="993" customFormat="1" ht="35.1" customHeight="1">
      <c r="A26" s="1869" t="s">
        <v>1592</v>
      </c>
      <c r="B26" s="2133">
        <f t="shared" si="1"/>
        <v>21</v>
      </c>
      <c r="C26" s="2134" t="str">
        <f>(VLOOKUP(A26,DG!A:C,3,0))</f>
        <v>Boulon 16x650VRS+ 4 long đền vuông D18-50x50x3/Zn</v>
      </c>
      <c r="D26" s="2135" t="str">
        <f>IFERROR(VLOOKUP(A26,DG!A:D,4,0),0)</f>
        <v>bộ</v>
      </c>
      <c r="E26" s="2136">
        <f>SUMIF(TongHopKL!C:C,'NT-VT'!A26,TongHopKL!G:G)</f>
        <v>10</v>
      </c>
      <c r="F26" s="2133" t="str">
        <f>IFERROR(VLOOKUP(A26,Solieu!G:M,2,0),"nt")</f>
        <v>Cty TNHH Liên Minh Phát</v>
      </c>
      <c r="G26" s="2133" t="str">
        <f>IFERROR(VLOOKUP(A26,Solieu!G:M,3,0),"nt")</f>
        <v>Cty TNHH Liên Minh Phát</v>
      </c>
      <c r="H26" s="2133"/>
      <c r="I26" s="2137"/>
      <c r="J26" s="2138" t="str">
        <f>IFERROR(VLOOKUP(A26,Solieu!G:M,4,0),"nt")</f>
        <v>23.05/BBNTXX.ĐLXL</v>
      </c>
      <c r="K26" s="2139">
        <f>IFERROR(VLOOKUP(A26,Solieu!G:M,5,0),"nt")</f>
        <v>43608</v>
      </c>
      <c r="L26" s="2141"/>
      <c r="M26" s="2142"/>
      <c r="N26" s="1498" t="s">
        <v>4373</v>
      </c>
      <c r="O26" s="1795">
        <f t="shared" si="0"/>
        <v>1</v>
      </c>
      <c r="P26" s="1494"/>
      <c r="Q26" s="1728"/>
      <c r="R26" s="1796"/>
      <c r="S26" s="992"/>
      <c r="T26" s="992"/>
      <c r="U26" s="992"/>
      <c r="V26" s="992"/>
      <c r="W26" s="992"/>
      <c r="X26" s="992"/>
      <c r="Y26" s="992"/>
      <c r="Z26" s="992"/>
      <c r="AA26" s="992"/>
    </row>
    <row r="27" spans="1:27" s="993" customFormat="1" ht="35.1" customHeight="1">
      <c r="A27" s="1869" t="s">
        <v>4953</v>
      </c>
      <c r="B27" s="2133">
        <f t="shared" si="1"/>
        <v>22</v>
      </c>
      <c r="C27" s="2134" t="str">
        <f>(VLOOKUP(A27,DG!A:C,3,0))</f>
        <v>Boulon 16x750VRS+ 4 long đền vuông D18-50x50x3/Zn</v>
      </c>
      <c r="D27" s="2135" t="str">
        <f>IFERROR(VLOOKUP(A27,DG!A:D,4,0),0)</f>
        <v>bộ</v>
      </c>
      <c r="E27" s="2136">
        <f>SUMIF(TongHopKL!C:C,'NT-VT'!A27,TongHopKL!G:G)</f>
        <v>10</v>
      </c>
      <c r="F27" s="2133" t="str">
        <f>IFERROR(VLOOKUP(A27,Solieu!G:M,2,0),"nt")</f>
        <v>Cty TNHH Liên Minh Phát</v>
      </c>
      <c r="G27" s="2133" t="str">
        <f>IFERROR(VLOOKUP(A27,Solieu!G:M,3,0),"nt")</f>
        <v>Cty TNHH Liên Minh Phát</v>
      </c>
      <c r="H27" s="2133"/>
      <c r="I27" s="2137"/>
      <c r="J27" s="2138" t="str">
        <f>IFERROR(VLOOKUP(A27,Solieu!G:M,4,0),"nt")</f>
        <v>23.05/BBNTXX.ĐLXL</v>
      </c>
      <c r="K27" s="2139">
        <f>IFERROR(VLOOKUP(A27,Solieu!G:M,5,0),"nt")</f>
        <v>43608</v>
      </c>
      <c r="L27" s="2141"/>
      <c r="M27" s="2143"/>
      <c r="N27" s="1498" t="s">
        <v>4373</v>
      </c>
      <c r="O27" s="1795">
        <f t="shared" si="0"/>
        <v>1</v>
      </c>
      <c r="P27" s="1494"/>
      <c r="Q27" s="1728"/>
      <c r="R27" s="1796"/>
      <c r="S27" s="992"/>
      <c r="T27" s="992"/>
      <c r="U27" s="992"/>
      <c r="V27" s="992"/>
      <c r="W27" s="992"/>
      <c r="X27" s="992"/>
      <c r="Y27" s="992"/>
      <c r="Z27" s="992"/>
      <c r="AA27" s="992"/>
    </row>
    <row r="28" spans="1:27" s="993" customFormat="1" ht="35.1" customHeight="1">
      <c r="A28" s="1869" t="s">
        <v>570</v>
      </c>
      <c r="B28" s="2133">
        <f t="shared" si="1"/>
        <v>23</v>
      </c>
      <c r="C28" s="2134" t="str">
        <f>(VLOOKUP(A28,DG!A:C,3,0))</f>
        <v>Boulon 22x650+ 2 long đền vuông D24-50x50x3/Zn</v>
      </c>
      <c r="D28" s="2135" t="str">
        <f>IFERROR(VLOOKUP(A28,DG!A:D,4,0),0)</f>
        <v>bộ</v>
      </c>
      <c r="E28" s="2136">
        <f>SUMIF(TongHopKL!C:C,'NT-VT'!A28,TongHopKL!G:G)</f>
        <v>55</v>
      </c>
      <c r="F28" s="2133" t="str">
        <f>IFERROR(VLOOKUP(A28,Solieu!G:M,2,0),"nt")</f>
        <v>Cty TNHH Liên Minh Phát</v>
      </c>
      <c r="G28" s="2133" t="str">
        <f>IFERROR(VLOOKUP(A28,Solieu!G:M,3,0),"nt")</f>
        <v>Cty TNHH Liên Minh Phát</v>
      </c>
      <c r="H28" s="2133"/>
      <c r="I28" s="2137"/>
      <c r="J28" s="2138" t="str">
        <f>IFERROR(VLOOKUP(A28,Solieu!G:M,4,0),"nt")</f>
        <v>23.05/BBNTXX.ĐLXL</v>
      </c>
      <c r="K28" s="2139">
        <f>IFERROR(VLOOKUP(A28,Solieu!G:M,5,0),"nt")</f>
        <v>43608</v>
      </c>
      <c r="L28" s="2141"/>
      <c r="M28" s="2142"/>
      <c r="N28" s="1498" t="s">
        <v>4373</v>
      </c>
      <c r="O28" s="1795">
        <f t="shared" si="0"/>
        <v>1</v>
      </c>
      <c r="P28" s="1494"/>
      <c r="Q28" s="1728"/>
      <c r="R28" s="1796"/>
      <c r="S28" s="992"/>
      <c r="T28" s="992"/>
      <c r="U28" s="992"/>
      <c r="V28" s="992"/>
      <c r="W28" s="992"/>
      <c r="X28" s="992"/>
      <c r="Y28" s="992"/>
      <c r="Z28" s="992"/>
      <c r="AA28" s="992"/>
    </row>
    <row r="29" spans="1:27" s="993" customFormat="1" ht="35.1" customHeight="1">
      <c r="A29" s="1869" t="s">
        <v>420</v>
      </c>
      <c r="B29" s="2133">
        <f t="shared" si="1"/>
        <v>24</v>
      </c>
      <c r="C29" s="2134" t="str">
        <f>(VLOOKUP(A29,DG!A:C,3,0))</f>
        <v>Boulon mắt 16x300+ 2 long đền vuông D18-50x50x3/Zn</v>
      </c>
      <c r="D29" s="2135" t="str">
        <f>IFERROR(VLOOKUP(A29,DG!A:D,4,0),0)</f>
        <v>bộ</v>
      </c>
      <c r="E29" s="2144">
        <f>SUMIF(TongHopKL!C:C,'NT-VT'!A29,TongHopKL!G:G)</f>
        <v>48</v>
      </c>
      <c r="F29" s="2133" t="str">
        <f>IFERROR(VLOOKUP(A29,Solieu!G:M,2,0),"nt")</f>
        <v>Cty TNHH Liên Minh Phát</v>
      </c>
      <c r="G29" s="2133" t="str">
        <f>IFERROR(VLOOKUP(A29,Solieu!G:M,3,0),"nt")</f>
        <v>Cty TNHH Liên Minh Phát</v>
      </c>
      <c r="H29" s="2133"/>
      <c r="I29" s="2137"/>
      <c r="J29" s="2138" t="str">
        <f>IFERROR(VLOOKUP(A29,Solieu!G:M,4,0),"nt")</f>
        <v>23.05/BBNTXX.ĐLXL</v>
      </c>
      <c r="K29" s="2139">
        <f>IFERROR(VLOOKUP(A29,Solieu!G:M,5,0),"nt")</f>
        <v>43608</v>
      </c>
      <c r="L29" s="2141"/>
      <c r="M29" s="2143"/>
      <c r="N29" s="1498" t="s">
        <v>4373</v>
      </c>
      <c r="O29" s="1795">
        <f t="shared" si="0"/>
        <v>1</v>
      </c>
      <c r="P29" s="1494"/>
      <c r="Q29" s="1728"/>
      <c r="R29" s="1796"/>
      <c r="S29" s="992"/>
      <c r="T29" s="992"/>
      <c r="U29" s="992"/>
      <c r="V29" s="992"/>
      <c r="W29" s="992"/>
      <c r="X29" s="992"/>
      <c r="Y29" s="992"/>
      <c r="Z29" s="992"/>
      <c r="AA29" s="992"/>
    </row>
    <row r="30" spans="1:27" s="993" customFormat="1" ht="39.75" customHeight="1">
      <c r="A30" s="1869" t="s">
        <v>837</v>
      </c>
      <c r="B30" s="2133">
        <f t="shared" si="1"/>
        <v>25</v>
      </c>
      <c r="C30" s="2134" t="str">
        <f>(VLOOKUP(A30,DG!A:C,3,0))</f>
        <v>Boulon móc 16x300+ long đền vuông D18-50x50x3/Zn</v>
      </c>
      <c r="D30" s="2135" t="str">
        <f>IFERROR(VLOOKUP(A30,DG!A:D,4,0),0)</f>
        <v>bộ</v>
      </c>
      <c r="E30" s="2144">
        <f>SUMIF(TongHopKL!C:C,'NT-VT'!A30,TongHopKL!G:G)</f>
        <v>42</v>
      </c>
      <c r="F30" s="2133" t="str">
        <f>IFERROR(VLOOKUP(A30,Solieu!G:M,2,0),"nt")</f>
        <v>Cty TNHH Liên Minh Phát</v>
      </c>
      <c r="G30" s="2133" t="str">
        <f>IFERROR(VLOOKUP(A30,Solieu!G:M,3,0),"nt")</f>
        <v>Cty TNHH Liên Minh Phát</v>
      </c>
      <c r="H30" s="2133"/>
      <c r="I30" s="2137"/>
      <c r="J30" s="2138" t="str">
        <f>IFERROR(VLOOKUP(A30,Solieu!G:M,4,0),"nt")</f>
        <v>23.05/BBNTXX.ĐLXL</v>
      </c>
      <c r="K30" s="2139">
        <f>IFERROR(VLOOKUP(A30,Solieu!G:M,5,0),"nt")</f>
        <v>43608</v>
      </c>
      <c r="L30" s="2141"/>
      <c r="M30" s="2142"/>
      <c r="N30" s="1498" t="s">
        <v>4373</v>
      </c>
      <c r="O30" s="1795">
        <f t="shared" si="0"/>
        <v>1</v>
      </c>
      <c r="P30" s="1494"/>
      <c r="Q30" s="1728"/>
      <c r="R30" s="1796"/>
      <c r="S30" s="992"/>
      <c r="T30" s="992"/>
      <c r="U30" s="992"/>
      <c r="V30" s="992"/>
      <c r="W30" s="992"/>
      <c r="X30" s="992"/>
      <c r="Y30" s="992"/>
      <c r="Z30" s="992"/>
      <c r="AA30" s="992"/>
    </row>
    <row r="31" spans="1:27" s="993" customFormat="1" ht="35.1" customHeight="1">
      <c r="A31" s="1869" t="s">
        <v>1644</v>
      </c>
      <c r="B31" s="2133">
        <f t="shared" si="1"/>
        <v>26</v>
      </c>
      <c r="C31" s="2134" t="str">
        <f>(VLOOKUP(A31,DG!A:C,3,0))</f>
        <v>Cổ dê kẹp ống PVC  21</v>
      </c>
      <c r="D31" s="2135" t="str">
        <f>IFERROR(VLOOKUP(A31,DG!A:D,4,0),0)</f>
        <v>bộ</v>
      </c>
      <c r="E31" s="2136">
        <f>SUMIF(TongHopKL!C:C,'NT-VT'!A31,TongHopKL!G:G)</f>
        <v>28</v>
      </c>
      <c r="F31" s="2133" t="str">
        <f>IFERROR(VLOOKUP(A31,Solieu!G:M,2,0),"nt")</f>
        <v>Cty TNHH Liên Minh Phát</v>
      </c>
      <c r="G31" s="2133" t="str">
        <f>IFERROR(VLOOKUP(A31,Solieu!G:M,3,0),"nt")</f>
        <v>Cty TNHH Liên Minh Phát</v>
      </c>
      <c r="H31" s="2133"/>
      <c r="I31" s="2137"/>
      <c r="J31" s="2138" t="str">
        <f>IFERROR(VLOOKUP(A31,Solieu!G:M,4,0),"nt")</f>
        <v>23.05/BBNTXX.ĐLXL</v>
      </c>
      <c r="K31" s="2139">
        <f>IFERROR(VLOOKUP(A31,Solieu!G:M,5,0),"nt")</f>
        <v>43608</v>
      </c>
      <c r="L31" s="2133"/>
      <c r="M31" s="2137"/>
      <c r="N31" s="1498" t="s">
        <v>4373</v>
      </c>
      <c r="O31" s="1795">
        <f t="shared" si="0"/>
        <v>1</v>
      </c>
      <c r="P31" s="1494"/>
      <c r="Q31" s="1728"/>
      <c r="R31" s="1796"/>
      <c r="S31" s="992"/>
      <c r="T31" s="992"/>
      <c r="U31" s="992"/>
      <c r="V31" s="992"/>
      <c r="W31" s="992"/>
      <c r="X31" s="992"/>
      <c r="Y31" s="992"/>
      <c r="Z31" s="992"/>
      <c r="AA31" s="992"/>
    </row>
    <row r="32" spans="1:27" s="993" customFormat="1" ht="35.1" customHeight="1">
      <c r="A32" s="1869" t="s">
        <v>4972</v>
      </c>
      <c r="B32" s="2133">
        <f t="shared" si="1"/>
        <v>27</v>
      </c>
      <c r="C32" s="2134" t="str">
        <f>(VLOOKUP(A32,DG!A:C,3,0))</f>
        <v>Chụp kẹp Uquai</v>
      </c>
      <c r="D32" s="2135" t="str">
        <f>IFERROR(VLOOKUP(A32,DG!A:D,4,0),0)</f>
        <v>bộ</v>
      </c>
      <c r="E32" s="2144">
        <f>SUMIF(TongHopKL!C:C,'NT-VT'!A32,TongHopKL!G:G)</f>
        <v>56</v>
      </c>
      <c r="F32" s="2133" t="str">
        <f>IFERROR(VLOOKUP(A32,Solieu!G:M,2,0),"nt")</f>
        <v>Cty TNHH SX TM-DV Song Hào</v>
      </c>
      <c r="G32" s="2133" t="str">
        <f>IFERROR(VLOOKUP(A32,Solieu!G:M,3,0),"nt")</f>
        <v>Cty TNHH Liên Minh Phát</v>
      </c>
      <c r="H32" s="2133"/>
      <c r="I32" s="2137"/>
      <c r="J32" s="2138" t="str">
        <f>IFERROR(VLOOKUP(A32,Solieu!G:M,4,0),"nt")</f>
        <v>111.19-PTN/SONGHAO</v>
      </c>
      <c r="K32" s="2139">
        <f>IFERROR(VLOOKUP(A32,Solieu!G:M,5,0),"nt")</f>
        <v>0</v>
      </c>
      <c r="L32" s="2141"/>
      <c r="M32" s="2137"/>
      <c r="N32" s="1498" t="s">
        <v>4373</v>
      </c>
      <c r="O32" s="1795">
        <f t="shared" si="0"/>
        <v>1</v>
      </c>
      <c r="P32" s="1494"/>
      <c r="Q32" s="1728"/>
      <c r="R32" s="1796"/>
      <c r="S32" s="992"/>
      <c r="T32" s="992"/>
      <c r="U32" s="992"/>
      <c r="V32" s="992"/>
      <c r="W32" s="992"/>
      <c r="X32" s="992"/>
      <c r="Y32" s="992"/>
      <c r="Z32" s="992"/>
      <c r="AA32" s="992"/>
    </row>
    <row r="33" spans="1:27" s="993" customFormat="1" ht="35.1" customHeight="1">
      <c r="A33" s="1869" t="s">
        <v>612</v>
      </c>
      <c r="B33" s="2133">
        <f t="shared" si="1"/>
        <v>28</v>
      </c>
      <c r="C33" s="2134" t="str">
        <f>(VLOOKUP(A33,DG!A:C,3,0))</f>
        <v>Bộ chống chằng hẹp Ø60/50x1500+2BL12x40+BL16x250/80</v>
      </c>
      <c r="D33" s="2135" t="str">
        <f>IFERROR(VLOOKUP(A33,DG!A:D,4,0),0)</f>
        <v>bộ</v>
      </c>
      <c r="E33" s="2136">
        <f>SUMIF(TongHopKL!C:C,'NT-VT'!A33,TongHopKL!G:G)</f>
        <v>3</v>
      </c>
      <c r="F33" s="2133" t="str">
        <f>IFERROR(VLOOKUP(A33,Solieu!G:M,2,0),"nt")</f>
        <v>Cty TNHH Liên Minh Phát</v>
      </c>
      <c r="G33" s="2133" t="str">
        <f>IFERROR(VLOOKUP(A33,Solieu!G:M,3,0),"nt")</f>
        <v>Cty TNHH Liên Minh Phát</v>
      </c>
      <c r="H33" s="2133"/>
      <c r="I33" s="2137"/>
      <c r="J33" s="2138" t="str">
        <f>IFERROR(VLOOKUP(A33,Solieu!G:M,4,0),"nt")</f>
        <v>23.05/BBNTXX.ĐLXL</v>
      </c>
      <c r="K33" s="2139">
        <f>IFERROR(VLOOKUP(A33,Solieu!G:M,5,0),"nt")</f>
        <v>43608</v>
      </c>
      <c r="L33" s="2144"/>
      <c r="M33" s="2145"/>
      <c r="N33" s="1498" t="s">
        <v>4373</v>
      </c>
      <c r="O33" s="1795">
        <f t="shared" si="0"/>
        <v>1</v>
      </c>
      <c r="P33" s="1494"/>
      <c r="Q33" s="1728"/>
      <c r="R33" s="1796"/>
      <c r="S33" s="992"/>
      <c r="T33" s="992"/>
      <c r="U33" s="992"/>
      <c r="V33" s="992"/>
      <c r="W33" s="992"/>
      <c r="X33" s="992"/>
      <c r="Y33" s="992"/>
      <c r="Z33" s="992"/>
      <c r="AA33" s="992"/>
    </row>
    <row r="34" spans="1:27" s="993" customFormat="1" ht="35.1" customHeight="1">
      <c r="A34" s="1869" t="s">
        <v>2217</v>
      </c>
      <c r="B34" s="2133">
        <f t="shared" si="1"/>
        <v>29</v>
      </c>
      <c r="C34" s="2134" t="str">
        <f>(VLOOKUP(A34,DG!A:C,3,0))</f>
        <v>Đầu cosse ép Cu 150mm2</v>
      </c>
      <c r="D34" s="2135" t="str">
        <f>IFERROR(VLOOKUP(A34,DG!A:D,4,0),0)</f>
        <v>cái</v>
      </c>
      <c r="E34" s="2136">
        <f>SUMIF(TongHopKL!C:C,'NT-VT'!A34,TongHopKL!G:G)</f>
        <v>15</v>
      </c>
      <c r="F34" s="2133" t="str">
        <f>IFERROR(VLOOKUP(A34,Solieu!G:M,2,0),"nt")</f>
        <v>Cty TNHH Liên Minh Phát</v>
      </c>
      <c r="G34" s="2133" t="str">
        <f>IFERROR(VLOOKUP(A34,Solieu!G:M,3,0),"nt")</f>
        <v>Cty TNHH Liên Minh Phát</v>
      </c>
      <c r="H34" s="2133"/>
      <c r="I34" s="2137"/>
      <c r="J34" s="2138" t="str">
        <f>IFERROR(VLOOKUP(A34,Solieu!G:M,4,0),"nt")</f>
        <v>23.05/BBNTXX.ĐLXL</v>
      </c>
      <c r="K34" s="2139">
        <f>IFERROR(VLOOKUP(A34,Solieu!G:M,5,0),"nt")</f>
        <v>43608</v>
      </c>
      <c r="L34" s="2141"/>
      <c r="M34" s="2137"/>
      <c r="N34" s="1498" t="s">
        <v>4373</v>
      </c>
      <c r="O34" s="1795">
        <f t="shared" si="0"/>
        <v>1</v>
      </c>
      <c r="P34" s="1494"/>
      <c r="Q34" s="1728"/>
      <c r="R34" s="1796"/>
      <c r="S34" s="992"/>
      <c r="T34" s="992"/>
      <c r="U34" s="992"/>
      <c r="V34" s="992"/>
      <c r="W34" s="992"/>
      <c r="X34" s="992"/>
      <c r="Y34" s="992"/>
      <c r="Z34" s="992"/>
      <c r="AA34" s="992"/>
    </row>
    <row r="35" spans="1:27" s="993" customFormat="1" ht="35.1" customHeight="1">
      <c r="A35" s="1869" t="s">
        <v>1298</v>
      </c>
      <c r="B35" s="2133">
        <f t="shared" si="1"/>
        <v>30</v>
      </c>
      <c r="C35" s="2134" t="str">
        <f>(VLOOKUP(A35,DG!A:C,3,0))</f>
        <v>Chân sứ đứng D20</v>
      </c>
      <c r="D35" s="2135" t="str">
        <f>IFERROR(VLOOKUP(A35,DG!A:D,4,0),0)</f>
        <v>cái</v>
      </c>
      <c r="E35" s="2136">
        <f>SUMIF(TongHopKL!C:C,'NT-VT'!A35,TongHopKL!G:G)</f>
        <v>591</v>
      </c>
      <c r="F35" s="2133" t="str">
        <f>IFERROR(VLOOKUP(A35,Solieu!G:M,2,0),"nt")</f>
        <v>Cty TNHH Cao Linh</v>
      </c>
      <c r="G35" s="2133" t="str">
        <f>IFERROR(VLOOKUP(A35,Solieu!G:M,3,0),"nt")</f>
        <v>Cty TNHH Cao Linh</v>
      </c>
      <c r="H35" s="2133"/>
      <c r="I35" s="2137"/>
      <c r="J35" s="2138" t="str">
        <f>IFERROR(VLOOKUP(A35,Solieu!G:M,4,0),"nt")</f>
        <v>299-19/CL</v>
      </c>
      <c r="K35" s="2139">
        <f>IFERROR(VLOOKUP(A35,Solieu!G:M,5,0),"nt")</f>
        <v>43660</v>
      </c>
      <c r="L35" s="2133"/>
      <c r="M35" s="2137"/>
      <c r="N35" s="1498" t="s">
        <v>4373</v>
      </c>
      <c r="O35" s="1795">
        <f t="shared" si="0"/>
        <v>1</v>
      </c>
      <c r="P35" s="1494"/>
      <c r="Q35" s="1728"/>
      <c r="R35" s="1796"/>
      <c r="S35" s="992"/>
      <c r="T35" s="992"/>
      <c r="U35" s="992"/>
      <c r="V35" s="992"/>
      <c r="W35" s="992"/>
      <c r="X35" s="992"/>
      <c r="Y35" s="992"/>
      <c r="Z35" s="992"/>
      <c r="AA35" s="992"/>
    </row>
    <row r="36" spans="1:27" s="993" customFormat="1" ht="35.1" customHeight="1">
      <c r="A36" s="1869" t="s">
        <v>1560</v>
      </c>
      <c r="B36" s="2133">
        <f t="shared" si="1"/>
        <v>31</v>
      </c>
      <c r="C36" s="2134" t="str">
        <f>(VLOOKUP(A36,DG!A:C,3,0))</f>
        <v>Cọc tiếp đất Ø 16- 2,4m + kẹp cọc</v>
      </c>
      <c r="D36" s="2135" t="str">
        <f>IFERROR(VLOOKUP(A36,DG!A:D,4,0),0)</f>
        <v>bộ</v>
      </c>
      <c r="E36" s="2136">
        <f>SUMIF(TongHopKL!C:C,'NT-VT'!A36,TongHopKL!G:G)</f>
        <v>14</v>
      </c>
      <c r="F36" s="2133" t="str">
        <f>IFERROR(VLOOKUP(A36,Solieu!G:M,2,0),"nt")</f>
        <v>Cty TNHH Liên Minh Phát</v>
      </c>
      <c r="G36" s="2133" t="str">
        <f>IFERROR(VLOOKUP(A36,Solieu!G:M,3,0),"nt")</f>
        <v>Cty TNHH Liên Minh Phát</v>
      </c>
      <c r="H36" s="2133"/>
      <c r="I36" s="2137"/>
      <c r="J36" s="2138" t="str">
        <f>IFERROR(VLOOKUP(A36,Solieu!G:M,4,0),"nt")</f>
        <v>23.05/BBNTXX.ĐLXL</v>
      </c>
      <c r="K36" s="2139">
        <f>IFERROR(VLOOKUP(A36,Solieu!G:M,5,0),"nt")</f>
        <v>43608</v>
      </c>
      <c r="L36" s="2133"/>
      <c r="M36" s="2143"/>
      <c r="N36" s="1498" t="s">
        <v>4373</v>
      </c>
      <c r="O36" s="1795">
        <f t="shared" si="0"/>
        <v>1</v>
      </c>
      <c r="P36" s="1494"/>
      <c r="Q36" s="1728"/>
      <c r="R36" s="1796"/>
      <c r="S36" s="992"/>
      <c r="T36" s="992"/>
      <c r="U36" s="992"/>
      <c r="V36" s="992"/>
      <c r="W36" s="992"/>
      <c r="X36" s="992"/>
      <c r="Y36" s="992"/>
      <c r="Z36" s="992"/>
      <c r="AA36" s="992"/>
    </row>
    <row r="37" spans="1:27" s="993" customFormat="1" ht="35.1" customHeight="1">
      <c r="A37" s="1869" t="s">
        <v>641</v>
      </c>
      <c r="B37" s="2133">
        <f t="shared" si="1"/>
        <v>32</v>
      </c>
      <c r="C37" s="2134" t="str">
        <f>(VLOOKUP(A37,DG!A:C,3,0))</f>
        <v>Đà cản BTCT 1,2m</v>
      </c>
      <c r="D37" s="2135" t="str">
        <f>IFERROR(VLOOKUP(A37,DG!A:D,4,0),0)</f>
        <v>cái</v>
      </c>
      <c r="E37" s="2136">
        <f>SUMIF(TongHopKL!C:C,'NT-VT'!A37,TongHopKL!G:G)</f>
        <v>40</v>
      </c>
      <c r="F37" s="2133">
        <f>IFERROR(VLOOKUP(A37,Solieu!G:M,2,0),"nt")</f>
        <v>0</v>
      </c>
      <c r="G37" s="2133">
        <f>IFERROR(VLOOKUP(A37,Solieu!G:M,3,0),"nt")</f>
        <v>0</v>
      </c>
      <c r="H37" s="2133"/>
      <c r="I37" s="2137"/>
      <c r="J37" s="2138">
        <f>IFERROR(VLOOKUP(A37,Solieu!G:M,4,0),"nt")</f>
        <v>0</v>
      </c>
      <c r="K37" s="2139">
        <f>IFERROR(VLOOKUP(A37,Solieu!G:M,5,0),"nt")</f>
        <v>0</v>
      </c>
      <c r="L37" s="2133"/>
      <c r="M37" s="2137"/>
      <c r="N37" s="1498" t="s">
        <v>4373</v>
      </c>
      <c r="O37" s="1795">
        <f t="shared" si="0"/>
        <v>1</v>
      </c>
      <c r="P37" s="1494"/>
      <c r="Q37" s="1728"/>
      <c r="R37" s="1796"/>
      <c r="S37" s="992"/>
      <c r="T37" s="992"/>
      <c r="U37" s="992"/>
      <c r="V37" s="992"/>
      <c r="W37" s="992"/>
      <c r="X37" s="992"/>
      <c r="Y37" s="992"/>
      <c r="Z37" s="992"/>
      <c r="AA37" s="992"/>
    </row>
    <row r="38" spans="1:27" s="993" customFormat="1" ht="35.1" customHeight="1">
      <c r="A38" s="1869" t="s">
        <v>1627</v>
      </c>
      <c r="B38" s="2133">
        <f t="shared" si="1"/>
        <v>33</v>
      </c>
      <c r="C38" s="2134" t="str">
        <f>(VLOOKUP(A38,DG!A:C,3,0))</f>
        <v>Đà cản BTCT 1,5m</v>
      </c>
      <c r="D38" s="2135" t="str">
        <f>IFERROR(VLOOKUP(A38,DG!A:D,4,0),0)</f>
        <v>cái</v>
      </c>
      <c r="E38" s="2144">
        <f>SUMIF(TongHopKL!C:C,'NT-VT'!A38,TongHopKL!G:G)</f>
        <v>15</v>
      </c>
      <c r="F38" s="2133">
        <f>IFERROR(VLOOKUP(A38,Solieu!G:M,2,0),"nt")</f>
        <v>0</v>
      </c>
      <c r="G38" s="2133">
        <f>IFERROR(VLOOKUP(A38,Solieu!G:M,3,0),"nt")</f>
        <v>0</v>
      </c>
      <c r="H38" s="2133"/>
      <c r="I38" s="2137"/>
      <c r="J38" s="2138">
        <f>IFERROR(VLOOKUP(A38,Solieu!G:M,4,0),"nt")</f>
        <v>0</v>
      </c>
      <c r="K38" s="2139">
        <f>IFERROR(VLOOKUP(A38,Solieu!G:M,5,0),"nt")</f>
        <v>0</v>
      </c>
      <c r="L38" s="2133"/>
      <c r="M38" s="2137"/>
      <c r="N38" s="1498" t="s">
        <v>4373</v>
      </c>
      <c r="O38" s="1795">
        <f t="shared" si="0"/>
        <v>1</v>
      </c>
      <c r="P38" s="1494"/>
      <c r="Q38" s="1728"/>
      <c r="R38" s="1796"/>
      <c r="S38" s="992"/>
      <c r="T38" s="992"/>
      <c r="U38" s="992"/>
      <c r="V38" s="992"/>
      <c r="W38" s="992"/>
      <c r="X38" s="992"/>
      <c r="Y38" s="992"/>
      <c r="Z38" s="992"/>
      <c r="AA38" s="992"/>
    </row>
    <row r="39" spans="1:27" s="993" customFormat="1" ht="35.1" customHeight="1">
      <c r="A39" s="1869" t="s">
        <v>4959</v>
      </c>
      <c r="B39" s="2133">
        <f t="shared" si="1"/>
        <v>34</v>
      </c>
      <c r="C39" s="2134" t="str">
        <f>(VLOOKUP(A39,DG!A:C,3,0))</f>
        <v>Đà Sắt góc L75 x75 x8 dài 2m (3 ốp)</v>
      </c>
      <c r="D39" s="2135" t="str">
        <f>IFERROR(VLOOKUP(A39,DG!A:D,4,0),0)</f>
        <v>thanh</v>
      </c>
      <c r="E39" s="2136">
        <f>SUMIF(TongHopKL!C:C,'NT-VT'!A39,TongHopKL!G:G)</f>
        <v>167</v>
      </c>
      <c r="F39" s="2133" t="str">
        <f>IFERROR(VLOOKUP(A39,Solieu!G:M,2,0),"nt")</f>
        <v>Cty TNHH Điện Nam Việt</v>
      </c>
      <c r="G39" s="2133" t="str">
        <f>IFERROR(VLOOKUP(A39,Solieu!G:M,3,0),"nt")</f>
        <v>Cty TNHH Điện Nam Việt</v>
      </c>
      <c r="H39" s="2133"/>
      <c r="I39" s="2137"/>
      <c r="J39" s="2138" t="str">
        <f>IFERROR(VLOOKUP(A39,Solieu!G:M,4,0),"nt")</f>
        <v>07/KCS-ĐLXL/NV</v>
      </c>
      <c r="K39" s="2139">
        <f>IFERROR(VLOOKUP(A39,Solieu!G:M,5,0),"nt")</f>
        <v>43654</v>
      </c>
      <c r="L39" s="2133"/>
      <c r="M39" s="2143"/>
      <c r="N39" s="1498" t="s">
        <v>4373</v>
      </c>
      <c r="O39" s="1795">
        <f t="shared" si="0"/>
        <v>1</v>
      </c>
      <c r="P39" s="1494"/>
      <c r="Q39" s="1728"/>
      <c r="R39" s="1796"/>
      <c r="S39" s="992"/>
      <c r="T39" s="992"/>
      <c r="U39" s="992"/>
      <c r="V39" s="992"/>
      <c r="W39" s="992"/>
      <c r="X39" s="992"/>
      <c r="Y39" s="992"/>
      <c r="Z39" s="992"/>
      <c r="AA39" s="992"/>
    </row>
    <row r="40" spans="1:27" s="993" customFormat="1" ht="35.1" customHeight="1">
      <c r="A40" s="1869" t="s">
        <v>4957</v>
      </c>
      <c r="B40" s="2133">
        <f t="shared" si="1"/>
        <v>35</v>
      </c>
      <c r="C40" s="2134" t="str">
        <f>(VLOOKUP(A40,DG!A:C,3,0))</f>
        <v>Đà Sắt góc L75 x75 x8 dài 2,2m (4 ốp)</v>
      </c>
      <c r="D40" s="2135" t="str">
        <f>IFERROR(VLOOKUP(A40,DG!A:D,4,0),0)</f>
        <v>thanh</v>
      </c>
      <c r="E40" s="2144">
        <f>SUMIF(TongHopKL!C:C,'NT-VT'!A40,TongHopKL!G:G)</f>
        <v>30</v>
      </c>
      <c r="F40" s="2133" t="str">
        <f>IFERROR(VLOOKUP(A40,Solieu!G:M,2,0),"nt")</f>
        <v>Cty TNHH Điện Nam Việt</v>
      </c>
      <c r="G40" s="2133" t="str">
        <f>IFERROR(VLOOKUP(A40,Solieu!G:M,3,0),"nt")</f>
        <v>Cty TNHH Điện Nam Việt</v>
      </c>
      <c r="H40" s="2133"/>
      <c r="I40" s="2137"/>
      <c r="J40" s="2138" t="str">
        <f>IFERROR(VLOOKUP(A40,Solieu!G:M,4,0),"nt")</f>
        <v>07/KCS-ĐLXL/NV</v>
      </c>
      <c r="K40" s="2139">
        <f>IFERROR(VLOOKUP(A40,Solieu!G:M,5,0),"nt")</f>
        <v>43654</v>
      </c>
      <c r="L40" s="2133"/>
      <c r="M40" s="2137"/>
      <c r="N40" s="1498" t="s">
        <v>4373</v>
      </c>
      <c r="O40" s="1795">
        <f t="shared" si="0"/>
        <v>1</v>
      </c>
      <c r="P40" s="1494"/>
      <c r="Q40" s="1728"/>
      <c r="R40" s="1796"/>
      <c r="S40" s="992"/>
      <c r="T40" s="992"/>
      <c r="U40" s="992"/>
      <c r="V40" s="992"/>
      <c r="W40" s="992"/>
      <c r="X40" s="992"/>
      <c r="Y40" s="992"/>
      <c r="Z40" s="992"/>
      <c r="AA40" s="992"/>
    </row>
    <row r="41" spans="1:27" s="993" customFormat="1" ht="35.1" customHeight="1">
      <c r="A41" s="1869" t="s">
        <v>230</v>
      </c>
      <c r="B41" s="2133">
        <f t="shared" si="1"/>
        <v>36</v>
      </c>
      <c r="C41" s="2134" t="str">
        <f>(VLOOKUP(A41,DG!A:C,3,0))</f>
        <v xml:space="preserve">Dây nhôm buộc </v>
      </c>
      <c r="D41" s="2135" t="str">
        <f>IFERROR(VLOOKUP(A41,DG!A:D,4,0),0)</f>
        <v>kg</v>
      </c>
      <c r="E41" s="2136">
        <f>SUMIF(TongHopKL!C:C,'NT-VT'!A41,TongHopKL!G:G)</f>
        <v>4.5999999999999996</v>
      </c>
      <c r="F41" s="2133" t="str">
        <f>IFERROR(VLOOKUP(A41,Solieu!G:M,2,0),"nt")</f>
        <v>Cty TNHH Liên Minh Phát</v>
      </c>
      <c r="G41" s="2133" t="str">
        <f>IFERROR(VLOOKUP(A41,Solieu!G:M,3,0),"nt")</f>
        <v>Cty TNHH Liên Minh Phát</v>
      </c>
      <c r="H41" s="2133"/>
      <c r="I41" s="2137"/>
      <c r="J41" s="2138" t="str">
        <f>IFERROR(VLOOKUP(A41,Solieu!G:M,4,0),"nt")</f>
        <v>23.05/BBNTXX.ĐLXL</v>
      </c>
      <c r="K41" s="2139">
        <f>IFERROR(VLOOKUP(A41,Solieu!G:M,5,0),"nt")</f>
        <v>43608</v>
      </c>
      <c r="L41" s="2133"/>
      <c r="M41" s="2137"/>
      <c r="N41" s="1498" t="s">
        <v>4373</v>
      </c>
      <c r="O41" s="1795">
        <f t="shared" si="0"/>
        <v>1</v>
      </c>
      <c r="P41" s="1494"/>
      <c r="Q41" s="1728"/>
      <c r="R41" s="1796"/>
      <c r="S41" s="992"/>
      <c r="T41" s="992"/>
      <c r="U41" s="992"/>
      <c r="V41" s="992"/>
      <c r="W41" s="992"/>
      <c r="X41" s="992"/>
      <c r="Y41" s="992"/>
      <c r="Z41" s="992"/>
      <c r="AA41" s="992"/>
    </row>
    <row r="42" spans="1:27" s="993" customFormat="1" ht="35.1" customHeight="1">
      <c r="A42" s="1869" t="s">
        <v>4975</v>
      </c>
      <c r="B42" s="2133">
        <f t="shared" si="1"/>
        <v>37</v>
      </c>
      <c r="C42" s="2134" t="str">
        <f>(VLOOKUP(A42,DG!A:C,3,0))</f>
        <v>Dây buộc cổ sứ SSF (185-240mm2)</v>
      </c>
      <c r="D42" s="2135" t="str">
        <f>IFERROR(VLOOKUP(A42,DG!A:D,4,0),0)</f>
        <v>cái</v>
      </c>
      <c r="E42" s="2136">
        <f>SUMIF(TongHopKL!C:C,'NT-VT'!A42,TongHopKL!G:G)</f>
        <v>48</v>
      </c>
      <c r="F42" s="2133" t="str">
        <f>IFERROR(VLOOKUP(A42,Solieu!G:M,2,0),"nt")</f>
        <v>Cty CP Thiết bị điện Lê Khôi</v>
      </c>
      <c r="G42" s="2133" t="str">
        <f>IFERROR(VLOOKUP(A42,Solieu!G:M,3,0),"nt")</f>
        <v>Cty TNHH Liên Minh Phát</v>
      </c>
      <c r="H42" s="2133"/>
      <c r="I42" s="2137"/>
      <c r="J42" s="2138" t="str">
        <f>IFERROR(VLOOKUP(A42,Solieu!G:M,4,0),"nt")</f>
        <v>2305/2019/XNHH/LKH</v>
      </c>
      <c r="K42" s="2139">
        <f>IFERROR(VLOOKUP(A42,Solieu!G:M,5,0),"nt")</f>
        <v>43608</v>
      </c>
      <c r="L42" s="2133"/>
      <c r="M42" s="2143"/>
      <c r="N42" s="1498" t="s">
        <v>4373</v>
      </c>
      <c r="O42" s="1795">
        <f t="shared" si="0"/>
        <v>1</v>
      </c>
      <c r="P42" s="1494"/>
      <c r="Q42" s="1728"/>
      <c r="R42" s="1796"/>
      <c r="S42" s="992"/>
      <c r="T42" s="992"/>
      <c r="U42" s="992"/>
      <c r="V42" s="992"/>
      <c r="W42" s="992"/>
      <c r="X42" s="992"/>
      <c r="Y42" s="992"/>
      <c r="Z42" s="992"/>
      <c r="AA42" s="992"/>
    </row>
    <row r="43" spans="1:27" s="993" customFormat="1" ht="35.1" customHeight="1">
      <c r="A43" s="1869" t="s">
        <v>4974</v>
      </c>
      <c r="B43" s="2133">
        <f t="shared" si="1"/>
        <v>38</v>
      </c>
      <c r="C43" s="2134" t="str">
        <f>(VLOOKUP(A43,DG!A:C,3,0))</f>
        <v>Dây buộc đầu sứ TTF (185-240mm2)</v>
      </c>
      <c r="D43" s="2135" t="str">
        <f>IFERROR(VLOOKUP(A43,DG!A:D,4,0),0)</f>
        <v>cái</v>
      </c>
      <c r="E43" s="2136">
        <f>SUMIF(TongHopKL!C:C,'NT-VT'!A43,TongHopKL!G:G)</f>
        <v>543</v>
      </c>
      <c r="F43" s="2133" t="str">
        <f>IFERROR(VLOOKUP(A43,Solieu!G:M,2,0),"nt")</f>
        <v>Cty CP Thiết bị điện Lê Khôi</v>
      </c>
      <c r="G43" s="2133" t="str">
        <f>IFERROR(VLOOKUP(A43,Solieu!G:M,3,0),"nt")</f>
        <v>Cty TNHH Liên Minh Phát</v>
      </c>
      <c r="H43" s="2133"/>
      <c r="I43" s="2137"/>
      <c r="J43" s="2138" t="str">
        <f>IFERROR(VLOOKUP(A43,Solieu!G:M,4,0),"nt")</f>
        <v>2305/2019/XNHH/LKH</v>
      </c>
      <c r="K43" s="2139">
        <f>IFERROR(VLOOKUP(A43,Solieu!G:M,5,0),"nt")</f>
        <v>43608</v>
      </c>
      <c r="L43" s="2133"/>
      <c r="M43" s="2143"/>
      <c r="N43" s="1498" t="s">
        <v>4373</v>
      </c>
      <c r="O43" s="1795">
        <f t="shared" si="0"/>
        <v>1</v>
      </c>
      <c r="P43" s="1494"/>
      <c r="Q43" s="1728"/>
      <c r="R43" s="1796"/>
      <c r="S43" s="992"/>
      <c r="T43" s="992"/>
      <c r="U43" s="992"/>
      <c r="V43" s="992"/>
      <c r="W43" s="992"/>
      <c r="X43" s="992"/>
      <c r="Y43" s="992"/>
      <c r="Z43" s="992"/>
      <c r="AA43" s="992"/>
    </row>
    <row r="44" spans="1:27" s="993" customFormat="1" ht="35.1" customHeight="1">
      <c r="A44" s="1871" t="s">
        <v>3</v>
      </c>
      <c r="B44" s="2133">
        <f t="shared" si="1"/>
        <v>39</v>
      </c>
      <c r="C44" s="2134" t="str">
        <f>(VLOOKUP(A44,DG!A:C,3,0))</f>
        <v>Cáp Duplex 2x16</v>
      </c>
      <c r="D44" s="2135" t="str">
        <f>IFERROR(VLOOKUP(A44,DG!A:D,4,0),0)</f>
        <v>m</v>
      </c>
      <c r="E44" s="2136">
        <f>SUMIF(TongHopKL!C:C,'NT-VT'!A44,TongHopKL!G:G)</f>
        <v>174</v>
      </c>
      <c r="F44" s="2133">
        <f>IFERROR(VLOOKUP(A44,Solieu!G:M,2,0),"nt")</f>
        <v>0</v>
      </c>
      <c r="G44" s="2133">
        <f>IFERROR(VLOOKUP(A44,Solieu!G:M,3,0),"nt")</f>
        <v>0</v>
      </c>
      <c r="H44" s="2133"/>
      <c r="I44" s="2137"/>
      <c r="J44" s="2138">
        <f>IFERROR(VLOOKUP(A44,Solieu!G:M,4,0),"nt")</f>
        <v>0</v>
      </c>
      <c r="K44" s="2139">
        <f>IFERROR(VLOOKUP(A44,Solieu!G:M,5,0),"nt")</f>
        <v>0</v>
      </c>
      <c r="L44" s="2133"/>
      <c r="M44" s="2137"/>
      <c r="N44" s="1498" t="s">
        <v>4373</v>
      </c>
      <c r="O44" s="1795">
        <f t="shared" si="0"/>
        <v>1</v>
      </c>
      <c r="P44" s="1494"/>
      <c r="Q44" s="1728"/>
      <c r="R44" s="1796"/>
      <c r="S44" s="992"/>
      <c r="T44" s="992"/>
      <c r="U44" s="992"/>
      <c r="V44" s="992"/>
      <c r="W44" s="992"/>
      <c r="X44" s="992"/>
      <c r="Y44" s="992"/>
      <c r="Z44" s="992"/>
      <c r="AA44" s="992"/>
    </row>
    <row r="45" spans="1:27" s="993" customFormat="1" ht="35.1" customHeight="1">
      <c r="A45" s="1869" t="s">
        <v>878</v>
      </c>
      <c r="B45" s="2133">
        <f t="shared" si="1"/>
        <v>40</v>
      </c>
      <c r="C45" s="2134" t="str">
        <f>(VLOOKUP(A45,DG!A:C,3,0))</f>
        <v>Ghíp nối IPC 95-35</v>
      </c>
      <c r="D45" s="2135" t="str">
        <f>IFERROR(VLOOKUP(A45,DG!A:D,4,0),0)</f>
        <v>cái</v>
      </c>
      <c r="E45" s="2136">
        <f>SUMIF(TongHopKL!C:C,'NT-VT'!A45,TongHopKL!G:G)</f>
        <v>353</v>
      </c>
      <c r="F45" s="2133" t="str">
        <f>IFERROR(VLOOKUP(A45,Solieu!G:M,2,0),"nt")</f>
        <v>Melec</v>
      </c>
      <c r="G45" s="2133" t="str">
        <f>IFERROR(VLOOKUP(A45,Solieu!G:M,3,0),"nt")</f>
        <v>Cty TNHH Điện Nam Việt</v>
      </c>
      <c r="H45" s="2133"/>
      <c r="I45" s="2137"/>
      <c r="J45" s="2138">
        <f>IFERROR(VLOOKUP(A45,Solieu!G:M,4,0),"nt")</f>
        <v>0</v>
      </c>
      <c r="K45" s="2139">
        <f>IFERROR(VLOOKUP(A45,Solieu!G:M,5,0),"nt")</f>
        <v>0</v>
      </c>
      <c r="L45" s="2133"/>
      <c r="M45" s="2137"/>
      <c r="N45" s="1498" t="s">
        <v>4373</v>
      </c>
      <c r="O45" s="1795">
        <f t="shared" si="0"/>
        <v>1</v>
      </c>
      <c r="P45" s="1494"/>
      <c r="Q45" s="1728"/>
      <c r="R45" s="1796"/>
      <c r="S45" s="992"/>
      <c r="T45" s="992"/>
      <c r="U45" s="992"/>
      <c r="V45" s="992"/>
      <c r="W45" s="992"/>
      <c r="X45" s="992"/>
      <c r="Y45" s="992"/>
      <c r="Z45" s="992"/>
      <c r="AA45" s="992"/>
    </row>
    <row r="46" spans="1:27" s="993" customFormat="1" ht="43.95" customHeight="1">
      <c r="A46" s="1869" t="s">
        <v>4965</v>
      </c>
      <c r="B46" s="2133">
        <f t="shared" si="1"/>
        <v>41</v>
      </c>
      <c r="C46" s="2134" t="str">
        <f>(VLOOKUP(A46,DG!A:C,3,0))</f>
        <v>Giáp níu dừng dây bọc 185 + yếm móng U + Mắt nối yếm</v>
      </c>
      <c r="D46" s="2135" t="str">
        <f>IFERROR(VLOOKUP(A46,DG!A:D,4,0),0)</f>
        <v>cái</v>
      </c>
      <c r="E46" s="2136">
        <f>SUMIF(TongHopKL!C:C,'NT-VT'!A46,TongHopKL!G:G)</f>
        <v>96</v>
      </c>
      <c r="F46" s="2133" t="str">
        <f>IFERROR(VLOOKUP(A46,Solieu!G:M,2,0),"nt")</f>
        <v>Cty CP Thiết bị điện Lê Khôi</v>
      </c>
      <c r="G46" s="2133" t="str">
        <f>IFERROR(VLOOKUP(A46,Solieu!G:M,3,0),"nt")</f>
        <v>Cty TNHH Liên Minh Phát</v>
      </c>
      <c r="H46" s="2133"/>
      <c r="I46" s="2137"/>
      <c r="J46" s="2138" t="str">
        <f>IFERROR(VLOOKUP(A46,Solieu!G:M,4,0),"nt")</f>
        <v>2305/2019/XNHH/LKH</v>
      </c>
      <c r="K46" s="2139">
        <f>IFERROR(VLOOKUP(A46,Solieu!G:M,5,0),"nt")</f>
        <v>43608</v>
      </c>
      <c r="L46" s="2133"/>
      <c r="M46" s="2137"/>
      <c r="N46" s="1498" t="s">
        <v>4373</v>
      </c>
      <c r="O46" s="1795">
        <f t="shared" si="0"/>
        <v>1</v>
      </c>
      <c r="P46" s="1494"/>
      <c r="Q46" s="1728"/>
      <c r="R46" s="1796"/>
      <c r="S46" s="992"/>
      <c r="T46" s="992"/>
      <c r="U46" s="992"/>
      <c r="V46" s="992"/>
      <c r="W46" s="992"/>
      <c r="X46" s="992"/>
      <c r="Y46" s="992"/>
      <c r="Z46" s="992"/>
      <c r="AA46" s="992"/>
    </row>
    <row r="47" spans="1:27" s="993" customFormat="1" ht="49.95" customHeight="1">
      <c r="A47" s="1870" t="s">
        <v>4966</v>
      </c>
      <c r="B47" s="2133">
        <f t="shared" si="1"/>
        <v>42</v>
      </c>
      <c r="C47" s="2134" t="str">
        <f>(VLOOKUP(A47,DG!A:C,3,0))</f>
        <v>Giáp níu dừng dây bọc 50mm2 + yếm móng U + Mắt nối yếm</v>
      </c>
      <c r="D47" s="2135" t="str">
        <f>IFERROR(VLOOKUP(A47,DG!A:D,4,0),0)</f>
        <v>cái</v>
      </c>
      <c r="E47" s="2136">
        <f>SUMIF(TongHopKL!C:C,'NT-VT'!A47,TongHopKL!G:G)</f>
        <v>19</v>
      </c>
      <c r="F47" s="2133" t="str">
        <f>IFERROR(VLOOKUP(A47,Solieu!G:M,2,0),"nt")</f>
        <v>Cty CP Thiết bị điện Lê Khôi</v>
      </c>
      <c r="G47" s="2133" t="str">
        <f>IFERROR(VLOOKUP(A47,Solieu!G:M,3,0),"nt")</f>
        <v>Cty TNHH Liên Minh Phát</v>
      </c>
      <c r="H47" s="2133"/>
      <c r="I47" s="2137"/>
      <c r="J47" s="2138" t="str">
        <f>IFERROR(VLOOKUP(A47,Solieu!G:M,4,0),"nt")</f>
        <v>2305/2019/XNHH/LKH</v>
      </c>
      <c r="K47" s="2139">
        <f>IFERROR(VLOOKUP(A47,Solieu!G:M,5,0),"nt")</f>
        <v>43608</v>
      </c>
      <c r="L47" s="2133"/>
      <c r="M47" s="2137"/>
      <c r="N47" s="1498" t="s">
        <v>4373</v>
      </c>
      <c r="O47" s="1795">
        <f t="shared" si="0"/>
        <v>1</v>
      </c>
      <c r="P47" s="1494"/>
      <c r="Q47" s="1728"/>
      <c r="R47" s="1796"/>
      <c r="S47" s="992"/>
      <c r="T47" s="992"/>
      <c r="U47" s="992"/>
      <c r="V47" s="992"/>
      <c r="W47" s="992"/>
      <c r="X47" s="992"/>
      <c r="Y47" s="992"/>
      <c r="Z47" s="992"/>
      <c r="AA47" s="992"/>
    </row>
    <row r="48" spans="1:27" s="993" customFormat="1" ht="35.1" customHeight="1">
      <c r="A48" s="1870" t="s">
        <v>1630</v>
      </c>
      <c r="B48" s="2133">
        <f t="shared" si="1"/>
        <v>43</v>
      </c>
      <c r="C48" s="2134" t="str">
        <f>(VLOOKUP(A48,DG!A:C,3,0))</f>
        <v>Kẹp cáp 3 boulon</v>
      </c>
      <c r="D48" s="2135" t="str">
        <f>IFERROR(VLOOKUP(A48,DG!A:D,4,0),0)</f>
        <v>cái</v>
      </c>
      <c r="E48" s="2136">
        <f>SUMIF(TongHopKL!C:C,'NT-VT'!A48,TongHopKL!G:G)</f>
        <v>144</v>
      </c>
      <c r="F48" s="2133" t="str">
        <f>IFERROR(VLOOKUP(A48,Solieu!G:M,2,0),"nt")</f>
        <v>Cty TNHH Liên Minh Phát</v>
      </c>
      <c r="G48" s="2133" t="str">
        <f>IFERROR(VLOOKUP(A48,Solieu!G:M,3,0),"nt")</f>
        <v>Cty TNHH Liên Minh Phát</v>
      </c>
      <c r="H48" s="2133"/>
      <c r="I48" s="2137"/>
      <c r="J48" s="2138" t="str">
        <f>IFERROR(VLOOKUP(A48,Solieu!G:M,4,0),"nt")</f>
        <v>23.05/BBNTXX.ĐLXL</v>
      </c>
      <c r="K48" s="2139">
        <f>IFERROR(VLOOKUP(A48,Solieu!G:M,5,0),"nt")</f>
        <v>43608</v>
      </c>
      <c r="L48" s="2133"/>
      <c r="M48" s="2137"/>
      <c r="N48" s="1498" t="s">
        <v>4373</v>
      </c>
      <c r="O48" s="1795">
        <f t="shared" si="0"/>
        <v>1</v>
      </c>
      <c r="P48" s="1494"/>
      <c r="Q48" s="1728"/>
      <c r="R48" s="1796"/>
      <c r="S48" s="992"/>
      <c r="T48" s="992"/>
      <c r="U48" s="992"/>
      <c r="V48" s="992"/>
      <c r="W48" s="992"/>
      <c r="X48" s="992"/>
      <c r="Y48" s="992"/>
      <c r="Z48" s="992"/>
      <c r="AA48" s="992"/>
    </row>
    <row r="49" spans="1:27" s="993" customFormat="1" ht="35.1" customHeight="1">
      <c r="A49" s="1870" t="s">
        <v>4973</v>
      </c>
      <c r="B49" s="2133">
        <f t="shared" si="1"/>
        <v>44</v>
      </c>
      <c r="C49" s="2134" t="str">
        <f>(VLOOKUP(A49,DG!A:C,3,0))</f>
        <v>Dây đai + khóa đai Inoc</v>
      </c>
      <c r="D49" s="2135" t="str">
        <f>IFERROR(VLOOKUP(A49,DG!A:D,4,0),0)</f>
        <v>Bộ</v>
      </c>
      <c r="E49" s="2136">
        <f>SUMIF(TongHopKL!C:C,'NT-VT'!A49,TongHopKL!G:G)</f>
        <v>74</v>
      </c>
      <c r="F49" s="2133" t="str">
        <f>IFERROR(VLOOKUP(A49,Solieu!G:M,2,0),"nt")</f>
        <v>Cty TNHH Liên Minh Phát</v>
      </c>
      <c r="G49" s="2133" t="str">
        <f>IFERROR(VLOOKUP(A49,Solieu!G:M,3,0),"nt")</f>
        <v>Cty TNHH Liên Minh Phát</v>
      </c>
      <c r="H49" s="2133"/>
      <c r="I49" s="2137"/>
      <c r="J49" s="2138" t="str">
        <f>IFERROR(VLOOKUP(A49,Solieu!G:M,4,0),"nt")</f>
        <v>23.05/BBNTXX.ĐLXL</v>
      </c>
      <c r="K49" s="2139">
        <f>IFERROR(VLOOKUP(A49,Solieu!G:M,5,0),"nt")</f>
        <v>43608</v>
      </c>
      <c r="L49" s="2133"/>
      <c r="M49" s="2137"/>
      <c r="N49" s="1498" t="s">
        <v>4373</v>
      </c>
      <c r="O49" s="1795">
        <f t="shared" si="0"/>
        <v>1</v>
      </c>
      <c r="P49" s="1494"/>
      <c r="Q49" s="1728"/>
      <c r="R49" s="1796"/>
      <c r="S49" s="992"/>
      <c r="T49" s="992"/>
      <c r="U49" s="992"/>
      <c r="V49" s="992"/>
      <c r="W49" s="992"/>
      <c r="X49" s="992"/>
      <c r="Y49" s="992"/>
      <c r="Z49" s="992"/>
      <c r="AA49" s="992"/>
    </row>
    <row r="50" spans="1:27" s="993" customFormat="1" ht="35.1" customHeight="1">
      <c r="A50" s="1869" t="s">
        <v>4967</v>
      </c>
      <c r="B50" s="2133">
        <f t="shared" si="1"/>
        <v>45</v>
      </c>
      <c r="C50" s="2134" t="str">
        <f>(VLOOKUP(A50,DG!A:C,3,0))</f>
        <v>Kẹp ép WR 279</v>
      </c>
      <c r="D50" s="2135" t="str">
        <f>IFERROR(VLOOKUP(A50,DG!A:D,4,0),0)</f>
        <v>cái</v>
      </c>
      <c r="E50" s="2144">
        <f>SUMIF(TongHopKL!C:C,'NT-VT'!A50,TongHopKL!G:G)</f>
        <v>10</v>
      </c>
      <c r="F50" s="2133" t="str">
        <f>IFERROR(VLOOKUP(A50,Solieu!G:M,2,0),"nt")</f>
        <v>Cty TNHH Liên Minh Phát</v>
      </c>
      <c r="G50" s="2133" t="str">
        <f>IFERROR(VLOOKUP(A50,Solieu!G:M,3,0),"nt")</f>
        <v>Cty TNHH Liên Minh Phát</v>
      </c>
      <c r="H50" s="2133"/>
      <c r="I50" s="2137"/>
      <c r="J50" s="2138" t="str">
        <f>IFERROR(VLOOKUP(A50,Solieu!G:M,4,0),"nt")</f>
        <v>23.05/BBNTXX.ĐLXL</v>
      </c>
      <c r="K50" s="2139">
        <f>IFERROR(VLOOKUP(A50,Solieu!G:M,5,0),"nt")</f>
        <v>43608</v>
      </c>
      <c r="L50" s="2133"/>
      <c r="M50" s="2137"/>
      <c r="N50" s="1498" t="s">
        <v>4373</v>
      </c>
      <c r="O50" s="1795">
        <f t="shared" si="0"/>
        <v>1</v>
      </c>
      <c r="P50" s="1494"/>
      <c r="Q50" s="1728"/>
      <c r="R50" s="1796"/>
      <c r="S50" s="992"/>
      <c r="T50" s="992"/>
      <c r="U50" s="992"/>
      <c r="V50" s="992"/>
      <c r="W50" s="992"/>
      <c r="X50" s="992"/>
      <c r="Y50" s="992"/>
      <c r="Z50" s="992"/>
      <c r="AA50" s="992"/>
    </row>
    <row r="51" spans="1:27" s="993" customFormat="1" ht="35.1" customHeight="1">
      <c r="A51" s="1867" t="s">
        <v>4517</v>
      </c>
      <c r="B51" s="2133">
        <f t="shared" si="1"/>
        <v>46</v>
      </c>
      <c r="C51" s="2134" t="str">
        <f>(VLOOKUP(A51,DG!A:C,3,0))</f>
        <v>Kẹp ép WR 399</v>
      </c>
      <c r="D51" s="2135" t="str">
        <f>IFERROR(VLOOKUP(A51,DG!A:D,4,0),0)</f>
        <v>cái</v>
      </c>
      <c r="E51" s="2144">
        <f>SUMIF(TongHopKL!C:C,'NT-VT'!A51,TongHopKL!G:G)</f>
        <v>102</v>
      </c>
      <c r="F51" s="2133" t="str">
        <f>IFERROR(VLOOKUP(A51,Solieu!G:M,2,0),"nt")</f>
        <v>Cty TNHH Liên Minh Phát</v>
      </c>
      <c r="G51" s="2133" t="str">
        <f>IFERROR(VLOOKUP(A51,Solieu!G:M,3,0),"nt")</f>
        <v>Cty TNHH Liên Minh Phát</v>
      </c>
      <c r="H51" s="2133"/>
      <c r="I51" s="2137"/>
      <c r="J51" s="2138" t="str">
        <f>IFERROR(VLOOKUP(A51,Solieu!G:M,4,0),"nt")</f>
        <v>23.05/BBNTXX.ĐLXL</v>
      </c>
      <c r="K51" s="2139">
        <f>IFERROR(VLOOKUP(A51,Solieu!G:M,5,0),"nt")</f>
        <v>43608</v>
      </c>
      <c r="L51" s="2141"/>
      <c r="M51" s="2137"/>
      <c r="N51" s="1498" t="s">
        <v>4373</v>
      </c>
      <c r="O51" s="1795">
        <f t="shared" si="0"/>
        <v>1</v>
      </c>
      <c r="P51" s="1494"/>
      <c r="Q51" s="1728"/>
      <c r="R51" s="1796"/>
      <c r="S51" s="992"/>
      <c r="T51" s="992"/>
      <c r="U51" s="992"/>
      <c r="V51" s="992"/>
      <c r="W51" s="992"/>
      <c r="X51" s="992"/>
      <c r="Y51" s="992"/>
      <c r="Z51" s="992"/>
      <c r="AA51" s="992"/>
    </row>
    <row r="52" spans="1:27" s="993" customFormat="1" ht="35.1" customHeight="1">
      <c r="A52" s="1867" t="s">
        <v>4969</v>
      </c>
      <c r="B52" s="2133">
        <f t="shared" si="1"/>
        <v>47</v>
      </c>
      <c r="C52" s="2134" t="str">
        <f>(VLOOKUP(A52,DG!A:C,3,0))</f>
        <v>Kẹp ép WR 419</v>
      </c>
      <c r="D52" s="2135" t="str">
        <f>IFERROR(VLOOKUP(A52,DG!A:D,4,0),0)</f>
        <v>cái</v>
      </c>
      <c r="E52" s="2144">
        <f>SUMIF(TongHopKL!C:C,'NT-VT'!A52,TongHopKL!G:G)</f>
        <v>70</v>
      </c>
      <c r="F52" s="2133" t="str">
        <f>IFERROR(VLOOKUP(A52,Solieu!G:M,2,0),"nt")</f>
        <v>Cty TNHH Liên Minh Phát</v>
      </c>
      <c r="G52" s="2133" t="str">
        <f>IFERROR(VLOOKUP(A52,Solieu!G:M,3,0),"nt")</f>
        <v>Cty TNHH Liên Minh Phát</v>
      </c>
      <c r="H52" s="2133"/>
      <c r="I52" s="2137"/>
      <c r="J52" s="2138" t="str">
        <f>IFERROR(VLOOKUP(A52,Solieu!G:M,4,0),"nt")</f>
        <v>23.05/BBNTXX.ĐLXL</v>
      </c>
      <c r="K52" s="2139">
        <f>IFERROR(VLOOKUP(A52,Solieu!G:M,5,0),"nt")</f>
        <v>43608</v>
      </c>
      <c r="L52" s="2141"/>
      <c r="M52" s="2137"/>
      <c r="N52" s="1498" t="s">
        <v>4373</v>
      </c>
      <c r="O52" s="1795">
        <f t="shared" si="0"/>
        <v>1</v>
      </c>
      <c r="P52" s="1494"/>
      <c r="Q52" s="1728"/>
      <c r="R52" s="1796"/>
      <c r="S52" s="992"/>
      <c r="T52" s="992"/>
      <c r="U52" s="992"/>
      <c r="V52" s="992"/>
      <c r="W52" s="992"/>
      <c r="X52" s="992"/>
      <c r="Y52" s="992"/>
      <c r="Z52" s="992"/>
      <c r="AA52" s="992"/>
    </row>
    <row r="53" spans="1:27" s="993" customFormat="1" ht="35.1" customHeight="1">
      <c r="A53" s="1867" t="s">
        <v>4970</v>
      </c>
      <c r="B53" s="2133">
        <f t="shared" si="1"/>
        <v>48</v>
      </c>
      <c r="C53" s="2134" t="str">
        <f>(VLOOKUP(A53,DG!A:C,3,0))</f>
        <v>Kẹp ép WR 929</v>
      </c>
      <c r="D53" s="2135" t="str">
        <f>IFERROR(VLOOKUP(A53,DG!A:D,4,0),0)</f>
        <v>cái</v>
      </c>
      <c r="E53" s="2144">
        <f>SUMIF(TongHopKL!C:C,'NT-VT'!A53,TongHopKL!G:G)</f>
        <v>100</v>
      </c>
      <c r="F53" s="2133" t="str">
        <f>IFERROR(VLOOKUP(A53,Solieu!G:M,2,0),"nt")</f>
        <v>Cty TNHH Liên Minh Phát</v>
      </c>
      <c r="G53" s="2133" t="str">
        <f>IFERROR(VLOOKUP(A53,Solieu!G:M,3,0),"nt")</f>
        <v>Cty TNHH Liên Minh Phát</v>
      </c>
      <c r="H53" s="2133"/>
      <c r="I53" s="2137"/>
      <c r="J53" s="2138" t="str">
        <f>IFERROR(VLOOKUP(A53,Solieu!G:M,4,0),"nt")</f>
        <v>23.05/BBNTXX.ĐLXL</v>
      </c>
      <c r="K53" s="2139">
        <f>IFERROR(VLOOKUP(A53,Solieu!G:M,5,0),"nt")</f>
        <v>43608</v>
      </c>
      <c r="L53" s="2133"/>
      <c r="M53" s="2137"/>
      <c r="N53" s="1498" t="s">
        <v>4373</v>
      </c>
      <c r="O53" s="1795">
        <f t="shared" si="0"/>
        <v>1</v>
      </c>
      <c r="P53" s="1494"/>
      <c r="Q53" s="1728"/>
      <c r="R53" s="1796"/>
      <c r="S53" s="992"/>
      <c r="T53" s="992"/>
      <c r="U53" s="992"/>
      <c r="V53" s="992"/>
      <c r="W53" s="992"/>
      <c r="X53" s="992"/>
      <c r="Y53" s="992"/>
      <c r="Z53" s="992"/>
      <c r="AA53" s="992"/>
    </row>
    <row r="54" spans="1:27" s="993" customFormat="1" ht="35.1" customHeight="1">
      <c r="A54" s="1867" t="s">
        <v>1079</v>
      </c>
      <c r="B54" s="2133">
        <f t="shared" si="1"/>
        <v>49</v>
      </c>
      <c r="C54" s="2134" t="str">
        <f>(VLOOKUP(A54,DG!A:C,3,0))</f>
        <v>Kẹp hotline 4/0</v>
      </c>
      <c r="D54" s="2135" t="str">
        <f>IFERROR(VLOOKUP(A54,DG!A:D,4,0),0)</f>
        <v>cái</v>
      </c>
      <c r="E54" s="2144">
        <f>SUMIF(TongHopKL!C:C,'NT-VT'!A54,TongHopKL!G:G)</f>
        <v>47</v>
      </c>
      <c r="F54" s="2133">
        <f>IFERROR(VLOOKUP(A54,Solieu!G:M,2,0),"nt")</f>
        <v>0</v>
      </c>
      <c r="G54" s="2133">
        <f>IFERROR(VLOOKUP(A54,Solieu!G:M,3,0),"nt")</f>
        <v>0</v>
      </c>
      <c r="H54" s="2133"/>
      <c r="I54" s="2137"/>
      <c r="J54" s="2138">
        <f>IFERROR(VLOOKUP(A54,Solieu!G:M,4,0),"nt")</f>
        <v>0</v>
      </c>
      <c r="K54" s="2139">
        <f>IFERROR(VLOOKUP(A54,Solieu!G:M,5,0),"nt")</f>
        <v>0</v>
      </c>
      <c r="L54" s="2141"/>
      <c r="M54" s="2137"/>
      <c r="N54" s="1498" t="s">
        <v>4373</v>
      </c>
      <c r="O54" s="1795">
        <f t="shared" si="0"/>
        <v>1</v>
      </c>
      <c r="P54" s="1494"/>
      <c r="Q54" s="1728"/>
      <c r="R54" s="1796"/>
      <c r="S54" s="992"/>
      <c r="T54" s="992"/>
      <c r="U54" s="992"/>
      <c r="V54" s="992"/>
      <c r="W54" s="992"/>
      <c r="X54" s="992"/>
      <c r="Y54" s="992"/>
      <c r="Z54" s="992"/>
      <c r="AA54" s="992"/>
    </row>
    <row r="55" spans="1:27" s="993" customFormat="1" ht="35.1" customHeight="1">
      <c r="A55" s="1867" t="s">
        <v>434</v>
      </c>
      <c r="B55" s="2133">
        <f t="shared" si="1"/>
        <v>50</v>
      </c>
      <c r="C55" s="2134" t="str">
        <f>(VLOOKUP(A55,DG!A:C,3,0))</f>
        <v>Khóa néo dây cỡ dây 120</v>
      </c>
      <c r="D55" s="2135" t="str">
        <f>IFERROR(VLOOKUP(A55,DG!A:D,4,0),0)</f>
        <v>cái</v>
      </c>
      <c r="E55" s="2144">
        <f>SUMIF(TongHopKL!C:C,'NT-VT'!A55,TongHopKL!G:G)</f>
        <v>29</v>
      </c>
      <c r="F55" s="2133" t="str">
        <f>IFERROR(VLOOKUP(A55,Solieu!G:M,2,0),"nt")</f>
        <v>Cty TNHH Liên Minh Phát</v>
      </c>
      <c r="G55" s="2133" t="str">
        <f>IFERROR(VLOOKUP(A55,Solieu!G:M,3,0),"nt")</f>
        <v>Cty TNHH Liên Minh Phát</v>
      </c>
      <c r="H55" s="2133"/>
      <c r="I55" s="2137"/>
      <c r="J55" s="2138" t="str">
        <f>IFERROR(VLOOKUP(A55,Solieu!G:M,4,0),"nt")</f>
        <v>23.05/BBNTXX.ĐLXL</v>
      </c>
      <c r="K55" s="2139">
        <f>IFERROR(VLOOKUP(A55,Solieu!G:M,5,0),"nt")</f>
        <v>43608</v>
      </c>
      <c r="L55" s="2141"/>
      <c r="M55" s="2137"/>
      <c r="N55" s="1498" t="s">
        <v>4373</v>
      </c>
      <c r="O55" s="1795">
        <f t="shared" si="0"/>
        <v>1</v>
      </c>
      <c r="P55" s="1494"/>
      <c r="Q55" s="1728"/>
      <c r="R55" s="1796"/>
      <c r="S55" s="992"/>
      <c r="T55" s="992"/>
      <c r="U55" s="992"/>
      <c r="V55" s="992"/>
      <c r="W55" s="992"/>
      <c r="X55" s="992"/>
      <c r="Y55" s="992"/>
      <c r="Z55" s="992"/>
      <c r="AA55" s="992"/>
    </row>
    <row r="56" spans="1:27" s="993" customFormat="1" ht="35.1" customHeight="1">
      <c r="A56" s="1867" t="s">
        <v>237</v>
      </c>
      <c r="B56" s="2133">
        <f t="shared" si="1"/>
        <v>51</v>
      </c>
      <c r="C56" s="2134" t="str">
        <f>(VLOOKUP(A56,DG!A:C,3,0))</f>
        <v>Kẹp quai 4/0</v>
      </c>
      <c r="D56" s="2135" t="str">
        <f>IFERROR(VLOOKUP(A56,DG!A:D,4,0),0)</f>
        <v>cái</v>
      </c>
      <c r="E56" s="2144">
        <f>SUMIF(TongHopKL!C:C,'NT-VT'!A56,TongHopKL!G:G)</f>
        <v>56</v>
      </c>
      <c r="F56" s="2133">
        <f>IFERROR(VLOOKUP(A56,Solieu!G:M,2,0),"nt")</f>
        <v>0</v>
      </c>
      <c r="G56" s="2133">
        <f>IFERROR(VLOOKUP(A56,Solieu!G:M,3,0),"nt")</f>
        <v>0</v>
      </c>
      <c r="H56" s="2133"/>
      <c r="I56" s="2137"/>
      <c r="J56" s="2138">
        <f>IFERROR(VLOOKUP(A56,Solieu!G:M,4,0),"nt")</f>
        <v>0</v>
      </c>
      <c r="K56" s="2139">
        <f>IFERROR(VLOOKUP(A56,Solieu!G:M,5,0),"nt")</f>
        <v>0</v>
      </c>
      <c r="L56" s="2133"/>
      <c r="M56" s="2137"/>
      <c r="N56" s="1498" t="s">
        <v>4373</v>
      </c>
      <c r="O56" s="1795">
        <f t="shared" si="0"/>
        <v>1</v>
      </c>
      <c r="P56" s="1494"/>
      <c r="Q56" s="1728"/>
      <c r="R56" s="1796"/>
      <c r="S56" s="992"/>
      <c r="T56" s="992"/>
      <c r="U56" s="992"/>
      <c r="V56" s="992"/>
      <c r="W56" s="992"/>
      <c r="X56" s="992"/>
      <c r="Y56" s="992"/>
      <c r="Z56" s="992"/>
      <c r="AA56" s="992"/>
    </row>
    <row r="57" spans="1:27" s="993" customFormat="1" ht="35.1" customHeight="1">
      <c r="A57" s="1867" t="s">
        <v>2054</v>
      </c>
      <c r="B57" s="2133">
        <f t="shared" si="1"/>
        <v>52</v>
      </c>
      <c r="C57" s="2134" t="str">
        <f>(VLOOKUP(A57,DG!A:C,3,0))</f>
        <v>Máng che dây chằng dày 1,6mm</v>
      </c>
      <c r="D57" s="2135" t="str">
        <f>IFERROR(VLOOKUP(A57,DG!A:D,4,0),0)</f>
        <v>cái</v>
      </c>
      <c r="E57" s="2144">
        <f>SUMIF(TongHopKL!C:C,'NT-VT'!A57,TongHopKL!G:G)</f>
        <v>8</v>
      </c>
      <c r="F57" s="2133" t="str">
        <f>IFERROR(VLOOKUP(A57,Solieu!G:M,2,0),"nt")</f>
        <v>Cty TNHH Liên Minh Phát</v>
      </c>
      <c r="G57" s="2133" t="str">
        <f>IFERROR(VLOOKUP(A57,Solieu!G:M,3,0),"nt")</f>
        <v>Cty TNHH Liên Minh Phát</v>
      </c>
      <c r="H57" s="2133"/>
      <c r="I57" s="2137"/>
      <c r="J57" s="2138" t="str">
        <f>IFERROR(VLOOKUP(A57,Solieu!G:M,4,0),"nt")</f>
        <v>23.05/BBNTXX.ĐLXL</v>
      </c>
      <c r="K57" s="2139">
        <f>IFERROR(VLOOKUP(A57,Solieu!G:M,5,0),"nt")</f>
        <v>43608</v>
      </c>
      <c r="L57" s="2141"/>
      <c r="M57" s="2137"/>
      <c r="N57" s="1498" t="s">
        <v>4373</v>
      </c>
      <c r="O57" s="1795">
        <f t="shared" si="0"/>
        <v>1</v>
      </c>
      <c r="P57" s="1494"/>
      <c r="Q57" s="1728"/>
      <c r="R57" s="1796"/>
      <c r="S57" s="992"/>
      <c r="T57" s="992"/>
      <c r="U57" s="992"/>
      <c r="V57" s="992"/>
      <c r="W57" s="992"/>
      <c r="X57" s="992"/>
      <c r="Y57" s="992"/>
      <c r="Z57" s="992"/>
      <c r="AA57" s="992"/>
    </row>
    <row r="58" spans="1:27" s="993" customFormat="1" ht="35.1" customHeight="1">
      <c r="A58" s="1867" t="s">
        <v>4963</v>
      </c>
      <c r="B58" s="2133">
        <f t="shared" si="1"/>
        <v>53</v>
      </c>
      <c r="C58" s="2134" t="str">
        <f>(VLOOKUP(A58,DG!A:C,3,0))</f>
        <v>Máng che dây chằng dày 0,4x2000</v>
      </c>
      <c r="D58" s="2135" t="str">
        <f>IFERROR(VLOOKUP(A58,DG!A:D,4,0),0)</f>
        <v>cái</v>
      </c>
      <c r="E58" s="2136">
        <f>SUMIF(TongHopKL!C:C,'NT-VT'!A58,TongHopKL!G:G)</f>
        <v>7</v>
      </c>
      <c r="F58" s="2133" t="str">
        <f>IFERROR(VLOOKUP(A58,Solieu!G:M,2,0),"nt")</f>
        <v>Cty TNHH Liên Minh Phát</v>
      </c>
      <c r="G58" s="2133" t="str">
        <f>IFERROR(VLOOKUP(A58,Solieu!G:M,3,0),"nt")</f>
        <v>Cty TNHH Liên Minh Phát</v>
      </c>
      <c r="H58" s="2133"/>
      <c r="I58" s="2137"/>
      <c r="J58" s="2138" t="str">
        <f>IFERROR(VLOOKUP(A58,Solieu!G:M,4,0),"nt")</f>
        <v>23.05/BBNTXX.ĐLXL</v>
      </c>
      <c r="K58" s="2139">
        <f>IFERROR(VLOOKUP(A58,Solieu!G:M,5,0),"nt")</f>
        <v>43608</v>
      </c>
      <c r="L58" s="2141"/>
      <c r="M58" s="2137"/>
      <c r="N58" s="1498" t="s">
        <v>4373</v>
      </c>
      <c r="O58" s="1795">
        <f t="shared" si="0"/>
        <v>1</v>
      </c>
      <c r="P58" s="1494"/>
      <c r="Q58" s="1728"/>
      <c r="R58" s="1796"/>
      <c r="S58" s="992"/>
      <c r="T58" s="992"/>
      <c r="U58" s="992"/>
      <c r="V58" s="992"/>
      <c r="W58" s="992"/>
      <c r="X58" s="992"/>
      <c r="Y58" s="992"/>
      <c r="Z58" s="992"/>
      <c r="AA58" s="992"/>
    </row>
    <row r="59" spans="1:27" s="993" customFormat="1" ht="35.1" customHeight="1">
      <c r="A59" s="1867" t="s">
        <v>1538</v>
      </c>
      <c r="B59" s="2133">
        <f t="shared" si="1"/>
        <v>54</v>
      </c>
      <c r="C59" s="2134" t="str">
        <f>(VLOOKUP(A59,DG!A:C,3,0))</f>
        <v xml:space="preserve">Móc treo chữ U </v>
      </c>
      <c r="D59" s="2135" t="str">
        <f>IFERROR(VLOOKUP(A59,DG!A:D,4,0),0)</f>
        <v>cái</v>
      </c>
      <c r="E59" s="2146">
        <f>SUMIF(TongHopKL!C:C,'NT-VT'!A59,TongHopKL!G:G)</f>
        <v>186</v>
      </c>
      <c r="F59" s="2133" t="str">
        <f>IFERROR(VLOOKUP(A59,Solieu!G:M,2,0),"nt")</f>
        <v>Cty TNHH Liên Minh Phát</v>
      </c>
      <c r="G59" s="2133" t="str">
        <f>IFERROR(VLOOKUP(A59,Solieu!G:M,3,0),"nt")</f>
        <v>Cty TNHH Liên Minh Phát</v>
      </c>
      <c r="H59" s="2133"/>
      <c r="I59" s="2137"/>
      <c r="J59" s="2138" t="str">
        <f>IFERROR(VLOOKUP(A59,Solieu!G:M,4,0),"nt")</f>
        <v>23.05/BBNTXX.ĐLXL</v>
      </c>
      <c r="K59" s="2139">
        <f>IFERROR(VLOOKUP(A59,Solieu!G:M,5,0),"nt")</f>
        <v>43608</v>
      </c>
      <c r="L59" s="2141"/>
      <c r="M59" s="2137"/>
      <c r="N59" s="1498" t="s">
        <v>4373</v>
      </c>
      <c r="O59" s="1795">
        <f t="shared" si="0"/>
        <v>1</v>
      </c>
      <c r="P59" s="1494"/>
      <c r="Q59" s="1728"/>
      <c r="R59" s="1796"/>
      <c r="S59" s="992"/>
      <c r="T59" s="992"/>
      <c r="U59" s="992"/>
      <c r="V59" s="992"/>
      <c r="W59" s="992"/>
      <c r="X59" s="992"/>
      <c r="Y59" s="992"/>
      <c r="Z59" s="992"/>
      <c r="AA59" s="992"/>
    </row>
    <row r="60" spans="1:27" s="993" customFormat="1" ht="35.1" customHeight="1">
      <c r="A60" s="1867" t="s">
        <v>1322</v>
      </c>
      <c r="B60" s="2133">
        <f t="shared" si="1"/>
        <v>55</v>
      </c>
      <c r="C60" s="2134" t="str">
        <f>(VLOOKUP(A60,DG!A:C,3,0))</f>
        <v>Neo xòe 8 hướng (dày 3,2mm)</v>
      </c>
      <c r="D60" s="2135" t="str">
        <f>IFERROR(VLOOKUP(A60,DG!A:D,4,0),0)</f>
        <v>cái</v>
      </c>
      <c r="E60" s="2136">
        <f>SUMIF(TongHopKL!C:C,'NT-VT'!A60,TongHopKL!G:G)</f>
        <v>2</v>
      </c>
      <c r="F60" s="2133" t="str">
        <f>IFERROR(VLOOKUP(A60,Solieu!G:M,2,0),"nt")</f>
        <v>Cty TNHH Liên Minh Phát</v>
      </c>
      <c r="G60" s="2133" t="str">
        <f>IFERROR(VLOOKUP(A60,Solieu!G:M,3,0),"nt")</f>
        <v>Cty TNHH Liên Minh Phát</v>
      </c>
      <c r="H60" s="2133"/>
      <c r="I60" s="2137"/>
      <c r="J60" s="2138" t="str">
        <f>IFERROR(VLOOKUP(A60,Solieu!G:M,4,0),"nt")</f>
        <v>23.05/BBNTXX.ĐLXL</v>
      </c>
      <c r="K60" s="2139">
        <f>IFERROR(VLOOKUP(A60,Solieu!G:M,5,0),"nt")</f>
        <v>43608</v>
      </c>
      <c r="L60" s="2141"/>
      <c r="M60" s="2143"/>
      <c r="N60" s="1498" t="s">
        <v>4373</v>
      </c>
      <c r="O60" s="1795">
        <f t="shared" si="0"/>
        <v>1</v>
      </c>
      <c r="P60" s="1494"/>
      <c r="Q60" s="1728"/>
      <c r="R60" s="1796"/>
      <c r="S60" s="992"/>
      <c r="T60" s="992"/>
      <c r="U60" s="992"/>
      <c r="V60" s="992"/>
      <c r="W60" s="992"/>
      <c r="X60" s="992"/>
      <c r="Y60" s="992"/>
      <c r="Z60" s="992"/>
      <c r="AA60" s="992"/>
    </row>
    <row r="61" spans="1:27" s="993" customFormat="1" ht="35.1" customHeight="1">
      <c r="A61" s="1867" t="s">
        <v>4971</v>
      </c>
      <c r="B61" s="2133">
        <f t="shared" si="1"/>
        <v>56</v>
      </c>
      <c r="C61" s="2134" t="str">
        <f>(VLOOKUP(A61,DG!A:C,3,0))</f>
        <v>Ong co nhiệt cách điện 24kV D60</v>
      </c>
      <c r="D61" s="2135" t="str">
        <f>IFERROR(VLOOKUP(A61,DG!A:D,4,0),0)</f>
        <v>m</v>
      </c>
      <c r="E61" s="2136">
        <f>SUMIF(TongHopKL!C:C,'NT-VT'!A61,TongHopKL!G:G)</f>
        <v>15</v>
      </c>
      <c r="F61" s="2133" t="str">
        <f>IFERROR(VLOOKUP(A61,Solieu!G:M,2,0),"nt")</f>
        <v>Cty TNHH SX TM-DV Song Hào</v>
      </c>
      <c r="G61" s="2133" t="str">
        <f>IFERROR(VLOOKUP(A61,Solieu!G:M,3,0),"nt")</f>
        <v>Cty TNHH Liên Minh Phát</v>
      </c>
      <c r="H61" s="2133"/>
      <c r="I61" s="2137"/>
      <c r="J61" s="2138" t="str">
        <f>IFERROR(VLOOKUP(A61,Solieu!G:M,4,0),"nt")</f>
        <v>112.19-PTN/SONGHAO</v>
      </c>
      <c r="K61" s="2139">
        <f>IFERROR(VLOOKUP(A61,Solieu!G:M,5,0),"nt")</f>
        <v>0</v>
      </c>
      <c r="L61" s="2141"/>
      <c r="M61" s="2143"/>
      <c r="N61" s="1498" t="s">
        <v>4373</v>
      </c>
      <c r="O61" s="1795">
        <f t="shared" si="0"/>
        <v>1</v>
      </c>
      <c r="P61" s="1494"/>
      <c r="Q61" s="1728"/>
      <c r="R61" s="1796"/>
      <c r="S61" s="992"/>
      <c r="T61" s="992"/>
      <c r="U61" s="992"/>
      <c r="V61" s="992"/>
      <c r="W61" s="992"/>
      <c r="X61" s="992"/>
      <c r="Y61" s="992"/>
      <c r="Z61" s="992"/>
      <c r="AA61" s="992"/>
    </row>
    <row r="62" spans="1:27" s="993" customFormat="1" ht="35.1" customHeight="1">
      <c r="A62" s="1867" t="s">
        <v>577</v>
      </c>
      <c r="B62" s="2133">
        <f t="shared" si="1"/>
        <v>57</v>
      </c>
      <c r="C62" s="2134" t="str">
        <f>(VLOOKUP(A62,DG!A:C,3,0))</f>
        <v>Ống nối dây cỡ 120mm2</v>
      </c>
      <c r="D62" s="2135" t="str">
        <f>IFERROR(VLOOKUP(A62,DG!A:D,4,0),0)</f>
        <v>cái</v>
      </c>
      <c r="E62" s="2136">
        <f>SUMIF(TongHopKL!C:C,'NT-VT'!A62,TongHopKL!G:G)</f>
        <v>5</v>
      </c>
      <c r="F62" s="2133">
        <f>IFERROR(VLOOKUP(A62,Solieu!G:M,2,0),"nt")</f>
        <v>0</v>
      </c>
      <c r="G62" s="2133">
        <f>IFERROR(VLOOKUP(A62,Solieu!G:M,3,0),"nt")</f>
        <v>0</v>
      </c>
      <c r="H62" s="2133"/>
      <c r="I62" s="2137"/>
      <c r="J62" s="2138">
        <f>IFERROR(VLOOKUP(A62,Solieu!G:M,4,0),"nt")</f>
        <v>0</v>
      </c>
      <c r="K62" s="2139">
        <f>IFERROR(VLOOKUP(A62,Solieu!G:M,5,0),"nt")</f>
        <v>0</v>
      </c>
      <c r="L62" s="2141"/>
      <c r="M62" s="2137"/>
      <c r="N62" s="1498" t="s">
        <v>4373</v>
      </c>
      <c r="O62" s="1795">
        <f t="shared" si="0"/>
        <v>1</v>
      </c>
      <c r="P62" s="1494"/>
      <c r="Q62" s="1728"/>
      <c r="R62" s="1796"/>
      <c r="S62" s="992"/>
      <c r="T62" s="992"/>
      <c r="U62" s="992"/>
      <c r="V62" s="992"/>
      <c r="W62" s="992"/>
      <c r="X62" s="992"/>
      <c r="Y62" s="992"/>
      <c r="Z62" s="992"/>
      <c r="AA62" s="992"/>
    </row>
    <row r="63" spans="1:27" s="993" customFormat="1" ht="35.1" customHeight="1">
      <c r="A63" s="1867" t="s">
        <v>576</v>
      </c>
      <c r="B63" s="2133">
        <f t="shared" si="1"/>
        <v>58</v>
      </c>
      <c r="C63" s="2134" t="str">
        <f>(VLOOKUP(A63,DG!A:C,3,0))</f>
        <v>Ống nối dây cỡ 185mm2</v>
      </c>
      <c r="D63" s="2135" t="str">
        <f>IFERROR(VLOOKUP(A63,DG!A:D,4,0),0)</f>
        <v>cái</v>
      </c>
      <c r="E63" s="2136">
        <f>SUMIF(TongHopKL!C:C,'NT-VT'!A63,TongHopKL!G:G)</f>
        <v>16</v>
      </c>
      <c r="F63" s="2133">
        <f>IFERROR(VLOOKUP(A63,Solieu!G:M,2,0),"nt")</f>
        <v>0</v>
      </c>
      <c r="G63" s="2133">
        <f>IFERROR(VLOOKUP(A63,Solieu!G:M,3,0),"nt")</f>
        <v>0</v>
      </c>
      <c r="H63" s="2133"/>
      <c r="I63" s="2137"/>
      <c r="J63" s="2138">
        <f>IFERROR(VLOOKUP(A63,Solieu!G:M,4,0),"nt")</f>
        <v>0</v>
      </c>
      <c r="K63" s="2139">
        <f>IFERROR(VLOOKUP(A63,Solieu!G:M,5,0),"nt")</f>
        <v>0</v>
      </c>
      <c r="L63" s="2141"/>
      <c r="M63" s="2137"/>
      <c r="N63" s="1498" t="s">
        <v>4373</v>
      </c>
      <c r="O63" s="1795">
        <f t="shared" si="0"/>
        <v>1</v>
      </c>
      <c r="P63" s="1494"/>
      <c r="Q63" s="1728"/>
      <c r="R63" s="1796"/>
      <c r="S63" s="992"/>
      <c r="T63" s="992"/>
      <c r="U63" s="992"/>
      <c r="V63" s="992"/>
      <c r="W63" s="992"/>
      <c r="X63" s="992"/>
      <c r="Y63" s="992"/>
      <c r="Z63" s="992"/>
      <c r="AA63" s="992"/>
    </row>
    <row r="64" spans="1:27" s="993" customFormat="1" ht="35.1" customHeight="1">
      <c r="A64" s="1867" t="s">
        <v>1539</v>
      </c>
      <c r="B64" s="2133">
        <f t="shared" si="1"/>
        <v>59</v>
      </c>
      <c r="C64" s="2134" t="str">
        <f>(VLOOKUP(A64,DG!A:C,3,0))</f>
        <v>Ống nối dây cỡ 50mm2</v>
      </c>
      <c r="D64" s="2135" t="str">
        <f>IFERROR(VLOOKUP(A64,DG!A:D,4,0),0)</f>
        <v>cái</v>
      </c>
      <c r="E64" s="2136">
        <f>SUMIF(TongHopKL!C:C,'NT-VT'!A64,TongHopKL!G:G)</f>
        <v>12</v>
      </c>
      <c r="F64" s="2133">
        <f>IFERROR(VLOOKUP(A64,Solieu!G:M,2,0),"nt")</f>
        <v>0</v>
      </c>
      <c r="G64" s="2133">
        <f>IFERROR(VLOOKUP(A64,Solieu!G:M,3,0),"nt")</f>
        <v>0</v>
      </c>
      <c r="H64" s="2133"/>
      <c r="I64" s="2137"/>
      <c r="J64" s="2138">
        <f>IFERROR(VLOOKUP(A64,Solieu!G:M,4,0),"nt")</f>
        <v>0</v>
      </c>
      <c r="K64" s="2139">
        <f>IFERROR(VLOOKUP(A64,Solieu!G:M,5,0),"nt")</f>
        <v>0</v>
      </c>
      <c r="L64" s="2141"/>
      <c r="M64" s="2137"/>
      <c r="N64" s="1498" t="s">
        <v>4373</v>
      </c>
      <c r="O64" s="1795">
        <f t="shared" si="0"/>
        <v>1</v>
      </c>
      <c r="P64" s="1494"/>
      <c r="Q64" s="1728"/>
      <c r="R64" s="1796"/>
      <c r="S64" s="992"/>
      <c r="T64" s="992"/>
      <c r="U64" s="992"/>
      <c r="V64" s="992"/>
      <c r="W64" s="992"/>
      <c r="X64" s="992"/>
      <c r="Y64" s="992"/>
      <c r="Z64" s="992"/>
      <c r="AA64" s="992"/>
    </row>
    <row r="65" spans="1:27" s="993" customFormat="1" ht="35.1" customHeight="1">
      <c r="A65" s="1867" t="s">
        <v>4955</v>
      </c>
      <c r="B65" s="2133">
        <f t="shared" si="1"/>
        <v>60</v>
      </c>
      <c r="C65" s="2134" t="str">
        <f>(VLOOKUP(A65,DG!A:C,3,0))</f>
        <v>Ốc xiết cáp</v>
      </c>
      <c r="D65" s="2135" t="str">
        <f>IFERROR(VLOOKUP(A65,DG!A:D,4,0),0)</f>
        <v>cái</v>
      </c>
      <c r="E65" s="2136">
        <f>SUMIF(TongHopKL!C:C,'NT-VT'!A65,TongHopKL!G:G)</f>
        <v>98</v>
      </c>
      <c r="F65" s="2133" t="str">
        <f>IFERROR(VLOOKUP(A65,Solieu!G:M,2,0),"nt")</f>
        <v>Cty TNHH Liên Minh Phát</v>
      </c>
      <c r="G65" s="2133" t="str">
        <f>IFERROR(VLOOKUP(A65,Solieu!G:M,3,0),"nt")</f>
        <v>Cty TNHH Liên Minh Phát</v>
      </c>
      <c r="H65" s="2133"/>
      <c r="I65" s="2137"/>
      <c r="J65" s="2138" t="str">
        <f>IFERROR(VLOOKUP(A65,Solieu!G:M,4,0),"nt")</f>
        <v>23.05/BBNTXX.ĐLXL</v>
      </c>
      <c r="K65" s="2139">
        <f>IFERROR(VLOOKUP(A65,Solieu!G:M,5,0),"nt")</f>
        <v>43608</v>
      </c>
      <c r="L65" s="2141"/>
      <c r="M65" s="2137"/>
      <c r="N65" s="1498" t="s">
        <v>4373</v>
      </c>
      <c r="O65" s="1795">
        <f t="shared" si="0"/>
        <v>1</v>
      </c>
      <c r="P65" s="1494"/>
      <c r="Q65" s="1728"/>
      <c r="R65" s="1796"/>
      <c r="S65" s="992"/>
      <c r="T65" s="992"/>
      <c r="U65" s="992"/>
      <c r="V65" s="992"/>
      <c r="W65" s="992"/>
      <c r="X65" s="992"/>
      <c r="Y65" s="992"/>
      <c r="Z65" s="992"/>
      <c r="AA65" s="992"/>
    </row>
    <row r="66" spans="1:27" s="993" customFormat="1" ht="35.1" customHeight="1">
      <c r="A66" s="1867" t="s">
        <v>580</v>
      </c>
      <c r="B66" s="2133">
        <f t="shared" si="1"/>
        <v>61</v>
      </c>
      <c r="C66" s="2134" t="str">
        <f>(VLOOKUP(A66,DG!A:C,3,0))</f>
        <v xml:space="preserve">Ống PVC D21x1,6mm </v>
      </c>
      <c r="D66" s="2135" t="str">
        <f>IFERROR(VLOOKUP(A66,DG!A:D,4,0),0)</f>
        <v>m</v>
      </c>
      <c r="E66" s="2136">
        <f>SUMIF(TongHopKL!C:C,'NT-VT'!A66,TongHopKL!G:G)</f>
        <v>21</v>
      </c>
      <c r="F66" s="2133">
        <f>IFERROR(VLOOKUP(A66,Solieu!G:M,2,0),"nt")</f>
        <v>0</v>
      </c>
      <c r="G66" s="2133">
        <f>IFERROR(VLOOKUP(A66,Solieu!G:M,3,0),"nt")</f>
        <v>0</v>
      </c>
      <c r="H66" s="2133"/>
      <c r="I66" s="2137"/>
      <c r="J66" s="2138">
        <f>IFERROR(VLOOKUP(A66,Solieu!G:M,4,0),"nt")</f>
        <v>0</v>
      </c>
      <c r="K66" s="2139">
        <f>IFERROR(VLOOKUP(A66,Solieu!G:M,5,0),"nt")</f>
        <v>0</v>
      </c>
      <c r="L66" s="2141"/>
      <c r="M66" s="2137"/>
      <c r="N66" s="1498" t="s">
        <v>4373</v>
      </c>
      <c r="O66" s="1795">
        <f t="shared" si="0"/>
        <v>1</v>
      </c>
      <c r="P66" s="1494"/>
      <c r="Q66" s="1728"/>
      <c r="R66" s="1796"/>
      <c r="S66" s="992"/>
      <c r="T66" s="992"/>
      <c r="U66" s="992"/>
      <c r="V66" s="992"/>
      <c r="W66" s="992"/>
      <c r="X66" s="992"/>
      <c r="Y66" s="992"/>
      <c r="Z66" s="992"/>
      <c r="AA66" s="992"/>
    </row>
    <row r="67" spans="1:27" s="993" customFormat="1" ht="35.1" customHeight="1">
      <c r="A67" s="1867" t="s">
        <v>1962</v>
      </c>
      <c r="B67" s="2133">
        <f t="shared" si="1"/>
        <v>62</v>
      </c>
      <c r="C67" s="2134" t="str">
        <f>(VLOOKUP(A67,DG!A:C,3,0))</f>
        <v>Uclevis</v>
      </c>
      <c r="D67" s="2135" t="str">
        <f>IFERROR(VLOOKUP(A67,DG!A:D,4,0),0)</f>
        <v>bộ</v>
      </c>
      <c r="E67" s="2136">
        <f>SUMIF(TongHopKL!C:C,'NT-VT'!A67,TongHopKL!G:G)</f>
        <v>163</v>
      </c>
      <c r="F67" s="2133">
        <f>IFERROR(VLOOKUP(A67,Solieu!G:M,2,0),"nt")</f>
        <v>0</v>
      </c>
      <c r="G67" s="2133">
        <f>IFERROR(VLOOKUP(A67,Solieu!G:M,3,0),"nt")</f>
        <v>0</v>
      </c>
      <c r="H67" s="2133"/>
      <c r="I67" s="2137"/>
      <c r="J67" s="2138">
        <f>IFERROR(VLOOKUP(A67,Solieu!G:M,4,0),"nt")</f>
        <v>0</v>
      </c>
      <c r="K67" s="2139">
        <f>IFERROR(VLOOKUP(A67,Solieu!G:M,5,0),"nt")</f>
        <v>0</v>
      </c>
      <c r="L67" s="2141"/>
      <c r="M67" s="2137"/>
      <c r="N67" s="1498" t="s">
        <v>4373</v>
      </c>
      <c r="O67" s="1795">
        <f t="shared" si="0"/>
        <v>1</v>
      </c>
      <c r="P67" s="1494"/>
      <c r="Q67" s="1728"/>
      <c r="R67" s="1796"/>
      <c r="S67" s="992"/>
      <c r="T67" s="992"/>
      <c r="U67" s="992"/>
      <c r="V67" s="992"/>
      <c r="W67" s="992"/>
      <c r="X67" s="992"/>
      <c r="Y67" s="992"/>
      <c r="Z67" s="992"/>
      <c r="AA67" s="992"/>
    </row>
    <row r="68" spans="1:27" s="993" customFormat="1" ht="35.1" customHeight="1">
      <c r="A68" s="1867" t="s">
        <v>112</v>
      </c>
      <c r="B68" s="2133">
        <f t="shared" si="1"/>
        <v>63</v>
      </c>
      <c r="C68" s="2134" t="str">
        <f>(VLOOKUP(A68,DG!A:C,3,0))</f>
        <v>Sứ chằng</v>
      </c>
      <c r="D68" s="2135" t="str">
        <f>IFERROR(VLOOKUP(A68,DG!A:D,4,0),0)</f>
        <v>cái</v>
      </c>
      <c r="E68" s="2136">
        <f>SUMIF(TongHopKL!C:C,'NT-VT'!A68,TongHopKL!G:G)</f>
        <v>18</v>
      </c>
      <c r="F68" s="2133" t="str">
        <f>IFERROR(VLOOKUP(A68,Solieu!G:M,2,0),"nt")</f>
        <v>Cty CP Sứ kỹ thuật Hoàng Liên Sơn</v>
      </c>
      <c r="G68" s="2133" t="str">
        <f>IFERROR(VLOOKUP(A68,Solieu!G:M,3,0),"nt")</f>
        <v>Cty CP Sứ kỹ thuật Hoàng Liên Sơn</v>
      </c>
      <c r="H68" s="2133"/>
      <c r="I68" s="2137"/>
      <c r="J68" s="2138" t="str">
        <f>IFERROR(VLOOKUP(A68,Solieu!G:M,4,0),"nt")</f>
        <v>29819/CL
30219/CL</v>
      </c>
      <c r="K68" s="2139">
        <f>IFERROR(VLOOKUP(A68,Solieu!G:M,5,0),"nt")</f>
        <v>43660</v>
      </c>
      <c r="L68" s="2141"/>
      <c r="M68" s="2137"/>
      <c r="N68" s="1498" t="s">
        <v>4373</v>
      </c>
      <c r="O68" s="1795">
        <f t="shared" si="0"/>
        <v>1</v>
      </c>
      <c r="P68" s="1494"/>
      <c r="Q68" s="1728"/>
      <c r="R68" s="1796"/>
      <c r="S68" s="992"/>
      <c r="T68" s="992"/>
      <c r="U68" s="992"/>
      <c r="V68" s="992"/>
      <c r="W68" s="992"/>
      <c r="X68" s="992"/>
      <c r="Y68" s="992"/>
      <c r="Z68" s="992"/>
      <c r="AA68" s="992"/>
    </row>
    <row r="69" spans="1:27" s="993" customFormat="1" ht="35.1" customHeight="1">
      <c r="A69" s="1867" t="s">
        <v>1481</v>
      </c>
      <c r="B69" s="2133">
        <f t="shared" si="1"/>
        <v>64</v>
      </c>
      <c r="C69" s="2134" t="str">
        <f>(VLOOKUP(A69,DG!A:C,3,0))</f>
        <v xml:space="preserve">Sứ ống chỉ </v>
      </c>
      <c r="D69" s="2135" t="str">
        <f>IFERROR(VLOOKUP(A69,DG!A:D,4,0),0)</f>
        <v>cái</v>
      </c>
      <c r="E69" s="2136">
        <f>SUMIF(TongHopKL!C:C,'NT-VT'!A69,TongHopKL!G:G)</f>
        <v>163</v>
      </c>
      <c r="F69" s="2133" t="str">
        <f>IFERROR(VLOOKUP(A69,Solieu!G:M,2,0),"nt")</f>
        <v>Cty CP Sứ kỹ thuật Hoàng Liên Sơn</v>
      </c>
      <c r="G69" s="2133" t="str">
        <f>IFERROR(VLOOKUP(A69,Solieu!G:M,3,0),"nt")</f>
        <v>Cty CP Sứ kỹ thuật Hoàng Liên Sơn</v>
      </c>
      <c r="H69" s="2133"/>
      <c r="I69" s="2137"/>
      <c r="J69" s="2138" t="str">
        <f>IFERROR(VLOOKUP(A69,Solieu!G:M,4,0),"nt")</f>
        <v>29719/CL
30119/CL</v>
      </c>
      <c r="K69" s="2139">
        <f>IFERROR(VLOOKUP(A69,Solieu!G:M,5,0),"nt")</f>
        <v>43660</v>
      </c>
      <c r="L69" s="2141"/>
      <c r="M69" s="2137"/>
      <c r="N69" s="1498" t="s">
        <v>4373</v>
      </c>
      <c r="O69" s="1795">
        <f t="shared" si="0"/>
        <v>1</v>
      </c>
      <c r="P69" s="1494"/>
      <c r="Q69" s="1728"/>
      <c r="R69" s="1796"/>
      <c r="S69" s="992"/>
      <c r="T69" s="992"/>
      <c r="U69" s="992"/>
      <c r="V69" s="992"/>
      <c r="W69" s="992"/>
      <c r="X69" s="992"/>
      <c r="Y69" s="992"/>
      <c r="Z69" s="992"/>
      <c r="AA69" s="992"/>
    </row>
    <row r="70" spans="1:27" s="993" customFormat="1" ht="35.1" customHeight="1">
      <c r="A70" s="1868" t="s">
        <v>4960</v>
      </c>
      <c r="B70" s="2133">
        <f t="shared" si="1"/>
        <v>65</v>
      </c>
      <c r="C70" s="2134" t="str">
        <f>(VLOOKUP(A70,DG!A:C,3,0))</f>
        <v>Thanh chống đà sắt góc L50x50x5 dài 1,15m</v>
      </c>
      <c r="D70" s="2135" t="str">
        <f>IFERROR(VLOOKUP(A70,DG!A:D,4,0),0)</f>
        <v>thanh</v>
      </c>
      <c r="E70" s="2136">
        <f>SUMIF(TongHopKL!C:C,'NT-VT'!A70,TongHopKL!G:G)</f>
        <v>167</v>
      </c>
      <c r="F70" s="2133" t="str">
        <f>IFERROR(VLOOKUP(A70,Solieu!G:M,2,0),"nt")</f>
        <v>Cty TNHH Điện Nam Việt</v>
      </c>
      <c r="G70" s="2133" t="str">
        <f>IFERROR(VLOOKUP(A70,Solieu!G:M,3,0),"nt")</f>
        <v>Cty TNHH Điện Nam Việt</v>
      </c>
      <c r="H70" s="2133"/>
      <c r="I70" s="2137"/>
      <c r="J70" s="2138" t="str">
        <f>IFERROR(VLOOKUP(A70,Solieu!G:M,4,0),"nt")</f>
        <v>07/KCS-ĐLXL/NV</v>
      </c>
      <c r="K70" s="2139">
        <f>IFERROR(VLOOKUP(A70,Solieu!G:M,5,0),"nt")</f>
        <v>43654</v>
      </c>
      <c r="L70" s="2141"/>
      <c r="M70" s="2137"/>
      <c r="N70" s="1498" t="s">
        <v>4373</v>
      </c>
      <c r="O70" s="1795">
        <f t="shared" si="0"/>
        <v>1</v>
      </c>
      <c r="P70" s="1494"/>
      <c r="Q70" s="1728"/>
      <c r="R70" s="1796"/>
      <c r="S70" s="992"/>
      <c r="T70" s="992"/>
      <c r="U70" s="992"/>
      <c r="V70" s="992"/>
      <c r="W70" s="992"/>
      <c r="X70" s="992"/>
      <c r="Y70" s="992"/>
      <c r="Z70" s="992"/>
      <c r="AA70" s="992"/>
    </row>
    <row r="71" spans="1:27" s="993" customFormat="1" ht="35.1" customHeight="1">
      <c r="A71" s="1868" t="s">
        <v>4958</v>
      </c>
      <c r="B71" s="2133">
        <f t="shared" si="1"/>
        <v>66</v>
      </c>
      <c r="C71" s="2134" t="str">
        <f>(VLOOKUP(A71,DG!A:C,3,0))</f>
        <v>Thanh chống đà sắt góc L50x50x5 dài 0,81m</v>
      </c>
      <c r="D71" s="2135" t="str">
        <f>IFERROR(VLOOKUP(A71,DG!A:D,4,0),0)</f>
        <v>thanh</v>
      </c>
      <c r="E71" s="2136">
        <f>SUMIF(TongHopKL!C:C,'NT-VT'!A71,TongHopKL!G:G)</f>
        <v>60</v>
      </c>
      <c r="F71" s="2133" t="str">
        <f>IFERROR(VLOOKUP(A71,Solieu!G:M,2,0),"nt")</f>
        <v>Cty TNHH Điện Nam Việt</v>
      </c>
      <c r="G71" s="2133" t="str">
        <f>IFERROR(VLOOKUP(A71,Solieu!G:M,3,0),"nt")</f>
        <v>Cty TNHH Điện Nam Việt</v>
      </c>
      <c r="H71" s="2133"/>
      <c r="I71" s="2137"/>
      <c r="J71" s="2138" t="str">
        <f>IFERROR(VLOOKUP(A71,Solieu!G:M,4,0),"nt")</f>
        <v>07/KCS-ĐLXL/NV</v>
      </c>
      <c r="K71" s="2139">
        <f>IFERROR(VLOOKUP(A71,Solieu!G:M,5,0),"nt")</f>
        <v>43654</v>
      </c>
      <c r="L71" s="2141"/>
      <c r="M71" s="2137"/>
      <c r="N71" s="1498" t="s">
        <v>4373</v>
      </c>
      <c r="O71" s="1795">
        <f t="shared" ref="O71:O129" si="2">IF(E71&gt;0,1,0)</f>
        <v>1</v>
      </c>
      <c r="P71" s="1494"/>
      <c r="Q71" s="1728"/>
      <c r="R71" s="1796"/>
      <c r="S71" s="992"/>
      <c r="T71" s="992"/>
      <c r="U71" s="992"/>
      <c r="V71" s="992"/>
      <c r="W71" s="992"/>
      <c r="X71" s="992"/>
      <c r="Y71" s="992"/>
      <c r="Z71" s="992"/>
      <c r="AA71" s="992"/>
    </row>
    <row r="72" spans="1:27" s="993" customFormat="1" ht="35.1" customHeight="1">
      <c r="A72" s="1868" t="s">
        <v>2225</v>
      </c>
      <c r="B72" s="2133">
        <f t="shared" si="1"/>
        <v>67</v>
      </c>
      <c r="C72" s="2134" t="str">
        <f>(VLOOKUP(A72,DG!A:C,3,0))</f>
        <v>Ty neo Ø18x2400</v>
      </c>
      <c r="D72" s="2135" t="str">
        <f>IFERROR(VLOOKUP(A72,DG!A:D,4,0),0)</f>
        <v>cái</v>
      </c>
      <c r="E72" s="2136">
        <f>SUMIF(TongHopKL!C:C,'NT-VT'!A72,TongHopKL!G:G)</f>
        <v>2</v>
      </c>
      <c r="F72" s="2133">
        <f>IFERROR(VLOOKUP(A72,Solieu!G:M,2,0),"nt")</f>
        <v>0</v>
      </c>
      <c r="G72" s="2133">
        <f>IFERROR(VLOOKUP(A72,Solieu!G:M,3,0),"nt")</f>
        <v>0</v>
      </c>
      <c r="H72" s="2133"/>
      <c r="I72" s="2137"/>
      <c r="J72" s="2138">
        <f>IFERROR(VLOOKUP(A72,Solieu!G:M,4,0),"nt")</f>
        <v>0</v>
      </c>
      <c r="K72" s="2139">
        <f>IFERROR(VLOOKUP(A72,Solieu!G:M,5,0),"nt")</f>
        <v>0</v>
      </c>
      <c r="L72" s="2141"/>
      <c r="M72" s="2137"/>
      <c r="N72" s="1498" t="s">
        <v>4373</v>
      </c>
      <c r="O72" s="1795">
        <f t="shared" si="2"/>
        <v>1</v>
      </c>
      <c r="P72" s="1494"/>
      <c r="Q72" s="1728"/>
      <c r="R72" s="1796"/>
      <c r="S72" s="992"/>
      <c r="T72" s="992"/>
      <c r="U72" s="992"/>
      <c r="V72" s="992"/>
      <c r="W72" s="992"/>
      <c r="X72" s="992"/>
      <c r="Y72" s="992"/>
      <c r="Z72" s="992"/>
      <c r="AA72" s="992"/>
    </row>
    <row r="73" spans="1:27" s="993" customFormat="1" ht="35.1" customHeight="1">
      <c r="A73" s="1868" t="s">
        <v>4962</v>
      </c>
      <c r="B73" s="2133">
        <f t="shared" si="1"/>
        <v>68</v>
      </c>
      <c r="C73" s="2134" t="str">
        <f>(VLOOKUP(A73,DG!A:C,3,0))</f>
        <v>Xà đỡ lệch góc 3 pha 2m - 1 mạch</v>
      </c>
      <c r="D73" s="2135" t="str">
        <f>IFERROR(VLOOKUP(A73,DG!A:D,4,0),0)</f>
        <v>bộ</v>
      </c>
      <c r="E73" s="2136">
        <f>SUMIF(TongHopKL!C:C,'NT-VT'!A73,TongHopKL!G:G)</f>
        <v>8</v>
      </c>
      <c r="F73" s="2133">
        <f>IFERROR(VLOOKUP(A73,Solieu!G:M,2,0),"nt")</f>
        <v>0</v>
      </c>
      <c r="G73" s="2133">
        <f>IFERROR(VLOOKUP(A73,Solieu!G:M,3,0),"nt")</f>
        <v>0</v>
      </c>
      <c r="H73" s="2133"/>
      <c r="I73" s="2137"/>
      <c r="J73" s="2138">
        <f>IFERROR(VLOOKUP(A73,Solieu!G:M,4,0),"nt")</f>
        <v>0</v>
      </c>
      <c r="K73" s="2139">
        <f>IFERROR(VLOOKUP(A73,Solieu!G:M,5,0),"nt")</f>
        <v>0</v>
      </c>
      <c r="L73" s="2141"/>
      <c r="M73" s="2137"/>
      <c r="N73" s="1498" t="s">
        <v>4373</v>
      </c>
      <c r="O73" s="1795">
        <f t="shared" si="2"/>
        <v>1</v>
      </c>
      <c r="P73" s="1494"/>
      <c r="Q73" s="1728"/>
      <c r="R73" s="1796"/>
      <c r="S73" s="992"/>
      <c r="T73" s="992"/>
      <c r="U73" s="992"/>
      <c r="V73" s="992"/>
      <c r="W73" s="992"/>
      <c r="X73" s="992"/>
      <c r="Y73" s="992"/>
      <c r="Z73" s="992"/>
      <c r="AA73" s="992"/>
    </row>
    <row r="74" spans="1:27" s="993" customFormat="1" ht="35.1" customHeight="1">
      <c r="A74" s="1868" t="s">
        <v>2053</v>
      </c>
      <c r="B74" s="2133">
        <f t="shared" ref="B74:B129" si="3">B73+1</f>
        <v>69</v>
      </c>
      <c r="C74" s="2134" t="str">
        <f>(VLOOKUP(A74,DG!A:C,3,0))</f>
        <v>Yếm cáp dày 2mm</v>
      </c>
      <c r="D74" s="2135" t="str">
        <f>IFERROR(VLOOKUP(A74,DG!A:D,4,0),0)</f>
        <v>cái</v>
      </c>
      <c r="E74" s="2136">
        <f>SUMIF(TongHopKL!C:C,'NT-VT'!A74,TongHopKL!G:G)</f>
        <v>36</v>
      </c>
      <c r="F74" s="2133">
        <f>IFERROR(VLOOKUP(A74,Solieu!G:M,2,0),"nt")</f>
        <v>0</v>
      </c>
      <c r="G74" s="2133">
        <f>IFERROR(VLOOKUP(A74,Solieu!G:M,3,0),"nt")</f>
        <v>0</v>
      </c>
      <c r="H74" s="2133"/>
      <c r="I74" s="2137"/>
      <c r="J74" s="2138">
        <f>IFERROR(VLOOKUP(A74,Solieu!G:M,4,0),"nt")</f>
        <v>0</v>
      </c>
      <c r="K74" s="2139">
        <f>IFERROR(VLOOKUP(A74,Solieu!G:M,5,0),"nt")</f>
        <v>0</v>
      </c>
      <c r="L74" s="2141"/>
      <c r="M74" s="2137"/>
      <c r="N74" s="1498" t="s">
        <v>4373</v>
      </c>
      <c r="O74" s="1795">
        <f t="shared" si="2"/>
        <v>1</v>
      </c>
      <c r="P74" s="1494"/>
      <c r="Q74" s="1728"/>
      <c r="R74" s="1796"/>
      <c r="S74" s="992"/>
      <c r="T74" s="992"/>
      <c r="U74" s="992"/>
      <c r="V74" s="992"/>
      <c r="W74" s="992"/>
      <c r="X74" s="992"/>
      <c r="Y74" s="992"/>
      <c r="Z74" s="992"/>
      <c r="AA74" s="992"/>
    </row>
    <row r="75" spans="1:27" s="993" customFormat="1" ht="35.1" customHeight="1">
      <c r="A75" s="1868" t="s">
        <v>4961</v>
      </c>
      <c r="B75" s="2133">
        <f t="shared" si="3"/>
        <v>70</v>
      </c>
      <c r="C75" s="2134" t="str">
        <f>(VLOOKUP(A75,DG!A:C,3,0))</f>
        <v>Xà đỡ thẳng lệch 3 pha 2m - 1 mạch</v>
      </c>
      <c r="D75" s="2135" t="str">
        <f>IFERROR(VLOOKUP(A75,DG!A:D,4,0),0)</f>
        <v>bộ</v>
      </c>
      <c r="E75" s="2136">
        <f>SUMIF(TongHopKL!C:C,'NT-VT'!A75,TongHopKL!G:G)</f>
        <v>151</v>
      </c>
      <c r="F75" s="2133">
        <f>IFERROR(VLOOKUP(A75,Solieu!G:M,2,0),"nt")</f>
        <v>0</v>
      </c>
      <c r="G75" s="2133">
        <f>IFERROR(VLOOKUP(A75,Solieu!G:M,3,0),"nt")</f>
        <v>0</v>
      </c>
      <c r="H75" s="2133"/>
      <c r="I75" s="2137"/>
      <c r="J75" s="2138">
        <f>IFERROR(VLOOKUP(A75,Solieu!G:M,4,0),"nt")</f>
        <v>0</v>
      </c>
      <c r="K75" s="2139">
        <f>IFERROR(VLOOKUP(A75,Solieu!G:M,5,0),"nt")</f>
        <v>0</v>
      </c>
      <c r="L75" s="2141"/>
      <c r="M75" s="2137"/>
      <c r="N75" s="1498" t="s">
        <v>4373</v>
      </c>
      <c r="O75" s="1795">
        <f t="shared" si="2"/>
        <v>1</v>
      </c>
      <c r="P75" s="1494"/>
      <c r="Q75" s="1728"/>
      <c r="R75" s="1796"/>
      <c r="S75" s="992"/>
      <c r="T75" s="992"/>
      <c r="U75" s="992"/>
      <c r="V75" s="992"/>
      <c r="W75" s="992"/>
      <c r="X75" s="992"/>
      <c r="Y75" s="992"/>
      <c r="Z75" s="992"/>
      <c r="AA75" s="992"/>
    </row>
    <row r="76" spans="1:27" s="993" customFormat="1" ht="35.1" customHeight="1">
      <c r="A76" s="1868" t="s">
        <v>759</v>
      </c>
      <c r="B76" s="2133">
        <f t="shared" si="3"/>
        <v>71</v>
      </c>
      <c r="C76" s="2134" t="str">
        <f>(VLOOKUP(A76,DG!A:C,3,0))</f>
        <v xml:space="preserve">Ximăng </v>
      </c>
      <c r="D76" s="2135" t="str">
        <f>IFERROR(VLOOKUP(A76,DG!A:D,4,0),0)</f>
        <v>kg</v>
      </c>
      <c r="E76" s="2136">
        <f>SUMIF(TongHopKL!C:C,'NT-VT'!A76,TongHopKL!G:G)</f>
        <v>3350</v>
      </c>
      <c r="F76" s="2133" t="str">
        <f>IFERROR(VLOOKUP(A76,Solieu!G:M,2,0),"nt")</f>
        <v>Địa phương</v>
      </c>
      <c r="G76" s="2133" t="str">
        <f>IFERROR(VLOOKUP(A76,Solieu!G:M,3,0),"nt")</f>
        <v>Địa phương</v>
      </c>
      <c r="H76" s="2133"/>
      <c r="I76" s="2137"/>
      <c r="J76" s="2138">
        <f>IFERROR(VLOOKUP(A76,Solieu!G:M,4,0),"nt")</f>
        <v>0</v>
      </c>
      <c r="K76" s="2139">
        <f>IFERROR(VLOOKUP(A76,Solieu!G:M,5,0),"nt")</f>
        <v>0</v>
      </c>
      <c r="L76" s="2141"/>
      <c r="M76" s="2137"/>
      <c r="N76" s="1498" t="s">
        <v>4373</v>
      </c>
      <c r="O76" s="1795">
        <f t="shared" si="2"/>
        <v>1</v>
      </c>
      <c r="P76" s="1494"/>
      <c r="Q76" s="1728"/>
      <c r="R76" s="1796"/>
      <c r="S76" s="992"/>
      <c r="T76" s="992"/>
      <c r="U76" s="992"/>
      <c r="V76" s="992"/>
      <c r="W76" s="992"/>
      <c r="X76" s="992"/>
      <c r="Y76" s="992"/>
      <c r="Z76" s="992"/>
      <c r="AA76" s="992"/>
    </row>
    <row r="77" spans="1:27" s="993" customFormat="1" ht="35.1" customHeight="1">
      <c r="A77" s="1868" t="s">
        <v>1622</v>
      </c>
      <c r="B77" s="2133">
        <f t="shared" si="3"/>
        <v>72</v>
      </c>
      <c r="C77" s="2134" t="str">
        <f>(VLOOKUP(A77,DG!A:C,3,0))</f>
        <v>Biển số - Bảng nguy hiểm</v>
      </c>
      <c r="D77" s="2135" t="str">
        <f>IFERROR(VLOOKUP(A77,DG!A:D,4,0),0)</f>
        <v>cái</v>
      </c>
      <c r="E77" s="2136">
        <f>SUMIF(TongHopKL!C:C,'NT-VT'!A77,TongHopKL!G:G)</f>
        <v>24</v>
      </c>
      <c r="F77" s="2133" t="str">
        <f>IFERROR(VLOOKUP(A77,Solieu!G:M,2,0),"nt")</f>
        <v>Địa phương</v>
      </c>
      <c r="G77" s="2133" t="str">
        <f>IFERROR(VLOOKUP(A77,Solieu!G:M,3,0),"nt")</f>
        <v>Địa phương</v>
      </c>
      <c r="H77" s="2133"/>
      <c r="I77" s="2137"/>
      <c r="J77" s="2138">
        <f>IFERROR(VLOOKUP(A77,Solieu!G:M,4,0),"nt")</f>
        <v>0</v>
      </c>
      <c r="K77" s="2139">
        <f>IFERROR(VLOOKUP(A77,Solieu!G:M,5,0),"nt")</f>
        <v>0</v>
      </c>
      <c r="L77" s="2141"/>
      <c r="M77" s="2137"/>
      <c r="N77" s="1498" t="s">
        <v>4373</v>
      </c>
      <c r="O77" s="1795">
        <f t="shared" si="2"/>
        <v>1</v>
      </c>
      <c r="P77" s="1494"/>
      <c r="Q77" s="1728"/>
      <c r="R77" s="1796"/>
      <c r="S77" s="992"/>
      <c r="T77" s="992"/>
      <c r="U77" s="992"/>
      <c r="V77" s="992"/>
      <c r="W77" s="992"/>
      <c r="X77" s="992"/>
      <c r="Y77" s="992"/>
      <c r="Z77" s="992"/>
      <c r="AA77" s="992"/>
    </row>
    <row r="78" spans="1:27" s="993" customFormat="1" ht="35.1" customHeight="1">
      <c r="A78" s="1867" t="s">
        <v>4665</v>
      </c>
      <c r="B78" s="2133">
        <f t="shared" si="3"/>
        <v>73</v>
      </c>
      <c r="C78" s="2134" t="str">
        <f>(VLOOKUP(A78,DG!A:C,3,0))</f>
        <v>Cát vàng</v>
      </c>
      <c r="D78" s="2135" t="str">
        <f>IFERROR(VLOOKUP(A78,DG!A:D,4,0),0)</f>
        <v>m3</v>
      </c>
      <c r="E78" s="2146">
        <f>SUMIF(TongHopKL!C:C,'NT-VT'!A78,TongHopKL!G:G)</f>
        <v>5.3800000000000008</v>
      </c>
      <c r="F78" s="2133" t="str">
        <f>IFERROR(VLOOKUP(A78,Solieu!G:M,2,0),"nt")</f>
        <v>Địa phương</v>
      </c>
      <c r="G78" s="2133" t="str">
        <f>IFERROR(VLOOKUP(A78,Solieu!G:M,3,0),"nt")</f>
        <v>Địa phương</v>
      </c>
      <c r="H78" s="2133"/>
      <c r="I78" s="2137"/>
      <c r="J78" s="2138">
        <f>IFERROR(VLOOKUP(A78,Solieu!G:M,4,0),"nt")</f>
        <v>0</v>
      </c>
      <c r="K78" s="2139">
        <f>IFERROR(VLOOKUP(A78,Solieu!G:M,5,0),"nt")</f>
        <v>0</v>
      </c>
      <c r="L78" s="2141"/>
      <c r="M78" s="2137"/>
      <c r="N78" s="1498" t="s">
        <v>4373</v>
      </c>
      <c r="O78" s="1795">
        <f t="shared" si="2"/>
        <v>1</v>
      </c>
      <c r="P78" s="1494"/>
      <c r="Q78" s="1728"/>
      <c r="R78" s="1796"/>
      <c r="S78" s="992"/>
      <c r="T78" s="992"/>
      <c r="U78" s="992"/>
      <c r="V78" s="992"/>
      <c r="W78" s="992"/>
      <c r="X78" s="992"/>
      <c r="Y78" s="992"/>
      <c r="Z78" s="992"/>
      <c r="AA78" s="992"/>
    </row>
    <row r="79" spans="1:27" s="993" customFormat="1" ht="35.1" customHeight="1">
      <c r="A79" s="1868" t="s">
        <v>2118</v>
      </c>
      <c r="B79" s="2133">
        <f t="shared" si="3"/>
        <v>74</v>
      </c>
      <c r="C79" s="2134" t="str">
        <f>(VLOOKUP(A79,DG!A:C,3,0))</f>
        <v>Đinh các loại</v>
      </c>
      <c r="D79" s="2135" t="str">
        <f>IFERROR(VLOOKUP(A79,DG!A:D,4,0),0)</f>
        <v>kg</v>
      </c>
      <c r="E79" s="2136">
        <f>SUMIF(TongHopKL!C:C,'NT-VT'!A79,TongHopKL!G:G)</f>
        <v>6.75</v>
      </c>
      <c r="F79" s="2133" t="s">
        <v>4609</v>
      </c>
      <c r="G79" s="2133" t="s">
        <v>4609</v>
      </c>
      <c r="H79" s="2133"/>
      <c r="I79" s="2137"/>
      <c r="J79" s="2138">
        <f>IFERROR(VLOOKUP(A79,Solieu!G:M,4,0),"nt")</f>
        <v>0</v>
      </c>
      <c r="K79" s="2139">
        <f>IFERROR(VLOOKUP(A79,Solieu!G:M,5,0),"nt")</f>
        <v>0</v>
      </c>
      <c r="L79" s="2141"/>
      <c r="M79" s="2137"/>
      <c r="N79" s="1498" t="s">
        <v>4373</v>
      </c>
      <c r="O79" s="1795">
        <f t="shared" si="2"/>
        <v>1</v>
      </c>
      <c r="P79" s="1494"/>
      <c r="Q79" s="1728"/>
      <c r="R79" s="1797"/>
    </row>
    <row r="80" spans="1:27" s="993" customFormat="1" ht="35.1" customHeight="1">
      <c r="A80" s="1794" t="s">
        <v>4954</v>
      </c>
      <c r="B80" s="2133">
        <f t="shared" si="3"/>
        <v>75</v>
      </c>
      <c r="C80" s="2134" t="str">
        <f>(VLOOKUP(A80,DG!A:C,3,0))</f>
        <v>Ván khuôn gỗ móng - móng vuông, chữ nhật</v>
      </c>
      <c r="D80" s="2135" t="str">
        <f>IFERROR(VLOOKUP(A80,DG!A:D,4,0),0)</f>
        <v>100m2</v>
      </c>
      <c r="E80" s="2136">
        <f>SUMIF(TongHopKL!C:C,'NT-VT'!A80,TongHopKL!G:G)</f>
        <v>0.44999999999999996</v>
      </c>
      <c r="F80" s="2133" t="s">
        <v>4384</v>
      </c>
      <c r="G80" s="2133" t="s">
        <v>4384</v>
      </c>
      <c r="H80" s="2133"/>
      <c r="I80" s="2137"/>
      <c r="J80" s="2138">
        <f>IFERROR(VLOOKUP(A80,Solieu!G:M,4,0),"nt")</f>
        <v>0</v>
      </c>
      <c r="K80" s="2139">
        <f>IFERROR(VLOOKUP(A80,Solieu!G:M,5,0),"nt")</f>
        <v>0</v>
      </c>
      <c r="L80" s="2141"/>
      <c r="M80" s="2137"/>
      <c r="N80" s="1498" t="s">
        <v>4373</v>
      </c>
      <c r="O80" s="1795">
        <f t="shared" si="2"/>
        <v>1</v>
      </c>
      <c r="P80" s="1494"/>
      <c r="Q80" s="1728"/>
      <c r="R80" s="1797"/>
    </row>
    <row r="81" spans="1:18" s="993" customFormat="1" ht="35.1" customHeight="1">
      <c r="A81" s="1798" t="s">
        <v>1865</v>
      </c>
      <c r="B81" s="2133">
        <f t="shared" si="3"/>
        <v>76</v>
      </c>
      <c r="C81" s="2134" t="str">
        <f>(VLOOKUP(A81,DG!A:C,3,0))</f>
        <v>Đá 2x4</v>
      </c>
      <c r="D81" s="2135" t="str">
        <f>IFERROR(VLOOKUP(A81,DG!A:D,4,0),0)</f>
        <v>m3</v>
      </c>
      <c r="E81" s="2136">
        <f>SUMIF(TongHopKL!C:C,'NT-VT'!A81,TongHopKL!G:G)</f>
        <v>9.08</v>
      </c>
      <c r="F81" s="2133" t="s">
        <v>4384</v>
      </c>
      <c r="G81" s="2133" t="s">
        <v>4384</v>
      </c>
      <c r="H81" s="2133"/>
      <c r="I81" s="2137"/>
      <c r="J81" s="2138">
        <f>IFERROR(VLOOKUP(A81,Solieu!G:M,4,0),"nt")</f>
        <v>0</v>
      </c>
      <c r="K81" s="2139">
        <f>IFERROR(VLOOKUP(A81,Solieu!G:M,5,0),"nt")</f>
        <v>0</v>
      </c>
      <c r="L81" s="2141"/>
      <c r="M81" s="2137"/>
      <c r="N81" s="1498" t="s">
        <v>4373</v>
      </c>
      <c r="O81" s="1795">
        <f t="shared" si="2"/>
        <v>1</v>
      </c>
      <c r="P81" s="1494"/>
      <c r="Q81" s="1728"/>
      <c r="R81" s="1797"/>
    </row>
    <row r="82" spans="1:18" s="993" customFormat="1" ht="35.1" customHeight="1">
      <c r="A82" s="1799" t="s">
        <v>4949</v>
      </c>
      <c r="B82" s="2133">
        <f t="shared" si="3"/>
        <v>77</v>
      </c>
      <c r="C82" s="2134" t="str">
        <f>(VLOOKUP(A82,DG!A:C,3,0))</f>
        <v>Gỗ chống</v>
      </c>
      <c r="D82" s="2135" t="str">
        <f>IFERROR(VLOOKUP(A82,DG!A:D,4,0),0)</f>
        <v>m3</v>
      </c>
      <c r="E82" s="2136">
        <f>SUMIF(TongHopKL!C:C,'NT-VT'!A82,TongHopKL!G:G)</f>
        <v>0.151</v>
      </c>
      <c r="F82" s="2133" t="s">
        <v>4384</v>
      </c>
      <c r="G82" s="2133" t="s">
        <v>4384</v>
      </c>
      <c r="H82" s="2133"/>
      <c r="I82" s="2137"/>
      <c r="J82" s="2138">
        <f>IFERROR(VLOOKUP(A82,Solieu!G:M,4,0),"nt")</f>
        <v>0</v>
      </c>
      <c r="K82" s="2139">
        <f>IFERROR(VLOOKUP(A82,Solieu!G:M,5,0),"nt")</f>
        <v>0</v>
      </c>
      <c r="L82" s="2141"/>
      <c r="M82" s="2137"/>
      <c r="N82" s="1498" t="s">
        <v>4373</v>
      </c>
      <c r="O82" s="1795">
        <f t="shared" si="2"/>
        <v>1</v>
      </c>
      <c r="P82" s="1494"/>
      <c r="Q82" s="1728"/>
      <c r="R82" s="1797"/>
    </row>
    <row r="83" spans="1:18" s="993" customFormat="1" ht="35.1" customHeight="1">
      <c r="A83" s="1799" t="s">
        <v>4950</v>
      </c>
      <c r="B83" s="2133">
        <f t="shared" si="3"/>
        <v>78</v>
      </c>
      <c r="C83" s="2134" t="str">
        <f>(VLOOKUP(A83,DG!A:C,3,0))</f>
        <v>Gỗ đà nẹp</v>
      </c>
      <c r="D83" s="2135" t="str">
        <f>IFERROR(VLOOKUP(A83,DG!A:D,4,0),0)</f>
        <v>m3</v>
      </c>
      <c r="E83" s="2136">
        <f>SUMIF(TongHopKL!C:C,'NT-VT'!A83,TongHopKL!G:G)</f>
        <v>9.5000000000000001E-2</v>
      </c>
      <c r="F83" s="2133" t="s">
        <v>4384</v>
      </c>
      <c r="G83" s="2133" t="s">
        <v>4384</v>
      </c>
      <c r="H83" s="2133"/>
      <c r="I83" s="2137"/>
      <c r="J83" s="2138">
        <f>IFERROR(VLOOKUP(A83,Solieu!G:M,4,0),"nt")</f>
        <v>0</v>
      </c>
      <c r="K83" s="2139">
        <f>IFERROR(VLOOKUP(A83,Solieu!G:M,5,0),"nt")</f>
        <v>0</v>
      </c>
      <c r="L83" s="2141"/>
      <c r="M83" s="2137"/>
      <c r="N83" s="1498" t="s">
        <v>4373</v>
      </c>
      <c r="O83" s="1795">
        <f t="shared" si="2"/>
        <v>1</v>
      </c>
      <c r="P83" s="1494"/>
      <c r="Q83" s="1728"/>
      <c r="R83" s="1797"/>
    </row>
    <row r="84" spans="1:18" s="993" customFormat="1" ht="35.1" customHeight="1">
      <c r="A84" s="1791" t="s">
        <v>4951</v>
      </c>
      <c r="B84" s="2133">
        <f t="shared" si="3"/>
        <v>79</v>
      </c>
      <c r="C84" s="2134" t="str">
        <f>(VLOOKUP(A84,DG!A:C,3,0))</f>
        <v>Gỗ ván (cả nẹp)</v>
      </c>
      <c r="D84" s="2135" t="str">
        <f>IFERROR(VLOOKUP(A84,DG!A:D,4,0),0)</f>
        <v>m3</v>
      </c>
      <c r="E84" s="2136">
        <f>SUMIF(TongHopKL!C:C,'NT-VT'!A84,TongHopKL!G:G)</f>
        <v>0.35599999999999998</v>
      </c>
      <c r="F84" s="2133" t="s">
        <v>4384</v>
      </c>
      <c r="G84" s="2133" t="s">
        <v>4384</v>
      </c>
      <c r="H84" s="2133"/>
      <c r="I84" s="2137"/>
      <c r="J84" s="2138">
        <f>IFERROR(VLOOKUP(A84,Solieu!G:M,4,0),"nt")</f>
        <v>0</v>
      </c>
      <c r="K84" s="2139">
        <f>IFERROR(VLOOKUP(A84,Solieu!G:M,5,0),"nt")</f>
        <v>0</v>
      </c>
      <c r="L84" s="2141"/>
      <c r="M84" s="2137"/>
      <c r="N84" s="1498" t="s">
        <v>4373</v>
      </c>
      <c r="O84" s="1795">
        <f t="shared" si="2"/>
        <v>1</v>
      </c>
      <c r="P84" s="1494"/>
      <c r="Q84" s="1792"/>
      <c r="R84" s="1797"/>
    </row>
    <row r="85" spans="1:18" s="993" customFormat="1" ht="35.1" hidden="1" customHeight="1">
      <c r="A85" s="1791"/>
      <c r="B85" s="2133">
        <f t="shared" si="3"/>
        <v>80</v>
      </c>
      <c r="C85" s="2134" t="e">
        <f>(VLOOKUP(A85,DG!A:C,3,0))</f>
        <v>#N/A</v>
      </c>
      <c r="D85" s="2135">
        <f>IFERROR(VLOOKUP(A85,DG!A:D,4,0),0)</f>
        <v>0</v>
      </c>
      <c r="E85" s="2136">
        <f>SUMIF(TongHopKL!C:C,'NT-VT'!A85,TongHopKL!G:G)</f>
        <v>0</v>
      </c>
      <c r="F85" s="2133" t="s">
        <v>4384</v>
      </c>
      <c r="G85" s="2133" t="s">
        <v>4384</v>
      </c>
      <c r="H85" s="2133"/>
      <c r="I85" s="2137"/>
      <c r="J85" s="2138" t="str">
        <f>IFERROR(VLOOKUP(A85,Solieu!G:M,4,0),"nt")</f>
        <v>nt</v>
      </c>
      <c r="K85" s="2139" t="str">
        <f>IFERROR(VLOOKUP(A85,Solieu!G:M,5,0),"nt")</f>
        <v>nt</v>
      </c>
      <c r="L85" s="2141"/>
      <c r="M85" s="2137"/>
      <c r="N85" s="1498" t="s">
        <v>4373</v>
      </c>
      <c r="O85" s="1795">
        <f t="shared" si="2"/>
        <v>0</v>
      </c>
      <c r="P85" s="1494"/>
      <c r="Q85" s="1792"/>
      <c r="R85" s="1797"/>
    </row>
    <row r="86" spans="1:18" s="993" customFormat="1" ht="35.1" hidden="1" customHeight="1">
      <c r="A86" s="1791"/>
      <c r="B86" s="2133">
        <f t="shared" si="3"/>
        <v>81</v>
      </c>
      <c r="C86" s="2134" t="e">
        <f>(VLOOKUP(A86,DG!A:C,3,0))</f>
        <v>#N/A</v>
      </c>
      <c r="D86" s="2135">
        <f>IFERROR(VLOOKUP(A86,DG!A:D,4,0),0)</f>
        <v>0</v>
      </c>
      <c r="E86" s="2136">
        <f>SUMIF(TongHopKL!C:C,'NT-VT'!A86,TongHopKL!G:G)</f>
        <v>0</v>
      </c>
      <c r="F86" s="2133" t="s">
        <v>4384</v>
      </c>
      <c r="G86" s="2133" t="s">
        <v>4384</v>
      </c>
      <c r="H86" s="2133"/>
      <c r="I86" s="2137"/>
      <c r="J86" s="2138" t="str">
        <f>IFERROR(VLOOKUP(A86,Solieu!G:M,4,0),"nt")</f>
        <v>nt</v>
      </c>
      <c r="K86" s="2139" t="str">
        <f>IFERROR(VLOOKUP(A86,Solieu!G:M,5,0),"nt")</f>
        <v>nt</v>
      </c>
      <c r="L86" s="2141"/>
      <c r="M86" s="2137"/>
      <c r="N86" s="1498" t="s">
        <v>4373</v>
      </c>
      <c r="O86" s="1795">
        <f t="shared" si="2"/>
        <v>0</v>
      </c>
      <c r="P86" s="1494"/>
      <c r="Q86" s="1792"/>
      <c r="R86" s="1797"/>
    </row>
    <row r="87" spans="1:18" s="993" customFormat="1" ht="35.1" hidden="1" customHeight="1">
      <c r="A87" s="1791"/>
      <c r="B87" s="2133">
        <f t="shared" si="3"/>
        <v>82</v>
      </c>
      <c r="C87" s="2134" t="e">
        <f>(VLOOKUP(A87,DG!A:C,3,0))</f>
        <v>#N/A</v>
      </c>
      <c r="D87" s="2135">
        <f>IFERROR(VLOOKUP(A87,DG!A:D,4,0),0)</f>
        <v>0</v>
      </c>
      <c r="E87" s="2136">
        <f>SUMIF(TongHopKL!C:C,'NT-VT'!A87,TongHopKL!G:G)</f>
        <v>0</v>
      </c>
      <c r="F87" s="2133" t="s">
        <v>4384</v>
      </c>
      <c r="G87" s="2133" t="s">
        <v>4384</v>
      </c>
      <c r="H87" s="2133"/>
      <c r="I87" s="2137"/>
      <c r="J87" s="2138" t="str">
        <f>IFERROR(VLOOKUP(A87,Solieu!G:M,4,0),"nt")</f>
        <v>nt</v>
      </c>
      <c r="K87" s="2139" t="str">
        <f>IFERROR(VLOOKUP(A87,Solieu!G:M,5,0),"nt")</f>
        <v>nt</v>
      </c>
      <c r="L87" s="2141"/>
      <c r="M87" s="2137"/>
      <c r="N87" s="1498" t="s">
        <v>4373</v>
      </c>
      <c r="O87" s="1795">
        <f t="shared" si="2"/>
        <v>0</v>
      </c>
      <c r="P87" s="1494"/>
      <c r="Q87" s="1792"/>
      <c r="R87" s="1797"/>
    </row>
    <row r="88" spans="1:18" s="993" customFormat="1" ht="35.1" hidden="1" customHeight="1">
      <c r="A88" s="1791"/>
      <c r="B88" s="2133">
        <f t="shared" si="3"/>
        <v>83</v>
      </c>
      <c r="C88" s="2134" t="e">
        <f>(VLOOKUP(A88,DG!A:C,3,0))</f>
        <v>#N/A</v>
      </c>
      <c r="D88" s="2135">
        <f>IFERROR(VLOOKUP(A88,DG!A:D,4,0),0)</f>
        <v>0</v>
      </c>
      <c r="E88" s="2136">
        <f>SUMIF(TongHopKL!C:C,'NT-VT'!A88,TongHopKL!G:G)</f>
        <v>0</v>
      </c>
      <c r="F88" s="2133" t="s">
        <v>4384</v>
      </c>
      <c r="G88" s="2133" t="s">
        <v>4384</v>
      </c>
      <c r="H88" s="2133"/>
      <c r="I88" s="2137"/>
      <c r="J88" s="2138" t="str">
        <f>IFERROR(VLOOKUP(A88,Solieu!G:M,4,0),"nt")</f>
        <v>nt</v>
      </c>
      <c r="K88" s="2139" t="str">
        <f>IFERROR(VLOOKUP(A88,Solieu!G:M,5,0),"nt")</f>
        <v>nt</v>
      </c>
      <c r="L88" s="2141"/>
      <c r="M88" s="2137"/>
      <c r="N88" s="1498" t="s">
        <v>4373</v>
      </c>
      <c r="O88" s="1795">
        <f t="shared" si="2"/>
        <v>0</v>
      </c>
      <c r="P88" s="1494"/>
      <c r="Q88" s="1792"/>
      <c r="R88" s="1797"/>
    </row>
    <row r="89" spans="1:18" s="993" customFormat="1" ht="35.1" hidden="1" customHeight="1">
      <c r="A89" s="1791"/>
      <c r="B89" s="2133">
        <f t="shared" si="3"/>
        <v>84</v>
      </c>
      <c r="C89" s="2134" t="e">
        <f>(VLOOKUP(A89,DG!A:C,3,0))</f>
        <v>#N/A</v>
      </c>
      <c r="D89" s="2135">
        <f>IFERROR(VLOOKUP(A89,DG!A:D,4,0),0)</f>
        <v>0</v>
      </c>
      <c r="E89" s="2136">
        <f>SUMIF(TongHopKL!C:C,'NT-VT'!A89,TongHopKL!G:G)</f>
        <v>0</v>
      </c>
      <c r="F89" s="2133" t="s">
        <v>4384</v>
      </c>
      <c r="G89" s="2133" t="s">
        <v>4384</v>
      </c>
      <c r="H89" s="2133"/>
      <c r="I89" s="2137"/>
      <c r="J89" s="2138" t="str">
        <f>IFERROR(VLOOKUP(A89,Solieu!G:M,4,0),"nt")</f>
        <v>nt</v>
      </c>
      <c r="K89" s="2139" t="str">
        <f>IFERROR(VLOOKUP(A89,Solieu!G:M,5,0),"nt")</f>
        <v>nt</v>
      </c>
      <c r="L89" s="2141"/>
      <c r="M89" s="2137"/>
      <c r="N89" s="1498" t="s">
        <v>4373</v>
      </c>
      <c r="O89" s="1795">
        <f t="shared" si="2"/>
        <v>0</v>
      </c>
      <c r="P89" s="1494"/>
      <c r="Q89" s="1792"/>
      <c r="R89" s="1797"/>
    </row>
    <row r="90" spans="1:18" s="993" customFormat="1" ht="35.1" hidden="1" customHeight="1">
      <c r="A90" s="1791"/>
      <c r="B90" s="2133">
        <f t="shared" si="3"/>
        <v>85</v>
      </c>
      <c r="C90" s="2134" t="e">
        <f>(VLOOKUP(A90,DG!A:C,3,0))</f>
        <v>#N/A</v>
      </c>
      <c r="D90" s="2135">
        <f>IFERROR(VLOOKUP(A90,DG!A:D,4,0),0)</f>
        <v>0</v>
      </c>
      <c r="E90" s="2136">
        <f>SUMIF(TongHopKL!C:C,'NT-VT'!A90,TongHopKL!G:G)</f>
        <v>0</v>
      </c>
      <c r="F90" s="2133" t="s">
        <v>4384</v>
      </c>
      <c r="G90" s="2133" t="s">
        <v>4384</v>
      </c>
      <c r="H90" s="2133"/>
      <c r="I90" s="2137"/>
      <c r="J90" s="2138" t="str">
        <f>IFERROR(VLOOKUP(A90,Solieu!G:M,4,0),"nt")</f>
        <v>nt</v>
      </c>
      <c r="K90" s="2139" t="str">
        <f>IFERROR(VLOOKUP(A90,Solieu!G:M,5,0),"nt")</f>
        <v>nt</v>
      </c>
      <c r="L90" s="2141"/>
      <c r="M90" s="2137"/>
      <c r="N90" s="1498" t="s">
        <v>4373</v>
      </c>
      <c r="O90" s="1795">
        <f t="shared" si="2"/>
        <v>0</v>
      </c>
      <c r="P90" s="1494"/>
      <c r="Q90" s="1792"/>
      <c r="R90" s="1797"/>
    </row>
    <row r="91" spans="1:18" s="993" customFormat="1" ht="35.1" hidden="1" customHeight="1">
      <c r="A91" s="1791"/>
      <c r="B91" s="2133">
        <f t="shared" si="3"/>
        <v>86</v>
      </c>
      <c r="C91" s="2134" t="e">
        <f>(VLOOKUP(A91,DG!A:C,3,0))</f>
        <v>#N/A</v>
      </c>
      <c r="D91" s="2135">
        <f>IFERROR(VLOOKUP(A91,DG!A:D,4,0),0)</f>
        <v>0</v>
      </c>
      <c r="E91" s="2136">
        <f>SUMIF(TongHopKL!C:C,'NT-VT'!A91,TongHopKL!G:G)</f>
        <v>0</v>
      </c>
      <c r="F91" s="2133" t="s">
        <v>4384</v>
      </c>
      <c r="G91" s="2133" t="s">
        <v>4384</v>
      </c>
      <c r="H91" s="2133"/>
      <c r="I91" s="2137"/>
      <c r="J91" s="2138" t="str">
        <f>IFERROR(VLOOKUP(A91,Solieu!G:M,4,0),"nt")</f>
        <v>nt</v>
      </c>
      <c r="K91" s="2139" t="str">
        <f>IFERROR(VLOOKUP(A91,Solieu!G:M,5,0),"nt")</f>
        <v>nt</v>
      </c>
      <c r="L91" s="2141"/>
      <c r="M91" s="2137"/>
      <c r="N91" s="1498" t="s">
        <v>4373</v>
      </c>
      <c r="O91" s="1795">
        <f t="shared" si="2"/>
        <v>0</v>
      </c>
      <c r="P91" s="1494"/>
      <c r="Q91" s="1792"/>
      <c r="R91" s="1797"/>
    </row>
    <row r="92" spans="1:18" s="993" customFormat="1" ht="35.1" hidden="1" customHeight="1">
      <c r="A92" s="1791"/>
      <c r="B92" s="2133">
        <f t="shared" si="3"/>
        <v>87</v>
      </c>
      <c r="C92" s="2134" t="e">
        <f>(VLOOKUP(A92,DG!A:C,3,0))</f>
        <v>#N/A</v>
      </c>
      <c r="D92" s="2135">
        <f>IFERROR(VLOOKUP(A92,DG!A:D,4,0),0)</f>
        <v>0</v>
      </c>
      <c r="E92" s="2136">
        <f>SUMIF(TongHopKL!C:C,'NT-VT'!A92,TongHopKL!G:G)</f>
        <v>0</v>
      </c>
      <c r="F92" s="2133" t="s">
        <v>4384</v>
      </c>
      <c r="G92" s="2133" t="s">
        <v>4384</v>
      </c>
      <c r="H92" s="2133"/>
      <c r="I92" s="2137"/>
      <c r="J92" s="2138" t="str">
        <f>IFERROR(VLOOKUP(A92,Solieu!G:M,4,0),"nt")</f>
        <v>nt</v>
      </c>
      <c r="K92" s="2139" t="str">
        <f>IFERROR(VLOOKUP(A92,Solieu!G:M,5,0),"nt")</f>
        <v>nt</v>
      </c>
      <c r="L92" s="2141"/>
      <c r="M92" s="2137"/>
      <c r="N92" s="1498" t="s">
        <v>4373</v>
      </c>
      <c r="O92" s="1795">
        <f t="shared" si="2"/>
        <v>0</v>
      </c>
      <c r="P92" s="1494"/>
      <c r="Q92" s="1792"/>
      <c r="R92" s="1797"/>
    </row>
    <row r="93" spans="1:18" s="993" customFormat="1" ht="35.1" hidden="1" customHeight="1">
      <c r="A93" s="1791"/>
      <c r="B93" s="2133">
        <f t="shared" si="3"/>
        <v>88</v>
      </c>
      <c r="C93" s="2134" t="e">
        <f>(VLOOKUP(A93,DG!A:C,3,0))</f>
        <v>#N/A</v>
      </c>
      <c r="D93" s="2135">
        <f>IFERROR(VLOOKUP(A93,DG!A:D,4,0),0)</f>
        <v>0</v>
      </c>
      <c r="E93" s="2136">
        <f>SUMIF(TongHopKL!C:C,'NT-VT'!A93,TongHopKL!G:G)</f>
        <v>0</v>
      </c>
      <c r="F93" s="2133" t="s">
        <v>4384</v>
      </c>
      <c r="G93" s="2133" t="s">
        <v>4384</v>
      </c>
      <c r="H93" s="2133"/>
      <c r="I93" s="2137"/>
      <c r="J93" s="2138" t="str">
        <f>IFERROR(VLOOKUP(A93,Solieu!G:M,4,0),"nt")</f>
        <v>nt</v>
      </c>
      <c r="K93" s="2139" t="str">
        <f>IFERROR(VLOOKUP(A93,Solieu!G:M,5,0),"nt")</f>
        <v>nt</v>
      </c>
      <c r="L93" s="2141"/>
      <c r="M93" s="2137"/>
      <c r="N93" s="1498" t="s">
        <v>4373</v>
      </c>
      <c r="O93" s="1795">
        <f t="shared" si="2"/>
        <v>0</v>
      </c>
      <c r="P93" s="1494"/>
      <c r="Q93" s="1792"/>
      <c r="R93" s="1797"/>
    </row>
    <row r="94" spans="1:18" s="993" customFormat="1" ht="35.1" hidden="1" customHeight="1">
      <c r="A94" s="1791"/>
      <c r="B94" s="2133">
        <f t="shared" si="3"/>
        <v>89</v>
      </c>
      <c r="C94" s="2134" t="e">
        <f>(VLOOKUP(A94,DG!A:C,3,0))</f>
        <v>#N/A</v>
      </c>
      <c r="D94" s="2135">
        <f>IFERROR(VLOOKUP(A94,DG!A:D,4,0),0)</f>
        <v>0</v>
      </c>
      <c r="E94" s="2136">
        <f>SUMIF(TongHopKL!C:C,'NT-VT'!A94,TongHopKL!G:G)</f>
        <v>0</v>
      </c>
      <c r="F94" s="2133" t="s">
        <v>4384</v>
      </c>
      <c r="G94" s="2133" t="s">
        <v>4384</v>
      </c>
      <c r="H94" s="2133"/>
      <c r="I94" s="2137"/>
      <c r="J94" s="2138" t="str">
        <f>IFERROR(VLOOKUP(A94,Solieu!G:M,4,0),"nt")</f>
        <v>nt</v>
      </c>
      <c r="K94" s="2139" t="str">
        <f>IFERROR(VLOOKUP(A94,Solieu!G:M,5,0),"nt")</f>
        <v>nt</v>
      </c>
      <c r="L94" s="2141"/>
      <c r="M94" s="2137"/>
      <c r="N94" s="1498" t="s">
        <v>4373</v>
      </c>
      <c r="O94" s="1795">
        <f t="shared" si="2"/>
        <v>0</v>
      </c>
      <c r="P94" s="1494"/>
      <c r="Q94" s="1792"/>
      <c r="R94" s="1797"/>
    </row>
    <row r="95" spans="1:18" s="993" customFormat="1" ht="35.1" hidden="1" customHeight="1">
      <c r="A95" s="1791"/>
      <c r="B95" s="2133">
        <f t="shared" si="3"/>
        <v>90</v>
      </c>
      <c r="C95" s="2134" t="e">
        <f>(VLOOKUP(A95,DG!A:C,3,0))</f>
        <v>#N/A</v>
      </c>
      <c r="D95" s="2135">
        <f>IFERROR(VLOOKUP(A95,DG!A:D,4,0),0)</f>
        <v>0</v>
      </c>
      <c r="E95" s="2136">
        <f>SUMIF(TongHopKL!C:C,'NT-VT'!A95,TongHopKL!G:G)</f>
        <v>0</v>
      </c>
      <c r="F95" s="2133" t="s">
        <v>4384</v>
      </c>
      <c r="G95" s="2133" t="s">
        <v>4384</v>
      </c>
      <c r="H95" s="2133"/>
      <c r="I95" s="2137"/>
      <c r="J95" s="2138" t="str">
        <f>IFERROR(VLOOKUP(A95,Solieu!G:M,4,0),"nt")</f>
        <v>nt</v>
      </c>
      <c r="K95" s="2139" t="str">
        <f>IFERROR(VLOOKUP(A95,Solieu!G:M,5,0),"nt")</f>
        <v>nt</v>
      </c>
      <c r="L95" s="2141"/>
      <c r="M95" s="2137"/>
      <c r="N95" s="1498" t="s">
        <v>4373</v>
      </c>
      <c r="O95" s="1795">
        <f t="shared" si="2"/>
        <v>0</v>
      </c>
      <c r="P95" s="1494"/>
      <c r="Q95" s="1792"/>
      <c r="R95" s="1797"/>
    </row>
    <row r="96" spans="1:18" s="993" customFormat="1" ht="35.1" hidden="1" customHeight="1">
      <c r="A96" s="1791"/>
      <c r="B96" s="2133">
        <f t="shared" si="3"/>
        <v>91</v>
      </c>
      <c r="C96" s="2134" t="e">
        <f>(VLOOKUP(A96,DG!A:C,3,0))</f>
        <v>#N/A</v>
      </c>
      <c r="D96" s="2135">
        <f>IFERROR(VLOOKUP(A96,DG!A:D,4,0),0)</f>
        <v>0</v>
      </c>
      <c r="E96" s="2136">
        <f>SUMIF(TongHopKL!C:C,'NT-VT'!A96,TongHopKL!G:G)</f>
        <v>0</v>
      </c>
      <c r="F96" s="2133" t="s">
        <v>4384</v>
      </c>
      <c r="G96" s="2133" t="s">
        <v>4384</v>
      </c>
      <c r="H96" s="2133"/>
      <c r="I96" s="2137"/>
      <c r="J96" s="2138" t="str">
        <f>IFERROR(VLOOKUP(A96,Solieu!G:M,4,0),"nt")</f>
        <v>nt</v>
      </c>
      <c r="K96" s="2139" t="str">
        <f>IFERROR(VLOOKUP(A96,Solieu!G:M,5,0),"nt")</f>
        <v>nt</v>
      </c>
      <c r="L96" s="2141"/>
      <c r="M96" s="2137"/>
      <c r="N96" s="1498" t="s">
        <v>4373</v>
      </c>
      <c r="O96" s="1795">
        <f t="shared" si="2"/>
        <v>0</v>
      </c>
      <c r="P96" s="1494"/>
      <c r="Q96" s="1792"/>
      <c r="R96" s="1797"/>
    </row>
    <row r="97" spans="1:18" s="993" customFormat="1" ht="35.1" hidden="1" customHeight="1">
      <c r="A97" s="1791"/>
      <c r="B97" s="2133">
        <f t="shared" si="3"/>
        <v>92</v>
      </c>
      <c r="C97" s="2134" t="e">
        <f>(VLOOKUP(A97,DG!A:C,3,0))</f>
        <v>#N/A</v>
      </c>
      <c r="D97" s="2135">
        <f>IFERROR(VLOOKUP(A97,DG!A:D,4,0),0)</f>
        <v>0</v>
      </c>
      <c r="E97" s="2136">
        <f>SUMIF(TongHopKL!C:C,'NT-VT'!A97,TongHopKL!G:G)</f>
        <v>0</v>
      </c>
      <c r="F97" s="2133" t="s">
        <v>4384</v>
      </c>
      <c r="G97" s="2133" t="s">
        <v>4384</v>
      </c>
      <c r="H97" s="2133"/>
      <c r="I97" s="2137"/>
      <c r="J97" s="2138" t="str">
        <f>IFERROR(VLOOKUP(A97,Solieu!G:M,4,0),"nt")</f>
        <v>nt</v>
      </c>
      <c r="K97" s="2139" t="str">
        <f>IFERROR(VLOOKUP(A97,Solieu!G:M,5,0),"nt")</f>
        <v>nt</v>
      </c>
      <c r="L97" s="2141"/>
      <c r="M97" s="2137"/>
      <c r="N97" s="1498" t="s">
        <v>4373</v>
      </c>
      <c r="O97" s="1795">
        <f t="shared" si="2"/>
        <v>0</v>
      </c>
      <c r="P97" s="1494"/>
      <c r="Q97" s="1792"/>
      <c r="R97" s="1797"/>
    </row>
    <row r="98" spans="1:18" s="993" customFormat="1" ht="35.1" hidden="1" customHeight="1">
      <c r="A98" s="1791"/>
      <c r="B98" s="2133">
        <f t="shared" si="3"/>
        <v>93</v>
      </c>
      <c r="C98" s="2134" t="e">
        <f>(VLOOKUP(A98,DG!A:C,3,0))</f>
        <v>#N/A</v>
      </c>
      <c r="D98" s="2135">
        <f>IFERROR(VLOOKUP(A98,DG!A:D,4,0),0)</f>
        <v>0</v>
      </c>
      <c r="E98" s="2136">
        <f>SUMIF(TongHopKL!C:C,'NT-VT'!A98,TongHopKL!G:G)</f>
        <v>0</v>
      </c>
      <c r="F98" s="2133" t="s">
        <v>4384</v>
      </c>
      <c r="G98" s="2133" t="s">
        <v>4384</v>
      </c>
      <c r="H98" s="2133"/>
      <c r="I98" s="2137"/>
      <c r="J98" s="2138" t="str">
        <f>IFERROR(VLOOKUP(A98,Solieu!G:M,4,0),"nt")</f>
        <v>nt</v>
      </c>
      <c r="K98" s="2139" t="str">
        <f>IFERROR(VLOOKUP(A98,Solieu!G:M,5,0),"nt")</f>
        <v>nt</v>
      </c>
      <c r="L98" s="2141"/>
      <c r="M98" s="2137"/>
      <c r="N98" s="1498" t="s">
        <v>4373</v>
      </c>
      <c r="O98" s="1795">
        <f t="shared" si="2"/>
        <v>0</v>
      </c>
      <c r="P98" s="1494"/>
      <c r="Q98" s="1792"/>
      <c r="R98" s="1797"/>
    </row>
    <row r="99" spans="1:18" s="993" customFormat="1" ht="35.1" hidden="1" customHeight="1">
      <c r="A99" s="1791"/>
      <c r="B99" s="2133">
        <f t="shared" si="3"/>
        <v>94</v>
      </c>
      <c r="C99" s="2134" t="e">
        <f>(VLOOKUP(A99,DG!A:C,3,0))</f>
        <v>#N/A</v>
      </c>
      <c r="D99" s="2135">
        <f>IFERROR(VLOOKUP(A99,DG!A:D,4,0),0)</f>
        <v>0</v>
      </c>
      <c r="E99" s="2136">
        <f>SUMIF(TongHopKL!C:C,'NT-VT'!A99,TongHopKL!G:G)</f>
        <v>0</v>
      </c>
      <c r="F99" s="2133" t="s">
        <v>4384</v>
      </c>
      <c r="G99" s="2133" t="s">
        <v>4384</v>
      </c>
      <c r="H99" s="2133"/>
      <c r="I99" s="2137"/>
      <c r="J99" s="2138" t="str">
        <f>IFERROR(VLOOKUP(A99,Solieu!G:M,4,0),"nt")</f>
        <v>nt</v>
      </c>
      <c r="K99" s="2139" t="str">
        <f>IFERROR(VLOOKUP(A99,Solieu!G:M,5,0),"nt")</f>
        <v>nt</v>
      </c>
      <c r="L99" s="2141"/>
      <c r="M99" s="2137"/>
      <c r="N99" s="1498" t="s">
        <v>4373</v>
      </c>
      <c r="O99" s="1795">
        <f t="shared" si="2"/>
        <v>0</v>
      </c>
      <c r="P99" s="1494"/>
      <c r="Q99" s="1792"/>
      <c r="R99" s="1797"/>
    </row>
    <row r="100" spans="1:18" s="993" customFormat="1" ht="35.1" hidden="1" customHeight="1">
      <c r="A100" s="1791"/>
      <c r="B100" s="2133">
        <f t="shared" si="3"/>
        <v>95</v>
      </c>
      <c r="C100" s="2134" t="e">
        <f>(VLOOKUP(A100,DG!A:C,3,0))</f>
        <v>#N/A</v>
      </c>
      <c r="D100" s="2135">
        <f>IFERROR(VLOOKUP(A100,DG!A:D,4,0),0)</f>
        <v>0</v>
      </c>
      <c r="E100" s="2136">
        <f>SUMIF(TongHopKL!C:C,'NT-VT'!A100,TongHopKL!G:G)</f>
        <v>0</v>
      </c>
      <c r="F100" s="2133" t="s">
        <v>4384</v>
      </c>
      <c r="G100" s="2133" t="s">
        <v>4384</v>
      </c>
      <c r="H100" s="2133"/>
      <c r="I100" s="2137"/>
      <c r="J100" s="2138" t="str">
        <f>IFERROR(VLOOKUP(A100,Solieu!G:M,4,0),"nt")</f>
        <v>nt</v>
      </c>
      <c r="K100" s="2139" t="str">
        <f>IFERROR(VLOOKUP(A100,Solieu!G:M,5,0),"nt")</f>
        <v>nt</v>
      </c>
      <c r="L100" s="2141"/>
      <c r="M100" s="2137"/>
      <c r="N100" s="1498" t="s">
        <v>4373</v>
      </c>
      <c r="O100" s="1795">
        <f t="shared" si="2"/>
        <v>0</v>
      </c>
      <c r="P100" s="1494"/>
      <c r="Q100" s="1792"/>
      <c r="R100" s="1797"/>
    </row>
    <row r="101" spans="1:18" s="993" customFormat="1" ht="35.1" hidden="1" customHeight="1">
      <c r="A101" s="1791"/>
      <c r="B101" s="2133">
        <f t="shared" si="3"/>
        <v>96</v>
      </c>
      <c r="C101" s="2134" t="e">
        <f>(VLOOKUP(A101,DG!A:C,3,0))</f>
        <v>#N/A</v>
      </c>
      <c r="D101" s="2135">
        <f>IFERROR(VLOOKUP(A101,DG!A:D,4,0),0)</f>
        <v>0</v>
      </c>
      <c r="E101" s="2136">
        <f>SUMIF(TongHopKL!C:C,'NT-VT'!A101,TongHopKL!G:G)</f>
        <v>0</v>
      </c>
      <c r="F101" s="2133" t="s">
        <v>4384</v>
      </c>
      <c r="G101" s="2133" t="s">
        <v>4384</v>
      </c>
      <c r="H101" s="2133"/>
      <c r="I101" s="2137"/>
      <c r="J101" s="2138" t="str">
        <f>IFERROR(VLOOKUP(A101,Solieu!G:M,4,0),"nt")</f>
        <v>nt</v>
      </c>
      <c r="K101" s="2139" t="str">
        <f>IFERROR(VLOOKUP(A101,Solieu!G:M,5,0),"nt")</f>
        <v>nt</v>
      </c>
      <c r="L101" s="2141"/>
      <c r="M101" s="2137"/>
      <c r="N101" s="1498" t="s">
        <v>4373</v>
      </c>
      <c r="O101" s="1795">
        <f t="shared" si="2"/>
        <v>0</v>
      </c>
      <c r="P101" s="1494"/>
      <c r="Q101" s="1792"/>
      <c r="R101" s="1797"/>
    </row>
    <row r="102" spans="1:18" s="993" customFormat="1" ht="35.1" hidden="1" customHeight="1">
      <c r="A102" s="1791"/>
      <c r="B102" s="2133">
        <f t="shared" si="3"/>
        <v>97</v>
      </c>
      <c r="C102" s="2134" t="e">
        <f>(VLOOKUP(A102,DG!A:C,3,0))</f>
        <v>#N/A</v>
      </c>
      <c r="D102" s="2135">
        <f>IFERROR(VLOOKUP(A102,DG!A:D,4,0),0)</f>
        <v>0</v>
      </c>
      <c r="E102" s="2136">
        <f>SUMIF(TongHopKL!C:C,'NT-VT'!A102,TongHopKL!G:G)</f>
        <v>0</v>
      </c>
      <c r="F102" s="2133" t="s">
        <v>4384</v>
      </c>
      <c r="G102" s="2133" t="s">
        <v>4384</v>
      </c>
      <c r="H102" s="2133"/>
      <c r="I102" s="2137"/>
      <c r="J102" s="2138" t="str">
        <f>IFERROR(VLOOKUP(A102,Solieu!G:M,4,0),"nt")</f>
        <v>nt</v>
      </c>
      <c r="K102" s="2139" t="str">
        <f>IFERROR(VLOOKUP(A102,Solieu!G:M,5,0),"nt")</f>
        <v>nt</v>
      </c>
      <c r="L102" s="2141"/>
      <c r="M102" s="2137"/>
      <c r="N102" s="1498" t="s">
        <v>4373</v>
      </c>
      <c r="O102" s="1795">
        <f t="shared" si="2"/>
        <v>0</v>
      </c>
      <c r="P102" s="1494"/>
      <c r="Q102" s="1792"/>
      <c r="R102" s="1797"/>
    </row>
    <row r="103" spans="1:18" s="993" customFormat="1" ht="35.1" hidden="1" customHeight="1">
      <c r="A103" s="1791"/>
      <c r="B103" s="2133">
        <f t="shared" si="3"/>
        <v>98</v>
      </c>
      <c r="C103" s="2134" t="e">
        <f>(VLOOKUP(A103,DG!A:C,3,0))</f>
        <v>#N/A</v>
      </c>
      <c r="D103" s="2135">
        <f>IFERROR(VLOOKUP(A103,DG!A:D,4,0),0)</f>
        <v>0</v>
      </c>
      <c r="E103" s="2136">
        <f>SUMIF(TongHopKL!C:C,'NT-VT'!A103,TongHopKL!G:G)</f>
        <v>0</v>
      </c>
      <c r="F103" s="2133" t="s">
        <v>4384</v>
      </c>
      <c r="G103" s="2133" t="s">
        <v>4384</v>
      </c>
      <c r="H103" s="2133"/>
      <c r="I103" s="2137"/>
      <c r="J103" s="2138" t="str">
        <f>IFERROR(VLOOKUP(A103,Solieu!G:M,4,0),"nt")</f>
        <v>nt</v>
      </c>
      <c r="K103" s="2139" t="str">
        <f>IFERROR(VLOOKUP(A103,Solieu!G:M,5,0),"nt")</f>
        <v>nt</v>
      </c>
      <c r="L103" s="2141"/>
      <c r="M103" s="2137"/>
      <c r="N103" s="1498" t="s">
        <v>4373</v>
      </c>
      <c r="O103" s="1795">
        <f t="shared" si="2"/>
        <v>0</v>
      </c>
      <c r="P103" s="1494"/>
      <c r="Q103" s="1792"/>
      <c r="R103" s="1797"/>
    </row>
    <row r="104" spans="1:18" s="993" customFormat="1" ht="35.1" hidden="1" customHeight="1">
      <c r="A104" s="1791"/>
      <c r="B104" s="2133">
        <f t="shared" si="3"/>
        <v>99</v>
      </c>
      <c r="C104" s="2134" t="e">
        <f>(VLOOKUP(A104,DG!A:C,3,0))</f>
        <v>#N/A</v>
      </c>
      <c r="D104" s="2135">
        <f>IFERROR(VLOOKUP(A104,DG!A:D,4,0),0)</f>
        <v>0</v>
      </c>
      <c r="E104" s="2136">
        <f>SUMIF(TongHopKL!C:C,'NT-VT'!A104,TongHopKL!G:G)</f>
        <v>0</v>
      </c>
      <c r="F104" s="2133" t="s">
        <v>4384</v>
      </c>
      <c r="G104" s="2133" t="s">
        <v>4384</v>
      </c>
      <c r="H104" s="2133"/>
      <c r="I104" s="2137"/>
      <c r="J104" s="2138" t="str">
        <f>IFERROR(VLOOKUP(A104,Solieu!G:M,4,0),"nt")</f>
        <v>nt</v>
      </c>
      <c r="K104" s="2139" t="str">
        <f>IFERROR(VLOOKUP(A104,Solieu!G:M,5,0),"nt")</f>
        <v>nt</v>
      </c>
      <c r="L104" s="2141"/>
      <c r="M104" s="2137"/>
      <c r="N104" s="1498" t="s">
        <v>4373</v>
      </c>
      <c r="O104" s="1795">
        <f t="shared" si="2"/>
        <v>0</v>
      </c>
      <c r="P104" s="1494"/>
      <c r="Q104" s="1792"/>
      <c r="R104" s="1797"/>
    </row>
    <row r="105" spans="1:18" s="993" customFormat="1" ht="35.1" hidden="1" customHeight="1">
      <c r="A105" s="1791"/>
      <c r="B105" s="2133">
        <f t="shared" si="3"/>
        <v>100</v>
      </c>
      <c r="C105" s="2134" t="e">
        <f>(VLOOKUP(A105,DG!A:C,3,0))</f>
        <v>#N/A</v>
      </c>
      <c r="D105" s="2135">
        <f>IFERROR(VLOOKUP(A105,DG!A:D,4,0),0)</f>
        <v>0</v>
      </c>
      <c r="E105" s="2136">
        <f>SUMIF(TongHopKL!C:C,'NT-VT'!A105,TongHopKL!G:G)</f>
        <v>0</v>
      </c>
      <c r="F105" s="2133" t="s">
        <v>4384</v>
      </c>
      <c r="G105" s="2133" t="s">
        <v>4384</v>
      </c>
      <c r="H105" s="2133"/>
      <c r="I105" s="2137"/>
      <c r="J105" s="2138" t="str">
        <f>IFERROR(VLOOKUP(A105,Solieu!G:M,4,0),"nt")</f>
        <v>nt</v>
      </c>
      <c r="K105" s="2139" t="str">
        <f>IFERROR(VLOOKUP(A105,Solieu!G:M,5,0),"nt")</f>
        <v>nt</v>
      </c>
      <c r="L105" s="2141"/>
      <c r="M105" s="2137"/>
      <c r="N105" s="1498" t="s">
        <v>4373</v>
      </c>
      <c r="O105" s="1795">
        <f t="shared" si="2"/>
        <v>0</v>
      </c>
      <c r="P105" s="1494"/>
      <c r="Q105" s="1792"/>
      <c r="R105" s="1797"/>
    </row>
    <row r="106" spans="1:18" s="993" customFormat="1" ht="35.1" hidden="1" customHeight="1">
      <c r="A106" s="1791"/>
      <c r="B106" s="2133">
        <f t="shared" si="3"/>
        <v>101</v>
      </c>
      <c r="C106" s="2134" t="e">
        <f>(VLOOKUP(A106,DG!A:C,3,0))</f>
        <v>#N/A</v>
      </c>
      <c r="D106" s="2135">
        <f>IFERROR(VLOOKUP(A106,DG!A:D,4,0),0)</f>
        <v>0</v>
      </c>
      <c r="E106" s="2136">
        <f>SUMIF(TongHopKL!C:C,'NT-VT'!A106,TongHopKL!G:G)</f>
        <v>0</v>
      </c>
      <c r="F106" s="2133" t="s">
        <v>4384</v>
      </c>
      <c r="G106" s="2133" t="s">
        <v>4384</v>
      </c>
      <c r="H106" s="2133"/>
      <c r="I106" s="2137"/>
      <c r="J106" s="2138" t="str">
        <f>IFERROR(VLOOKUP(A106,Solieu!G:M,4,0),"nt")</f>
        <v>nt</v>
      </c>
      <c r="K106" s="2139" t="str">
        <f>IFERROR(VLOOKUP(A106,Solieu!G:M,5,0),"nt")</f>
        <v>nt</v>
      </c>
      <c r="L106" s="2141"/>
      <c r="M106" s="2137"/>
      <c r="N106" s="1498" t="s">
        <v>4373</v>
      </c>
      <c r="O106" s="1795">
        <f t="shared" si="2"/>
        <v>0</v>
      </c>
      <c r="P106" s="1494"/>
      <c r="Q106" s="1792"/>
      <c r="R106" s="1797"/>
    </row>
    <row r="107" spans="1:18" s="993" customFormat="1" ht="35.1" hidden="1" customHeight="1">
      <c r="A107" s="1791"/>
      <c r="B107" s="2133">
        <f t="shared" si="3"/>
        <v>102</v>
      </c>
      <c r="C107" s="2134" t="e">
        <f>(VLOOKUP(A107,DG!A:C,3,0))</f>
        <v>#N/A</v>
      </c>
      <c r="D107" s="2135">
        <f>IFERROR(VLOOKUP(A107,DG!A:D,4,0),0)</f>
        <v>0</v>
      </c>
      <c r="E107" s="2136">
        <f>SUMIF(TongHopKL!C:C,'NT-VT'!A107,TongHopKL!G:G)</f>
        <v>0</v>
      </c>
      <c r="F107" s="2133" t="s">
        <v>4384</v>
      </c>
      <c r="G107" s="2133" t="s">
        <v>4384</v>
      </c>
      <c r="H107" s="2133"/>
      <c r="I107" s="2137"/>
      <c r="J107" s="2138" t="str">
        <f>IFERROR(VLOOKUP(A107,Solieu!G:M,4,0),"nt")</f>
        <v>nt</v>
      </c>
      <c r="K107" s="2139" t="str">
        <f>IFERROR(VLOOKUP(A107,Solieu!G:M,5,0),"nt")</f>
        <v>nt</v>
      </c>
      <c r="L107" s="2141"/>
      <c r="M107" s="2137"/>
      <c r="N107" s="1498" t="s">
        <v>4373</v>
      </c>
      <c r="O107" s="1795">
        <f t="shared" si="2"/>
        <v>0</v>
      </c>
      <c r="P107" s="1494"/>
      <c r="Q107" s="1792"/>
      <c r="R107" s="1797"/>
    </row>
    <row r="108" spans="1:18" s="993" customFormat="1" ht="35.1" hidden="1" customHeight="1">
      <c r="A108" s="1791"/>
      <c r="B108" s="2133">
        <f t="shared" si="3"/>
        <v>103</v>
      </c>
      <c r="C108" s="2134" t="e">
        <f>(VLOOKUP(A108,DG!A:C,3,0))</f>
        <v>#N/A</v>
      </c>
      <c r="D108" s="2135">
        <f>IFERROR(VLOOKUP(A108,DG!A:D,4,0),0)</f>
        <v>0</v>
      </c>
      <c r="E108" s="2136">
        <f>SUMIF(TongHopKL!C:C,'NT-VT'!A108,TongHopKL!G:G)</f>
        <v>0</v>
      </c>
      <c r="F108" s="2133" t="s">
        <v>4384</v>
      </c>
      <c r="G108" s="2133" t="s">
        <v>4384</v>
      </c>
      <c r="H108" s="2133"/>
      <c r="I108" s="2137"/>
      <c r="J108" s="2138" t="str">
        <f>IFERROR(VLOOKUP(A108,Solieu!G:M,4,0),"nt")</f>
        <v>nt</v>
      </c>
      <c r="K108" s="2139" t="str">
        <f>IFERROR(VLOOKUP(A108,Solieu!G:M,5,0),"nt")</f>
        <v>nt</v>
      </c>
      <c r="L108" s="2141"/>
      <c r="M108" s="2137"/>
      <c r="N108" s="1498" t="s">
        <v>4373</v>
      </c>
      <c r="O108" s="1795">
        <f t="shared" si="2"/>
        <v>0</v>
      </c>
      <c r="P108" s="1494"/>
      <c r="Q108" s="1792"/>
      <c r="R108" s="1797"/>
    </row>
    <row r="109" spans="1:18" s="993" customFormat="1" ht="35.1" hidden="1" customHeight="1">
      <c r="A109" s="1791"/>
      <c r="B109" s="2133">
        <f t="shared" si="3"/>
        <v>104</v>
      </c>
      <c r="C109" s="2134" t="e">
        <f>(VLOOKUP(A109,DG!A:C,3,0))</f>
        <v>#N/A</v>
      </c>
      <c r="D109" s="2135">
        <f>IFERROR(VLOOKUP(A109,DG!A:D,4,0),0)</f>
        <v>0</v>
      </c>
      <c r="E109" s="2136">
        <f>SUMIF(TongHopKL!C:C,'NT-VT'!A109,TongHopKL!G:G)</f>
        <v>0</v>
      </c>
      <c r="F109" s="2133" t="s">
        <v>4384</v>
      </c>
      <c r="G109" s="2133" t="s">
        <v>4384</v>
      </c>
      <c r="H109" s="2133"/>
      <c r="I109" s="2137"/>
      <c r="J109" s="2138" t="str">
        <f>IFERROR(VLOOKUP(A109,Solieu!G:M,4,0),"nt")</f>
        <v>nt</v>
      </c>
      <c r="K109" s="2139" t="str">
        <f>IFERROR(VLOOKUP(A109,Solieu!G:M,5,0),"nt")</f>
        <v>nt</v>
      </c>
      <c r="L109" s="2141"/>
      <c r="M109" s="2137"/>
      <c r="N109" s="1498" t="s">
        <v>4373</v>
      </c>
      <c r="O109" s="1795">
        <f t="shared" si="2"/>
        <v>0</v>
      </c>
      <c r="P109" s="1494"/>
      <c r="Q109" s="1792"/>
      <c r="R109" s="1797"/>
    </row>
    <row r="110" spans="1:18" s="993" customFormat="1" ht="35.1" hidden="1" customHeight="1">
      <c r="A110" s="1791"/>
      <c r="B110" s="2133">
        <f t="shared" si="3"/>
        <v>105</v>
      </c>
      <c r="C110" s="2134" t="e">
        <f>(VLOOKUP(A110,DG!A:C,3,0))</f>
        <v>#N/A</v>
      </c>
      <c r="D110" s="2135">
        <f>IFERROR(VLOOKUP(A110,DG!A:D,4,0),0)</f>
        <v>0</v>
      </c>
      <c r="E110" s="2136">
        <f>SUMIF(TongHopKL!C:C,'NT-VT'!A110,TongHopKL!G:G)</f>
        <v>0</v>
      </c>
      <c r="F110" s="2133" t="s">
        <v>4384</v>
      </c>
      <c r="G110" s="2133" t="s">
        <v>4384</v>
      </c>
      <c r="H110" s="2133"/>
      <c r="I110" s="2137"/>
      <c r="J110" s="2138" t="str">
        <f>IFERROR(VLOOKUP(A110,Solieu!G:M,4,0),"nt")</f>
        <v>nt</v>
      </c>
      <c r="K110" s="2139" t="str">
        <f>IFERROR(VLOOKUP(A110,Solieu!G:M,5,0),"nt")</f>
        <v>nt</v>
      </c>
      <c r="L110" s="2141"/>
      <c r="M110" s="2137"/>
      <c r="N110" s="1498" t="s">
        <v>4373</v>
      </c>
      <c r="O110" s="1795">
        <f t="shared" si="2"/>
        <v>0</v>
      </c>
      <c r="P110" s="1494"/>
      <c r="Q110" s="1792"/>
      <c r="R110" s="1797"/>
    </row>
    <row r="111" spans="1:18" s="993" customFormat="1" ht="35.1" hidden="1" customHeight="1">
      <c r="A111" s="1791"/>
      <c r="B111" s="2133">
        <f t="shared" si="3"/>
        <v>106</v>
      </c>
      <c r="C111" s="2134" t="e">
        <f>(VLOOKUP(A111,DG!A:C,3,0))</f>
        <v>#N/A</v>
      </c>
      <c r="D111" s="2135">
        <f>IFERROR(VLOOKUP(A111,DG!A:D,4,0),0)</f>
        <v>0</v>
      </c>
      <c r="E111" s="2136">
        <f>SUMIF(TongHopKL!C:C,'NT-VT'!A111,TongHopKL!G:G)</f>
        <v>0</v>
      </c>
      <c r="F111" s="2133" t="s">
        <v>4384</v>
      </c>
      <c r="G111" s="2133" t="s">
        <v>4384</v>
      </c>
      <c r="H111" s="2133"/>
      <c r="I111" s="2137"/>
      <c r="J111" s="2138" t="str">
        <f>IFERROR(VLOOKUP(A111,Solieu!G:M,4,0),"nt")</f>
        <v>nt</v>
      </c>
      <c r="K111" s="2139" t="str">
        <f>IFERROR(VLOOKUP(A111,Solieu!G:M,5,0),"nt")</f>
        <v>nt</v>
      </c>
      <c r="L111" s="2141"/>
      <c r="M111" s="2137"/>
      <c r="N111" s="1498" t="s">
        <v>4373</v>
      </c>
      <c r="O111" s="1795">
        <f t="shared" si="2"/>
        <v>0</v>
      </c>
      <c r="P111" s="1494"/>
      <c r="Q111" s="1792"/>
      <c r="R111" s="1797"/>
    </row>
    <row r="112" spans="1:18" s="993" customFormat="1" ht="35.1" hidden="1" customHeight="1">
      <c r="A112" s="1791"/>
      <c r="B112" s="2133">
        <f t="shared" si="3"/>
        <v>107</v>
      </c>
      <c r="C112" s="2134" t="e">
        <f>(VLOOKUP(A112,DG!A:C,3,0))</f>
        <v>#N/A</v>
      </c>
      <c r="D112" s="2135">
        <f>IFERROR(VLOOKUP(A112,DG!A:D,4,0),0)</f>
        <v>0</v>
      </c>
      <c r="E112" s="2136">
        <f>SUMIF(TongHopKL!C:C,'NT-VT'!A112,TongHopKL!G:G)</f>
        <v>0</v>
      </c>
      <c r="F112" s="2133" t="s">
        <v>4384</v>
      </c>
      <c r="G112" s="2133" t="s">
        <v>4384</v>
      </c>
      <c r="H112" s="2133"/>
      <c r="I112" s="2137"/>
      <c r="J112" s="2138" t="str">
        <f>IFERROR(VLOOKUP(A112,Solieu!G:M,4,0),"nt")</f>
        <v>nt</v>
      </c>
      <c r="K112" s="2139" t="str">
        <f>IFERROR(VLOOKUP(A112,Solieu!G:M,5,0),"nt")</f>
        <v>nt</v>
      </c>
      <c r="L112" s="2141"/>
      <c r="M112" s="2137"/>
      <c r="N112" s="1498" t="s">
        <v>4373</v>
      </c>
      <c r="O112" s="1795">
        <f t="shared" si="2"/>
        <v>0</v>
      </c>
      <c r="P112" s="1494"/>
      <c r="Q112" s="1792"/>
      <c r="R112" s="1797"/>
    </row>
    <row r="113" spans="1:18" s="993" customFormat="1" ht="35.1" hidden="1" customHeight="1">
      <c r="A113" s="1791"/>
      <c r="B113" s="2133">
        <f t="shared" si="3"/>
        <v>108</v>
      </c>
      <c r="C113" s="2134" t="e">
        <f>(VLOOKUP(A113,DG!A:C,3,0))</f>
        <v>#N/A</v>
      </c>
      <c r="D113" s="2135">
        <f>IFERROR(VLOOKUP(A113,DG!A:D,4,0),0)</f>
        <v>0</v>
      </c>
      <c r="E113" s="2136">
        <f>SUMIF(TongHopKL!C:C,'NT-VT'!A113,TongHopKL!G:G)</f>
        <v>0</v>
      </c>
      <c r="F113" s="2133" t="s">
        <v>4384</v>
      </c>
      <c r="G113" s="2133" t="s">
        <v>4384</v>
      </c>
      <c r="H113" s="2133"/>
      <c r="I113" s="2137"/>
      <c r="J113" s="2138" t="str">
        <f>IFERROR(VLOOKUP(A113,Solieu!G:M,4,0),"nt")</f>
        <v>nt</v>
      </c>
      <c r="K113" s="2139" t="str">
        <f>IFERROR(VLOOKUP(A113,Solieu!G:M,5,0),"nt")</f>
        <v>nt</v>
      </c>
      <c r="L113" s="2141"/>
      <c r="M113" s="2137"/>
      <c r="N113" s="1498" t="s">
        <v>4373</v>
      </c>
      <c r="O113" s="1795">
        <f t="shared" si="2"/>
        <v>0</v>
      </c>
      <c r="P113" s="1494"/>
      <c r="Q113" s="1792"/>
      <c r="R113" s="1797"/>
    </row>
    <row r="114" spans="1:18" s="993" customFormat="1" ht="35.1" hidden="1" customHeight="1">
      <c r="A114" s="1791"/>
      <c r="B114" s="2133">
        <f t="shared" si="3"/>
        <v>109</v>
      </c>
      <c r="C114" s="2134" t="e">
        <f>(VLOOKUP(A114,DG!A:C,3,0))</f>
        <v>#N/A</v>
      </c>
      <c r="D114" s="2135">
        <f>IFERROR(VLOOKUP(A114,DG!A:D,4,0),0)</f>
        <v>0</v>
      </c>
      <c r="E114" s="2136">
        <f>SUMIF(TongHopKL!C:C,'NT-VT'!A114,TongHopKL!G:G)</f>
        <v>0</v>
      </c>
      <c r="F114" s="2133" t="s">
        <v>4384</v>
      </c>
      <c r="G114" s="2133" t="s">
        <v>4384</v>
      </c>
      <c r="H114" s="2133"/>
      <c r="I114" s="2137"/>
      <c r="J114" s="2138" t="str">
        <f>IFERROR(VLOOKUP(A114,Solieu!G:M,4,0),"nt")</f>
        <v>nt</v>
      </c>
      <c r="K114" s="2139" t="str">
        <f>IFERROR(VLOOKUP(A114,Solieu!G:M,5,0),"nt")</f>
        <v>nt</v>
      </c>
      <c r="L114" s="2141"/>
      <c r="M114" s="2137"/>
      <c r="N114" s="1498" t="s">
        <v>4373</v>
      </c>
      <c r="O114" s="1795">
        <f t="shared" si="2"/>
        <v>0</v>
      </c>
      <c r="P114" s="1494"/>
      <c r="Q114" s="1792"/>
      <c r="R114" s="1797"/>
    </row>
    <row r="115" spans="1:18" s="993" customFormat="1" ht="35.1" hidden="1" customHeight="1">
      <c r="A115" s="1791"/>
      <c r="B115" s="2133">
        <f t="shared" si="3"/>
        <v>110</v>
      </c>
      <c r="C115" s="2134" t="e">
        <f>(VLOOKUP(A115,DG!A:C,3,0))</f>
        <v>#N/A</v>
      </c>
      <c r="D115" s="2135">
        <f>IFERROR(VLOOKUP(A115,DG!A:D,4,0),0)</f>
        <v>0</v>
      </c>
      <c r="E115" s="2136">
        <f>SUMIF(TongHopKL!C:C,'NT-VT'!A115,TongHopKL!G:G)</f>
        <v>0</v>
      </c>
      <c r="F115" s="2133" t="s">
        <v>4384</v>
      </c>
      <c r="G115" s="2133" t="s">
        <v>4384</v>
      </c>
      <c r="H115" s="2133"/>
      <c r="I115" s="2137"/>
      <c r="J115" s="2138" t="str">
        <f>IFERROR(VLOOKUP(A115,Solieu!G:M,4,0),"nt")</f>
        <v>nt</v>
      </c>
      <c r="K115" s="2139" t="str">
        <f>IFERROR(VLOOKUP(A115,Solieu!G:M,5,0),"nt")</f>
        <v>nt</v>
      </c>
      <c r="L115" s="2141"/>
      <c r="M115" s="2137"/>
      <c r="N115" s="1498" t="s">
        <v>4373</v>
      </c>
      <c r="O115" s="1795">
        <f t="shared" si="2"/>
        <v>0</v>
      </c>
      <c r="P115" s="1494"/>
      <c r="Q115" s="1792"/>
      <c r="R115" s="1797"/>
    </row>
    <row r="116" spans="1:18" s="993" customFormat="1" ht="35.1" hidden="1" customHeight="1">
      <c r="A116" s="1791"/>
      <c r="B116" s="2133">
        <f t="shared" si="3"/>
        <v>111</v>
      </c>
      <c r="C116" s="2134" t="e">
        <f>(VLOOKUP(A116,DG!A:C,3,0))</f>
        <v>#N/A</v>
      </c>
      <c r="D116" s="2135">
        <f>IFERROR(VLOOKUP(A116,DG!A:D,4,0),0)</f>
        <v>0</v>
      </c>
      <c r="E116" s="2136">
        <f>SUMIF(TongHopKL!C:C,'NT-VT'!A116,TongHopKL!G:G)</f>
        <v>0</v>
      </c>
      <c r="F116" s="2133" t="s">
        <v>4384</v>
      </c>
      <c r="G116" s="2133" t="s">
        <v>4384</v>
      </c>
      <c r="H116" s="2133"/>
      <c r="I116" s="2137"/>
      <c r="J116" s="2138" t="str">
        <f>IFERROR(VLOOKUP(A116,Solieu!G:M,4,0),"nt")</f>
        <v>nt</v>
      </c>
      <c r="K116" s="2139" t="str">
        <f>IFERROR(VLOOKUP(A116,Solieu!G:M,5,0),"nt")</f>
        <v>nt</v>
      </c>
      <c r="L116" s="2141"/>
      <c r="M116" s="2137"/>
      <c r="N116" s="1498" t="s">
        <v>4373</v>
      </c>
      <c r="O116" s="1795">
        <f t="shared" si="2"/>
        <v>0</v>
      </c>
      <c r="P116" s="1494"/>
      <c r="Q116" s="1792"/>
      <c r="R116" s="1797"/>
    </row>
    <row r="117" spans="1:18" s="993" customFormat="1" ht="35.1" hidden="1" customHeight="1">
      <c r="A117" s="1791"/>
      <c r="B117" s="2133">
        <f t="shared" si="3"/>
        <v>112</v>
      </c>
      <c r="C117" s="2134" t="e">
        <f>(VLOOKUP(A117,DG!A:C,3,0))</f>
        <v>#N/A</v>
      </c>
      <c r="D117" s="2135">
        <f>IFERROR(VLOOKUP(A117,DG!A:D,4,0),0)</f>
        <v>0</v>
      </c>
      <c r="E117" s="2136">
        <f>SUMIF(TongHopKL!C:C,'NT-VT'!A117,TongHopKL!G:G)</f>
        <v>0</v>
      </c>
      <c r="F117" s="2133" t="s">
        <v>4384</v>
      </c>
      <c r="G117" s="2133" t="s">
        <v>4384</v>
      </c>
      <c r="H117" s="2133"/>
      <c r="I117" s="2137"/>
      <c r="J117" s="2138" t="str">
        <f>IFERROR(VLOOKUP(A117,Solieu!G:M,4,0),"nt")</f>
        <v>nt</v>
      </c>
      <c r="K117" s="2139" t="str">
        <f>IFERROR(VLOOKUP(A117,Solieu!G:M,5,0),"nt")</f>
        <v>nt</v>
      </c>
      <c r="L117" s="2141"/>
      <c r="M117" s="2137"/>
      <c r="N117" s="1498" t="s">
        <v>4373</v>
      </c>
      <c r="O117" s="1795">
        <f t="shared" si="2"/>
        <v>0</v>
      </c>
      <c r="P117" s="1494"/>
      <c r="Q117" s="1792"/>
      <c r="R117" s="1797"/>
    </row>
    <row r="118" spans="1:18" s="993" customFormat="1" ht="35.1" hidden="1" customHeight="1">
      <c r="A118" s="1791"/>
      <c r="B118" s="2133">
        <f t="shared" si="3"/>
        <v>113</v>
      </c>
      <c r="C118" s="2134" t="e">
        <f>(VLOOKUP(A118,DG!A:C,3,0))</f>
        <v>#N/A</v>
      </c>
      <c r="D118" s="2135">
        <f>IFERROR(VLOOKUP(A118,DG!A:D,4,0),0)</f>
        <v>0</v>
      </c>
      <c r="E118" s="2136">
        <f>SUMIF(TongHopKL!C:C,'NT-VT'!A118,TongHopKL!G:G)</f>
        <v>0</v>
      </c>
      <c r="F118" s="2133" t="s">
        <v>4384</v>
      </c>
      <c r="G118" s="2133" t="s">
        <v>4384</v>
      </c>
      <c r="H118" s="2133"/>
      <c r="I118" s="2137"/>
      <c r="J118" s="2138" t="str">
        <f>IFERROR(VLOOKUP(A118,Solieu!G:M,4,0),"nt")</f>
        <v>nt</v>
      </c>
      <c r="K118" s="2139" t="str">
        <f>IFERROR(VLOOKUP(A118,Solieu!G:M,5,0),"nt")</f>
        <v>nt</v>
      </c>
      <c r="L118" s="2141"/>
      <c r="M118" s="2137"/>
      <c r="N118" s="1498" t="s">
        <v>4373</v>
      </c>
      <c r="O118" s="1795">
        <f t="shared" si="2"/>
        <v>0</v>
      </c>
      <c r="P118" s="1494"/>
      <c r="Q118" s="1792"/>
      <c r="R118" s="1797"/>
    </row>
    <row r="119" spans="1:18" s="993" customFormat="1" ht="35.1" hidden="1" customHeight="1">
      <c r="A119" s="1791"/>
      <c r="B119" s="2133">
        <f t="shared" si="3"/>
        <v>114</v>
      </c>
      <c r="C119" s="2134" t="e">
        <f>(VLOOKUP(A119,DG!A:C,3,0))</f>
        <v>#N/A</v>
      </c>
      <c r="D119" s="2135">
        <f>IFERROR(VLOOKUP(A119,DG!A:D,4,0),0)</f>
        <v>0</v>
      </c>
      <c r="E119" s="2136">
        <f>SUMIF(TongHopKL!C:C,'NT-VT'!A119,TongHopKL!G:G)</f>
        <v>0</v>
      </c>
      <c r="F119" s="2133" t="s">
        <v>4384</v>
      </c>
      <c r="G119" s="2133" t="s">
        <v>4384</v>
      </c>
      <c r="H119" s="2133"/>
      <c r="I119" s="2137"/>
      <c r="J119" s="2138" t="str">
        <f>IFERROR(VLOOKUP(A119,Solieu!G:M,4,0),"nt")</f>
        <v>nt</v>
      </c>
      <c r="K119" s="2139" t="str">
        <f>IFERROR(VLOOKUP(A119,Solieu!G:M,5,0),"nt")</f>
        <v>nt</v>
      </c>
      <c r="L119" s="2141"/>
      <c r="M119" s="2137"/>
      <c r="N119" s="1498" t="s">
        <v>4373</v>
      </c>
      <c r="O119" s="1795">
        <f t="shared" si="2"/>
        <v>0</v>
      </c>
      <c r="P119" s="1494"/>
      <c r="Q119" s="1792"/>
      <c r="R119" s="1797"/>
    </row>
    <row r="120" spans="1:18" s="993" customFormat="1" ht="35.1" hidden="1" customHeight="1">
      <c r="A120" s="1791"/>
      <c r="B120" s="2133">
        <f t="shared" si="3"/>
        <v>115</v>
      </c>
      <c r="C120" s="2134" t="e">
        <f>(VLOOKUP(A120,DG!A:C,3,0))</f>
        <v>#N/A</v>
      </c>
      <c r="D120" s="2135">
        <f>IFERROR(VLOOKUP(A120,DG!A:D,4,0),0)</f>
        <v>0</v>
      </c>
      <c r="E120" s="2136">
        <f>SUMIF(TongHopKL!C:C,'NT-VT'!A120,TongHopKL!G:G)</f>
        <v>0</v>
      </c>
      <c r="F120" s="2133" t="s">
        <v>4384</v>
      </c>
      <c r="G120" s="2133" t="s">
        <v>4384</v>
      </c>
      <c r="H120" s="2133"/>
      <c r="I120" s="2137"/>
      <c r="J120" s="2138" t="str">
        <f>IFERROR(VLOOKUP(A120,Solieu!G:M,4,0),"nt")</f>
        <v>nt</v>
      </c>
      <c r="K120" s="2139" t="str">
        <f>IFERROR(VLOOKUP(A120,Solieu!G:M,5,0),"nt")</f>
        <v>nt</v>
      </c>
      <c r="L120" s="2141"/>
      <c r="M120" s="2137"/>
      <c r="N120" s="1498" t="s">
        <v>4373</v>
      </c>
      <c r="O120" s="1795">
        <f t="shared" si="2"/>
        <v>0</v>
      </c>
      <c r="P120" s="1494"/>
      <c r="Q120" s="1792"/>
      <c r="R120" s="1797"/>
    </row>
    <row r="121" spans="1:18" s="993" customFormat="1" ht="35.1" hidden="1" customHeight="1">
      <c r="A121" s="1791"/>
      <c r="B121" s="2133">
        <f t="shared" si="3"/>
        <v>116</v>
      </c>
      <c r="C121" s="2134" t="e">
        <f>(VLOOKUP(A121,DG!A:C,3,0))</f>
        <v>#N/A</v>
      </c>
      <c r="D121" s="2135">
        <f>IFERROR(VLOOKUP(A121,DG!A:D,4,0),0)</f>
        <v>0</v>
      </c>
      <c r="E121" s="2136">
        <f>SUMIF(TongHopKL!C:C,'NT-VT'!A121,TongHopKL!G:G)</f>
        <v>0</v>
      </c>
      <c r="F121" s="2133" t="s">
        <v>4384</v>
      </c>
      <c r="G121" s="2133" t="s">
        <v>4384</v>
      </c>
      <c r="H121" s="2133"/>
      <c r="I121" s="2137"/>
      <c r="J121" s="2138" t="str">
        <f>IFERROR(VLOOKUP(A121,Solieu!G:M,4,0),"nt")</f>
        <v>nt</v>
      </c>
      <c r="K121" s="2139" t="str">
        <f>IFERROR(VLOOKUP(A121,Solieu!G:M,5,0),"nt")</f>
        <v>nt</v>
      </c>
      <c r="L121" s="2141"/>
      <c r="M121" s="2137"/>
      <c r="N121" s="1498" t="s">
        <v>4373</v>
      </c>
      <c r="O121" s="1795">
        <f t="shared" si="2"/>
        <v>0</v>
      </c>
      <c r="P121" s="1494"/>
      <c r="Q121" s="1792"/>
      <c r="R121" s="1797"/>
    </row>
    <row r="122" spans="1:18" s="993" customFormat="1" ht="35.1" hidden="1" customHeight="1">
      <c r="A122" s="1791"/>
      <c r="B122" s="2133">
        <f t="shared" si="3"/>
        <v>117</v>
      </c>
      <c r="C122" s="2134" t="e">
        <f>(VLOOKUP(A122,DG!A:C,3,0))</f>
        <v>#N/A</v>
      </c>
      <c r="D122" s="2135">
        <f>IFERROR(VLOOKUP(A122,DG!A:D,4,0),0)</f>
        <v>0</v>
      </c>
      <c r="E122" s="2136">
        <f>SUMIF(TongHopKL!C:C,'NT-VT'!A122,TongHopKL!G:G)</f>
        <v>0</v>
      </c>
      <c r="F122" s="2133" t="s">
        <v>4384</v>
      </c>
      <c r="G122" s="2133" t="s">
        <v>4384</v>
      </c>
      <c r="H122" s="2133"/>
      <c r="I122" s="2137"/>
      <c r="J122" s="2138" t="str">
        <f>IFERROR(VLOOKUP(A122,Solieu!G:M,4,0),"nt")</f>
        <v>nt</v>
      </c>
      <c r="K122" s="2139" t="str">
        <f>IFERROR(VLOOKUP(A122,Solieu!G:M,5,0),"nt")</f>
        <v>nt</v>
      </c>
      <c r="L122" s="2141"/>
      <c r="M122" s="2137"/>
      <c r="N122" s="1498" t="s">
        <v>4373</v>
      </c>
      <c r="O122" s="1795">
        <f t="shared" si="2"/>
        <v>0</v>
      </c>
      <c r="P122" s="1494"/>
      <c r="Q122" s="1792"/>
      <c r="R122" s="1797"/>
    </row>
    <row r="123" spans="1:18" s="993" customFormat="1" ht="35.1" hidden="1" customHeight="1">
      <c r="A123" s="1791"/>
      <c r="B123" s="2133">
        <f t="shared" si="3"/>
        <v>118</v>
      </c>
      <c r="C123" s="2134" t="e">
        <f>(VLOOKUP(A123,DG!A:C,3,0))</f>
        <v>#N/A</v>
      </c>
      <c r="D123" s="2135">
        <f>IFERROR(VLOOKUP(A123,DG!A:D,4,0),0)</f>
        <v>0</v>
      </c>
      <c r="E123" s="2136">
        <f>SUMIF(TongHopKL!C:C,'NT-VT'!A123,TongHopKL!G:G)</f>
        <v>0</v>
      </c>
      <c r="F123" s="2133" t="s">
        <v>4384</v>
      </c>
      <c r="G123" s="2133" t="s">
        <v>4384</v>
      </c>
      <c r="H123" s="2133"/>
      <c r="I123" s="2137"/>
      <c r="J123" s="2138" t="str">
        <f>IFERROR(VLOOKUP(A123,Solieu!G:M,4,0),"nt")</f>
        <v>nt</v>
      </c>
      <c r="K123" s="2139" t="str">
        <f>IFERROR(VLOOKUP(A123,Solieu!G:M,5,0),"nt")</f>
        <v>nt</v>
      </c>
      <c r="L123" s="2141"/>
      <c r="M123" s="2137"/>
      <c r="N123" s="1498" t="s">
        <v>4373</v>
      </c>
      <c r="O123" s="1795">
        <f t="shared" si="2"/>
        <v>0</v>
      </c>
      <c r="P123" s="1494"/>
      <c r="Q123" s="1792"/>
      <c r="R123" s="1797"/>
    </row>
    <row r="124" spans="1:18" s="993" customFormat="1" ht="35.1" hidden="1" customHeight="1">
      <c r="A124" s="1791"/>
      <c r="B124" s="2133">
        <f t="shared" si="3"/>
        <v>119</v>
      </c>
      <c r="C124" s="2134" t="e">
        <f>(VLOOKUP(A124,DG!A:C,3,0))</f>
        <v>#N/A</v>
      </c>
      <c r="D124" s="2135">
        <f>IFERROR(VLOOKUP(A124,DG!A:D,4,0),0)</f>
        <v>0</v>
      </c>
      <c r="E124" s="2136">
        <f>SUMIF(TongHopKL!C:C,'NT-VT'!A124,TongHopKL!G:G)</f>
        <v>0</v>
      </c>
      <c r="F124" s="2133" t="s">
        <v>4384</v>
      </c>
      <c r="G124" s="2133" t="s">
        <v>4384</v>
      </c>
      <c r="H124" s="2133"/>
      <c r="I124" s="2137"/>
      <c r="J124" s="2138" t="str">
        <f>IFERROR(VLOOKUP(A124,Solieu!G:M,4,0),"nt")</f>
        <v>nt</v>
      </c>
      <c r="K124" s="2139" t="str">
        <f>IFERROR(VLOOKUP(A124,Solieu!G:M,5,0),"nt")</f>
        <v>nt</v>
      </c>
      <c r="L124" s="2141"/>
      <c r="M124" s="2137"/>
      <c r="N124" s="1498" t="s">
        <v>4373</v>
      </c>
      <c r="O124" s="1795">
        <f t="shared" si="2"/>
        <v>0</v>
      </c>
      <c r="P124" s="1494"/>
      <c r="Q124" s="1792"/>
      <c r="R124" s="1797"/>
    </row>
    <row r="125" spans="1:18" s="993" customFormat="1" ht="35.1" hidden="1" customHeight="1">
      <c r="A125" s="1791"/>
      <c r="B125" s="2133">
        <f t="shared" si="3"/>
        <v>120</v>
      </c>
      <c r="C125" s="2134" t="e">
        <f>(VLOOKUP(A125,DG!A:C,3,0))</f>
        <v>#N/A</v>
      </c>
      <c r="D125" s="2135">
        <f>IFERROR(VLOOKUP(A125,DG!A:D,4,0),0)</f>
        <v>0</v>
      </c>
      <c r="E125" s="2136">
        <f>SUMIF(TongHopKL!C:C,'NT-VT'!A125,TongHopKL!G:G)</f>
        <v>0</v>
      </c>
      <c r="F125" s="2133" t="s">
        <v>4384</v>
      </c>
      <c r="G125" s="2133" t="s">
        <v>4384</v>
      </c>
      <c r="H125" s="2133"/>
      <c r="I125" s="2137"/>
      <c r="J125" s="2138" t="str">
        <f>IFERROR(VLOOKUP(A125,Solieu!G:M,4,0),"nt")</f>
        <v>nt</v>
      </c>
      <c r="K125" s="2139" t="str">
        <f>IFERROR(VLOOKUP(A125,Solieu!G:M,5,0),"nt")</f>
        <v>nt</v>
      </c>
      <c r="L125" s="2141"/>
      <c r="M125" s="2137"/>
      <c r="N125" s="1498" t="s">
        <v>4373</v>
      </c>
      <c r="O125" s="1795">
        <f t="shared" si="2"/>
        <v>0</v>
      </c>
      <c r="P125" s="1494"/>
      <c r="Q125" s="1792"/>
      <c r="R125" s="1797"/>
    </row>
    <row r="126" spans="1:18" s="993" customFormat="1" ht="35.1" hidden="1" customHeight="1">
      <c r="A126" s="1791"/>
      <c r="B126" s="2133">
        <f t="shared" si="3"/>
        <v>121</v>
      </c>
      <c r="C126" s="2134" t="e">
        <f>(VLOOKUP(A126,DG!A:C,3,0))</f>
        <v>#N/A</v>
      </c>
      <c r="D126" s="2135">
        <f>IFERROR(VLOOKUP(A126,DG!A:D,4,0),0)</f>
        <v>0</v>
      </c>
      <c r="E126" s="2136">
        <f>SUMIF(TongHopKL!C:C,'NT-VT'!A126,TongHopKL!G:G)</f>
        <v>0</v>
      </c>
      <c r="F126" s="2133" t="s">
        <v>4384</v>
      </c>
      <c r="G126" s="2133" t="s">
        <v>4384</v>
      </c>
      <c r="H126" s="2133"/>
      <c r="I126" s="2137"/>
      <c r="J126" s="2138" t="str">
        <f>IFERROR(VLOOKUP(A126,Solieu!G:M,4,0),"nt")</f>
        <v>nt</v>
      </c>
      <c r="K126" s="2139" t="str">
        <f>IFERROR(VLOOKUP(A126,Solieu!G:M,5,0),"nt")</f>
        <v>nt</v>
      </c>
      <c r="L126" s="2141"/>
      <c r="M126" s="2137"/>
      <c r="N126" s="1498" t="s">
        <v>4373</v>
      </c>
      <c r="O126" s="1795">
        <f t="shared" si="2"/>
        <v>0</v>
      </c>
      <c r="P126" s="1494"/>
      <c r="Q126" s="1792"/>
      <c r="R126" s="1797"/>
    </row>
    <row r="127" spans="1:18" s="993" customFormat="1" ht="35.1" hidden="1" customHeight="1">
      <c r="A127" s="1791"/>
      <c r="B127" s="2133">
        <f t="shared" si="3"/>
        <v>122</v>
      </c>
      <c r="C127" s="2134" t="e">
        <f>(VLOOKUP(A127,DG!A:C,3,0))</f>
        <v>#N/A</v>
      </c>
      <c r="D127" s="2135">
        <f>IFERROR(VLOOKUP(A127,DG!A:D,4,0),0)</f>
        <v>0</v>
      </c>
      <c r="E127" s="2136">
        <f>SUMIF(TongHopKL!C:C,'NT-VT'!A127,TongHopKL!G:G)</f>
        <v>0</v>
      </c>
      <c r="F127" s="2133" t="s">
        <v>4384</v>
      </c>
      <c r="G127" s="2133" t="s">
        <v>4384</v>
      </c>
      <c r="H127" s="2133"/>
      <c r="I127" s="2137"/>
      <c r="J127" s="2138" t="str">
        <f>IFERROR(VLOOKUP(A127,Solieu!G:M,4,0),"nt")</f>
        <v>nt</v>
      </c>
      <c r="K127" s="2139" t="str">
        <f>IFERROR(VLOOKUP(A127,Solieu!G:M,5,0),"nt")</f>
        <v>nt</v>
      </c>
      <c r="L127" s="2141"/>
      <c r="M127" s="2137"/>
      <c r="N127" s="1498" t="s">
        <v>4373</v>
      </c>
      <c r="O127" s="1795">
        <f t="shared" si="2"/>
        <v>0</v>
      </c>
      <c r="P127" s="1494"/>
      <c r="Q127" s="1792"/>
      <c r="R127" s="1797"/>
    </row>
    <row r="128" spans="1:18" s="993" customFormat="1" ht="35.1" hidden="1" customHeight="1">
      <c r="A128" s="1791"/>
      <c r="B128" s="2133">
        <f t="shared" si="3"/>
        <v>123</v>
      </c>
      <c r="C128" s="2134" t="e">
        <f>(VLOOKUP(A128,DG!A:C,3,0))</f>
        <v>#N/A</v>
      </c>
      <c r="D128" s="2135">
        <f>IFERROR(VLOOKUP(A128,DG!A:D,4,0),0)</f>
        <v>0</v>
      </c>
      <c r="E128" s="2136">
        <f>SUMIF(TongHopKL!C:C,'NT-VT'!A128,TongHopKL!G:G)</f>
        <v>0</v>
      </c>
      <c r="F128" s="2133" t="s">
        <v>4384</v>
      </c>
      <c r="G128" s="2133" t="s">
        <v>4384</v>
      </c>
      <c r="H128" s="2133"/>
      <c r="I128" s="2137"/>
      <c r="J128" s="2138" t="str">
        <f>IFERROR(VLOOKUP(A128,Solieu!G:M,4,0),"nt")</f>
        <v>nt</v>
      </c>
      <c r="K128" s="2139" t="str">
        <f>IFERROR(VLOOKUP(A128,Solieu!G:M,5,0),"nt")</f>
        <v>nt</v>
      </c>
      <c r="L128" s="2141"/>
      <c r="M128" s="2137"/>
      <c r="N128" s="1498" t="s">
        <v>4373</v>
      </c>
      <c r="O128" s="1795">
        <f t="shared" si="2"/>
        <v>0</v>
      </c>
      <c r="P128" s="1494"/>
      <c r="Q128" s="1792"/>
      <c r="R128" s="1797"/>
    </row>
    <row r="129" spans="1:27" s="993" customFormat="1" ht="35.1" hidden="1" customHeight="1">
      <c r="A129" s="1791"/>
      <c r="B129" s="2133">
        <f t="shared" si="3"/>
        <v>124</v>
      </c>
      <c r="C129" s="2134" t="e">
        <f>(VLOOKUP(A129,DG!A:C,3,0))</f>
        <v>#N/A</v>
      </c>
      <c r="D129" s="2135">
        <f>IFERROR(VLOOKUP(A129,DG!A:D,4,0),0)</f>
        <v>0</v>
      </c>
      <c r="E129" s="2136">
        <f>SUMIF(TongHopKL!C:C,'NT-VT'!A129,TongHopKL!G:G)</f>
        <v>0</v>
      </c>
      <c r="F129" s="2133" t="s">
        <v>4384</v>
      </c>
      <c r="G129" s="2133" t="s">
        <v>4384</v>
      </c>
      <c r="H129" s="2133"/>
      <c r="I129" s="2137"/>
      <c r="J129" s="2138" t="str">
        <f>IFERROR(VLOOKUP(A129,Solieu!G:M,4,0),"nt")</f>
        <v>nt</v>
      </c>
      <c r="K129" s="2139" t="str">
        <f>IFERROR(VLOOKUP(A129,Solieu!G:M,5,0),"nt")</f>
        <v>nt</v>
      </c>
      <c r="L129" s="2141"/>
      <c r="M129" s="2137"/>
      <c r="N129" s="1498" t="s">
        <v>4373</v>
      </c>
      <c r="O129" s="1795">
        <f t="shared" si="2"/>
        <v>0</v>
      </c>
      <c r="P129" s="1494"/>
      <c r="Q129" s="1792"/>
      <c r="R129" s="1797"/>
    </row>
    <row r="130" spans="1:27" s="993" customFormat="1" ht="18" hidden="1" customHeight="1">
      <c r="A130" s="1791"/>
      <c r="B130" s="2298"/>
      <c r="C130" s="2299"/>
      <c r="D130" s="2300"/>
      <c r="E130" s="2301"/>
      <c r="F130" s="2298"/>
      <c r="G130" s="2298"/>
      <c r="H130" s="2298"/>
      <c r="I130" s="2302"/>
      <c r="J130" s="2303"/>
      <c r="K130" s="2304"/>
      <c r="L130" s="2305"/>
      <c r="M130" s="2302"/>
      <c r="N130" s="1732"/>
      <c r="O130" s="1795"/>
      <c r="P130" s="1494"/>
      <c r="Q130" s="1792"/>
      <c r="R130" s="1797"/>
    </row>
    <row r="131" spans="1:27" s="991" customFormat="1" ht="24.9" hidden="1" customHeight="1">
      <c r="A131" s="1872"/>
      <c r="B131" s="1004"/>
      <c r="D131" s="2155" t="s">
        <v>4385</v>
      </c>
      <c r="E131" s="1800"/>
      <c r="F131" s="52"/>
      <c r="G131" s="52"/>
      <c r="H131" s="52"/>
      <c r="I131" s="1781"/>
      <c r="J131" s="1801"/>
      <c r="L131" s="2156" t="s">
        <v>4386</v>
      </c>
      <c r="M131" s="1001"/>
      <c r="N131" s="1781"/>
      <c r="O131" s="1004"/>
      <c r="P131" s="1004"/>
      <c r="Q131" s="1727"/>
      <c r="R131" s="1802"/>
    </row>
    <row r="132" spans="1:27" s="991" customFormat="1" ht="24.9" hidden="1" customHeight="1">
      <c r="A132" s="989"/>
      <c r="B132" s="999"/>
      <c r="C132" s="1511"/>
      <c r="D132" s="1509"/>
      <c r="E132" s="1510"/>
      <c r="F132"/>
      <c r="G132"/>
      <c r="H132"/>
      <c r="I132" s="1000"/>
      <c r="J132" s="996"/>
      <c r="L132" s="998"/>
      <c r="M132" s="1003"/>
      <c r="N132" s="1002"/>
      <c r="O132" s="999"/>
      <c r="P132" s="1004"/>
      <c r="Q132" s="1727"/>
    </row>
    <row r="133" spans="1:27" s="991" customFormat="1" ht="24.9" hidden="1" customHeight="1">
      <c r="A133" s="989"/>
      <c r="B133" s="999"/>
      <c r="C133" s="1511"/>
      <c r="D133" s="1509"/>
      <c r="E133" s="1510"/>
      <c r="F133"/>
      <c r="G133"/>
      <c r="H133"/>
      <c r="I133" s="1000"/>
      <c r="J133" s="996"/>
      <c r="L133" s="998"/>
      <c r="M133" s="1003"/>
      <c r="N133" s="1002"/>
      <c r="O133" s="999"/>
      <c r="P133" s="1004"/>
      <c r="Q133" s="1727"/>
    </row>
    <row r="134" spans="1:27" s="991" customFormat="1" ht="24.9" hidden="1" customHeight="1">
      <c r="A134" s="989"/>
      <c r="B134" s="999"/>
      <c r="C134" s="1511"/>
      <c r="D134" s="1509"/>
      <c r="E134" s="1510"/>
      <c r="F134"/>
      <c r="G134"/>
      <c r="H134"/>
      <c r="I134" s="1000"/>
      <c r="J134" s="996"/>
      <c r="L134" s="998"/>
      <c r="M134" s="1003"/>
      <c r="N134" s="1002"/>
      <c r="O134" s="999"/>
      <c r="P134" s="1004"/>
      <c r="Q134" s="1727"/>
    </row>
    <row r="135" spans="1:27" s="991" customFormat="1" ht="24.9" hidden="1" customHeight="1">
      <c r="A135" s="989"/>
      <c r="B135" s="990"/>
      <c r="C135" s="1142"/>
      <c r="D135" s="1512"/>
      <c r="E135" s="1510"/>
      <c r="F135"/>
      <c r="G135"/>
      <c r="H135"/>
      <c r="I135" s="1000"/>
      <c r="J135" s="997"/>
      <c r="L135" s="1005"/>
      <c r="M135" s="1003"/>
      <c r="N135" s="1006"/>
      <c r="O135" s="990"/>
      <c r="P135" s="1004"/>
      <c r="Q135" s="1727"/>
    </row>
    <row r="136" spans="1:27" s="991" customFormat="1" ht="24.9" customHeight="1">
      <c r="A136" s="989"/>
      <c r="B136" s="990"/>
      <c r="D136" s="2155" t="s">
        <v>5318</v>
      </c>
      <c r="E136" s="1510"/>
      <c r="F136"/>
      <c r="G136" s="2327" t="s">
        <v>5319</v>
      </c>
      <c r="H136"/>
      <c r="I136" s="1004"/>
      <c r="J136" s="996"/>
      <c r="L136" s="2156" t="s">
        <v>4386</v>
      </c>
      <c r="M136" s="1003"/>
      <c r="N136" s="990"/>
      <c r="O136" s="990"/>
      <c r="P136" s="1004"/>
      <c r="Q136" s="1727"/>
    </row>
    <row r="137" spans="1:27" s="991" customFormat="1" ht="24.9" customHeight="1">
      <c r="A137" s="989"/>
      <c r="B137" s="990"/>
      <c r="C137" s="1007"/>
      <c r="D137" s="1007"/>
      <c r="E137" s="990"/>
      <c r="F137" s="990"/>
      <c r="G137" s="990"/>
      <c r="H137" s="990"/>
      <c r="I137" s="990"/>
      <c r="J137" s="996"/>
      <c r="K137" s="998"/>
      <c r="L137" s="997"/>
      <c r="M137" s="1003"/>
      <c r="N137" s="990"/>
      <c r="O137" s="990"/>
      <c r="P137" s="1004"/>
      <c r="Q137" s="1727"/>
    </row>
    <row r="138" spans="1:27" s="991" customFormat="1" ht="24.9" customHeight="1">
      <c r="A138" s="989"/>
      <c r="B138" s="990"/>
      <c r="C138" s="1007"/>
      <c r="D138" s="1007"/>
      <c r="E138" s="990"/>
      <c r="F138" s="990"/>
      <c r="G138" s="990"/>
      <c r="H138" s="990"/>
      <c r="I138" s="990"/>
      <c r="J138" s="997"/>
      <c r="K138" s="998"/>
      <c r="L138" s="997"/>
      <c r="M138" s="1003"/>
      <c r="N138" s="990"/>
      <c r="O138" s="990"/>
      <c r="P138" s="1004"/>
      <c r="Q138" s="1727"/>
    </row>
    <row r="139" spans="1:27" s="991" customFormat="1" ht="24.9" customHeight="1">
      <c r="A139" s="989"/>
      <c r="B139" s="990"/>
      <c r="C139" s="1007"/>
      <c r="D139" s="1007"/>
      <c r="E139" s="990"/>
      <c r="F139" s="990"/>
      <c r="G139" s="990"/>
      <c r="H139" s="990"/>
      <c r="I139" s="990"/>
      <c r="J139" s="997"/>
      <c r="K139" s="998"/>
      <c r="L139" s="997"/>
      <c r="M139" s="1003"/>
      <c r="N139" s="990"/>
      <c r="O139" s="990"/>
      <c r="P139" s="1004"/>
      <c r="Q139" s="1727"/>
    </row>
    <row r="140" spans="1:27" s="2269" customFormat="1" ht="24.9" customHeight="1">
      <c r="A140" s="2328"/>
      <c r="C140" s="2329"/>
      <c r="D140" s="2329"/>
      <c r="G140" s="2269" t="str">
        <f>WORD!Q2</f>
        <v>Hoàng Như Hoàn</v>
      </c>
      <c r="H140" s="990"/>
      <c r="I140" s="990"/>
      <c r="J140" s="2330"/>
      <c r="K140" s="2331"/>
      <c r="L140" s="2332" t="str">
        <f>WORD!R2</f>
        <v>Trần Văn Sỹ</v>
      </c>
      <c r="M140" s="2333"/>
      <c r="Q140" s="2334"/>
      <c r="R140" s="2335"/>
      <c r="S140" s="2335"/>
      <c r="T140" s="2335"/>
      <c r="U140" s="2335"/>
      <c r="V140" s="2335"/>
      <c r="W140" s="2335"/>
      <c r="X140" s="2335"/>
      <c r="Y140" s="2335"/>
      <c r="Z140" s="2335"/>
      <c r="AA140" s="2335"/>
    </row>
    <row r="141" spans="1:27" s="990" customFormat="1" ht="24.9" customHeight="1">
      <c r="A141" s="989"/>
      <c r="C141" s="1007"/>
      <c r="D141" s="1007"/>
      <c r="J141" s="996"/>
      <c r="K141" s="998"/>
      <c r="L141" s="997"/>
      <c r="M141" s="998"/>
      <c r="P141" s="1004"/>
      <c r="Q141" s="1727"/>
      <c r="R141" s="991"/>
      <c r="S141" s="991"/>
      <c r="T141" s="991"/>
      <c r="U141" s="991"/>
      <c r="V141" s="991"/>
      <c r="W141" s="991"/>
      <c r="X141" s="991"/>
      <c r="Y141" s="991"/>
      <c r="Z141" s="991"/>
      <c r="AA141" s="991"/>
    </row>
    <row r="142" spans="1:27" s="990" customFormat="1" ht="24.9" customHeight="1">
      <c r="A142" s="989"/>
      <c r="C142" s="1007"/>
      <c r="D142" s="1007"/>
      <c r="J142" s="996"/>
      <c r="K142" s="998"/>
      <c r="L142" s="997"/>
      <c r="M142" s="998"/>
      <c r="P142" s="1004"/>
      <c r="Q142" s="1727"/>
      <c r="R142" s="991"/>
      <c r="S142" s="991"/>
      <c r="T142" s="991"/>
      <c r="U142" s="991"/>
      <c r="V142" s="991"/>
      <c r="W142" s="991"/>
      <c r="X142" s="991"/>
      <c r="Y142" s="991"/>
      <c r="Z142" s="991"/>
      <c r="AA142" s="991"/>
    </row>
  </sheetData>
  <autoFilter ref="B4:R135">
    <filterColumn colId="6" showButton="0"/>
    <filterColumn colId="8" showButton="0"/>
    <filterColumn colId="10" showButton="0"/>
    <filterColumn colId="13">
      <customFilters>
        <customFilter operator="notEqual" val=" "/>
      </custom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6" priority="1"/>
  </conditionalFormatting>
  <dataValidations count="1">
    <dataValidation allowBlank="1" sqref="F137:G1048576 F79:G130"/>
  </dataValidations>
  <pageMargins left="0.38" right="0.2" top="0.51" bottom="0.33" header="0.31496062992126" footer="0.25"/>
  <pageSetup paperSize="9" scale="85" orientation="landscape" blackAndWhite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I94"/>
  <sheetViews>
    <sheetView showZeros="0" workbookViewId="0">
      <selection activeCell="J104" sqref="J104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8" customWidth="1"/>
    <col min="4" max="4" width="7.08984375" style="988" customWidth="1"/>
    <col min="5" max="6" width="22.81640625" style="949" customWidth="1"/>
    <col min="7" max="7" width="5.1796875" style="1010" bestFit="1" customWidth="1"/>
    <col min="8" max="9" width="8.90625" style="1010"/>
    <col min="10" max="16384" width="8.90625" style="935"/>
  </cols>
  <sheetData>
    <row r="1" spans="1:9" ht="38.25" customHeight="1">
      <c r="A1" s="2622" t="s">
        <v>4644</v>
      </c>
      <c r="B1" s="2622"/>
      <c r="C1" s="2622"/>
      <c r="D1" s="2622"/>
      <c r="E1" s="2622"/>
      <c r="F1" s="2622"/>
      <c r="H1" s="1516"/>
    </row>
    <row r="2" spans="1:9" s="936" customFormat="1" ht="33.75" customHeight="1">
      <c r="A2" s="1712" t="s">
        <v>4387</v>
      </c>
      <c r="B2" s="1712" t="s">
        <v>4361</v>
      </c>
      <c r="C2" s="1712" t="s">
        <v>4362</v>
      </c>
      <c r="D2" s="1712" t="s">
        <v>4363</v>
      </c>
      <c r="E2" s="1712" t="s">
        <v>4364</v>
      </c>
      <c r="F2" s="1712" t="s">
        <v>4365</v>
      </c>
      <c r="G2" s="1002" t="s">
        <v>2009</v>
      </c>
      <c r="H2" s="1002"/>
      <c r="I2" s="1011"/>
    </row>
    <row r="3" spans="1:9" ht="35.1" customHeight="1">
      <c r="A3" s="1713">
        <f>SUM($G$3:G3)</f>
        <v>1</v>
      </c>
      <c r="B3" s="1714" t="str">
        <f>'NT-VT'!C6</f>
        <v>Trụ BTLT 12m F540 dự ứng lực (k=2)</v>
      </c>
      <c r="C3" s="1715" t="str">
        <f>'NT-VT'!D6</f>
        <v>trụ</v>
      </c>
      <c r="D3" s="1716">
        <f>'NT-VT'!E6</f>
        <v>96</v>
      </c>
      <c r="E3" s="1713" t="str">
        <f>'NT-VT'!F6</f>
        <v>Cty Cổ phần Bê tông ly tâm Thủ Đức</v>
      </c>
      <c r="F3" s="1713" t="str">
        <f>'NT-VT'!G6</f>
        <v>Cty Cổ phần Bê tông ly tâm Thủ Đức</v>
      </c>
      <c r="G3" s="999">
        <f>IF(D3&gt;0,1,0)</f>
        <v>1</v>
      </c>
      <c r="H3" s="1012"/>
      <c r="I3" s="988"/>
    </row>
    <row r="4" spans="1:9" ht="35.1" customHeight="1">
      <c r="A4" s="1713">
        <f>SUM($G$3:G4)</f>
        <v>2</v>
      </c>
      <c r="B4" s="1714" t="str">
        <f>'NT-VT'!C7</f>
        <v>Trụ BTLT 14m F650 dự ứng lực</v>
      </c>
      <c r="C4" s="1715" t="str">
        <f>'NT-VT'!D7</f>
        <v>trụ</v>
      </c>
      <c r="D4" s="1716">
        <f>'NT-VT'!E7</f>
        <v>15</v>
      </c>
      <c r="E4" s="1713" t="str">
        <f>'NT-VT'!F7</f>
        <v>Cty Cổ phần Bê tông ly tâm Thủ Đức</v>
      </c>
      <c r="F4" s="1713" t="str">
        <f>'NT-VT'!G7</f>
        <v>Cty Cổ phần Bê tông ly tâm Thủ Đức</v>
      </c>
      <c r="G4" s="999">
        <f t="shared" ref="G4:G19" si="0">IF(D4&gt;0,1,0)</f>
        <v>1</v>
      </c>
      <c r="H4" s="1013"/>
    </row>
    <row r="5" spans="1:9" ht="35.1" customHeight="1">
      <c r="A5" s="1713">
        <f>SUM($G$3:G5)</f>
        <v>3</v>
      </c>
      <c r="B5" s="1714" t="str">
        <f>'NT-VT'!C8</f>
        <v xml:space="preserve">Sứ đứng 24KV </v>
      </c>
      <c r="C5" s="1715" t="str">
        <f>'NT-VT'!D8</f>
        <v>cái</v>
      </c>
      <c r="D5" s="1716">
        <f>'NT-VT'!E8</f>
        <v>591</v>
      </c>
      <c r="E5" s="1713" t="str">
        <f>'NT-VT'!F8</f>
        <v>Cty CP Sứ kỹ thuật Hoàng Liên Sơn</v>
      </c>
      <c r="F5" s="1713" t="str">
        <f>'NT-VT'!G8</f>
        <v>Cty TNHH Cao Linh</v>
      </c>
      <c r="G5" s="999">
        <f t="shared" si="0"/>
        <v>1</v>
      </c>
      <c r="H5" s="1013"/>
    </row>
    <row r="6" spans="1:9" ht="35.1" customHeight="1">
      <c r="A6" s="1713">
        <f>SUM($G$3:G6)</f>
        <v>4</v>
      </c>
      <c r="B6" s="1714" t="str">
        <f>'NT-VT'!C9</f>
        <v>Sứ treo polymer</v>
      </c>
      <c r="C6" s="1715" t="str">
        <f>'NT-VT'!D9</f>
        <v>chuỗi</v>
      </c>
      <c r="D6" s="1716">
        <f>'NT-VT'!E9</f>
        <v>93</v>
      </c>
      <c r="E6" s="1713" t="str">
        <f>'NT-VT'!F9</f>
        <v>DTR/Korea</v>
      </c>
      <c r="F6" s="1713" t="str">
        <f>'NT-VT'!G9</f>
        <v>Cty TNHH Cao Linh</v>
      </c>
      <c r="G6" s="999">
        <f t="shared" si="0"/>
        <v>1</v>
      </c>
      <c r="H6" s="1013"/>
    </row>
    <row r="7" spans="1:9" ht="35.1" customHeight="1">
      <c r="A7" s="1713">
        <f>SUM($G$3:G7)</f>
        <v>5</v>
      </c>
      <c r="B7" s="1714" t="str">
        <f>'NT-VT'!C10</f>
        <v>LTD 1P 24KV - 600A</v>
      </c>
      <c r="C7" s="1715" t="str">
        <f>'NT-VT'!D10</f>
        <v>cái</v>
      </c>
      <c r="D7" s="1716">
        <f>'NT-VT'!E10</f>
        <v>6</v>
      </c>
      <c r="E7" s="1713" t="str">
        <f>'NT-VT'!F10</f>
        <v>Cty TNHH TM SX Thiết bị điện Tuấn Ân</v>
      </c>
      <c r="F7" s="1713" t="str">
        <f>'NT-VT'!G10</f>
        <v>Cty TNHH TM SX Thiết bị điện Tuấn Ân</v>
      </c>
      <c r="G7" s="999">
        <f t="shared" si="0"/>
        <v>1</v>
      </c>
      <c r="H7" s="1012"/>
      <c r="I7" s="988"/>
    </row>
    <row r="8" spans="1:9" ht="35.1" customHeight="1">
      <c r="A8" s="1713">
        <f>SUM($G$3:G8)</f>
        <v>6</v>
      </c>
      <c r="B8" s="1714" t="str">
        <f>'NT-VT'!C11</f>
        <v>Cáp 24KV C/XLPE/PVC 150mm2</v>
      </c>
      <c r="C8" s="1715" t="str">
        <f>'NT-VT'!D11</f>
        <v>mét</v>
      </c>
      <c r="D8" s="1716">
        <f>'NT-VT'!E11</f>
        <v>24</v>
      </c>
      <c r="E8" s="1713">
        <f>'NT-VT'!F11</f>
        <v>0</v>
      </c>
      <c r="F8" s="1713">
        <f>'NT-VT'!G11</f>
        <v>0</v>
      </c>
      <c r="G8" s="999">
        <f t="shared" si="0"/>
        <v>1</v>
      </c>
      <c r="H8" s="1012"/>
      <c r="I8" s="988"/>
    </row>
    <row r="9" spans="1:9" ht="35.1" customHeight="1">
      <c r="A9" s="1713">
        <f>SUM($G$3:G9)</f>
        <v>7</v>
      </c>
      <c r="B9" s="1714" t="str">
        <f>'NT-VT'!C13</f>
        <v>Cáp đồng trần M25mm2</v>
      </c>
      <c r="C9" s="1715" t="str">
        <f>'NT-VT'!D13</f>
        <v>kg</v>
      </c>
      <c r="D9" s="1716">
        <f>'NT-VT'!E13</f>
        <v>60.510000000000005</v>
      </c>
      <c r="E9" s="1713" t="str">
        <f>'NT-VT'!F14</f>
        <v>Cty CP Dây cáp điện Việt Nam</v>
      </c>
      <c r="F9" s="1713" t="str">
        <f>'NT-VT'!G14</f>
        <v>Cty CP Dây cáp điện Việt Nam</v>
      </c>
      <c r="G9" s="999">
        <f t="shared" si="0"/>
        <v>1</v>
      </c>
      <c r="H9" s="1012"/>
      <c r="I9" s="988"/>
    </row>
    <row r="10" spans="1:9" ht="35.1" customHeight="1">
      <c r="A10" s="1713">
        <f>SUM($G$3:G10)</f>
        <v>8</v>
      </c>
      <c r="B10" s="1714" t="str">
        <f>'NT-VT'!C14</f>
        <v>Cáp nhôm lõi thép AC-120/19</v>
      </c>
      <c r="C10" s="1715" t="str">
        <f>'NT-VT'!D14</f>
        <v>kg</v>
      </c>
      <c r="D10" s="1716">
        <f>'NT-VT'!E14</f>
        <v>2985.1980000000008</v>
      </c>
      <c r="E10" s="1713">
        <f>'NT-VT'!F15</f>
        <v>0</v>
      </c>
      <c r="F10" s="1713">
        <f>'NT-VT'!G15</f>
        <v>0</v>
      </c>
      <c r="G10" s="999">
        <f t="shared" si="0"/>
        <v>1</v>
      </c>
      <c r="H10" s="1012"/>
      <c r="I10" s="988"/>
    </row>
    <row r="11" spans="1:9" ht="35.1" customHeight="1">
      <c r="A11" s="1713">
        <f>SUM($G$3:G11)</f>
        <v>9</v>
      </c>
      <c r="B11" s="1714" t="str">
        <f>'NT-VT'!C15</f>
        <v>Cáp 24KV A/XLPE/PVC 185mm2</v>
      </c>
      <c r="C11" s="1715" t="str">
        <f>'NT-VT'!D15</f>
        <v>mét</v>
      </c>
      <c r="D11" s="1716">
        <f>'NT-VT'!E15</f>
        <v>19014.000000000007</v>
      </c>
      <c r="E11" s="1713" t="str">
        <f>'NT-VT'!F16</f>
        <v>Cty CP Dây cáp điện Việt Nam</v>
      </c>
      <c r="F11" s="1713" t="str">
        <f>'NT-VT'!G16</f>
        <v>Cty CP Dây cáp điện Việt Nam</v>
      </c>
      <c r="G11" s="999">
        <f t="shared" si="0"/>
        <v>1</v>
      </c>
      <c r="H11" s="1013"/>
    </row>
    <row r="12" spans="1:9" ht="35.1" customHeight="1">
      <c r="A12" s="1713">
        <f>SUM($G$3:G12)</f>
        <v>10</v>
      </c>
      <c r="B12" s="1714" t="str">
        <f>'NT-VT'!C16</f>
        <v>Cáp thép 3/8"</v>
      </c>
      <c r="C12" s="1715" t="str">
        <f>'NT-VT'!D16</f>
        <v>kg</v>
      </c>
      <c r="D12" s="1716">
        <f>'NT-VT'!E16</f>
        <v>30</v>
      </c>
      <c r="E12" s="1713" t="str">
        <f>'NT-VT'!F17</f>
        <v>Cty CP Dây cáp điện Việt Nam</v>
      </c>
      <c r="F12" s="1713" t="str">
        <f>'NT-VT'!G17</f>
        <v>Cty CP Dây cáp điện Việt Nam</v>
      </c>
      <c r="G12" s="999">
        <f t="shared" si="0"/>
        <v>1</v>
      </c>
      <c r="H12" s="1012"/>
      <c r="I12" s="988"/>
    </row>
    <row r="13" spans="1:9" ht="35.1" customHeight="1">
      <c r="A13" s="1713">
        <f>SUM($G$3:G13)</f>
        <v>11</v>
      </c>
      <c r="B13" s="1714" t="str">
        <f>'NT-VT'!C17</f>
        <v>Cáp thép 5/8"</v>
      </c>
      <c r="C13" s="1715" t="str">
        <f>'NT-VT'!D17</f>
        <v>kg</v>
      </c>
      <c r="D13" s="1716">
        <f>'NT-VT'!E17</f>
        <v>248</v>
      </c>
      <c r="E13" s="1713">
        <f>'NT-VT'!F18</f>
        <v>0</v>
      </c>
      <c r="F13" s="1713">
        <f>'NT-VT'!G18</f>
        <v>0</v>
      </c>
      <c r="G13" s="999">
        <f t="shared" si="0"/>
        <v>1</v>
      </c>
      <c r="H13" s="1012"/>
      <c r="I13" s="988"/>
    </row>
    <row r="14" spans="1:9" ht="35.1" customHeight="1">
      <c r="A14" s="1713">
        <f>SUM($G$3:G14)</f>
        <v>12</v>
      </c>
      <c r="B14" s="1714" t="str">
        <f>'NT-VT'!C18</f>
        <v>Cáp nhôm lõi thép bọc 24KV AC/XLPE50 mm2</v>
      </c>
      <c r="C14" s="1715" t="str">
        <f>'NT-VT'!D18</f>
        <v>mét</v>
      </c>
      <c r="D14" s="1716">
        <f>'NT-VT'!E18</f>
        <v>159</v>
      </c>
      <c r="E14" s="1713" t="str">
        <f>'NT-VT'!F19</f>
        <v>Cty TNHH Liên Minh Phát</v>
      </c>
      <c r="F14" s="1713" t="str">
        <f>'NT-VT'!G19</f>
        <v>Cty TNHH Liên Minh Phát</v>
      </c>
      <c r="G14" s="999">
        <f t="shared" si="0"/>
        <v>1</v>
      </c>
      <c r="H14" s="1012"/>
      <c r="I14" s="988"/>
    </row>
    <row r="15" spans="1:9" ht="35.1" customHeight="1">
      <c r="A15" s="1713">
        <f>SUM($G$3:G15)</f>
        <v>13</v>
      </c>
      <c r="B15" s="1714" t="str">
        <f>'NT-VT'!C19</f>
        <v>Boulon 16x250+ 2 long đền vuông D18-50x50x3/Zn</v>
      </c>
      <c r="C15" s="1715" t="str">
        <f>'NT-VT'!D19</f>
        <v>bộ</v>
      </c>
      <c r="D15" s="1716">
        <f>'NT-VT'!E19</f>
        <v>302</v>
      </c>
      <c r="E15" s="1713" t="str">
        <f>'NT-VT'!F20</f>
        <v>Cty TNHH Liên Minh Phát</v>
      </c>
      <c r="F15" s="1713" t="str">
        <f>'NT-VT'!G20</f>
        <v>Cty TNHH Liên Minh Phát</v>
      </c>
      <c r="G15" s="999">
        <f t="shared" si="0"/>
        <v>1</v>
      </c>
      <c r="H15" s="1012"/>
      <c r="I15" s="988"/>
    </row>
    <row r="16" spans="1:9" ht="35.1" customHeight="1">
      <c r="A16" s="1713">
        <f>SUM($G$3:G16)</f>
        <v>14</v>
      </c>
      <c r="B16" s="1714" t="str">
        <f>'NT-VT'!C20</f>
        <v>Boulon 16x300+ 2 long đền vuông D18-50x50x3/Zn</v>
      </c>
      <c r="C16" s="1715" t="str">
        <f>'NT-VT'!D20</f>
        <v>bộ</v>
      </c>
      <c r="D16" s="1716">
        <f>'NT-VT'!E20</f>
        <v>231</v>
      </c>
      <c r="E16" s="1713" t="str">
        <f>'NT-VT'!F21</f>
        <v>Cty TNHH Liên Minh Phát</v>
      </c>
      <c r="F16" s="1713" t="str">
        <f>'NT-VT'!G21</f>
        <v>Cty TNHH Liên Minh Phát</v>
      </c>
      <c r="G16" s="999">
        <f t="shared" si="0"/>
        <v>1</v>
      </c>
      <c r="H16" s="1012"/>
      <c r="I16" s="988"/>
    </row>
    <row r="17" spans="1:9" ht="35.1" customHeight="1">
      <c r="A17" s="1713">
        <f>SUM($G$3:G17)</f>
        <v>15</v>
      </c>
      <c r="B17" s="1714" t="str">
        <f>'NT-VT'!C21</f>
        <v>Boulon 16x300VRS+ 4 long đền vuông D18-50x50x3/Zn</v>
      </c>
      <c r="C17" s="1715" t="str">
        <f>'NT-VT'!D21</f>
        <v>bộ</v>
      </c>
      <c r="D17" s="1716">
        <f>'NT-VT'!E21</f>
        <v>44</v>
      </c>
      <c r="E17" s="1713" t="str">
        <f>'NT-VT'!F22</f>
        <v>Cty TNHH Liên Minh Phát</v>
      </c>
      <c r="F17" s="1713" t="str">
        <f>'NT-VT'!G22</f>
        <v>Cty TNHH Liên Minh Phát</v>
      </c>
      <c r="G17" s="999">
        <f t="shared" si="0"/>
        <v>1</v>
      </c>
      <c r="H17" s="1012"/>
      <c r="I17" s="1014"/>
    </row>
    <row r="18" spans="1:9" ht="35.1" customHeight="1">
      <c r="A18" s="1713">
        <f>SUM($G$3:G18)</f>
        <v>16</v>
      </c>
      <c r="B18" s="1714" t="str">
        <f>'NT-VT'!C22</f>
        <v>Boulon 16x50+ 2 long đền vuông D18-50x50x3/Zn</v>
      </c>
      <c r="C18" s="1715" t="str">
        <f>'NT-VT'!D22</f>
        <v>bộ</v>
      </c>
      <c r="D18" s="1716">
        <f>'NT-VT'!E22</f>
        <v>227</v>
      </c>
      <c r="E18" s="1713" t="str">
        <f>'NT-VT'!F23</f>
        <v>Cty TNHH Liên Minh Phát</v>
      </c>
      <c r="F18" s="1713" t="str">
        <f>'NT-VT'!G23</f>
        <v>Cty TNHH Liên Minh Phát</v>
      </c>
      <c r="G18" s="999">
        <f t="shared" si="0"/>
        <v>1</v>
      </c>
      <c r="H18" s="1012"/>
      <c r="I18" s="1014"/>
    </row>
    <row r="19" spans="1:9" ht="35.1" customHeight="1">
      <c r="A19" s="1713">
        <f>SUM($G$3:G19)</f>
        <v>17</v>
      </c>
      <c r="B19" s="1714" t="str">
        <f>'NT-VT'!C23</f>
        <v>Boulon 16x500+ 2 long đền vuông D18-50x50x3/Zn</v>
      </c>
      <c r="C19" s="1715" t="str">
        <f>'NT-VT'!D23</f>
        <v>bộ</v>
      </c>
      <c r="D19" s="1716">
        <f>'NT-VT'!E23</f>
        <v>20</v>
      </c>
      <c r="E19" s="1713" t="str">
        <f>'NT-VT'!F24</f>
        <v>Cty TNHH Liên Minh Phát</v>
      </c>
      <c r="F19" s="1713" t="str">
        <f>'NT-VT'!G24</f>
        <v>Cty TNHH Liên Minh Phát</v>
      </c>
      <c r="G19" s="999">
        <f t="shared" si="0"/>
        <v>1</v>
      </c>
      <c r="H19" s="1012"/>
      <c r="I19" s="1014"/>
    </row>
    <row r="20" spans="1:9" ht="35.1" hidden="1" customHeight="1">
      <c r="A20" s="1713">
        <f>SUM($G$3:G20)</f>
        <v>17</v>
      </c>
      <c r="B20" s="1714" t="str">
        <f>'NT-VT'!C24</f>
        <v>Boulon 16x500VRS+ 4 long đền vuông D18-50x50x3/Zn</v>
      </c>
      <c r="C20" s="1715" t="str">
        <f>'NT-VT'!D24</f>
        <v>bộ</v>
      </c>
      <c r="D20" s="1716">
        <f>'NT-VT'!E24</f>
        <v>0</v>
      </c>
      <c r="E20" s="1713" t="str">
        <f>'NT-VT'!F25</f>
        <v>Cty TNHH Liên Minh Phát</v>
      </c>
      <c r="F20" s="1713" t="str">
        <f>'NT-VT'!G25</f>
        <v>Cty TNHH Liên Minh Phát</v>
      </c>
      <c r="G20" s="999"/>
      <c r="H20" s="1013"/>
    </row>
    <row r="21" spans="1:9" ht="35.1" hidden="1" customHeight="1">
      <c r="A21" s="1713">
        <f>SUM($G$3:G21)</f>
        <v>17</v>
      </c>
      <c r="B21" s="1714" t="str">
        <f>'NT-VT'!C25</f>
        <v>Boulon 16x550VRS+ 4 long đền vuông D18-50x50x3/Zn</v>
      </c>
      <c r="C21" s="1715" t="str">
        <f>'NT-VT'!D25</f>
        <v>bộ</v>
      </c>
      <c r="D21" s="1716">
        <f>'NT-VT'!E25</f>
        <v>50</v>
      </c>
      <c r="E21" s="1713" t="str">
        <f>'NT-VT'!F26</f>
        <v>Cty TNHH Liên Minh Phát</v>
      </c>
      <c r="F21" s="1713" t="str">
        <f>'NT-VT'!G26</f>
        <v>Cty TNHH Liên Minh Phát</v>
      </c>
      <c r="G21" s="999"/>
      <c r="H21" s="1012"/>
      <c r="I21" s="988"/>
    </row>
    <row r="22" spans="1:9" ht="35.1" hidden="1" customHeight="1">
      <c r="A22" s="1713">
        <f>SUM($G$3:G22)</f>
        <v>17</v>
      </c>
      <c r="B22" s="1714" t="str">
        <f>'NT-VT'!C26</f>
        <v>Boulon 16x650VRS+ 4 long đền vuông D18-50x50x3/Zn</v>
      </c>
      <c r="C22" s="1715" t="str">
        <f>'NT-VT'!D26</f>
        <v>bộ</v>
      </c>
      <c r="D22" s="1716">
        <f>'NT-VT'!E26</f>
        <v>10</v>
      </c>
      <c r="E22" s="1713" t="str">
        <f>'NT-VT'!F27</f>
        <v>Cty TNHH Liên Minh Phát</v>
      </c>
      <c r="F22" s="1713" t="str">
        <f>'NT-VT'!G27</f>
        <v>Cty TNHH Liên Minh Phát</v>
      </c>
      <c r="G22" s="999"/>
      <c r="H22" s="1012"/>
      <c r="I22" s="988"/>
    </row>
    <row r="23" spans="1:9" ht="35.1" hidden="1" customHeight="1">
      <c r="A23" s="1713">
        <f>SUM($G$3:G23)</f>
        <v>17</v>
      </c>
      <c r="B23" s="1714" t="str">
        <f>'NT-VT'!C27</f>
        <v>Boulon 16x750VRS+ 4 long đền vuông D18-50x50x3/Zn</v>
      </c>
      <c r="C23" s="1715" t="str">
        <f>'NT-VT'!D27</f>
        <v>bộ</v>
      </c>
      <c r="D23" s="1716">
        <f>'NT-VT'!E27</f>
        <v>10</v>
      </c>
      <c r="E23" s="1713" t="str">
        <f>'NT-VT'!F28</f>
        <v>Cty TNHH Liên Minh Phát</v>
      </c>
      <c r="F23" s="1713" t="str">
        <f>'NT-VT'!G28</f>
        <v>Cty TNHH Liên Minh Phát</v>
      </c>
      <c r="G23" s="999"/>
      <c r="H23" s="1012"/>
      <c r="I23" s="1014"/>
    </row>
    <row r="24" spans="1:9" ht="35.1" hidden="1" customHeight="1">
      <c r="A24" s="1713">
        <f>SUM($G$3:G24)</f>
        <v>17</v>
      </c>
      <c r="B24" s="1714" t="str">
        <f>'NT-VT'!C28</f>
        <v>Boulon 22x650+ 2 long đền vuông D24-50x50x3/Zn</v>
      </c>
      <c r="C24" s="1715" t="str">
        <f>'NT-VT'!D28</f>
        <v>bộ</v>
      </c>
      <c r="D24" s="1716">
        <f>'NT-VT'!E28</f>
        <v>55</v>
      </c>
      <c r="E24" s="1713" t="str">
        <f>'NT-VT'!F29</f>
        <v>Cty TNHH Liên Minh Phát</v>
      </c>
      <c r="F24" s="1713" t="str">
        <f>'NT-VT'!G29</f>
        <v>Cty TNHH Liên Minh Phát</v>
      </c>
      <c r="G24" s="999"/>
      <c r="H24" s="1012"/>
      <c r="I24" s="1014"/>
    </row>
    <row r="25" spans="1:9" ht="35.1" hidden="1" customHeight="1">
      <c r="A25" s="1713">
        <f>SUM($G$3:G25)</f>
        <v>17</v>
      </c>
      <c r="B25" s="1714" t="str">
        <f>'NT-VT'!C29</f>
        <v>Boulon mắt 16x300+ 2 long đền vuông D18-50x50x3/Zn</v>
      </c>
      <c r="C25" s="1715" t="str">
        <f>'NT-VT'!D29</f>
        <v>bộ</v>
      </c>
      <c r="D25" s="1716">
        <f>'NT-VT'!E29</f>
        <v>48</v>
      </c>
      <c r="E25" s="1713" t="str">
        <f>'NT-VT'!F30</f>
        <v>Cty TNHH Liên Minh Phát</v>
      </c>
      <c r="F25" s="1713" t="str">
        <f>'NT-VT'!G30</f>
        <v>Cty TNHH Liên Minh Phát</v>
      </c>
      <c r="G25" s="999"/>
      <c r="H25" s="1012"/>
      <c r="I25" s="988"/>
    </row>
    <row r="26" spans="1:9" ht="35.1" hidden="1" customHeight="1">
      <c r="A26" s="1713">
        <f>SUM($G$3:G26)</f>
        <v>17</v>
      </c>
      <c r="B26" s="1714" t="str">
        <f>'NT-VT'!C30</f>
        <v>Boulon móc 16x300+ long đền vuông D18-50x50x3/Zn</v>
      </c>
      <c r="C26" s="1715" t="str">
        <f>'NT-VT'!D30</f>
        <v>bộ</v>
      </c>
      <c r="D26" s="1716">
        <f>'NT-VT'!E30</f>
        <v>42</v>
      </c>
      <c r="E26" s="1713" t="str">
        <f>'NT-VT'!F31</f>
        <v>Cty TNHH Liên Minh Phát</v>
      </c>
      <c r="F26" s="1713" t="str">
        <f>'NT-VT'!G31</f>
        <v>Cty TNHH Liên Minh Phát</v>
      </c>
      <c r="G26" s="999"/>
      <c r="H26" s="1012"/>
      <c r="I26" s="988"/>
    </row>
    <row r="27" spans="1:9" ht="35.1" hidden="1" customHeight="1">
      <c r="A27" s="1713">
        <f>SUM($G$3:G27)</f>
        <v>17</v>
      </c>
      <c r="B27" s="1714" t="str">
        <f>'NT-VT'!C31</f>
        <v>Cổ dê kẹp ống PVC  21</v>
      </c>
      <c r="C27" s="1715" t="str">
        <f>'NT-VT'!D31</f>
        <v>bộ</v>
      </c>
      <c r="D27" s="1716">
        <f>'NT-VT'!E31</f>
        <v>28</v>
      </c>
      <c r="E27" s="1713" t="str">
        <f>'NT-VT'!F32</f>
        <v>Cty TNHH SX TM-DV Song Hào</v>
      </c>
      <c r="F27" s="1713" t="str">
        <f>'NT-VT'!G32</f>
        <v>Cty TNHH Liên Minh Phát</v>
      </c>
      <c r="G27" s="999"/>
      <c r="H27" s="1012"/>
      <c r="I27" s="988"/>
    </row>
    <row r="28" spans="1:9" ht="35.1" hidden="1" customHeight="1">
      <c r="A28" s="1713">
        <f>SUM($G$3:G28)</f>
        <v>17</v>
      </c>
      <c r="B28" s="1714" t="str">
        <f>'NT-VT'!C32</f>
        <v>Chụp kẹp Uquai</v>
      </c>
      <c r="C28" s="1715" t="str">
        <f>'NT-VT'!D32</f>
        <v>bộ</v>
      </c>
      <c r="D28" s="1716">
        <f>'NT-VT'!E32</f>
        <v>56</v>
      </c>
      <c r="E28" s="1713" t="str">
        <f>'NT-VT'!F33</f>
        <v>Cty TNHH Liên Minh Phát</v>
      </c>
      <c r="F28" s="1713" t="str">
        <f>'NT-VT'!G33</f>
        <v>Cty TNHH Liên Minh Phát</v>
      </c>
      <c r="G28" s="999"/>
      <c r="H28" s="1012"/>
      <c r="I28" s="988"/>
    </row>
    <row r="29" spans="1:9" ht="35.1" hidden="1" customHeight="1">
      <c r="A29" s="1713">
        <f>SUM($G$3:G29)</f>
        <v>17</v>
      </c>
      <c r="B29" s="1714" t="str">
        <f>'NT-VT'!C33</f>
        <v>Bộ chống chằng hẹp Ø60/50x1500+2BL12x40+BL16x250/80</v>
      </c>
      <c r="C29" s="1715" t="str">
        <f>'NT-VT'!D33</f>
        <v>bộ</v>
      </c>
      <c r="D29" s="1716">
        <f>'NT-VT'!E33</f>
        <v>3</v>
      </c>
      <c r="E29" s="1713" t="str">
        <f>'NT-VT'!F34</f>
        <v>Cty TNHH Liên Minh Phát</v>
      </c>
      <c r="F29" s="1713" t="str">
        <f>'NT-VT'!G34</f>
        <v>Cty TNHH Liên Minh Phát</v>
      </c>
      <c r="G29" s="999"/>
      <c r="H29" s="1012"/>
      <c r="I29" s="1014"/>
    </row>
    <row r="30" spans="1:9" ht="35.1" hidden="1" customHeight="1">
      <c r="A30" s="1713">
        <f>SUM($G$3:G30)</f>
        <v>17</v>
      </c>
      <c r="B30" s="1714" t="str">
        <f>'NT-VT'!C34</f>
        <v>Đầu cosse ép Cu 150mm2</v>
      </c>
      <c r="C30" s="1715" t="str">
        <f>'NT-VT'!D34</f>
        <v>cái</v>
      </c>
      <c r="D30" s="1716">
        <f>'NT-VT'!E34</f>
        <v>15</v>
      </c>
      <c r="E30" s="1713" t="str">
        <f>'NT-VT'!F35</f>
        <v>Cty TNHH Cao Linh</v>
      </c>
      <c r="F30" s="1713" t="str">
        <f>'NT-VT'!G35</f>
        <v>Cty TNHH Cao Linh</v>
      </c>
      <c r="G30" s="999"/>
      <c r="H30" s="1013"/>
    </row>
    <row r="31" spans="1:9" ht="35.1" hidden="1" customHeight="1">
      <c r="A31" s="1713">
        <f>SUM($G$3:G31)</f>
        <v>17</v>
      </c>
      <c r="B31" s="1714" t="str">
        <f>'NT-VT'!C35</f>
        <v>Chân sứ đứng D20</v>
      </c>
      <c r="C31" s="1715" t="str">
        <f>'NT-VT'!D35</f>
        <v>cái</v>
      </c>
      <c r="D31" s="1716">
        <f>'NT-VT'!E35</f>
        <v>591</v>
      </c>
      <c r="E31" s="1713" t="str">
        <f>'NT-VT'!F36</f>
        <v>Cty TNHH Liên Minh Phát</v>
      </c>
      <c r="F31" s="1713" t="str">
        <f>'NT-VT'!G36</f>
        <v>Cty TNHH Liên Minh Phát</v>
      </c>
      <c r="G31" s="999"/>
      <c r="H31" s="1012"/>
      <c r="I31" s="1014"/>
    </row>
    <row r="32" spans="1:9" ht="35.1" hidden="1" customHeight="1">
      <c r="A32" s="1713">
        <f>SUM($G$3:G32)</f>
        <v>17</v>
      </c>
      <c r="B32" s="1714" t="str">
        <f>'NT-VT'!C36</f>
        <v>Cọc tiếp đất Ø 16- 2,4m + kẹp cọc</v>
      </c>
      <c r="C32" s="1715" t="str">
        <f>'NT-VT'!D36</f>
        <v>bộ</v>
      </c>
      <c r="D32" s="1716">
        <f>'NT-VT'!E36</f>
        <v>14</v>
      </c>
      <c r="E32" s="1713">
        <f>'NT-VT'!F37</f>
        <v>0</v>
      </c>
      <c r="F32" s="1713">
        <f>'NT-VT'!G37</f>
        <v>0</v>
      </c>
      <c r="G32" s="999"/>
      <c r="H32" s="1012"/>
      <c r="I32" s="1014"/>
    </row>
    <row r="33" spans="1:9" ht="35.1" hidden="1" customHeight="1">
      <c r="A33" s="1713">
        <f>SUM($G$3:G33)</f>
        <v>17</v>
      </c>
      <c r="B33" s="1714" t="str">
        <f>'NT-VT'!C37</f>
        <v>Đà cản BTCT 1,2m</v>
      </c>
      <c r="C33" s="1715" t="str">
        <f>'NT-VT'!D37</f>
        <v>cái</v>
      </c>
      <c r="D33" s="1716">
        <f>'NT-VT'!E37</f>
        <v>40</v>
      </c>
      <c r="E33" s="1713">
        <f>'NT-VT'!F38</f>
        <v>0</v>
      </c>
      <c r="F33" s="1713">
        <f>'NT-VT'!G38</f>
        <v>0</v>
      </c>
      <c r="G33" s="999"/>
      <c r="H33" s="1013"/>
    </row>
    <row r="34" spans="1:9" ht="35.1" hidden="1" customHeight="1">
      <c r="A34" s="1713">
        <f>SUM($G$3:G34)</f>
        <v>17</v>
      </c>
      <c r="B34" s="1714" t="str">
        <f>'NT-VT'!C38</f>
        <v>Đà cản BTCT 1,5m</v>
      </c>
      <c r="C34" s="1715" t="str">
        <f>'NT-VT'!D38</f>
        <v>cái</v>
      </c>
      <c r="D34" s="1716">
        <f>'NT-VT'!E38</f>
        <v>15</v>
      </c>
      <c r="E34" s="1713" t="str">
        <f>'NT-VT'!F39</f>
        <v>Cty TNHH Điện Nam Việt</v>
      </c>
      <c r="F34" s="1713" t="str">
        <f>'NT-VT'!G39</f>
        <v>Cty TNHH Điện Nam Việt</v>
      </c>
      <c r="G34" s="999"/>
      <c r="H34" s="1012"/>
      <c r="I34" s="1014"/>
    </row>
    <row r="35" spans="1:9" ht="35.1" hidden="1" customHeight="1">
      <c r="A35" s="1713">
        <f>SUM($G$3:G35)</f>
        <v>17</v>
      </c>
      <c r="B35" s="1714" t="str">
        <f>'NT-VT'!C39</f>
        <v>Đà Sắt góc L75 x75 x8 dài 2m (3 ốp)</v>
      </c>
      <c r="C35" s="1715" t="str">
        <f>'NT-VT'!D39</f>
        <v>thanh</v>
      </c>
      <c r="D35" s="1716">
        <f>'NT-VT'!E39</f>
        <v>167</v>
      </c>
      <c r="E35" s="1713" t="str">
        <f>'NT-VT'!F40</f>
        <v>Cty TNHH Điện Nam Việt</v>
      </c>
      <c r="F35" s="1713" t="str">
        <f>'NT-VT'!G40</f>
        <v>Cty TNHH Điện Nam Việt</v>
      </c>
      <c r="G35" s="999"/>
      <c r="H35" s="1012"/>
      <c r="I35" s="1014"/>
    </row>
    <row r="36" spans="1:9" ht="35.1" hidden="1" customHeight="1">
      <c r="A36" s="1713">
        <f>SUM($G$3:G36)</f>
        <v>17</v>
      </c>
      <c r="B36" s="1714" t="str">
        <f>'NT-VT'!C40</f>
        <v>Đà Sắt góc L75 x75 x8 dài 2,2m (4 ốp)</v>
      </c>
      <c r="C36" s="1715" t="str">
        <f>'NT-VT'!D40</f>
        <v>thanh</v>
      </c>
      <c r="D36" s="1716">
        <f>'NT-VT'!E40</f>
        <v>30</v>
      </c>
      <c r="E36" s="1713" t="str">
        <f>'NT-VT'!F41</f>
        <v>Cty TNHH Liên Minh Phát</v>
      </c>
      <c r="F36" s="1713" t="str">
        <f>'NT-VT'!G41</f>
        <v>Cty TNHH Liên Minh Phát</v>
      </c>
      <c r="G36" s="999"/>
      <c r="H36" s="1012"/>
      <c r="I36" s="1014"/>
    </row>
    <row r="37" spans="1:9" ht="35.1" hidden="1" customHeight="1">
      <c r="A37" s="1713">
        <f>SUM($G$3:G37)</f>
        <v>17</v>
      </c>
      <c r="B37" s="1714" t="str">
        <f>'NT-VT'!C41</f>
        <v xml:space="preserve">Dây nhôm buộc </v>
      </c>
      <c r="C37" s="1715" t="str">
        <f>'NT-VT'!D41</f>
        <v>kg</v>
      </c>
      <c r="D37" s="1716">
        <f>'NT-VT'!E41</f>
        <v>4.5999999999999996</v>
      </c>
      <c r="E37" s="1713" t="str">
        <f>'NT-VT'!F42</f>
        <v>Cty CP Thiết bị điện Lê Khôi</v>
      </c>
      <c r="F37" s="1713" t="str">
        <f>'NT-VT'!G42</f>
        <v>Cty TNHH Liên Minh Phát</v>
      </c>
      <c r="G37" s="999"/>
      <c r="H37" s="1012"/>
      <c r="I37" s="1014"/>
    </row>
    <row r="38" spans="1:9" ht="35.1" hidden="1" customHeight="1">
      <c r="A38" s="1713">
        <f>SUM($G$3:G38)</f>
        <v>17</v>
      </c>
      <c r="B38" s="1714" t="str">
        <f>'NT-VT'!C42</f>
        <v>Dây buộc cổ sứ SSF (185-240mm2)</v>
      </c>
      <c r="C38" s="1715" t="str">
        <f>'NT-VT'!D42</f>
        <v>cái</v>
      </c>
      <c r="D38" s="1716">
        <f>'NT-VT'!E42</f>
        <v>48</v>
      </c>
      <c r="E38" s="1713" t="str">
        <f>'NT-VT'!F43</f>
        <v>Cty CP Thiết bị điện Lê Khôi</v>
      </c>
      <c r="F38" s="1713" t="str">
        <f>'NT-VT'!G43</f>
        <v>Cty TNHH Liên Minh Phát</v>
      </c>
      <c r="G38" s="999"/>
      <c r="H38" s="1012"/>
      <c r="I38" s="988"/>
    </row>
    <row r="39" spans="1:9" ht="35.1" hidden="1" customHeight="1">
      <c r="A39" s="1713">
        <f>SUM($G$3:G39)</f>
        <v>17</v>
      </c>
      <c r="B39" s="1714" t="str">
        <f>'NT-VT'!C43</f>
        <v>Dây buộc đầu sứ TTF (185-240mm2)</v>
      </c>
      <c r="C39" s="1715" t="str">
        <f>'NT-VT'!D43</f>
        <v>cái</v>
      </c>
      <c r="D39" s="1716">
        <f>'NT-VT'!E43</f>
        <v>543</v>
      </c>
      <c r="E39" s="1713">
        <f>'NT-VT'!F44</f>
        <v>0</v>
      </c>
      <c r="F39" s="1713">
        <f>'NT-VT'!G44</f>
        <v>0</v>
      </c>
      <c r="G39" s="999"/>
      <c r="H39" s="1013"/>
    </row>
    <row r="40" spans="1:9" ht="35.1" hidden="1" customHeight="1">
      <c r="A40" s="1713">
        <f>SUM($G$3:G40)</f>
        <v>17</v>
      </c>
      <c r="B40" s="1714" t="str">
        <f>'NT-VT'!C44</f>
        <v>Cáp Duplex 2x16</v>
      </c>
      <c r="C40" s="1715" t="str">
        <f>'NT-VT'!D44</f>
        <v>m</v>
      </c>
      <c r="D40" s="1716">
        <f>'NT-VT'!E44</f>
        <v>174</v>
      </c>
      <c r="E40" s="1713" t="str">
        <f>'NT-VT'!F45</f>
        <v>Melec</v>
      </c>
      <c r="F40" s="1713" t="str">
        <f>'NT-VT'!G45</f>
        <v>Cty TNHH Điện Nam Việt</v>
      </c>
      <c r="G40" s="999"/>
      <c r="H40" s="1013"/>
    </row>
    <row r="41" spans="1:9" ht="35.1" hidden="1" customHeight="1">
      <c r="A41" s="1713">
        <f>SUM($G$3:G41)</f>
        <v>17</v>
      </c>
      <c r="B41" s="1714" t="str">
        <f>'NT-VT'!C45</f>
        <v>Ghíp nối IPC 95-35</v>
      </c>
      <c r="C41" s="1715" t="str">
        <f>'NT-VT'!D45</f>
        <v>cái</v>
      </c>
      <c r="D41" s="1716">
        <f>'NT-VT'!E45</f>
        <v>353</v>
      </c>
      <c r="E41" s="1713" t="str">
        <f>'NT-VT'!F46</f>
        <v>Cty CP Thiết bị điện Lê Khôi</v>
      </c>
      <c r="F41" s="1713" t="str">
        <f>'NT-VT'!G46</f>
        <v>Cty TNHH Liên Minh Phát</v>
      </c>
      <c r="G41" s="999"/>
      <c r="H41" s="1012"/>
      <c r="I41" s="1014"/>
    </row>
    <row r="42" spans="1:9" ht="35.1" hidden="1" customHeight="1">
      <c r="A42" s="1713">
        <f>SUM($G$3:G42)</f>
        <v>17</v>
      </c>
      <c r="B42" s="1714" t="str">
        <f>'NT-VT'!C46</f>
        <v>Giáp níu dừng dây bọc 185 + yếm móng U + Mắt nối yếm</v>
      </c>
      <c r="C42" s="1715" t="str">
        <f>'NT-VT'!D46</f>
        <v>cái</v>
      </c>
      <c r="D42" s="1716">
        <f>'NT-VT'!E46</f>
        <v>96</v>
      </c>
      <c r="E42" s="1713" t="str">
        <f>'NT-VT'!F47</f>
        <v>Cty CP Thiết bị điện Lê Khôi</v>
      </c>
      <c r="F42" s="1713" t="str">
        <f>'NT-VT'!G47</f>
        <v>Cty TNHH Liên Minh Phát</v>
      </c>
      <c r="G42" s="999"/>
      <c r="H42" s="1012"/>
      <c r="I42" s="988"/>
    </row>
    <row r="43" spans="1:9" ht="35.1" hidden="1" customHeight="1">
      <c r="A43" s="1713">
        <f>SUM($G$3:G43)</f>
        <v>17</v>
      </c>
      <c r="B43" s="1714" t="str">
        <f>'NT-VT'!C47</f>
        <v>Giáp níu dừng dây bọc 50mm2 + yếm móng U + Mắt nối yếm</v>
      </c>
      <c r="C43" s="1715" t="str">
        <f>'NT-VT'!D47</f>
        <v>cái</v>
      </c>
      <c r="D43" s="1716">
        <f>'NT-VT'!E47</f>
        <v>19</v>
      </c>
      <c r="E43" s="1713" t="str">
        <f>'NT-VT'!F48</f>
        <v>Cty TNHH Liên Minh Phát</v>
      </c>
      <c r="F43" s="1713" t="str">
        <f>'NT-VT'!G48</f>
        <v>Cty TNHH Liên Minh Phát</v>
      </c>
      <c r="G43" s="999"/>
      <c r="H43" s="1012"/>
      <c r="I43" s="1014"/>
    </row>
    <row r="44" spans="1:9" ht="35.1" hidden="1" customHeight="1">
      <c r="A44" s="1713">
        <f>SUM($G$3:G44)</f>
        <v>17</v>
      </c>
      <c r="B44" s="1714" t="str">
        <f>'NT-VT'!C48</f>
        <v>Kẹp cáp 3 boulon</v>
      </c>
      <c r="C44" s="1715" t="str">
        <f>'NT-VT'!D48</f>
        <v>cái</v>
      </c>
      <c r="D44" s="1716">
        <f>'NT-VT'!E48</f>
        <v>144</v>
      </c>
      <c r="E44" s="1713" t="str">
        <f>'NT-VT'!F49</f>
        <v>Cty TNHH Liên Minh Phát</v>
      </c>
      <c r="F44" s="1713" t="str">
        <f>'NT-VT'!G49</f>
        <v>Cty TNHH Liên Minh Phát</v>
      </c>
      <c r="G44" s="999"/>
      <c r="H44" s="1012"/>
      <c r="I44" s="988"/>
    </row>
    <row r="45" spans="1:9" ht="35.1" hidden="1" customHeight="1">
      <c r="A45" s="1713">
        <f>SUM($G$3:G45)</f>
        <v>17</v>
      </c>
      <c r="B45" s="1714" t="str">
        <f>'NT-VT'!C49</f>
        <v>Dây đai + khóa đai Inoc</v>
      </c>
      <c r="C45" s="1715" t="str">
        <f>'NT-VT'!D49</f>
        <v>Bộ</v>
      </c>
      <c r="D45" s="1716">
        <f>'NT-VT'!E49</f>
        <v>74</v>
      </c>
      <c r="E45" s="1713" t="str">
        <f>'NT-VT'!F50</f>
        <v>Cty TNHH Liên Minh Phát</v>
      </c>
      <c r="F45" s="1713" t="str">
        <f>'NT-VT'!G50</f>
        <v>Cty TNHH Liên Minh Phát</v>
      </c>
      <c r="G45" s="999"/>
      <c r="H45" s="1012"/>
      <c r="I45" s="988"/>
    </row>
    <row r="46" spans="1:9" ht="35.1" hidden="1" customHeight="1">
      <c r="A46" s="1713">
        <f>SUM($G$3:G46)</f>
        <v>17</v>
      </c>
      <c r="B46" s="1714" t="str">
        <f>'NT-VT'!C50</f>
        <v>Kẹp ép WR 279</v>
      </c>
      <c r="C46" s="1715" t="str">
        <f>'NT-VT'!D50</f>
        <v>cái</v>
      </c>
      <c r="D46" s="1716">
        <f>'NT-VT'!E50</f>
        <v>10</v>
      </c>
      <c r="E46" s="1713" t="str">
        <f>'NT-VT'!F51</f>
        <v>Cty TNHH Liên Minh Phát</v>
      </c>
      <c r="F46" s="1713" t="str">
        <f>'NT-VT'!G51</f>
        <v>Cty TNHH Liên Minh Phát</v>
      </c>
      <c r="G46" s="999"/>
      <c r="H46" s="1012"/>
      <c r="I46" s="988"/>
    </row>
    <row r="47" spans="1:9" ht="35.1" hidden="1" customHeight="1">
      <c r="A47" s="1713">
        <f>SUM($G$3:G47)</f>
        <v>17</v>
      </c>
      <c r="B47" s="1714" t="str">
        <f>'NT-VT'!C51</f>
        <v>Kẹp ép WR 399</v>
      </c>
      <c r="C47" s="1715" t="str">
        <f>'NT-VT'!D51</f>
        <v>cái</v>
      </c>
      <c r="D47" s="1716">
        <f>'NT-VT'!E51</f>
        <v>102</v>
      </c>
      <c r="E47" s="1713" t="str">
        <f>'NT-VT'!F52</f>
        <v>Cty TNHH Liên Minh Phát</v>
      </c>
      <c r="F47" s="1713" t="str">
        <f>'NT-VT'!G52</f>
        <v>Cty TNHH Liên Minh Phát</v>
      </c>
      <c r="G47" s="999"/>
      <c r="H47" s="1012"/>
      <c r="I47" s="988"/>
    </row>
    <row r="48" spans="1:9" ht="35.1" hidden="1" customHeight="1">
      <c r="A48" s="1713">
        <f>SUM($G$3:G48)</f>
        <v>17</v>
      </c>
      <c r="B48" s="1714" t="str">
        <f>'NT-VT'!C52</f>
        <v>Kẹp ép WR 419</v>
      </c>
      <c r="C48" s="1715" t="str">
        <f>'NT-VT'!D52</f>
        <v>cái</v>
      </c>
      <c r="D48" s="1716">
        <f>'NT-VT'!E52</f>
        <v>70</v>
      </c>
      <c r="E48" s="1713" t="str">
        <f>'NT-VT'!F53</f>
        <v>Cty TNHH Liên Minh Phát</v>
      </c>
      <c r="F48" s="1713" t="str">
        <f>'NT-VT'!G53</f>
        <v>Cty TNHH Liên Minh Phát</v>
      </c>
      <c r="G48" s="999"/>
      <c r="H48" s="1012"/>
      <c r="I48" s="988"/>
    </row>
    <row r="49" spans="1:9" ht="35.1" hidden="1" customHeight="1">
      <c r="A49" s="1713">
        <f>SUM($G$3:G49)</f>
        <v>17</v>
      </c>
      <c r="B49" s="1714" t="str">
        <f>'NT-VT'!C53</f>
        <v>Kẹp ép WR 929</v>
      </c>
      <c r="C49" s="1715" t="str">
        <f>'NT-VT'!D53</f>
        <v>cái</v>
      </c>
      <c r="D49" s="1716">
        <f>'NT-VT'!E53</f>
        <v>100</v>
      </c>
      <c r="E49" s="1713">
        <f>'NT-VT'!F54</f>
        <v>0</v>
      </c>
      <c r="F49" s="1713">
        <f>'NT-VT'!G54</f>
        <v>0</v>
      </c>
      <c r="G49" s="999"/>
      <c r="H49" s="1012"/>
      <c r="I49" s="988"/>
    </row>
    <row r="50" spans="1:9" ht="35.1" hidden="1" customHeight="1">
      <c r="A50" s="1713">
        <f>SUM($G$3:G50)</f>
        <v>17</v>
      </c>
      <c r="B50" s="1714" t="str">
        <f>'NT-VT'!C54</f>
        <v>Kẹp hotline 4/0</v>
      </c>
      <c r="C50" s="1715" t="str">
        <f>'NT-VT'!D54</f>
        <v>cái</v>
      </c>
      <c r="D50" s="1716">
        <f>'NT-VT'!E54</f>
        <v>47</v>
      </c>
      <c r="E50" s="1713" t="str">
        <f>'NT-VT'!F55</f>
        <v>Cty TNHH Liên Minh Phát</v>
      </c>
      <c r="F50" s="1713" t="str">
        <f>'NT-VT'!G55</f>
        <v>Cty TNHH Liên Minh Phát</v>
      </c>
      <c r="G50" s="999"/>
      <c r="H50" s="1012"/>
      <c r="I50" s="988"/>
    </row>
    <row r="51" spans="1:9" ht="35.1" hidden="1" customHeight="1">
      <c r="A51" s="1713">
        <f>SUM($G$3:G51)</f>
        <v>17</v>
      </c>
      <c r="B51" s="1714" t="str">
        <f>'NT-VT'!C55</f>
        <v>Khóa néo dây cỡ dây 120</v>
      </c>
      <c r="C51" s="1715" t="str">
        <f>'NT-VT'!D55</f>
        <v>cái</v>
      </c>
      <c r="D51" s="1716">
        <f>'NT-VT'!E55</f>
        <v>29</v>
      </c>
      <c r="E51" s="1713">
        <f>'NT-VT'!F56</f>
        <v>0</v>
      </c>
      <c r="F51" s="1713">
        <f>'NT-VT'!G56</f>
        <v>0</v>
      </c>
      <c r="G51" s="999"/>
      <c r="H51" s="1012"/>
      <c r="I51" s="988"/>
    </row>
    <row r="52" spans="1:9" ht="35.1" hidden="1" customHeight="1">
      <c r="A52" s="1713">
        <f>SUM($G$3:G52)</f>
        <v>17</v>
      </c>
      <c r="B52" s="1714" t="str">
        <f>'NT-VT'!C56</f>
        <v>Kẹp quai 4/0</v>
      </c>
      <c r="C52" s="1715" t="str">
        <f>'NT-VT'!D56</f>
        <v>cái</v>
      </c>
      <c r="D52" s="1716">
        <f>'NT-VT'!E56</f>
        <v>56</v>
      </c>
      <c r="E52" s="1713" t="str">
        <f>'NT-VT'!F57</f>
        <v>Cty TNHH Liên Minh Phát</v>
      </c>
      <c r="F52" s="1713" t="str">
        <f>'NT-VT'!G57</f>
        <v>Cty TNHH Liên Minh Phát</v>
      </c>
      <c r="G52" s="999"/>
      <c r="H52" s="1012"/>
      <c r="I52" s="988"/>
    </row>
    <row r="53" spans="1:9" ht="35.1" hidden="1" customHeight="1">
      <c r="A53" s="1713">
        <f>SUM($G$3:G53)</f>
        <v>17</v>
      </c>
      <c r="B53" s="1714" t="str">
        <f>'NT-VT'!C57</f>
        <v>Máng che dây chằng dày 1,6mm</v>
      </c>
      <c r="C53" s="1715" t="str">
        <f>'NT-VT'!D57</f>
        <v>cái</v>
      </c>
      <c r="D53" s="1716">
        <f>'NT-VT'!E57</f>
        <v>8</v>
      </c>
      <c r="E53" s="1713" t="str">
        <f>'NT-VT'!F58</f>
        <v>Cty TNHH Liên Minh Phát</v>
      </c>
      <c r="F53" s="1713" t="str">
        <f>'NT-VT'!G58</f>
        <v>Cty TNHH Liên Minh Phát</v>
      </c>
      <c r="G53" s="999"/>
      <c r="H53" s="1012"/>
      <c r="I53" s="988"/>
    </row>
    <row r="54" spans="1:9" ht="35.1" hidden="1" customHeight="1">
      <c r="A54" s="1713">
        <f>SUM($G$3:G54)</f>
        <v>17</v>
      </c>
      <c r="B54" s="1714" t="str">
        <f>'NT-VT'!C58</f>
        <v>Máng che dây chằng dày 0,4x2000</v>
      </c>
      <c r="C54" s="1715" t="str">
        <f>'NT-VT'!D58</f>
        <v>cái</v>
      </c>
      <c r="D54" s="1716">
        <f>'NT-VT'!E58</f>
        <v>7</v>
      </c>
      <c r="E54" s="1713" t="str">
        <f>'NT-VT'!F59</f>
        <v>Cty TNHH Liên Minh Phát</v>
      </c>
      <c r="F54" s="1713" t="str">
        <f>'NT-VT'!G59</f>
        <v>Cty TNHH Liên Minh Phát</v>
      </c>
      <c r="G54" s="999"/>
      <c r="H54" s="1012"/>
      <c r="I54" s="988"/>
    </row>
    <row r="55" spans="1:9" ht="35.1" hidden="1" customHeight="1">
      <c r="A55" s="1713">
        <f>SUM($G$3:G55)</f>
        <v>17</v>
      </c>
      <c r="B55" s="1714" t="str">
        <f>'NT-VT'!C59</f>
        <v xml:space="preserve">Móc treo chữ U </v>
      </c>
      <c r="C55" s="1715" t="str">
        <f>'NT-VT'!D59</f>
        <v>cái</v>
      </c>
      <c r="D55" s="1716">
        <f>'NT-VT'!E59</f>
        <v>186</v>
      </c>
      <c r="E55" s="1713" t="str">
        <f>'NT-VT'!F60</f>
        <v>Cty TNHH Liên Minh Phát</v>
      </c>
      <c r="F55" s="1713" t="str">
        <f>'NT-VT'!G60</f>
        <v>Cty TNHH Liên Minh Phát</v>
      </c>
      <c r="G55" s="999"/>
      <c r="H55" s="1012"/>
      <c r="I55" s="988"/>
    </row>
    <row r="56" spans="1:9" ht="35.1" hidden="1" customHeight="1">
      <c r="A56" s="1713">
        <f>SUM($G$3:G56)</f>
        <v>17</v>
      </c>
      <c r="B56" s="1714" t="str">
        <f>'NT-VT'!C60</f>
        <v>Neo xòe 8 hướng (dày 3,2mm)</v>
      </c>
      <c r="C56" s="1715" t="str">
        <f>'NT-VT'!D60</f>
        <v>cái</v>
      </c>
      <c r="D56" s="1716">
        <f>'NT-VT'!E60</f>
        <v>2</v>
      </c>
      <c r="E56" s="1713" t="str">
        <f>'NT-VT'!F61</f>
        <v>Cty TNHH SX TM-DV Song Hào</v>
      </c>
      <c r="F56" s="1713" t="str">
        <f>'NT-VT'!G61</f>
        <v>Cty TNHH Liên Minh Phát</v>
      </c>
      <c r="G56" s="999"/>
      <c r="H56" s="1012"/>
      <c r="I56" s="988"/>
    </row>
    <row r="57" spans="1:9" ht="35.1" hidden="1" customHeight="1">
      <c r="A57" s="1713">
        <f>SUM($G$3:G57)</f>
        <v>17</v>
      </c>
      <c r="B57" s="1714" t="str">
        <f>'NT-VT'!C61</f>
        <v>Ong co nhiệt cách điện 24kV D60</v>
      </c>
      <c r="C57" s="1715" t="str">
        <f>'NT-VT'!D61</f>
        <v>m</v>
      </c>
      <c r="D57" s="1716">
        <f>'NT-VT'!E61</f>
        <v>15</v>
      </c>
      <c r="E57" s="1713">
        <f>'NT-VT'!F62</f>
        <v>0</v>
      </c>
      <c r="F57" s="1713">
        <f>'NT-VT'!G62</f>
        <v>0</v>
      </c>
      <c r="G57" s="999"/>
      <c r="H57" s="1012"/>
      <c r="I57" s="988"/>
    </row>
    <row r="58" spans="1:9" ht="35.1" hidden="1" customHeight="1">
      <c r="A58" s="1713">
        <f>SUM($G$3:G58)</f>
        <v>17</v>
      </c>
      <c r="B58" s="1714" t="str">
        <f>'NT-VT'!C62</f>
        <v>Ống nối dây cỡ 120mm2</v>
      </c>
      <c r="C58" s="1715" t="str">
        <f>'NT-VT'!D62</f>
        <v>cái</v>
      </c>
      <c r="D58" s="1716">
        <f>'NT-VT'!E62</f>
        <v>5</v>
      </c>
      <c r="E58" s="1713">
        <f>'NT-VT'!F63</f>
        <v>0</v>
      </c>
      <c r="F58" s="1713">
        <f>'NT-VT'!G63</f>
        <v>0</v>
      </c>
      <c r="G58" s="999"/>
      <c r="H58" s="1012"/>
      <c r="I58" s="988"/>
    </row>
    <row r="59" spans="1:9" ht="35.1" hidden="1" customHeight="1">
      <c r="A59" s="1713">
        <f>SUM($G$3:G59)</f>
        <v>17</v>
      </c>
      <c r="B59" s="1714" t="str">
        <f>'NT-VT'!C63</f>
        <v>Ống nối dây cỡ 185mm2</v>
      </c>
      <c r="C59" s="1715" t="str">
        <f>'NT-VT'!D63</f>
        <v>cái</v>
      </c>
      <c r="D59" s="1716">
        <f>'NT-VT'!E63</f>
        <v>16</v>
      </c>
      <c r="E59" s="1713">
        <f>'NT-VT'!F64</f>
        <v>0</v>
      </c>
      <c r="F59" s="1713">
        <f>'NT-VT'!G64</f>
        <v>0</v>
      </c>
      <c r="G59" s="999"/>
      <c r="H59" s="1012"/>
      <c r="I59" s="988"/>
    </row>
    <row r="60" spans="1:9" ht="35.1" hidden="1" customHeight="1">
      <c r="A60" s="1713">
        <f>SUM($G$3:G60)</f>
        <v>17</v>
      </c>
      <c r="B60" s="1714" t="str">
        <f>'NT-VT'!C64</f>
        <v>Ống nối dây cỡ 50mm2</v>
      </c>
      <c r="C60" s="1715" t="str">
        <f>'NT-VT'!D64</f>
        <v>cái</v>
      </c>
      <c r="D60" s="1716">
        <f>'NT-VT'!E64</f>
        <v>12</v>
      </c>
      <c r="E60" s="1713" t="str">
        <f>'NT-VT'!F65</f>
        <v>Cty TNHH Liên Minh Phát</v>
      </c>
      <c r="F60" s="1713" t="str">
        <f>'NT-VT'!G65</f>
        <v>Cty TNHH Liên Minh Phát</v>
      </c>
      <c r="G60" s="999"/>
      <c r="H60" s="1012"/>
      <c r="I60" s="988"/>
    </row>
    <row r="61" spans="1:9" ht="35.1" hidden="1" customHeight="1">
      <c r="A61" s="1713">
        <f>SUM($G$3:G61)</f>
        <v>17</v>
      </c>
      <c r="B61" s="1714" t="str">
        <f>'NT-VT'!C65</f>
        <v>Ốc xiết cáp</v>
      </c>
      <c r="C61" s="1715" t="str">
        <f>'NT-VT'!D65</f>
        <v>cái</v>
      </c>
      <c r="D61" s="1716">
        <f>'NT-VT'!E65</f>
        <v>98</v>
      </c>
      <c r="E61" s="1713">
        <f>'NT-VT'!F66</f>
        <v>0</v>
      </c>
      <c r="F61" s="1713">
        <f>'NT-VT'!G66</f>
        <v>0</v>
      </c>
      <c r="G61" s="999"/>
      <c r="H61" s="1012"/>
      <c r="I61" s="988"/>
    </row>
    <row r="62" spans="1:9" ht="35.1" hidden="1" customHeight="1">
      <c r="A62" s="1713">
        <f>SUM($G$3:G62)</f>
        <v>17</v>
      </c>
      <c r="B62" s="1714" t="str">
        <f>'NT-VT'!C66</f>
        <v xml:space="preserve">Ống PVC D21x1,6mm </v>
      </c>
      <c r="C62" s="1715" t="str">
        <f>'NT-VT'!D66</f>
        <v>m</v>
      </c>
      <c r="D62" s="1716">
        <f>'NT-VT'!E66</f>
        <v>21</v>
      </c>
      <c r="E62" s="1713">
        <f>'NT-VT'!F67</f>
        <v>0</v>
      </c>
      <c r="F62" s="1713">
        <f>'NT-VT'!G67</f>
        <v>0</v>
      </c>
      <c r="G62" s="999"/>
      <c r="H62" s="1012"/>
      <c r="I62" s="988"/>
    </row>
    <row r="63" spans="1:9" ht="35.1" hidden="1" customHeight="1">
      <c r="A63" s="1713">
        <f>SUM($G$3:G63)</f>
        <v>17</v>
      </c>
      <c r="B63" s="1714" t="str">
        <f>'NT-VT'!C67</f>
        <v>Uclevis</v>
      </c>
      <c r="C63" s="1715" t="str">
        <f>'NT-VT'!D67</f>
        <v>bộ</v>
      </c>
      <c r="D63" s="1716">
        <f>'NT-VT'!E67</f>
        <v>163</v>
      </c>
      <c r="E63" s="1713" t="str">
        <f>'NT-VT'!F68</f>
        <v>Cty CP Sứ kỹ thuật Hoàng Liên Sơn</v>
      </c>
      <c r="F63" s="1713" t="str">
        <f>'NT-VT'!G68</f>
        <v>Cty CP Sứ kỹ thuật Hoàng Liên Sơn</v>
      </c>
      <c r="G63" s="999"/>
      <c r="H63" s="1012"/>
      <c r="I63" s="988"/>
    </row>
    <row r="64" spans="1:9" ht="35.1" hidden="1" customHeight="1">
      <c r="A64" s="1713">
        <f>SUM($G$3:G64)</f>
        <v>17</v>
      </c>
      <c r="B64" s="1714" t="str">
        <f>'NT-VT'!C68</f>
        <v>Sứ chằng</v>
      </c>
      <c r="C64" s="1715" t="str">
        <f>'NT-VT'!D68</f>
        <v>cái</v>
      </c>
      <c r="D64" s="1716">
        <f>'NT-VT'!E68</f>
        <v>18</v>
      </c>
      <c r="E64" s="1713" t="str">
        <f>'NT-VT'!F69</f>
        <v>Cty CP Sứ kỹ thuật Hoàng Liên Sơn</v>
      </c>
      <c r="F64" s="1713" t="str">
        <f>'NT-VT'!G69</f>
        <v>Cty CP Sứ kỹ thuật Hoàng Liên Sơn</v>
      </c>
      <c r="G64" s="999"/>
      <c r="H64" s="1012"/>
      <c r="I64" s="988"/>
    </row>
    <row r="65" spans="1:9" ht="35.1" hidden="1" customHeight="1">
      <c r="A65" s="1713">
        <f>SUM($G$3:G65)</f>
        <v>17</v>
      </c>
      <c r="B65" s="1714" t="str">
        <f>'NT-VT'!C69</f>
        <v xml:space="preserve">Sứ ống chỉ </v>
      </c>
      <c r="C65" s="1715" t="str">
        <f>'NT-VT'!D69</f>
        <v>cái</v>
      </c>
      <c r="D65" s="1716">
        <f>'NT-VT'!E69</f>
        <v>163</v>
      </c>
      <c r="E65" s="1713" t="str">
        <f>'NT-VT'!F70</f>
        <v>Cty TNHH Điện Nam Việt</v>
      </c>
      <c r="F65" s="1713" t="str">
        <f>'NT-VT'!G70</f>
        <v>Cty TNHH Điện Nam Việt</v>
      </c>
      <c r="G65" s="999"/>
      <c r="H65" s="1012"/>
      <c r="I65" s="988"/>
    </row>
    <row r="66" spans="1:9" ht="35.1" hidden="1" customHeight="1">
      <c r="A66" s="1713">
        <f>SUM($G$3:G66)</f>
        <v>17</v>
      </c>
      <c r="B66" s="1714" t="str">
        <f>'NT-VT'!C70</f>
        <v>Thanh chống đà sắt góc L50x50x5 dài 1,15m</v>
      </c>
      <c r="C66" s="1715" t="str">
        <f>'NT-VT'!D70</f>
        <v>thanh</v>
      </c>
      <c r="D66" s="1716">
        <f>'NT-VT'!E70</f>
        <v>167</v>
      </c>
      <c r="E66" s="1713" t="str">
        <f>'NT-VT'!F71</f>
        <v>Cty TNHH Điện Nam Việt</v>
      </c>
      <c r="F66" s="1713" t="str">
        <f>'NT-VT'!G71</f>
        <v>Cty TNHH Điện Nam Việt</v>
      </c>
      <c r="G66" s="999"/>
      <c r="H66" s="1012"/>
      <c r="I66" s="988"/>
    </row>
    <row r="67" spans="1:9" ht="35.1" hidden="1" customHeight="1">
      <c r="A67" s="1713">
        <f>SUM($G$3:G67)</f>
        <v>17</v>
      </c>
      <c r="B67" s="1714" t="str">
        <f>'NT-VT'!C71</f>
        <v>Thanh chống đà sắt góc L50x50x5 dài 0,81m</v>
      </c>
      <c r="C67" s="1715" t="str">
        <f>'NT-VT'!D71</f>
        <v>thanh</v>
      </c>
      <c r="D67" s="1716">
        <f>'NT-VT'!E71</f>
        <v>60</v>
      </c>
      <c r="E67" s="1713">
        <f>'NT-VT'!F72</f>
        <v>0</v>
      </c>
      <c r="F67" s="1713">
        <f>'NT-VT'!G72</f>
        <v>0</v>
      </c>
      <c r="G67" s="999"/>
      <c r="H67" s="1012"/>
      <c r="I67" s="988"/>
    </row>
    <row r="68" spans="1:9" ht="35.1" hidden="1" customHeight="1">
      <c r="A68" s="1713">
        <f>SUM($G$3:G68)</f>
        <v>17</v>
      </c>
      <c r="B68" s="1714" t="str">
        <f>'NT-VT'!C72</f>
        <v>Ty neo Ø18x2400</v>
      </c>
      <c r="C68" s="1715" t="str">
        <f>'NT-VT'!D72</f>
        <v>cái</v>
      </c>
      <c r="D68" s="1716">
        <f>'NT-VT'!E72</f>
        <v>2</v>
      </c>
      <c r="E68" s="1713">
        <f>'NT-VT'!F73</f>
        <v>0</v>
      </c>
      <c r="F68" s="1713">
        <f>'NT-VT'!G73</f>
        <v>0</v>
      </c>
      <c r="G68" s="999"/>
      <c r="H68" s="1012"/>
      <c r="I68" s="988"/>
    </row>
    <row r="69" spans="1:9" ht="35.1" hidden="1" customHeight="1">
      <c r="A69" s="1713">
        <f>SUM($G$3:G69)</f>
        <v>17</v>
      </c>
      <c r="B69" s="1714" t="str">
        <f>'NT-VT'!C73</f>
        <v>Xà đỡ lệch góc 3 pha 2m - 1 mạch</v>
      </c>
      <c r="C69" s="1715" t="str">
        <f>'NT-VT'!D73</f>
        <v>bộ</v>
      </c>
      <c r="D69" s="1716">
        <f>'NT-VT'!E73</f>
        <v>8</v>
      </c>
      <c r="E69" s="1713">
        <f>'NT-VT'!F74</f>
        <v>0</v>
      </c>
      <c r="F69" s="1713">
        <f>'NT-VT'!G74</f>
        <v>0</v>
      </c>
      <c r="G69" s="999"/>
      <c r="H69" s="1012"/>
      <c r="I69" s="988"/>
    </row>
    <row r="70" spans="1:9" ht="35.1" hidden="1" customHeight="1">
      <c r="A70" s="1713">
        <f>SUM($G$3:G70)</f>
        <v>17</v>
      </c>
      <c r="B70" s="1714" t="str">
        <f>'NT-VT'!C74</f>
        <v>Yếm cáp dày 2mm</v>
      </c>
      <c r="C70" s="1715" t="str">
        <f>'NT-VT'!D74</f>
        <v>cái</v>
      </c>
      <c r="D70" s="1716">
        <f>'NT-VT'!E74</f>
        <v>36</v>
      </c>
      <c r="E70" s="1713">
        <f>'NT-VT'!F75</f>
        <v>0</v>
      </c>
      <c r="F70" s="1713">
        <f>'NT-VT'!G75</f>
        <v>0</v>
      </c>
      <c r="G70" s="999"/>
      <c r="H70" s="1012"/>
      <c r="I70" s="988"/>
    </row>
    <row r="71" spans="1:9" ht="35.1" hidden="1" customHeight="1">
      <c r="A71" s="1713">
        <f>SUM($G$3:G71)</f>
        <v>17</v>
      </c>
      <c r="B71" s="1714" t="str">
        <f>'NT-VT'!C75</f>
        <v>Xà đỡ thẳng lệch 3 pha 2m - 1 mạch</v>
      </c>
      <c r="C71" s="1715" t="str">
        <f>'NT-VT'!D75</f>
        <v>bộ</v>
      </c>
      <c r="D71" s="1716">
        <f>'NT-VT'!E75</f>
        <v>151</v>
      </c>
      <c r="E71" s="1713" t="str">
        <f>'NT-VT'!F76</f>
        <v>Địa phương</v>
      </c>
      <c r="F71" s="1713" t="str">
        <f>'NT-VT'!G76</f>
        <v>Địa phương</v>
      </c>
      <c r="G71" s="999"/>
      <c r="H71" s="1012"/>
      <c r="I71" s="988"/>
    </row>
    <row r="72" spans="1:9" ht="35.1" hidden="1" customHeight="1">
      <c r="A72" s="1713">
        <f>SUM($G$3:G72)</f>
        <v>17</v>
      </c>
      <c r="B72" s="1714" t="str">
        <f>'NT-VT'!C76</f>
        <v xml:space="preserve">Ximăng </v>
      </c>
      <c r="C72" s="1715" t="str">
        <f>'NT-VT'!D76</f>
        <v>kg</v>
      </c>
      <c r="D72" s="1716">
        <f>'NT-VT'!E76</f>
        <v>3350</v>
      </c>
      <c r="E72" s="1713" t="str">
        <f>'NT-VT'!F77</f>
        <v>Địa phương</v>
      </c>
      <c r="F72" s="1713" t="str">
        <f>'NT-VT'!G77</f>
        <v>Địa phương</v>
      </c>
      <c r="G72" s="999"/>
      <c r="H72" s="1012"/>
      <c r="I72" s="988"/>
    </row>
    <row r="73" spans="1:9" ht="35.1" hidden="1" customHeight="1">
      <c r="A73" s="1713">
        <f>SUM($G$3:G73)</f>
        <v>17</v>
      </c>
      <c r="B73" s="1714" t="str">
        <f>'NT-VT'!C77</f>
        <v>Biển số - Bảng nguy hiểm</v>
      </c>
      <c r="C73" s="1715" t="str">
        <f>'NT-VT'!D77</f>
        <v>cái</v>
      </c>
      <c r="D73" s="1716">
        <f>'NT-VT'!E77</f>
        <v>24</v>
      </c>
      <c r="E73" s="1713" t="str">
        <f>'NT-VT'!F78</f>
        <v>Địa phương</v>
      </c>
      <c r="F73" s="1713" t="str">
        <f>'NT-VT'!G78</f>
        <v>Địa phương</v>
      </c>
      <c r="G73" s="999"/>
      <c r="H73" s="1012"/>
      <c r="I73" s="988"/>
    </row>
    <row r="74" spans="1:9" ht="35.1" hidden="1" customHeight="1">
      <c r="A74" s="1713">
        <f>SUM($G$3:G74)</f>
        <v>17</v>
      </c>
      <c r="B74" s="1714" t="str">
        <f>'NT-VT'!C78</f>
        <v>Cát vàng</v>
      </c>
      <c r="C74" s="1715" t="str">
        <f>'NT-VT'!D78</f>
        <v>m3</v>
      </c>
      <c r="D74" s="1716">
        <f>'NT-VT'!E78</f>
        <v>5.3800000000000008</v>
      </c>
      <c r="E74" s="1713" t="str">
        <f>'NT-VT'!F79</f>
        <v>Địa phương</v>
      </c>
      <c r="F74" s="1713" t="str">
        <f>'NT-VT'!G79</f>
        <v>Địa phương</v>
      </c>
      <c r="G74" s="999"/>
      <c r="H74" s="1012"/>
      <c r="I74" s="988"/>
    </row>
    <row r="75" spans="1:9" ht="35.1" hidden="1" customHeight="1">
      <c r="A75" s="1713">
        <f>SUM($G$3:G75)</f>
        <v>17</v>
      </c>
      <c r="B75" s="1714" t="str">
        <f>'NT-VT'!C79</f>
        <v>Đinh các loại</v>
      </c>
      <c r="C75" s="1715" t="str">
        <f>'NT-VT'!D79</f>
        <v>kg</v>
      </c>
      <c r="D75" s="1716">
        <f>'NT-VT'!E79</f>
        <v>6.75</v>
      </c>
      <c r="E75" s="1713" t="str">
        <f>'NT-VT'!F80</f>
        <v>nt</v>
      </c>
      <c r="F75" s="1713" t="str">
        <f>'NT-VT'!G80</f>
        <v>nt</v>
      </c>
      <c r="G75" s="999"/>
      <c r="H75" s="1012"/>
      <c r="I75" s="988"/>
    </row>
    <row r="76" spans="1:9" ht="35.1" hidden="1" customHeight="1">
      <c r="A76" s="1713">
        <f>SUM($G$3:G76)</f>
        <v>18</v>
      </c>
      <c r="B76" s="1714" t="str">
        <f>'NT-VT'!C80</f>
        <v>Ván khuôn gỗ móng - móng vuông, chữ nhật</v>
      </c>
      <c r="C76" s="1715" t="str">
        <f>'NT-VT'!D80</f>
        <v>100m2</v>
      </c>
      <c r="D76" s="1716">
        <f>'NT-VT'!E80</f>
        <v>0.44999999999999996</v>
      </c>
      <c r="E76" s="1713" t="str">
        <f>'NT-VT'!F81</f>
        <v>nt</v>
      </c>
      <c r="F76" s="1713" t="str">
        <f>'NT-VT'!G81</f>
        <v>nt</v>
      </c>
      <c r="G76" s="999">
        <f t="shared" ref="G76:G93" si="1">IF(D76&gt;0,1,0)</f>
        <v>1</v>
      </c>
      <c r="H76" s="1012"/>
      <c r="I76" s="988"/>
    </row>
    <row r="77" spans="1:9" ht="35.1" hidden="1" customHeight="1">
      <c r="A77" s="1713">
        <f>SUM($G$3:G77)</f>
        <v>19</v>
      </c>
      <c r="B77" s="1714" t="str">
        <f>'NT-VT'!C81</f>
        <v>Đá 2x4</v>
      </c>
      <c r="C77" s="1715" t="str">
        <f>'NT-VT'!D81</f>
        <v>m3</v>
      </c>
      <c r="D77" s="1716">
        <f>'NT-VT'!E81</f>
        <v>9.08</v>
      </c>
      <c r="E77" s="1713" t="str">
        <f>'NT-VT'!F82</f>
        <v>nt</v>
      </c>
      <c r="F77" s="1713" t="str">
        <f>'NT-VT'!G82</f>
        <v>nt</v>
      </c>
      <c r="G77" s="999">
        <f t="shared" si="1"/>
        <v>1</v>
      </c>
      <c r="H77" s="1012"/>
      <c r="I77" s="988"/>
    </row>
    <row r="78" spans="1:9" ht="35.1" hidden="1" customHeight="1">
      <c r="A78" s="1713">
        <f>SUM($G$3:G78)</f>
        <v>20</v>
      </c>
      <c r="B78" s="1714" t="str">
        <f>'NT-VT'!C82</f>
        <v>Gỗ chống</v>
      </c>
      <c r="C78" s="1715" t="str">
        <f>'NT-VT'!D82</f>
        <v>m3</v>
      </c>
      <c r="D78" s="1716">
        <f>'NT-VT'!E82</f>
        <v>0.151</v>
      </c>
      <c r="E78" s="1713" t="str">
        <f>'NT-VT'!F83</f>
        <v>nt</v>
      </c>
      <c r="F78" s="1713" t="str">
        <f>'NT-VT'!G83</f>
        <v>nt</v>
      </c>
      <c r="G78" s="999">
        <f t="shared" si="1"/>
        <v>1</v>
      </c>
      <c r="H78" s="1012"/>
      <c r="I78" s="988"/>
    </row>
    <row r="79" spans="1:9" ht="35.1" hidden="1" customHeight="1">
      <c r="A79" s="1713">
        <f>SUM($G$3:G79)</f>
        <v>21</v>
      </c>
      <c r="B79" s="1714" t="str">
        <f>'NT-VT'!C83</f>
        <v>Gỗ đà nẹp</v>
      </c>
      <c r="C79" s="1715" t="str">
        <f>'NT-VT'!D83</f>
        <v>m3</v>
      </c>
      <c r="D79" s="1716">
        <f>'NT-VT'!E83</f>
        <v>9.5000000000000001E-2</v>
      </c>
      <c r="E79" s="1713" t="str">
        <f>'NT-VT'!F84</f>
        <v>nt</v>
      </c>
      <c r="F79" s="1713" t="str">
        <f>'NT-VT'!G84</f>
        <v>nt</v>
      </c>
      <c r="G79" s="999">
        <f t="shared" si="1"/>
        <v>1</v>
      </c>
      <c r="H79" s="1012"/>
      <c r="I79" s="988"/>
    </row>
    <row r="80" spans="1:9" ht="35.1" hidden="1" customHeight="1">
      <c r="A80" s="1713">
        <f>SUM($G$3:G80)</f>
        <v>22</v>
      </c>
      <c r="B80" s="1714" t="str">
        <f>'NT-VT'!C84</f>
        <v>Gỗ ván (cả nẹp)</v>
      </c>
      <c r="C80" s="1715" t="str">
        <f>'NT-VT'!D84</f>
        <v>m3</v>
      </c>
      <c r="D80" s="1716">
        <f>'NT-VT'!E84</f>
        <v>0.35599999999999998</v>
      </c>
      <c r="E80" s="1713" t="str">
        <f>'NT-VT'!F85</f>
        <v>nt</v>
      </c>
      <c r="F80" s="1713" t="str">
        <f>'NT-VT'!G85</f>
        <v>nt</v>
      </c>
      <c r="G80" s="999">
        <f t="shared" si="1"/>
        <v>1</v>
      </c>
      <c r="H80" s="1012"/>
      <c r="I80" s="988"/>
    </row>
    <row r="81" spans="1:9" ht="35.1" hidden="1" customHeight="1">
      <c r="A81" s="1713">
        <f>SUM($G$3:G81)</f>
        <v>22</v>
      </c>
      <c r="B81" s="1714" t="e">
        <f>'NT-VT'!C85</f>
        <v>#N/A</v>
      </c>
      <c r="C81" s="1715">
        <f>'NT-VT'!D85</f>
        <v>0</v>
      </c>
      <c r="D81" s="1716">
        <f>'NT-VT'!E85</f>
        <v>0</v>
      </c>
      <c r="E81" s="1713" t="str">
        <f>'NT-VT'!F86</f>
        <v>nt</v>
      </c>
      <c r="F81" s="1713" t="str">
        <f>'NT-VT'!G86</f>
        <v>nt</v>
      </c>
      <c r="G81" s="999">
        <f t="shared" si="1"/>
        <v>0</v>
      </c>
      <c r="H81" s="1012"/>
      <c r="I81" s="988"/>
    </row>
    <row r="82" spans="1:9" ht="35.1" hidden="1" customHeight="1">
      <c r="A82" s="1713">
        <f>SUM($G$3:G82)</f>
        <v>22</v>
      </c>
      <c r="B82" s="1714" t="e">
        <f>'NT-VT'!C86</f>
        <v>#N/A</v>
      </c>
      <c r="C82" s="1715">
        <f>'NT-VT'!D86</f>
        <v>0</v>
      </c>
      <c r="D82" s="1716">
        <f>'NT-VT'!E86</f>
        <v>0</v>
      </c>
      <c r="E82" s="1713" t="str">
        <f>'NT-VT'!F87</f>
        <v>nt</v>
      </c>
      <c r="F82" s="1713" t="str">
        <f>'NT-VT'!G87</f>
        <v>nt</v>
      </c>
      <c r="G82" s="999">
        <f t="shared" si="1"/>
        <v>0</v>
      </c>
      <c r="H82" s="1012"/>
      <c r="I82" s="988"/>
    </row>
    <row r="83" spans="1:9" ht="35.1" hidden="1" customHeight="1">
      <c r="A83" s="1713">
        <f>SUM($G$3:G83)</f>
        <v>22</v>
      </c>
      <c r="B83" s="1714" t="e">
        <f>'NT-VT'!C87</f>
        <v>#N/A</v>
      </c>
      <c r="C83" s="1715">
        <f>'NT-VT'!D87</f>
        <v>0</v>
      </c>
      <c r="D83" s="1716">
        <f>'NT-VT'!E87</f>
        <v>0</v>
      </c>
      <c r="E83" s="1713" t="str">
        <f>'NT-VT'!F88</f>
        <v>nt</v>
      </c>
      <c r="F83" s="1713" t="str">
        <f>'NT-VT'!G88</f>
        <v>nt</v>
      </c>
      <c r="G83" s="999">
        <f t="shared" si="1"/>
        <v>0</v>
      </c>
      <c r="H83" s="1012"/>
      <c r="I83" s="988"/>
    </row>
    <row r="84" spans="1:9" ht="35.1" hidden="1" customHeight="1">
      <c r="A84" s="1713">
        <f>SUM($G$3:G84)</f>
        <v>22</v>
      </c>
      <c r="B84" s="1714" t="e">
        <f>'NT-VT'!C88</f>
        <v>#N/A</v>
      </c>
      <c r="C84" s="1715">
        <f>'NT-VT'!D88</f>
        <v>0</v>
      </c>
      <c r="D84" s="1716">
        <f>'NT-VT'!E88</f>
        <v>0</v>
      </c>
      <c r="E84" s="1713" t="str">
        <f>'NT-VT'!F89</f>
        <v>nt</v>
      </c>
      <c r="F84" s="1713" t="str">
        <f>'NT-VT'!G89</f>
        <v>nt</v>
      </c>
      <c r="G84" s="999">
        <f t="shared" si="1"/>
        <v>0</v>
      </c>
      <c r="H84" s="1012"/>
      <c r="I84" s="988"/>
    </row>
    <row r="85" spans="1:9" ht="35.1" hidden="1" customHeight="1">
      <c r="A85" s="1713">
        <f>SUM($G$3:G85)</f>
        <v>22</v>
      </c>
      <c r="B85" s="1714" t="e">
        <f>'NT-VT'!C89</f>
        <v>#N/A</v>
      </c>
      <c r="C85" s="1715">
        <f>'NT-VT'!D89</f>
        <v>0</v>
      </c>
      <c r="D85" s="1716">
        <f>'NT-VT'!E89</f>
        <v>0</v>
      </c>
      <c r="E85" s="1713" t="str">
        <f>'NT-VT'!F90</f>
        <v>nt</v>
      </c>
      <c r="F85" s="1713" t="str">
        <f>'NT-VT'!G90</f>
        <v>nt</v>
      </c>
      <c r="G85" s="999">
        <f t="shared" si="1"/>
        <v>0</v>
      </c>
      <c r="H85" s="1012"/>
      <c r="I85" s="988"/>
    </row>
    <row r="86" spans="1:9" ht="35.1" hidden="1" customHeight="1">
      <c r="A86" s="1713">
        <f>SUM($G$3:G86)</f>
        <v>22</v>
      </c>
      <c r="B86" s="1714" t="e">
        <f>'NT-VT'!C90</f>
        <v>#N/A</v>
      </c>
      <c r="C86" s="1715">
        <f>'NT-VT'!D90</f>
        <v>0</v>
      </c>
      <c r="D86" s="1716">
        <f>'NT-VT'!E90</f>
        <v>0</v>
      </c>
      <c r="E86" s="1713" t="str">
        <f>'NT-VT'!F91</f>
        <v>nt</v>
      </c>
      <c r="F86" s="1713" t="str">
        <f>'NT-VT'!G91</f>
        <v>nt</v>
      </c>
      <c r="G86" s="999">
        <f t="shared" si="1"/>
        <v>0</v>
      </c>
      <c r="H86" s="1012"/>
      <c r="I86" s="988"/>
    </row>
    <row r="87" spans="1:9" ht="35.1" hidden="1" customHeight="1">
      <c r="A87" s="1713">
        <f>SUM($G$3:G87)</f>
        <v>22</v>
      </c>
      <c r="B87" s="1714" t="e">
        <f>'NT-VT'!C91</f>
        <v>#N/A</v>
      </c>
      <c r="C87" s="1715">
        <f>'NT-VT'!D91</f>
        <v>0</v>
      </c>
      <c r="D87" s="1716">
        <f>'NT-VT'!E91</f>
        <v>0</v>
      </c>
      <c r="E87" s="1713" t="str">
        <f>'NT-VT'!F92</f>
        <v>nt</v>
      </c>
      <c r="F87" s="1713" t="str">
        <f>'NT-VT'!G92</f>
        <v>nt</v>
      </c>
      <c r="G87" s="999">
        <f t="shared" si="1"/>
        <v>0</v>
      </c>
      <c r="H87" s="1012"/>
      <c r="I87" s="988"/>
    </row>
    <row r="88" spans="1:9" ht="35.1" hidden="1" customHeight="1">
      <c r="A88" s="1713">
        <f>SUM($G$3:G88)</f>
        <v>22</v>
      </c>
      <c r="B88" s="1714" t="e">
        <f>'NT-VT'!C92</f>
        <v>#N/A</v>
      </c>
      <c r="C88" s="1715">
        <f>'NT-VT'!D92</f>
        <v>0</v>
      </c>
      <c r="D88" s="1716">
        <f>'NT-VT'!E92</f>
        <v>0</v>
      </c>
      <c r="E88" s="1713" t="str">
        <f>'NT-VT'!F93</f>
        <v>nt</v>
      </c>
      <c r="F88" s="1713" t="str">
        <f>'NT-VT'!G93</f>
        <v>nt</v>
      </c>
      <c r="G88" s="999">
        <f t="shared" si="1"/>
        <v>0</v>
      </c>
      <c r="H88" s="1012"/>
      <c r="I88" s="988"/>
    </row>
    <row r="89" spans="1:9" ht="35.1" hidden="1" customHeight="1">
      <c r="A89" s="1713">
        <f>SUM($G$3:G89)</f>
        <v>22</v>
      </c>
      <c r="B89" s="1714" t="e">
        <f>'NT-VT'!C93</f>
        <v>#N/A</v>
      </c>
      <c r="C89" s="1715">
        <f>'NT-VT'!D93</f>
        <v>0</v>
      </c>
      <c r="D89" s="1716">
        <f>'NT-VT'!E93</f>
        <v>0</v>
      </c>
      <c r="E89" s="1713" t="str">
        <f>'NT-VT'!F94</f>
        <v>nt</v>
      </c>
      <c r="F89" s="1713" t="str">
        <f>'NT-VT'!G94</f>
        <v>nt</v>
      </c>
      <c r="G89" s="999">
        <f t="shared" si="1"/>
        <v>0</v>
      </c>
      <c r="H89" s="1012"/>
      <c r="I89" s="988"/>
    </row>
    <row r="90" spans="1:9" ht="35.1" hidden="1" customHeight="1">
      <c r="A90" s="1713">
        <f>SUM($G$3:G90)</f>
        <v>22</v>
      </c>
      <c r="B90" s="1714"/>
      <c r="C90" s="1715">
        <f>'NT-VT'!D95</f>
        <v>0</v>
      </c>
      <c r="D90" s="1716">
        <f>'NT-VT'!E95</f>
        <v>0</v>
      </c>
      <c r="E90" s="1713" t="str">
        <f>'NT-VT'!F95</f>
        <v>nt</v>
      </c>
      <c r="F90" s="1713" t="str">
        <f>'NT-VT'!G95</f>
        <v>nt</v>
      </c>
      <c r="G90" s="999">
        <f t="shared" si="1"/>
        <v>0</v>
      </c>
      <c r="H90" s="1012"/>
      <c r="I90" s="988"/>
    </row>
    <row r="91" spans="1:9" ht="35.1" hidden="1" customHeight="1">
      <c r="A91" s="1713">
        <f>SUM($G$3:G91)</f>
        <v>22</v>
      </c>
      <c r="B91" s="1714"/>
      <c r="C91" s="1715">
        <f>'NT-VT'!D96</f>
        <v>0</v>
      </c>
      <c r="D91" s="1716">
        <f>'NT-VT'!E96</f>
        <v>0</v>
      </c>
      <c r="E91" s="1713" t="str">
        <f>'NT-VT'!F96</f>
        <v>nt</v>
      </c>
      <c r="F91" s="1713" t="str">
        <f>'NT-VT'!G96</f>
        <v>nt</v>
      </c>
      <c r="G91" s="999">
        <f t="shared" si="1"/>
        <v>0</v>
      </c>
      <c r="H91" s="1012"/>
      <c r="I91" s="988"/>
    </row>
    <row r="92" spans="1:9" ht="35.1" hidden="1" customHeight="1">
      <c r="A92" s="1713">
        <f>SUM($G$3:G92)</f>
        <v>22</v>
      </c>
      <c r="B92" s="1714"/>
      <c r="C92" s="1715">
        <f>'NT-VT'!D97</f>
        <v>0</v>
      </c>
      <c r="D92" s="1716">
        <f>'NT-VT'!E97</f>
        <v>0</v>
      </c>
      <c r="E92" s="1713" t="str">
        <f>'NT-VT'!F97</f>
        <v>nt</v>
      </c>
      <c r="F92" s="1713" t="str">
        <f>'NT-VT'!G97</f>
        <v>nt</v>
      </c>
      <c r="G92" s="999">
        <f t="shared" si="1"/>
        <v>0</v>
      </c>
      <c r="H92" s="1012"/>
      <c r="I92" s="988"/>
    </row>
    <row r="93" spans="1:9" ht="35.1" hidden="1" customHeight="1">
      <c r="A93" s="1713">
        <f>SUM($G$3:G93)</f>
        <v>22</v>
      </c>
      <c r="B93" s="1714"/>
      <c r="C93" s="1715">
        <f>'NT-VT'!D98</f>
        <v>0</v>
      </c>
      <c r="D93" s="1716">
        <f>'NT-VT'!E98</f>
        <v>0</v>
      </c>
      <c r="E93" s="1713" t="str">
        <f>'NT-VT'!F98</f>
        <v>nt</v>
      </c>
      <c r="F93" s="1713" t="str">
        <f>'NT-VT'!G98</f>
        <v>nt</v>
      </c>
      <c r="G93" s="999">
        <f t="shared" si="1"/>
        <v>0</v>
      </c>
      <c r="H93" s="1012"/>
      <c r="I93" s="988"/>
    </row>
    <row r="94" spans="1:9" ht="35.1" customHeight="1">
      <c r="A94" s="1713">
        <f>SUM($G$3:G94)</f>
        <v>23</v>
      </c>
      <c r="B94" s="1714" t="s">
        <v>4768</v>
      </c>
      <c r="C94" s="1715"/>
      <c r="D94" s="1716"/>
      <c r="E94" s="1713" t="str">
        <f>'NT-VT'!F99</f>
        <v>nt</v>
      </c>
      <c r="F94" s="1713" t="str">
        <f>'NT-VT'!G99</f>
        <v>nt</v>
      </c>
      <c r="G94" s="999">
        <v>1</v>
      </c>
      <c r="H94" s="1012"/>
      <c r="I94" s="988"/>
    </row>
  </sheetData>
  <autoFilter ref="A2:I94">
    <filterColumn colId="6">
      <customFilters>
        <customFilter operator="notEqual" val=" "/>
      </customFilters>
    </filterColumn>
  </autoFilter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625" t="s">
        <v>4402</v>
      </c>
      <c r="B1" s="2625"/>
      <c r="C1" s="2625"/>
      <c r="D1" s="2625"/>
      <c r="E1" s="2625"/>
      <c r="F1" s="2625"/>
      <c r="G1" s="2625"/>
      <c r="H1" s="2625"/>
      <c r="I1" s="2625"/>
      <c r="J1" s="2625"/>
      <c r="K1" s="2625"/>
      <c r="L1" s="2625"/>
      <c r="M1" s="2625"/>
      <c r="N1" s="2625"/>
      <c r="O1" s="2625"/>
      <c r="P1" s="2625"/>
      <c r="R1" s="937"/>
    </row>
    <row r="2" spans="1:24" ht="35.25" customHeight="1">
      <c r="A2" s="2624" t="str">
        <f>"Tên công trình: "&amp;Solieu!C5</f>
        <v>Tên công trình: 22, 26</v>
      </c>
      <c r="B2" s="2624"/>
      <c r="C2" s="2624"/>
      <c r="D2" s="2624"/>
      <c r="E2" s="2624"/>
      <c r="F2" s="2624"/>
      <c r="G2" s="2624"/>
      <c r="H2" s="2624"/>
      <c r="I2" s="2624"/>
      <c r="J2" s="2624"/>
      <c r="K2" s="2626" t="str">
        <f>"Đơn vị thi công: "&amp;Solieu!C9</f>
        <v>Đơn vị thi công: 18</v>
      </c>
      <c r="L2" s="2626"/>
      <c r="M2" s="2626"/>
      <c r="N2" s="2626"/>
      <c r="O2" s="2626"/>
      <c r="P2" s="2626"/>
    </row>
    <row r="3" spans="1:24" ht="26.25" customHeight="1" thickBot="1">
      <c r="A3" s="2624" t="s">
        <v>4403</v>
      </c>
      <c r="B3" s="2624"/>
      <c r="C3" s="2624"/>
      <c r="D3" s="2624"/>
      <c r="E3" s="2624"/>
      <c r="F3" s="2624"/>
      <c r="G3" s="2624"/>
      <c r="H3" s="2624"/>
      <c r="I3" s="2624"/>
      <c r="J3" s="2624"/>
      <c r="K3" s="2627" t="s">
        <v>4404</v>
      </c>
      <c r="L3" s="2628"/>
      <c r="M3" s="2628"/>
      <c r="N3" s="2628"/>
      <c r="O3" s="2628"/>
      <c r="P3" s="2629"/>
    </row>
    <row r="4" spans="1:24" ht="26.25" customHeight="1" thickTop="1">
      <c r="A4" s="2624" t="s">
        <v>4405</v>
      </c>
      <c r="B4" s="2624"/>
      <c r="C4" s="2624"/>
      <c r="D4" s="2624"/>
      <c r="E4" s="2624"/>
      <c r="F4" s="2624"/>
      <c r="G4" s="2624"/>
      <c r="H4" s="2624"/>
      <c r="I4" s="2624"/>
      <c r="J4" s="2624"/>
      <c r="K4" s="2624"/>
      <c r="L4" s="2624"/>
      <c r="M4" s="2624"/>
      <c r="N4" s="2624"/>
      <c r="O4" s="2624"/>
      <c r="P4" s="2624"/>
      <c r="R4" s="1080"/>
      <c r="S4" s="841"/>
      <c r="T4" s="842"/>
      <c r="U4" s="1087"/>
      <c r="V4" s="1079"/>
      <c r="W4" s="1088"/>
      <c r="X4" s="1089"/>
    </row>
    <row r="5" spans="1:24" ht="28.5" customHeight="1">
      <c r="A5" s="2626" t="s">
        <v>4406</v>
      </c>
      <c r="B5" s="2626" t="s">
        <v>4407</v>
      </c>
      <c r="C5" s="2626"/>
      <c r="D5" s="2626" t="s">
        <v>4408</v>
      </c>
      <c r="E5" s="1030" t="s">
        <v>4409</v>
      </c>
      <c r="F5" s="1030"/>
      <c r="G5" s="1030"/>
      <c r="H5" s="1030"/>
      <c r="I5" s="1030"/>
      <c r="J5" s="1030"/>
      <c r="K5" s="1030"/>
      <c r="L5" s="1030"/>
      <c r="M5" s="1030"/>
      <c r="N5" s="2630" t="s">
        <v>4410</v>
      </c>
      <c r="O5" s="2626" t="s">
        <v>4411</v>
      </c>
      <c r="P5" s="2626"/>
      <c r="R5" s="1080"/>
      <c r="S5" s="841"/>
      <c r="T5" s="842"/>
      <c r="U5" s="1090"/>
      <c r="V5" s="1078"/>
      <c r="W5" s="1077"/>
      <c r="X5" s="1078"/>
    </row>
    <row r="6" spans="1:24" ht="28.5" customHeight="1">
      <c r="A6" s="2626"/>
      <c r="B6" s="2626" t="s">
        <v>4412</v>
      </c>
      <c r="C6" s="2626" t="s">
        <v>4413</v>
      </c>
      <c r="D6" s="2626"/>
      <c r="E6" s="2626" t="s">
        <v>4414</v>
      </c>
      <c r="F6" s="2626" t="s">
        <v>4415</v>
      </c>
      <c r="G6" s="2626" t="s">
        <v>4416</v>
      </c>
      <c r="H6" s="2626" t="s">
        <v>4417</v>
      </c>
      <c r="I6" s="2626"/>
      <c r="J6" s="2626" t="s">
        <v>4418</v>
      </c>
      <c r="K6" s="2626"/>
      <c r="L6" s="2626"/>
      <c r="M6" s="2626"/>
      <c r="N6" s="2631"/>
      <c r="O6" s="2626" t="s">
        <v>4419</v>
      </c>
      <c r="P6" s="2626" t="s">
        <v>4420</v>
      </c>
      <c r="R6" s="1080"/>
      <c r="S6" s="841"/>
      <c r="T6" s="842"/>
      <c r="U6" s="1086"/>
      <c r="V6" s="1086"/>
      <c r="W6" s="1086"/>
      <c r="X6" s="1086"/>
    </row>
    <row r="7" spans="1:24" ht="48" customHeight="1">
      <c r="A7" s="2626"/>
      <c r="B7" s="2626"/>
      <c r="C7" s="2626"/>
      <c r="D7" s="2626"/>
      <c r="E7" s="2626"/>
      <c r="F7" s="2626"/>
      <c r="G7" s="2626"/>
      <c r="H7" s="967" t="s">
        <v>4421</v>
      </c>
      <c r="I7" s="967" t="s">
        <v>4422</v>
      </c>
      <c r="J7" s="967" t="s">
        <v>4423</v>
      </c>
      <c r="K7" s="967" t="s">
        <v>4424</v>
      </c>
      <c r="L7" s="967" t="s">
        <v>4421</v>
      </c>
      <c r="M7" s="967" t="s">
        <v>4425</v>
      </c>
      <c r="N7" s="2632"/>
      <c r="O7" s="2626"/>
      <c r="P7" s="2626"/>
      <c r="Q7" s="935" t="s">
        <v>515</v>
      </c>
      <c r="R7" s="1080"/>
      <c r="S7" s="840"/>
      <c r="T7" s="840"/>
      <c r="U7" s="841"/>
      <c r="V7" s="842"/>
      <c r="W7" s="842"/>
      <c r="X7" s="842"/>
    </row>
    <row r="8" spans="1:24" ht="23.25" customHeight="1">
      <c r="A8" s="1036"/>
      <c r="B8" s="1091" t="s">
        <v>4493</v>
      </c>
      <c r="C8" s="1032" t="str">
        <f t="shared" ref="C8:C26" si="0">B8</f>
        <v>01/13</v>
      </c>
      <c r="D8" s="841">
        <v>25</v>
      </c>
      <c r="E8" s="1033" t="s">
        <v>4490</v>
      </c>
      <c r="F8" s="1034">
        <v>1.2</v>
      </c>
      <c r="G8" s="1035" t="s">
        <v>87</v>
      </c>
      <c r="H8" s="1033"/>
      <c r="I8" s="1033"/>
      <c r="J8" s="1033"/>
      <c r="K8" s="1033"/>
      <c r="L8" s="1033"/>
      <c r="M8" s="1033"/>
      <c r="N8" s="1033"/>
      <c r="O8" s="1033"/>
      <c r="P8" s="1033"/>
      <c r="Q8" s="935" t="str">
        <f t="shared" ref="Q8:Q50" si="1">IF(B8&lt;&gt;0,"x","")</f>
        <v>x</v>
      </c>
      <c r="R8" s="1080"/>
      <c r="S8" s="840"/>
      <c r="T8" s="840"/>
      <c r="U8" s="841"/>
      <c r="V8" s="842"/>
      <c r="W8" s="842"/>
      <c r="X8" s="842"/>
    </row>
    <row r="9" spans="1:24" ht="23.25" customHeight="1">
      <c r="A9" s="1036"/>
      <c r="B9" s="1091" t="s">
        <v>4494</v>
      </c>
      <c r="C9" s="1032" t="str">
        <f t="shared" si="0"/>
        <v>01/14</v>
      </c>
      <c r="D9" s="841">
        <v>38</v>
      </c>
      <c r="E9" s="1033" t="s">
        <v>4490</v>
      </c>
      <c r="F9" s="1034">
        <v>1.2</v>
      </c>
      <c r="G9" s="1035" t="s">
        <v>87</v>
      </c>
      <c r="H9" s="1033"/>
      <c r="I9" s="1033"/>
      <c r="J9" s="1033"/>
      <c r="K9" s="1033"/>
      <c r="L9" s="1033"/>
      <c r="M9" s="1033"/>
      <c r="N9" s="1033"/>
      <c r="O9" s="1033"/>
      <c r="P9" s="1033"/>
      <c r="Q9" s="935" t="str">
        <f t="shared" si="1"/>
        <v>x</v>
      </c>
      <c r="R9" s="1080"/>
      <c r="S9" s="840"/>
      <c r="T9" s="840"/>
      <c r="U9" s="841"/>
      <c r="V9" s="842"/>
      <c r="W9" s="842"/>
      <c r="X9" s="842"/>
    </row>
    <row r="10" spans="1:24" ht="23.25" customHeight="1">
      <c r="A10" s="1036"/>
      <c r="B10" s="1091" t="s">
        <v>4495</v>
      </c>
      <c r="C10" s="1032" t="str">
        <f t="shared" si="0"/>
        <v>01/15</v>
      </c>
      <c r="D10" s="840">
        <v>40</v>
      </c>
      <c r="E10" s="1033" t="s">
        <v>4490</v>
      </c>
      <c r="F10" s="1034">
        <v>1.2</v>
      </c>
      <c r="G10" s="1035" t="s">
        <v>87</v>
      </c>
      <c r="H10" s="1033"/>
      <c r="I10" s="1033"/>
      <c r="J10" s="1033"/>
      <c r="K10" s="1033"/>
      <c r="L10" s="1033"/>
      <c r="M10" s="1033"/>
      <c r="N10" s="1033"/>
      <c r="O10" s="1033"/>
      <c r="P10" s="1033"/>
      <c r="Q10" s="935" t="str">
        <f t="shared" si="1"/>
        <v>x</v>
      </c>
      <c r="R10" s="1080"/>
      <c r="S10" s="840"/>
      <c r="T10" s="840"/>
      <c r="U10" s="841"/>
      <c r="V10" s="842"/>
      <c r="W10" s="842"/>
      <c r="X10" s="842"/>
    </row>
    <row r="11" spans="1:24" ht="23.25" customHeight="1">
      <c r="A11" s="1036"/>
      <c r="B11" s="1091" t="s">
        <v>4496</v>
      </c>
      <c r="C11" s="1032" t="str">
        <f t="shared" si="0"/>
        <v>01/16</v>
      </c>
      <c r="D11" s="840">
        <v>40</v>
      </c>
      <c r="E11" s="1033" t="s">
        <v>4490</v>
      </c>
      <c r="F11" s="1034">
        <v>1.2</v>
      </c>
      <c r="G11" s="1035" t="s">
        <v>87</v>
      </c>
      <c r="H11" s="1033"/>
      <c r="I11" s="1033"/>
      <c r="J11" s="1033"/>
      <c r="K11" s="1033"/>
      <c r="L11" s="1033"/>
      <c r="M11" s="1033"/>
      <c r="N11" s="1033"/>
      <c r="O11" s="1033"/>
      <c r="P11" s="1033"/>
      <c r="Q11" s="935" t="str">
        <f t="shared" si="1"/>
        <v>x</v>
      </c>
      <c r="R11" s="1080"/>
      <c r="S11" s="840"/>
      <c r="T11" s="840"/>
      <c r="U11" s="841"/>
      <c r="V11" s="842"/>
      <c r="W11" s="842"/>
      <c r="X11" s="842"/>
    </row>
    <row r="12" spans="1:24" ht="23.25" customHeight="1">
      <c r="A12" s="1036"/>
      <c r="B12" s="1091" t="s">
        <v>4497</v>
      </c>
      <c r="C12" s="1032" t="str">
        <f t="shared" si="0"/>
        <v>01/17</v>
      </c>
      <c r="D12" s="840">
        <v>38</v>
      </c>
      <c r="E12" s="1033" t="s">
        <v>4490</v>
      </c>
      <c r="F12" s="1034">
        <v>1.2</v>
      </c>
      <c r="G12" s="1035" t="s">
        <v>87</v>
      </c>
      <c r="H12" s="1033"/>
      <c r="I12" s="1033"/>
      <c r="J12" s="1033"/>
      <c r="K12" s="1033"/>
      <c r="L12" s="1033"/>
      <c r="M12" s="1033"/>
      <c r="N12" s="1033"/>
      <c r="O12" s="1033"/>
      <c r="P12" s="1033"/>
      <c r="Q12" s="935" t="str">
        <f t="shared" si="1"/>
        <v>x</v>
      </c>
      <c r="R12" s="1080"/>
      <c r="S12" s="840"/>
      <c r="T12" s="840"/>
      <c r="U12" s="841"/>
      <c r="V12" s="842"/>
      <c r="W12" s="842"/>
      <c r="X12" s="842"/>
    </row>
    <row r="13" spans="1:24" ht="23.25" customHeight="1">
      <c r="A13" s="1036"/>
      <c r="B13" s="1091" t="s">
        <v>4498</v>
      </c>
      <c r="C13" s="1032" t="str">
        <f t="shared" si="0"/>
        <v>01/18</v>
      </c>
      <c r="D13" s="840">
        <v>40</v>
      </c>
      <c r="E13" s="1033" t="s">
        <v>4490</v>
      </c>
      <c r="F13" s="1034">
        <v>1.2</v>
      </c>
      <c r="G13" s="1035" t="s">
        <v>87</v>
      </c>
      <c r="H13" s="1033"/>
      <c r="I13" s="1033"/>
      <c r="J13" s="1033"/>
      <c r="K13" s="1033"/>
      <c r="L13" s="1033"/>
      <c r="M13" s="1033"/>
      <c r="N13" s="1033"/>
      <c r="O13" s="1033"/>
      <c r="P13" s="1033"/>
      <c r="Q13" s="935" t="str">
        <f t="shared" si="1"/>
        <v>x</v>
      </c>
      <c r="R13" s="1080"/>
      <c r="S13" s="840"/>
      <c r="T13" s="840"/>
      <c r="U13" s="841"/>
      <c r="V13" s="842"/>
      <c r="W13" s="842"/>
      <c r="X13" s="842"/>
    </row>
    <row r="14" spans="1:24" ht="23.25" customHeight="1">
      <c r="A14" s="1036"/>
      <c r="B14" s="1091" t="s">
        <v>4499</v>
      </c>
      <c r="C14" s="1032" t="str">
        <f t="shared" si="0"/>
        <v>01/19</v>
      </c>
      <c r="D14" s="840">
        <v>40</v>
      </c>
      <c r="E14" s="1033" t="s">
        <v>4490</v>
      </c>
      <c r="F14" s="1034">
        <v>1.2</v>
      </c>
      <c r="G14" s="1035" t="s">
        <v>87</v>
      </c>
      <c r="H14" s="1033"/>
      <c r="I14" s="1033"/>
      <c r="J14" s="1033"/>
      <c r="K14" s="1033"/>
      <c r="L14" s="1033"/>
      <c r="M14" s="1033"/>
      <c r="N14" s="1033"/>
      <c r="O14" s="1033"/>
      <c r="P14" s="1033"/>
      <c r="Q14" s="935" t="str">
        <f t="shared" si="1"/>
        <v>x</v>
      </c>
      <c r="R14" s="1080"/>
      <c r="S14" s="840"/>
      <c r="T14" s="840"/>
      <c r="U14" s="841"/>
      <c r="V14" s="842"/>
      <c r="W14" s="842"/>
      <c r="X14" s="842"/>
    </row>
    <row r="15" spans="1:24" ht="28.5" customHeight="1">
      <c r="A15" s="1036"/>
      <c r="B15" s="1091" t="s">
        <v>4500</v>
      </c>
      <c r="C15" s="1032" t="str">
        <f t="shared" si="0"/>
        <v>01/20</v>
      </c>
      <c r="D15" s="840">
        <v>38</v>
      </c>
      <c r="E15" s="1033" t="s">
        <v>4490</v>
      </c>
      <c r="F15" s="1034">
        <v>1.2</v>
      </c>
      <c r="G15" s="1035" t="s">
        <v>87</v>
      </c>
      <c r="H15" s="1033"/>
      <c r="I15" s="1033"/>
      <c r="J15" s="1033"/>
      <c r="K15" s="1033"/>
      <c r="L15" s="1033"/>
      <c r="M15" s="1033"/>
      <c r="N15" s="1033"/>
      <c r="O15" s="1033"/>
      <c r="P15" s="1033"/>
      <c r="Q15" s="935" t="str">
        <f t="shared" si="1"/>
        <v>x</v>
      </c>
      <c r="R15" s="1080"/>
      <c r="S15" s="1081"/>
      <c r="T15" s="840"/>
    </row>
    <row r="16" spans="1:24" ht="28.5" customHeight="1">
      <c r="A16" s="1036"/>
      <c r="B16" s="1091" t="s">
        <v>4501</v>
      </c>
      <c r="C16" s="1032" t="str">
        <f t="shared" si="0"/>
        <v>01/21</v>
      </c>
      <c r="D16" s="840">
        <v>40</v>
      </c>
      <c r="E16" s="1033" t="s">
        <v>4490</v>
      </c>
      <c r="F16" s="1034">
        <v>1.2</v>
      </c>
      <c r="G16" s="1035" t="s">
        <v>87</v>
      </c>
      <c r="H16" s="1033"/>
      <c r="I16" s="1033"/>
      <c r="J16" s="1033"/>
      <c r="K16" s="1033"/>
      <c r="L16" s="1033"/>
      <c r="M16" s="1033"/>
      <c r="N16" s="1033"/>
      <c r="O16" s="1033"/>
      <c r="P16" s="1033"/>
      <c r="Q16" s="935" t="str">
        <f t="shared" si="1"/>
        <v>x</v>
      </c>
      <c r="R16" s="1080"/>
      <c r="S16" s="1082"/>
      <c r="T16" s="840"/>
    </row>
    <row r="17" spans="1:20" ht="28.5" customHeight="1">
      <c r="A17" s="1036"/>
      <c r="B17" s="1091" t="s">
        <v>4502</v>
      </c>
      <c r="C17" s="1032" t="str">
        <f t="shared" si="0"/>
        <v>01/22</v>
      </c>
      <c r="D17" s="840">
        <v>40</v>
      </c>
      <c r="E17" s="1033" t="s">
        <v>4490</v>
      </c>
      <c r="F17" s="1034">
        <v>1.2</v>
      </c>
      <c r="G17" s="1035" t="s">
        <v>87</v>
      </c>
      <c r="H17" s="1033"/>
      <c r="I17" s="1033"/>
      <c r="J17" s="1033"/>
      <c r="K17" s="1033"/>
      <c r="L17" s="1033"/>
      <c r="M17" s="1033"/>
      <c r="N17" s="1033"/>
      <c r="O17" s="1033"/>
      <c r="P17" s="1033"/>
      <c r="Q17" s="935" t="str">
        <f t="shared" si="1"/>
        <v>x</v>
      </c>
      <c r="R17" s="1080"/>
      <c r="S17" s="1082"/>
      <c r="T17" s="840"/>
    </row>
    <row r="18" spans="1:20" ht="28.5" customHeight="1">
      <c r="A18" s="1036"/>
      <c r="B18" s="1091" t="s">
        <v>4503</v>
      </c>
      <c r="C18" s="1032" t="str">
        <f t="shared" si="0"/>
        <v>01/23</v>
      </c>
      <c r="D18" s="840">
        <v>40</v>
      </c>
      <c r="E18" s="1033" t="s">
        <v>4490</v>
      </c>
      <c r="F18" s="1034">
        <v>1.2</v>
      </c>
      <c r="G18" s="1035" t="s">
        <v>87</v>
      </c>
      <c r="H18" s="1033"/>
      <c r="I18" s="1033"/>
      <c r="J18" s="1033"/>
      <c r="K18" s="1033"/>
      <c r="L18" s="1033"/>
      <c r="M18" s="1033"/>
      <c r="N18" s="1033"/>
      <c r="O18" s="1033"/>
      <c r="P18" s="1033"/>
      <c r="Q18" s="935" t="str">
        <f t="shared" si="1"/>
        <v>x</v>
      </c>
      <c r="R18" s="1083"/>
      <c r="S18" s="840"/>
      <c r="T18" s="840"/>
    </row>
    <row r="19" spans="1:20" ht="28.5" customHeight="1">
      <c r="A19" s="1036"/>
      <c r="B19" s="1091" t="s">
        <v>4504</v>
      </c>
      <c r="C19" s="1032" t="str">
        <f t="shared" si="0"/>
        <v>01/24</v>
      </c>
      <c r="D19" s="1081">
        <v>40</v>
      </c>
      <c r="E19" s="1033" t="s">
        <v>4490</v>
      </c>
      <c r="F19" s="1034">
        <v>1.2</v>
      </c>
      <c r="G19" s="1035" t="s">
        <v>87</v>
      </c>
      <c r="H19" s="1033"/>
      <c r="I19" s="1033"/>
      <c r="J19" s="1033"/>
      <c r="K19" s="1033"/>
      <c r="L19" s="1033"/>
      <c r="M19" s="1033"/>
      <c r="N19" s="1033"/>
      <c r="O19" s="1033"/>
      <c r="P19" s="1033"/>
      <c r="Q19" s="935" t="str">
        <f t="shared" si="1"/>
        <v>x</v>
      </c>
      <c r="R19" s="1084"/>
      <c r="S19" s="1081"/>
      <c r="T19" s="840"/>
    </row>
    <row r="20" spans="1:20" ht="28.5" customHeight="1">
      <c r="A20" s="1036"/>
      <c r="B20" s="1091" t="s">
        <v>4505</v>
      </c>
      <c r="C20" s="1032" t="str">
        <f t="shared" si="0"/>
        <v>01/25</v>
      </c>
      <c r="D20" s="1082">
        <v>38</v>
      </c>
      <c r="E20" s="1033" t="s">
        <v>4490</v>
      </c>
      <c r="F20" s="1034">
        <v>1.2</v>
      </c>
      <c r="G20" s="1035" t="s">
        <v>87</v>
      </c>
      <c r="H20" s="1033"/>
      <c r="I20" s="1033"/>
      <c r="J20" s="1033"/>
      <c r="K20" s="1033"/>
      <c r="L20" s="1033"/>
      <c r="M20" s="1033"/>
      <c r="N20" s="1033"/>
      <c r="O20" s="1033"/>
      <c r="P20" s="1033"/>
      <c r="Q20" s="935" t="str">
        <f t="shared" si="1"/>
        <v>x</v>
      </c>
      <c r="R20" s="1080"/>
      <c r="S20" s="638"/>
      <c r="T20" s="840"/>
    </row>
    <row r="21" spans="1:20" ht="28.5" customHeight="1">
      <c r="A21" s="1036"/>
      <c r="B21" s="1091" t="s">
        <v>4506</v>
      </c>
      <c r="C21" s="1032" t="str">
        <f t="shared" si="0"/>
        <v>01/26</v>
      </c>
      <c r="D21" s="1082">
        <v>35</v>
      </c>
      <c r="E21" s="1033" t="s">
        <v>4490</v>
      </c>
      <c r="F21" s="1034">
        <v>1.2</v>
      </c>
      <c r="G21" s="1035" t="s">
        <v>87</v>
      </c>
      <c r="H21" s="1033"/>
      <c r="I21" s="1033"/>
      <c r="J21" s="1033"/>
      <c r="K21" s="1033"/>
      <c r="L21" s="1033"/>
      <c r="M21" s="1033"/>
      <c r="N21" s="1033"/>
      <c r="O21" s="1033"/>
      <c r="P21" s="1033"/>
      <c r="Q21" s="935" t="str">
        <f t="shared" si="1"/>
        <v>x</v>
      </c>
      <c r="R21" s="1080"/>
      <c r="S21" s="638"/>
      <c r="T21" s="840"/>
    </row>
    <row r="22" spans="1:20" ht="28.5" customHeight="1">
      <c r="A22" s="1036"/>
      <c r="B22" s="1092" t="s">
        <v>4507</v>
      </c>
      <c r="C22" s="1032" t="str">
        <f t="shared" si="0"/>
        <v>01/27</v>
      </c>
      <c r="D22" s="840">
        <v>35</v>
      </c>
      <c r="E22" s="1033" t="s">
        <v>4490</v>
      </c>
      <c r="F22" s="1034">
        <v>1.2</v>
      </c>
      <c r="G22" s="1035" t="s">
        <v>87</v>
      </c>
      <c r="H22" s="1033"/>
      <c r="I22" s="1033"/>
      <c r="J22" s="1033"/>
      <c r="K22" s="1033"/>
      <c r="L22" s="1033"/>
      <c r="M22" s="1033"/>
      <c r="N22" s="1033"/>
      <c r="O22" s="1033"/>
      <c r="P22" s="1033"/>
      <c r="Q22" s="935" t="str">
        <f t="shared" si="1"/>
        <v>x</v>
      </c>
      <c r="R22" s="1080"/>
      <c r="S22" s="638"/>
      <c r="T22" s="840"/>
    </row>
    <row r="23" spans="1:20" ht="28.5" customHeight="1">
      <c r="A23" s="1036"/>
      <c r="B23" s="1093" t="s">
        <v>4508</v>
      </c>
      <c r="C23" s="1032" t="str">
        <f t="shared" si="0"/>
        <v>01/28</v>
      </c>
      <c r="D23" s="1081">
        <v>38</v>
      </c>
      <c r="E23" s="1033" t="s">
        <v>4490</v>
      </c>
      <c r="F23" s="1034">
        <v>1.2</v>
      </c>
      <c r="G23" s="1035" t="s">
        <v>87</v>
      </c>
      <c r="H23" s="1033"/>
      <c r="I23" s="1033"/>
      <c r="J23" s="1033"/>
      <c r="K23" s="1033"/>
      <c r="L23" s="1033"/>
      <c r="M23" s="1033"/>
      <c r="N23" s="1033"/>
      <c r="O23" s="1033"/>
      <c r="P23" s="1033"/>
      <c r="Q23" s="935" t="str">
        <f t="shared" si="1"/>
        <v>x</v>
      </c>
    </row>
    <row r="24" spans="1:20" ht="28.5" customHeight="1">
      <c r="A24" s="1036"/>
      <c r="B24" s="1091" t="s">
        <v>4509</v>
      </c>
      <c r="C24" s="1032" t="str">
        <f t="shared" si="0"/>
        <v>01/29</v>
      </c>
      <c r="D24" s="638">
        <v>40</v>
      </c>
      <c r="E24" s="1033" t="s">
        <v>4490</v>
      </c>
      <c r="F24" s="1034">
        <v>1.2</v>
      </c>
      <c r="G24" s="1035" t="s">
        <v>87</v>
      </c>
      <c r="H24" s="1033"/>
      <c r="I24" s="1033"/>
      <c r="J24" s="1033"/>
      <c r="K24" s="1033"/>
      <c r="L24" s="1033"/>
      <c r="M24" s="1033"/>
      <c r="N24" s="1033"/>
      <c r="O24" s="1033"/>
      <c r="P24" s="1033"/>
      <c r="Q24" s="935" t="str">
        <f t="shared" si="1"/>
        <v>x</v>
      </c>
    </row>
    <row r="25" spans="1:20" ht="28.5" customHeight="1">
      <c r="A25" s="1036"/>
      <c r="B25" s="1091" t="s">
        <v>4510</v>
      </c>
      <c r="C25" s="1032" t="str">
        <f t="shared" si="0"/>
        <v>01/30</v>
      </c>
      <c r="D25" s="638">
        <v>40</v>
      </c>
      <c r="E25" s="1033" t="s">
        <v>4490</v>
      </c>
      <c r="F25" s="1034">
        <v>1.2</v>
      </c>
      <c r="G25" s="1035" t="s">
        <v>87</v>
      </c>
      <c r="H25" s="1033"/>
      <c r="I25" s="1033"/>
      <c r="J25" s="1033"/>
      <c r="K25" s="1033"/>
      <c r="L25" s="1033"/>
      <c r="M25" s="1033"/>
      <c r="N25" s="1033"/>
      <c r="O25" s="1033"/>
      <c r="P25" s="1033"/>
      <c r="Q25" s="935" t="str">
        <f t="shared" si="1"/>
        <v>x</v>
      </c>
    </row>
    <row r="26" spans="1:20" ht="28.5" customHeight="1">
      <c r="A26" s="1036"/>
      <c r="B26" s="1091" t="s">
        <v>4511</v>
      </c>
      <c r="C26" s="1032" t="str">
        <f t="shared" si="0"/>
        <v>01/31</v>
      </c>
      <c r="D26" s="638">
        <v>40</v>
      </c>
      <c r="E26" s="1033" t="s">
        <v>4490</v>
      </c>
      <c r="F26" s="1034">
        <v>1.2</v>
      </c>
      <c r="G26" s="1035" t="s">
        <v>87</v>
      </c>
      <c r="H26" s="1033"/>
      <c r="I26" s="1033"/>
      <c r="J26" s="1033"/>
      <c r="K26" s="1033"/>
      <c r="L26" s="1033"/>
      <c r="M26" s="1033"/>
      <c r="N26" s="1033"/>
      <c r="O26" s="1033"/>
      <c r="P26" s="1033"/>
      <c r="Q26" s="935" t="str">
        <f t="shared" si="1"/>
        <v>x</v>
      </c>
    </row>
    <row r="27" spans="1:20" ht="28.5" hidden="1" customHeight="1">
      <c r="A27" s="1036"/>
      <c r="B27" s="1032"/>
      <c r="C27" s="1032"/>
      <c r="D27" s="1037"/>
      <c r="E27" s="1033"/>
      <c r="F27" s="1034"/>
      <c r="G27" s="1035"/>
      <c r="H27" s="1033"/>
      <c r="I27" s="1033"/>
      <c r="J27" s="1033"/>
      <c r="K27" s="1033"/>
      <c r="L27" s="1033"/>
      <c r="M27" s="1033"/>
      <c r="N27" s="1033"/>
      <c r="O27" s="1033"/>
      <c r="P27" s="1033"/>
      <c r="Q27" s="935" t="str">
        <f t="shared" si="1"/>
        <v/>
      </c>
    </row>
    <row r="28" spans="1:20" ht="28.5" hidden="1" customHeight="1">
      <c r="A28" s="1036"/>
      <c r="B28" s="1032"/>
      <c r="C28" s="1032"/>
      <c r="D28" s="1037"/>
      <c r="E28" s="1033"/>
      <c r="F28" s="1034"/>
      <c r="G28" s="1035"/>
      <c r="H28" s="1033"/>
      <c r="I28" s="1033"/>
      <c r="J28" s="1033"/>
      <c r="K28" s="1033"/>
      <c r="L28" s="1033"/>
      <c r="M28" s="1033"/>
      <c r="N28" s="1033"/>
      <c r="O28" s="1033"/>
      <c r="P28" s="1033"/>
      <c r="Q28" s="935" t="str">
        <f t="shared" si="1"/>
        <v/>
      </c>
    </row>
    <row r="29" spans="1:20" ht="28.5" hidden="1" customHeight="1">
      <c r="A29" s="1036"/>
      <c r="B29" s="1032"/>
      <c r="C29" s="1032"/>
      <c r="D29" s="1037"/>
      <c r="E29" s="1033"/>
      <c r="F29" s="1034"/>
      <c r="G29" s="1035"/>
      <c r="H29" s="1033"/>
      <c r="I29" s="1033"/>
      <c r="J29" s="1033"/>
      <c r="K29" s="1033"/>
      <c r="L29" s="1033"/>
      <c r="M29" s="1033"/>
      <c r="N29" s="1033"/>
      <c r="O29" s="1033"/>
      <c r="P29" s="1033"/>
      <c r="Q29" s="935" t="str">
        <f t="shared" si="1"/>
        <v/>
      </c>
    </row>
    <row r="30" spans="1:20" ht="28.5" hidden="1" customHeight="1">
      <c r="A30" s="1036"/>
      <c r="B30" s="1032"/>
      <c r="C30" s="1032"/>
      <c r="D30" s="1037"/>
      <c r="E30" s="1033"/>
      <c r="F30" s="1034"/>
      <c r="G30" s="1035"/>
      <c r="H30" s="1033"/>
      <c r="I30" s="1033"/>
      <c r="J30" s="1033"/>
      <c r="K30" s="1033"/>
      <c r="L30" s="1033"/>
      <c r="M30" s="1033"/>
      <c r="N30" s="1033"/>
      <c r="O30" s="1033"/>
      <c r="P30" s="1033"/>
      <c r="Q30" s="935" t="str">
        <f t="shared" si="1"/>
        <v/>
      </c>
    </row>
    <row r="31" spans="1:20" ht="28.5" hidden="1" customHeight="1">
      <c r="A31" s="1036"/>
      <c r="B31" s="1032"/>
      <c r="C31" s="1032"/>
      <c r="D31" s="1037"/>
      <c r="E31" s="1033"/>
      <c r="F31" s="1034"/>
      <c r="G31" s="1035"/>
      <c r="H31" s="1033"/>
      <c r="I31" s="1033"/>
      <c r="J31" s="1033"/>
      <c r="K31" s="1033"/>
      <c r="L31" s="1033"/>
      <c r="M31" s="1033"/>
      <c r="N31" s="1033"/>
      <c r="O31" s="1033"/>
      <c r="P31" s="1033"/>
      <c r="Q31" s="935" t="str">
        <f t="shared" si="1"/>
        <v/>
      </c>
    </row>
    <row r="32" spans="1:20" ht="28.5" hidden="1" customHeight="1">
      <c r="A32" s="1036"/>
      <c r="B32" s="1032"/>
      <c r="C32" s="1032"/>
      <c r="D32" s="1037"/>
      <c r="E32" s="1033"/>
      <c r="F32" s="1034"/>
      <c r="G32" s="1035"/>
      <c r="H32" s="1033"/>
      <c r="I32" s="1033"/>
      <c r="J32" s="1033"/>
      <c r="K32" s="1033"/>
      <c r="L32" s="1033"/>
      <c r="M32" s="1033"/>
      <c r="N32" s="1033"/>
      <c r="O32" s="1033"/>
      <c r="P32" s="1033"/>
      <c r="Q32" s="935" t="str">
        <f t="shared" si="1"/>
        <v/>
      </c>
    </row>
    <row r="33" spans="1:17" ht="28.5" hidden="1" customHeight="1">
      <c r="A33" s="1036"/>
      <c r="B33" s="1032"/>
      <c r="C33" s="1032"/>
      <c r="D33" s="1037"/>
      <c r="E33" s="1033"/>
      <c r="F33" s="1034"/>
      <c r="G33" s="1035"/>
      <c r="H33" s="1033"/>
      <c r="I33" s="1033"/>
      <c r="J33" s="1033"/>
      <c r="K33" s="1033"/>
      <c r="L33" s="1033"/>
      <c r="M33" s="1033"/>
      <c r="N33" s="1033"/>
      <c r="O33" s="1033"/>
      <c r="P33" s="1033"/>
      <c r="Q33" s="935" t="str">
        <f t="shared" si="1"/>
        <v/>
      </c>
    </row>
    <row r="34" spans="1:17" ht="28.5" hidden="1" customHeight="1">
      <c r="A34" s="1036"/>
      <c r="B34" s="1032"/>
      <c r="C34" s="1032"/>
      <c r="D34" s="1037"/>
      <c r="E34" s="1033"/>
      <c r="F34" s="1034"/>
      <c r="G34" s="1035"/>
      <c r="H34" s="1033"/>
      <c r="I34" s="1033"/>
      <c r="J34" s="1033"/>
      <c r="K34" s="1033"/>
      <c r="L34" s="1033"/>
      <c r="M34" s="1033"/>
      <c r="N34" s="1033"/>
      <c r="O34" s="1033"/>
      <c r="P34" s="1033"/>
      <c r="Q34" s="935" t="str">
        <f t="shared" si="1"/>
        <v/>
      </c>
    </row>
    <row r="35" spans="1:17" ht="28.5" hidden="1" customHeight="1">
      <c r="A35" s="1036"/>
      <c r="B35" s="1032"/>
      <c r="C35" s="1032"/>
      <c r="D35" s="1037"/>
      <c r="E35" s="1033"/>
      <c r="F35" s="1034"/>
      <c r="G35" s="1035"/>
      <c r="H35" s="1033"/>
      <c r="I35" s="1033"/>
      <c r="J35" s="1033"/>
      <c r="K35" s="1033"/>
      <c r="L35" s="1033"/>
      <c r="M35" s="1033"/>
      <c r="N35" s="1033"/>
      <c r="O35" s="1033"/>
      <c r="P35" s="1033"/>
      <c r="Q35" s="935" t="str">
        <f t="shared" si="1"/>
        <v/>
      </c>
    </row>
    <row r="36" spans="1:17" ht="28.5" hidden="1" customHeight="1">
      <c r="A36" s="1036"/>
      <c r="B36" s="1032"/>
      <c r="C36" s="1032"/>
      <c r="D36" s="1037"/>
      <c r="E36" s="1033"/>
      <c r="F36" s="1034"/>
      <c r="G36" s="1035"/>
      <c r="H36" s="1033"/>
      <c r="I36" s="1033"/>
      <c r="J36" s="1033"/>
      <c r="K36" s="1033"/>
      <c r="L36" s="1033"/>
      <c r="M36" s="1033"/>
      <c r="N36" s="1033"/>
      <c r="O36" s="1033"/>
      <c r="P36" s="1033"/>
      <c r="Q36" s="935" t="str">
        <f t="shared" si="1"/>
        <v/>
      </c>
    </row>
    <row r="37" spans="1:17" ht="28.5" hidden="1" customHeight="1">
      <c r="A37" s="1036"/>
      <c r="B37" s="1032"/>
      <c r="C37" s="1032"/>
      <c r="D37" s="1037"/>
      <c r="E37" s="1033"/>
      <c r="F37" s="1034"/>
      <c r="G37" s="1035"/>
      <c r="H37" s="1033"/>
      <c r="I37" s="1033"/>
      <c r="J37" s="1033"/>
      <c r="K37" s="1033"/>
      <c r="L37" s="1033"/>
      <c r="M37" s="1033"/>
      <c r="N37" s="1033"/>
      <c r="O37" s="1033"/>
      <c r="P37" s="1033"/>
      <c r="Q37" s="935" t="str">
        <f t="shared" si="1"/>
        <v/>
      </c>
    </row>
    <row r="38" spans="1:17" ht="28.5" hidden="1" customHeight="1">
      <c r="A38" s="1036"/>
      <c r="B38" s="1032"/>
      <c r="C38" s="1032"/>
      <c r="D38" s="1037"/>
      <c r="E38" s="1033"/>
      <c r="F38" s="1034"/>
      <c r="G38" s="1035"/>
      <c r="H38" s="1033"/>
      <c r="I38" s="1033"/>
      <c r="J38" s="1033"/>
      <c r="K38" s="1033"/>
      <c r="L38" s="1033"/>
      <c r="M38" s="1033"/>
      <c r="N38" s="1033"/>
      <c r="O38" s="1033"/>
      <c r="P38" s="1033"/>
      <c r="Q38" s="935" t="str">
        <f t="shared" si="1"/>
        <v/>
      </c>
    </row>
    <row r="39" spans="1:17" ht="28.5" hidden="1" customHeight="1">
      <c r="A39" s="1036"/>
      <c r="B39" s="1032"/>
      <c r="C39" s="1032"/>
      <c r="D39" s="1037"/>
      <c r="E39" s="1033"/>
      <c r="F39" s="1034"/>
      <c r="G39" s="1035"/>
      <c r="H39" s="1033"/>
      <c r="I39" s="1033"/>
      <c r="J39" s="1033"/>
      <c r="K39" s="1033"/>
      <c r="L39" s="1033"/>
      <c r="M39" s="1033"/>
      <c r="N39" s="1033"/>
      <c r="O39" s="1033"/>
      <c r="P39" s="1033"/>
      <c r="Q39" s="935" t="str">
        <f t="shared" si="1"/>
        <v/>
      </c>
    </row>
    <row r="40" spans="1:17" ht="28.5" hidden="1" customHeight="1">
      <c r="A40" s="1036"/>
      <c r="B40" s="1032"/>
      <c r="C40" s="1032"/>
      <c r="D40" s="1037"/>
      <c r="E40" s="1033"/>
      <c r="F40" s="1034"/>
      <c r="G40" s="1035"/>
      <c r="H40" s="1033"/>
      <c r="I40" s="1033"/>
      <c r="J40" s="1033"/>
      <c r="K40" s="1033"/>
      <c r="L40" s="1033"/>
      <c r="M40" s="1033"/>
      <c r="N40" s="1033"/>
      <c r="O40" s="1033"/>
      <c r="P40" s="1033"/>
      <c r="Q40" s="935" t="str">
        <f t="shared" si="1"/>
        <v/>
      </c>
    </row>
    <row r="41" spans="1:17" ht="28.5" hidden="1" customHeight="1">
      <c r="A41" s="1036"/>
      <c r="B41" s="1032"/>
      <c r="C41" s="1032"/>
      <c r="D41" s="1037"/>
      <c r="E41" s="1033"/>
      <c r="F41" s="1034"/>
      <c r="G41" s="1035"/>
      <c r="H41" s="1033"/>
      <c r="I41" s="1033"/>
      <c r="J41" s="1033"/>
      <c r="K41" s="1033"/>
      <c r="L41" s="1033"/>
      <c r="M41" s="1033"/>
      <c r="N41" s="1033"/>
      <c r="O41" s="1033"/>
      <c r="P41" s="1033"/>
      <c r="Q41" s="935" t="str">
        <f t="shared" si="1"/>
        <v/>
      </c>
    </row>
    <row r="42" spans="1:17" ht="28.5" hidden="1" customHeight="1">
      <c r="A42" s="1036"/>
      <c r="B42" s="1032"/>
      <c r="C42" s="1032"/>
      <c r="D42" s="1037"/>
      <c r="E42" s="1033"/>
      <c r="F42" s="1034"/>
      <c r="G42" s="1035"/>
      <c r="H42" s="1033"/>
      <c r="I42" s="1033"/>
      <c r="J42" s="1033"/>
      <c r="K42" s="1033"/>
      <c r="L42" s="1033"/>
      <c r="M42" s="1033"/>
      <c r="N42" s="1033"/>
      <c r="O42" s="1033"/>
      <c r="P42" s="1033"/>
      <c r="Q42" s="935" t="str">
        <f t="shared" si="1"/>
        <v/>
      </c>
    </row>
    <row r="43" spans="1:17" ht="28.5" hidden="1" customHeight="1">
      <c r="A43" s="1036"/>
      <c r="B43" s="1032"/>
      <c r="C43" s="1032"/>
      <c r="D43" s="1037"/>
      <c r="E43" s="1033"/>
      <c r="F43" s="1034"/>
      <c r="G43" s="1035"/>
      <c r="H43" s="1033"/>
      <c r="I43" s="1033"/>
      <c r="J43" s="1033"/>
      <c r="K43" s="1033"/>
      <c r="L43" s="1033"/>
      <c r="M43" s="1033"/>
      <c r="N43" s="1033"/>
      <c r="O43" s="1033"/>
      <c r="P43" s="1033"/>
      <c r="Q43" s="935" t="str">
        <f t="shared" si="1"/>
        <v/>
      </c>
    </row>
    <row r="44" spans="1:17" ht="28.5" hidden="1" customHeight="1">
      <c r="A44" s="1036"/>
      <c r="B44" s="1032"/>
      <c r="C44" s="1032"/>
      <c r="D44" s="1037"/>
      <c r="E44" s="1033"/>
      <c r="F44" s="1034"/>
      <c r="G44" s="1035"/>
      <c r="H44" s="1033"/>
      <c r="I44" s="1033"/>
      <c r="J44" s="1033"/>
      <c r="K44" s="1033"/>
      <c r="L44" s="1033"/>
      <c r="M44" s="1033"/>
      <c r="N44" s="1033"/>
      <c r="O44" s="1033"/>
      <c r="P44" s="1033"/>
      <c r="Q44" s="935" t="str">
        <f t="shared" si="1"/>
        <v/>
      </c>
    </row>
    <row r="45" spans="1:17" ht="28.5" hidden="1" customHeight="1">
      <c r="A45" s="1036"/>
      <c r="B45" s="1032"/>
      <c r="C45" s="1032"/>
      <c r="D45" s="1037"/>
      <c r="E45" s="1033"/>
      <c r="F45" s="1034"/>
      <c r="G45" s="1035"/>
      <c r="H45" s="1033"/>
      <c r="I45" s="1033"/>
      <c r="J45" s="1033"/>
      <c r="K45" s="1033"/>
      <c r="L45" s="1033"/>
      <c r="M45" s="1033"/>
      <c r="N45" s="1033"/>
      <c r="O45" s="1033"/>
      <c r="P45" s="1033"/>
      <c r="Q45" s="935" t="str">
        <f t="shared" si="1"/>
        <v/>
      </c>
    </row>
    <row r="46" spans="1:17" ht="28.5" hidden="1" customHeight="1">
      <c r="A46" s="1036"/>
      <c r="B46" s="1032"/>
      <c r="C46" s="1032"/>
      <c r="D46" s="1037"/>
      <c r="E46" s="1033"/>
      <c r="F46" s="1034"/>
      <c r="G46" s="1035"/>
      <c r="H46" s="1033"/>
      <c r="I46" s="1033"/>
      <c r="J46" s="1033"/>
      <c r="K46" s="1033"/>
      <c r="L46" s="1033"/>
      <c r="M46" s="1033"/>
      <c r="N46" s="1033"/>
      <c r="O46" s="1033"/>
      <c r="P46" s="1033"/>
      <c r="Q46" s="935" t="str">
        <f t="shared" si="1"/>
        <v/>
      </c>
    </row>
    <row r="47" spans="1:17" ht="28.5" hidden="1" customHeight="1">
      <c r="A47" s="1036"/>
      <c r="B47" s="1032"/>
      <c r="C47" s="1032"/>
      <c r="D47" s="1037"/>
      <c r="E47" s="1033"/>
      <c r="F47" s="1034"/>
      <c r="G47" s="1035"/>
      <c r="H47" s="1033"/>
      <c r="I47" s="1033"/>
      <c r="J47" s="1033"/>
      <c r="K47" s="1033"/>
      <c r="L47" s="1033"/>
      <c r="M47" s="1033"/>
      <c r="N47" s="1033"/>
      <c r="O47" s="1033"/>
      <c r="P47" s="1033"/>
      <c r="Q47" s="935" t="str">
        <f t="shared" si="1"/>
        <v/>
      </c>
    </row>
    <row r="48" spans="1:17" ht="28.5" hidden="1" customHeight="1">
      <c r="A48" s="1036"/>
      <c r="B48" s="1032"/>
      <c r="C48" s="1032"/>
      <c r="D48" s="1037"/>
      <c r="E48" s="1033"/>
      <c r="F48" s="1034"/>
      <c r="G48" s="1035"/>
      <c r="H48" s="1033"/>
      <c r="I48" s="1033"/>
      <c r="J48" s="1033"/>
      <c r="K48" s="1033"/>
      <c r="L48" s="1033"/>
      <c r="M48" s="1033"/>
      <c r="N48" s="1033"/>
      <c r="O48" s="1033"/>
      <c r="P48" s="1033"/>
      <c r="Q48" s="935" t="str">
        <f t="shared" si="1"/>
        <v/>
      </c>
    </row>
    <row r="49" spans="1:17" ht="28.5" hidden="1" customHeight="1">
      <c r="A49" s="1036"/>
      <c r="B49" s="1032"/>
      <c r="C49" s="1032"/>
      <c r="D49" s="1037"/>
      <c r="E49" s="1033"/>
      <c r="F49" s="1034"/>
      <c r="G49" s="1035"/>
      <c r="H49" s="1033"/>
      <c r="I49" s="1033"/>
      <c r="J49" s="1033"/>
      <c r="K49" s="1033"/>
      <c r="L49" s="1033"/>
      <c r="M49" s="1033"/>
      <c r="N49" s="1033"/>
      <c r="O49" s="1033"/>
      <c r="P49" s="1033"/>
      <c r="Q49" s="935" t="str">
        <f t="shared" si="1"/>
        <v/>
      </c>
    </row>
    <row r="50" spans="1:17" ht="28.5" hidden="1" customHeight="1">
      <c r="A50" s="1036"/>
      <c r="B50" s="1032"/>
      <c r="C50" s="1032"/>
      <c r="D50" s="1037"/>
      <c r="E50" s="1033"/>
      <c r="F50" s="1034"/>
      <c r="G50" s="1035"/>
      <c r="H50" s="1033"/>
      <c r="I50" s="1033"/>
      <c r="J50" s="1033"/>
      <c r="K50" s="1033"/>
      <c r="L50" s="1033"/>
      <c r="M50" s="1033"/>
      <c r="N50" s="1033"/>
      <c r="O50" s="1033"/>
      <c r="P50" s="1033"/>
      <c r="Q50" s="935" t="str">
        <f t="shared" si="1"/>
        <v/>
      </c>
    </row>
    <row r="51" spans="1:17" ht="23.25" customHeight="1">
      <c r="A51" s="1099"/>
      <c r="B51" s="1100"/>
      <c r="C51" s="1032"/>
      <c r="D51" s="1037"/>
      <c r="E51" s="1033"/>
      <c r="F51" s="1034"/>
      <c r="G51" s="1035"/>
      <c r="H51" s="1033"/>
      <c r="I51" s="1033"/>
      <c r="J51" s="1033"/>
      <c r="K51" s="1033"/>
      <c r="L51" s="1033"/>
      <c r="M51" s="1033"/>
      <c r="N51" s="1033"/>
      <c r="O51" s="1033"/>
      <c r="P51" s="1033"/>
    </row>
    <row r="52" spans="1:17" ht="21.75" customHeight="1">
      <c r="A52" s="1098"/>
      <c r="B52" s="1094"/>
      <c r="C52" s="2623" t="str">
        <f>"- Tổng chiều dài tuyến: "&amp;ROUND(SUM(D8:D50),1)&amp;" m"</f>
        <v>- Tổng chiều dài tuyến: 725 m</v>
      </c>
      <c r="D52" s="2624"/>
      <c r="E52" s="2624"/>
      <c r="F52" s="2624"/>
      <c r="G52" s="2624"/>
      <c r="H52" s="2624"/>
      <c r="I52" s="2624"/>
      <c r="J52" s="2624"/>
      <c r="K52" s="2624"/>
      <c r="L52" s="2624"/>
      <c r="M52" s="2624"/>
      <c r="N52" s="2624"/>
      <c r="O52" s="2624"/>
      <c r="P52" s="2624"/>
    </row>
    <row r="53" spans="1:17" ht="21.75" customHeight="1">
      <c r="A53" s="1101" t="s">
        <v>4426</v>
      </c>
      <c r="B53" s="1095"/>
      <c r="C53" s="2623" t="str">
        <f>"- Tổng số lượng trụ "&amp;$E$8&amp;"m: "&amp;COUNTIF(E8:E51,$E$8)&amp;" trụ."</f>
        <v>- Tổng số lượng trụ 7,5m: 19 trụ.</v>
      </c>
      <c r="D53" s="2624"/>
      <c r="E53" s="2624"/>
      <c r="F53" s="2624"/>
      <c r="G53" s="2624"/>
      <c r="H53" s="2624"/>
      <c r="I53" s="2624"/>
      <c r="J53" s="2624"/>
      <c r="K53" s="2624"/>
      <c r="L53" s="2624"/>
      <c r="M53" s="2624"/>
      <c r="N53" s="2624"/>
      <c r="O53" s="2624"/>
      <c r="P53" s="2624"/>
    </row>
    <row r="54" spans="1:17" ht="21.75" customHeight="1">
      <c r="A54" s="1096"/>
      <c r="B54" s="1097"/>
      <c r="C54" s="2623" t="str">
        <f>"- Tổng số lượng móng M7BT đôi: "&amp;TEXT(COUNTIF(G6:G51,"M7BT ĐÔI"),"00")&amp;" móng."</f>
        <v>- Tổng số lượng móng M7BT đôi: 00 móng.</v>
      </c>
      <c r="D54" s="2624"/>
      <c r="E54" s="2624"/>
      <c r="F54" s="2624"/>
      <c r="G54" s="2624"/>
      <c r="H54" s="2624"/>
      <c r="I54" s="2624"/>
      <c r="J54" s="2624"/>
      <c r="K54" s="2624"/>
      <c r="L54" s="2624"/>
      <c r="M54" s="2624"/>
      <c r="N54" s="2624"/>
      <c r="O54" s="2624"/>
      <c r="P54" s="2624"/>
    </row>
    <row r="55" spans="1:17" ht="21.75" hidden="1" customHeight="1">
      <c r="A55" s="1096"/>
      <c r="B55" s="1097"/>
      <c r="C55" s="2623" t="str">
        <f>"- Tổng số lượng móng M12BT đơn: "&amp;TEXT(COUNTIF(G6:G13,"M12BT ĐƠN"),"00")&amp;" móng."</f>
        <v>- Tổng số lượng móng M12BT đơn: 00 móng.</v>
      </c>
      <c r="D55" s="2624"/>
      <c r="E55" s="2624"/>
      <c r="F55" s="2624"/>
      <c r="G55" s="2624"/>
      <c r="H55" s="2624"/>
      <c r="I55" s="2624"/>
      <c r="J55" s="2624"/>
      <c r="K55" s="2624"/>
      <c r="L55" s="2624"/>
      <c r="M55" s="2624"/>
      <c r="N55" s="2624"/>
      <c r="O55" s="2624"/>
      <c r="P55" s="2624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B5:C5"/>
    <mergeCell ref="D5:D7"/>
    <mergeCell ref="N5:N7"/>
    <mergeCell ref="O5:P5"/>
    <mergeCell ref="B6:B7"/>
    <mergeCell ref="C6:C7"/>
    <mergeCell ref="E6:E7"/>
    <mergeCell ref="F6:F7"/>
    <mergeCell ref="G6:G7"/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8"/>
    <col min="21" max="16384" width="8.90625" style="935"/>
  </cols>
  <sheetData>
    <row r="1" spans="1:20" ht="32.25" customHeight="1">
      <c r="A1" s="2625" t="s">
        <v>4427</v>
      </c>
      <c r="B1" s="2625"/>
      <c r="C1" s="2625"/>
      <c r="D1" s="2625"/>
      <c r="E1" s="2625"/>
      <c r="F1" s="2625"/>
      <c r="G1" s="2625"/>
      <c r="H1" s="2625"/>
      <c r="I1" s="2625"/>
      <c r="J1" s="2625"/>
      <c r="K1" s="2625"/>
      <c r="L1" s="2625"/>
      <c r="M1" s="2625"/>
      <c r="N1" s="2625"/>
      <c r="O1" s="2625"/>
      <c r="P1" s="2625"/>
      <c r="R1" s="937" t="s">
        <v>4254</v>
      </c>
    </row>
    <row r="2" spans="1:20" ht="33.75" customHeight="1">
      <c r="A2" s="2633" t="e">
        <f>"Tên công trình: "&amp;Solieu!#REF!</f>
        <v>#REF!</v>
      </c>
      <c r="B2" s="2634"/>
      <c r="C2" s="2634"/>
      <c r="D2" s="2634"/>
      <c r="E2" s="2634"/>
      <c r="F2" s="2634"/>
      <c r="G2" s="2634"/>
      <c r="H2" s="2634"/>
      <c r="I2" s="2634"/>
      <c r="J2" s="2635"/>
      <c r="K2" s="2626" t="str">
        <f>"Đơn vị thi công: "&amp;Solieu!C9</f>
        <v>Đơn vị thi công: 18</v>
      </c>
      <c r="L2" s="2626"/>
      <c r="M2" s="2626"/>
      <c r="N2" s="2626"/>
      <c r="O2" s="2626"/>
      <c r="P2" s="2626"/>
    </row>
    <row r="3" spans="1:20" ht="25.5" customHeight="1">
      <c r="A3" s="2624" t="s">
        <v>4428</v>
      </c>
      <c r="B3" s="2624"/>
      <c r="C3" s="2624"/>
      <c r="D3" s="2624"/>
      <c r="E3" s="2624"/>
      <c r="F3" s="2624"/>
      <c r="G3" s="2624"/>
      <c r="H3" s="2624"/>
      <c r="I3" s="2624"/>
      <c r="J3" s="2624"/>
      <c r="K3" s="2627" t="s">
        <v>4404</v>
      </c>
      <c r="L3" s="2628"/>
      <c r="M3" s="2628"/>
      <c r="N3" s="2628"/>
      <c r="O3" s="2628"/>
      <c r="P3" s="2629"/>
    </row>
    <row r="4" spans="1:20" ht="25.5" customHeight="1">
      <c r="A4" s="2624" t="s">
        <v>4405</v>
      </c>
      <c r="B4" s="2624"/>
      <c r="C4" s="2624"/>
      <c r="D4" s="2624"/>
      <c r="E4" s="2624"/>
      <c r="F4" s="2624"/>
      <c r="G4" s="2624"/>
      <c r="H4" s="2624"/>
      <c r="I4" s="2624"/>
      <c r="J4" s="2624"/>
      <c r="K4" s="2624"/>
      <c r="L4" s="2624"/>
      <c r="M4" s="2624"/>
      <c r="N4" s="2624"/>
      <c r="O4" s="2624"/>
      <c r="P4" s="2624"/>
    </row>
    <row r="5" spans="1:20">
      <c r="A5" s="2626" t="s">
        <v>4406</v>
      </c>
      <c r="B5" s="2626" t="s">
        <v>4429</v>
      </c>
      <c r="C5" s="2626"/>
      <c r="D5" s="2626" t="s">
        <v>3876</v>
      </c>
      <c r="E5" s="2626" t="s">
        <v>4430</v>
      </c>
      <c r="F5" s="2626" t="s">
        <v>4431</v>
      </c>
      <c r="G5" s="2626"/>
      <c r="H5" s="2626" t="s">
        <v>4432</v>
      </c>
      <c r="I5" s="2626"/>
      <c r="J5" s="2626"/>
      <c r="K5" s="2626"/>
      <c r="L5" s="2626" t="s">
        <v>4433</v>
      </c>
      <c r="M5" s="2626"/>
      <c r="N5" s="2626" t="s">
        <v>4410</v>
      </c>
      <c r="O5" s="2626" t="s">
        <v>4411</v>
      </c>
      <c r="P5" s="2626"/>
    </row>
    <row r="6" spans="1:20">
      <c r="A6" s="2626"/>
      <c r="B6" s="2626"/>
      <c r="C6" s="2626"/>
      <c r="D6" s="2626"/>
      <c r="E6" s="2626"/>
      <c r="F6" s="2626"/>
      <c r="G6" s="2626"/>
      <c r="H6" s="2626"/>
      <c r="I6" s="2626"/>
      <c r="J6" s="2626"/>
      <c r="K6" s="2626"/>
      <c r="L6" s="2626"/>
      <c r="M6" s="2626"/>
      <c r="N6" s="2626"/>
      <c r="O6" s="2626"/>
      <c r="P6" s="2626"/>
    </row>
    <row r="7" spans="1:20">
      <c r="A7" s="2626"/>
      <c r="B7" s="2626"/>
      <c r="C7" s="2626"/>
      <c r="D7" s="2626"/>
      <c r="E7" s="2626"/>
      <c r="F7" s="2626"/>
      <c r="G7" s="2626"/>
      <c r="H7" s="2626"/>
      <c r="I7" s="2626"/>
      <c r="J7" s="2626"/>
      <c r="K7" s="2626"/>
      <c r="L7" s="2626"/>
      <c r="M7" s="2626"/>
      <c r="N7" s="2626"/>
      <c r="O7" s="2626"/>
      <c r="P7" s="2626"/>
    </row>
    <row r="8" spans="1:20" ht="69.75" customHeight="1">
      <c r="A8" s="2626"/>
      <c r="B8" s="967" t="s">
        <v>4412</v>
      </c>
      <c r="C8" s="967" t="s">
        <v>4434</v>
      </c>
      <c r="D8" s="2626"/>
      <c r="E8" s="2626"/>
      <c r="F8" s="967" t="s">
        <v>4435</v>
      </c>
      <c r="G8" s="967" t="s">
        <v>4436</v>
      </c>
      <c r="H8" s="967" t="s">
        <v>4437</v>
      </c>
      <c r="I8" s="967" t="s">
        <v>4425</v>
      </c>
      <c r="J8" s="967" t="s">
        <v>4438</v>
      </c>
      <c r="K8" s="1039" t="s">
        <v>4425</v>
      </c>
      <c r="L8" s="967" t="s">
        <v>4439</v>
      </c>
      <c r="M8" s="967" t="s">
        <v>4425</v>
      </c>
      <c r="N8" s="2626"/>
      <c r="O8" s="967" t="s">
        <v>4419</v>
      </c>
      <c r="P8" s="967" t="s">
        <v>4420</v>
      </c>
      <c r="Q8" s="1040" t="s">
        <v>515</v>
      </c>
      <c r="S8" s="988" t="s">
        <v>668</v>
      </c>
      <c r="T8" s="988" t="s">
        <v>669</v>
      </c>
    </row>
    <row r="9" spans="1:20" ht="33" customHeight="1">
      <c r="A9" s="1017"/>
      <c r="B9" s="1080" t="s">
        <v>4493</v>
      </c>
      <c r="C9" s="1080" t="s">
        <v>4493</v>
      </c>
      <c r="D9" s="841" t="s">
        <v>550</v>
      </c>
      <c r="E9" s="1043" t="s">
        <v>638</v>
      </c>
      <c r="F9" s="1017"/>
      <c r="G9" s="1038"/>
      <c r="H9" s="1017"/>
      <c r="I9" s="1018"/>
      <c r="J9" s="1017"/>
      <c r="K9" s="1018"/>
      <c r="L9" s="1017"/>
      <c r="M9" s="1018"/>
      <c r="N9" s="1017"/>
      <c r="O9" s="1017"/>
      <c r="P9" s="1017"/>
      <c r="Q9" s="935" t="str">
        <f>IF(B9&lt;&gt;0,"x","")</f>
        <v>x</v>
      </c>
      <c r="R9" s="935" t="str">
        <f>LEFT(E9,2)</f>
        <v>CX</v>
      </c>
      <c r="S9" s="988">
        <v>0</v>
      </c>
      <c r="T9" s="988">
        <v>1</v>
      </c>
    </row>
    <row r="10" spans="1:20" ht="37.5" customHeight="1">
      <c r="A10" s="1017"/>
      <c r="B10" s="1080" t="s">
        <v>4494</v>
      </c>
      <c r="C10" s="1080" t="s">
        <v>4494</v>
      </c>
      <c r="D10" s="841" t="s">
        <v>4512</v>
      </c>
      <c r="E10" s="1043" t="s">
        <v>638</v>
      </c>
      <c r="F10" s="1017"/>
      <c r="G10" s="1038"/>
      <c r="H10" s="1017"/>
      <c r="I10" s="1018"/>
      <c r="J10" s="1017"/>
      <c r="K10" s="1018"/>
      <c r="L10" s="1017"/>
      <c r="M10" s="1018"/>
      <c r="N10" s="967"/>
      <c r="O10" s="967"/>
      <c r="P10" s="967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8">
        <v>1</v>
      </c>
      <c r="T10" s="988">
        <v>0</v>
      </c>
    </row>
    <row r="11" spans="1:20" ht="37.5" customHeight="1">
      <c r="A11" s="1017"/>
      <c r="B11" s="1080" t="s">
        <v>4496</v>
      </c>
      <c r="C11" s="1080" t="s">
        <v>4496</v>
      </c>
      <c r="D11" s="841" t="s">
        <v>4512</v>
      </c>
      <c r="E11" s="1043" t="s">
        <v>638</v>
      </c>
      <c r="F11" s="1017"/>
      <c r="G11" s="1038"/>
      <c r="H11" s="1017"/>
      <c r="I11" s="1018"/>
      <c r="J11" s="1017"/>
      <c r="K11" s="1018"/>
      <c r="L11" s="1017"/>
      <c r="M11" s="1018"/>
      <c r="N11" s="967"/>
      <c r="O11" s="967"/>
      <c r="P11" s="967"/>
      <c r="Q11" s="935" t="str">
        <f t="shared" si="0"/>
        <v>x</v>
      </c>
      <c r="R11" s="935" t="str">
        <f t="shared" si="1"/>
        <v>CX</v>
      </c>
      <c r="S11" s="988">
        <v>1</v>
      </c>
      <c r="T11" s="988">
        <v>0</v>
      </c>
    </row>
    <row r="12" spans="1:20" ht="37.5" customHeight="1">
      <c r="A12" s="1017"/>
      <c r="B12" s="1080" t="s">
        <v>4497</v>
      </c>
      <c r="C12" s="1080" t="s">
        <v>4497</v>
      </c>
      <c r="D12" s="841" t="s">
        <v>4512</v>
      </c>
      <c r="E12" s="1043" t="s">
        <v>638</v>
      </c>
      <c r="F12" s="1017"/>
      <c r="G12" s="1038"/>
      <c r="H12" s="1017"/>
      <c r="I12" s="1018"/>
      <c r="J12" s="1017"/>
      <c r="K12" s="1044"/>
      <c r="L12" s="1017"/>
      <c r="M12" s="1018"/>
      <c r="N12" s="967"/>
      <c r="O12" s="967"/>
      <c r="P12" s="967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7"/>
      <c r="B13" s="1080" t="s">
        <v>4499</v>
      </c>
      <c r="C13" s="1080" t="s">
        <v>4499</v>
      </c>
      <c r="D13" s="841" t="s">
        <v>4512</v>
      </c>
      <c r="E13" s="1043" t="s">
        <v>638</v>
      </c>
      <c r="F13" s="1017"/>
      <c r="G13" s="1038"/>
      <c r="H13" s="1017"/>
      <c r="I13" s="1018"/>
      <c r="J13" s="1017"/>
      <c r="K13" s="1044"/>
      <c r="L13" s="1017"/>
      <c r="M13" s="1018"/>
      <c r="N13" s="967"/>
      <c r="O13" s="967"/>
      <c r="P13" s="967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7"/>
      <c r="B14" s="1080" t="s">
        <v>4500</v>
      </c>
      <c r="C14" s="1080" t="s">
        <v>4500</v>
      </c>
      <c r="D14" s="841" t="s">
        <v>4512</v>
      </c>
      <c r="E14" s="1043" t="s">
        <v>638</v>
      </c>
      <c r="F14" s="1017"/>
      <c r="G14" s="1038"/>
      <c r="H14" s="1017"/>
      <c r="I14" s="1018"/>
      <c r="J14" s="1017"/>
      <c r="K14" s="1044"/>
      <c r="L14" s="1017"/>
      <c r="M14" s="1018"/>
      <c r="N14" s="967"/>
      <c r="O14" s="967"/>
      <c r="P14" s="967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7"/>
      <c r="B15" s="1080" t="s">
        <v>4505</v>
      </c>
      <c r="C15" s="1080" t="s">
        <v>4505</v>
      </c>
      <c r="D15" s="842" t="s">
        <v>4512</v>
      </c>
      <c r="E15" s="1043" t="s">
        <v>638</v>
      </c>
      <c r="F15" s="1017"/>
      <c r="G15" s="1038"/>
      <c r="H15" s="1017"/>
      <c r="I15" s="1018"/>
      <c r="J15" s="1017"/>
      <c r="K15" s="1044"/>
      <c r="L15" s="1017"/>
      <c r="M15" s="1018"/>
      <c r="N15" s="967"/>
      <c r="O15" s="967"/>
      <c r="P15" s="967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7"/>
      <c r="B16" s="1080" t="s">
        <v>4506</v>
      </c>
      <c r="C16" s="1080" t="s">
        <v>4506</v>
      </c>
      <c r="D16" s="842" t="s">
        <v>4512</v>
      </c>
      <c r="E16" s="1043" t="s">
        <v>638</v>
      </c>
      <c r="F16" s="1017"/>
      <c r="G16" s="1038"/>
      <c r="H16" s="1017"/>
      <c r="I16" s="1018"/>
      <c r="J16" s="1017"/>
      <c r="K16" s="1044"/>
      <c r="L16" s="1017"/>
      <c r="M16" s="1018"/>
      <c r="N16" s="967"/>
      <c r="O16" s="967"/>
      <c r="P16" s="967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7"/>
      <c r="B17" s="1080" t="s">
        <v>4511</v>
      </c>
      <c r="C17" s="1080" t="s">
        <v>4511</v>
      </c>
      <c r="D17" s="840" t="s">
        <v>1137</v>
      </c>
      <c r="E17" s="1043" t="s">
        <v>638</v>
      </c>
      <c r="F17" s="1017"/>
      <c r="G17" s="1038"/>
      <c r="H17" s="1017"/>
      <c r="I17" s="1018"/>
      <c r="J17" s="1017"/>
      <c r="K17" s="1044"/>
      <c r="L17" s="1017"/>
      <c r="M17" s="1018"/>
      <c r="N17" s="967"/>
      <c r="O17" s="967"/>
      <c r="P17" s="967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7"/>
      <c r="B18" s="1041"/>
      <c r="C18" s="1041"/>
      <c r="D18" s="1042"/>
      <c r="E18" s="1043"/>
      <c r="F18" s="1017"/>
      <c r="G18" s="1038"/>
      <c r="H18" s="1017"/>
      <c r="I18" s="1018"/>
      <c r="J18" s="1017"/>
      <c r="K18" s="1044"/>
      <c r="L18" s="1017"/>
      <c r="M18" s="1018"/>
      <c r="N18" s="967"/>
      <c r="O18" s="967"/>
      <c r="P18" s="967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7"/>
      <c r="B19" s="1041"/>
      <c r="C19" s="1041"/>
      <c r="D19" s="1042"/>
      <c r="E19" s="1043"/>
      <c r="F19" s="1017"/>
      <c r="G19" s="1038"/>
      <c r="H19" s="1017"/>
      <c r="I19" s="1018"/>
      <c r="J19" s="1017"/>
      <c r="K19" s="1044"/>
      <c r="L19" s="1017"/>
      <c r="M19" s="1018"/>
      <c r="N19" s="967"/>
      <c r="O19" s="967"/>
      <c r="P19" s="967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7"/>
      <c r="B20" s="1041"/>
      <c r="C20" s="1041"/>
      <c r="D20" s="1042"/>
      <c r="E20" s="1043"/>
      <c r="F20" s="1017"/>
      <c r="G20" s="1038"/>
      <c r="H20" s="1017"/>
      <c r="I20" s="1018"/>
      <c r="J20" s="1017"/>
      <c r="K20" s="1044"/>
      <c r="L20" s="1017"/>
      <c r="M20" s="1018"/>
      <c r="N20" s="967"/>
      <c r="O20" s="967"/>
      <c r="P20" s="967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7"/>
      <c r="B21" s="1041"/>
      <c r="C21" s="1041"/>
      <c r="D21" s="1042"/>
      <c r="E21" s="1043"/>
      <c r="F21" s="1017"/>
      <c r="G21" s="1038"/>
      <c r="H21" s="1017"/>
      <c r="I21" s="1018"/>
      <c r="J21" s="1017"/>
      <c r="K21" s="1044"/>
      <c r="L21" s="1017"/>
      <c r="M21" s="1018"/>
      <c r="N21" s="967"/>
      <c r="O21" s="967"/>
      <c r="P21" s="967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7"/>
      <c r="B22" s="1041"/>
      <c r="C22" s="1041"/>
      <c r="D22" s="1042"/>
      <c r="E22" s="1043"/>
      <c r="F22" s="1017"/>
      <c r="G22" s="1038"/>
      <c r="H22" s="1017"/>
      <c r="I22" s="1018"/>
      <c r="J22" s="1017"/>
      <c r="K22" s="1044"/>
      <c r="L22" s="1017"/>
      <c r="M22" s="1018"/>
      <c r="N22" s="967"/>
      <c r="O22" s="967"/>
      <c r="P22" s="967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7"/>
      <c r="B23" s="1041"/>
      <c r="C23" s="1041"/>
      <c r="D23" s="1042"/>
      <c r="E23" s="1043"/>
      <c r="F23" s="1017"/>
      <c r="G23" s="1038"/>
      <c r="H23" s="1017"/>
      <c r="I23" s="1018"/>
      <c r="J23" s="1017"/>
      <c r="K23" s="1044"/>
      <c r="L23" s="1017"/>
      <c r="M23" s="1018"/>
      <c r="N23" s="967"/>
      <c r="O23" s="967"/>
      <c r="P23" s="967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7"/>
      <c r="B24" s="1041"/>
      <c r="C24" s="1041"/>
      <c r="D24" s="1042"/>
      <c r="E24" s="1043"/>
      <c r="F24" s="1017"/>
      <c r="G24" s="1038"/>
      <c r="H24" s="1017"/>
      <c r="I24" s="1018"/>
      <c r="J24" s="1017"/>
      <c r="K24" s="1044"/>
      <c r="L24" s="1017"/>
      <c r="M24" s="1018"/>
      <c r="N24" s="967"/>
      <c r="O24" s="967"/>
      <c r="P24" s="967"/>
      <c r="Q24" s="935" t="str">
        <f t="shared" si="0"/>
        <v/>
      </c>
      <c r="R24" s="935" t="str">
        <f t="shared" si="1"/>
        <v/>
      </c>
    </row>
    <row r="25" spans="1:18" ht="37.5" customHeight="1">
      <c r="A25" s="1017"/>
      <c r="B25" s="1041"/>
      <c r="C25" s="1041"/>
      <c r="D25" s="1042"/>
      <c r="E25" s="1017"/>
      <c r="F25" s="1017"/>
      <c r="G25" s="1038"/>
      <c r="H25" s="1017"/>
      <c r="I25" s="1018"/>
      <c r="J25" s="1017"/>
      <c r="K25" s="1044"/>
      <c r="L25" s="1017"/>
      <c r="M25" s="1018"/>
      <c r="N25" s="967"/>
      <c r="O25" s="967"/>
      <c r="P25" s="967"/>
    </row>
    <row r="26" spans="1:18" ht="28.5" customHeight="1">
      <c r="A26" s="2624" t="str">
        <f>"Tổng cộng: "&amp;TEXT((17-COUNTBLANK(B9:B25)),"00")&amp;" bộ."</f>
        <v>Tổng cộng: 09 bộ.</v>
      </c>
      <c r="B26" s="2624"/>
      <c r="C26" s="2624"/>
      <c r="D26" s="1045"/>
      <c r="E26" s="1045"/>
      <c r="F26" s="1045"/>
      <c r="G26" s="1045"/>
      <c r="H26" s="1045"/>
      <c r="I26" s="1045"/>
      <c r="J26" s="1045"/>
      <c r="K26" s="1046"/>
      <c r="L26" s="1045"/>
      <c r="M26" s="1045"/>
      <c r="N26" s="1045"/>
      <c r="O26" s="1045"/>
      <c r="P26" s="1045"/>
    </row>
    <row r="27" spans="1:18" ht="28.5" customHeight="1">
      <c r="A27" s="2624" t="s">
        <v>4440</v>
      </c>
      <c r="B27" s="2624"/>
      <c r="C27" s="2624"/>
      <c r="D27" s="2624" t="str">
        <f>"NXL:  "&amp;TEXT(COUNTIF(R:R,"CL"),"00")&amp;" bộ."</f>
        <v>NXL:  00 bộ.</v>
      </c>
      <c r="E27" s="2624"/>
      <c r="F27" s="2624"/>
      <c r="G27" s="2624"/>
      <c r="H27" s="2624"/>
      <c r="I27" s="2624"/>
      <c r="J27" s="2624"/>
      <c r="K27" s="2624"/>
      <c r="L27" s="2624"/>
      <c r="M27" s="2624"/>
      <c r="N27" s="2624"/>
      <c r="O27" s="2624"/>
      <c r="P27" s="2624"/>
    </row>
    <row r="28" spans="1:18" ht="28.5" customHeight="1">
      <c r="A28" s="2624"/>
      <c r="B28" s="2624"/>
      <c r="C28" s="2624"/>
      <c r="D28" s="2624" t="str">
        <f>"NXX:  "&amp;TEXT(COUNTIF(R:R,"CX"),"00")&amp;" bộ."</f>
        <v>NXX:  09 bộ.</v>
      </c>
      <c r="E28" s="2624"/>
      <c r="F28" s="2624"/>
      <c r="G28" s="2624"/>
      <c r="H28" s="2624"/>
      <c r="I28" s="2624"/>
      <c r="J28" s="2624"/>
      <c r="K28" s="2624"/>
      <c r="L28" s="2624"/>
      <c r="M28" s="2624"/>
      <c r="N28" s="2624"/>
      <c r="O28" s="2624"/>
      <c r="P28" s="2624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  <mergeCell ref="A26:C26"/>
    <mergeCell ref="A27:C28"/>
    <mergeCell ref="D27:F27"/>
    <mergeCell ref="G27:G28"/>
    <mergeCell ref="H27:H28"/>
    <mergeCell ref="D28:F28"/>
    <mergeCell ref="O27:O28"/>
    <mergeCell ref="P27:P28"/>
    <mergeCell ref="L5:M7"/>
    <mergeCell ref="N5:N8"/>
    <mergeCell ref="O5:P7"/>
    <mergeCell ref="K27:K28"/>
    <mergeCell ref="L27:L28"/>
    <mergeCell ref="M27:M28"/>
    <mergeCell ref="N27:N28"/>
    <mergeCell ref="I27:I28"/>
    <mergeCell ref="J27:J28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637" t="s">
        <v>4441</v>
      </c>
      <c r="B1" s="2637"/>
      <c r="C1" s="2637"/>
      <c r="D1" s="2637"/>
      <c r="E1" s="2637"/>
      <c r="F1" s="2637"/>
      <c r="G1" s="2637"/>
      <c r="H1" s="2637"/>
      <c r="I1" s="2637"/>
      <c r="J1" s="2637"/>
      <c r="K1" s="2637"/>
      <c r="L1" s="2637"/>
      <c r="M1" s="2637"/>
      <c r="N1" s="2637"/>
      <c r="O1" s="2637"/>
      <c r="P1" s="2637"/>
      <c r="Q1" s="2637"/>
      <c r="R1" s="2637"/>
      <c r="S1" s="2637"/>
      <c r="T1" s="2637"/>
      <c r="V1" s="937" t="s">
        <v>4254</v>
      </c>
    </row>
    <row r="2" spans="1:30" ht="33" customHeight="1">
      <c r="A2" s="2633" t="e">
        <f>"Tên công trình: "&amp;Solieu!#REF!</f>
        <v>#REF!</v>
      </c>
      <c r="B2" s="2634"/>
      <c r="C2" s="2634"/>
      <c r="D2" s="2634"/>
      <c r="E2" s="2634"/>
      <c r="F2" s="2634"/>
      <c r="G2" s="2634"/>
      <c r="H2" s="2634"/>
      <c r="I2" s="2634"/>
      <c r="J2" s="2634"/>
      <c r="K2" s="2634"/>
      <c r="L2" s="2634"/>
      <c r="M2" s="2634"/>
      <c r="N2" s="2635"/>
      <c r="O2" s="2638" t="str">
        <f>"Đơn vị thi công: "&amp;Solieu!C9</f>
        <v>Đơn vị thi công: 18</v>
      </c>
      <c r="P2" s="2639"/>
      <c r="Q2" s="2639"/>
      <c r="R2" s="2639"/>
      <c r="S2" s="2639"/>
      <c r="T2" s="2640"/>
    </row>
    <row r="3" spans="1:30" ht="31.5" customHeight="1">
      <c r="A3" s="2633" t="s">
        <v>4442</v>
      </c>
      <c r="B3" s="2634"/>
      <c r="C3" s="2634"/>
      <c r="D3" s="2634"/>
      <c r="E3" s="2634"/>
      <c r="F3" s="2634"/>
      <c r="G3" s="2634"/>
      <c r="H3" s="2634"/>
      <c r="I3" s="2634"/>
      <c r="J3" s="2634"/>
      <c r="K3" s="2634"/>
      <c r="L3" s="2634"/>
      <c r="M3" s="2634"/>
      <c r="N3" s="2635"/>
      <c r="O3" s="2626" t="s">
        <v>4443</v>
      </c>
      <c r="P3" s="2626"/>
      <c r="Q3" s="2626"/>
      <c r="R3" s="2626"/>
      <c r="S3" s="2626"/>
      <c r="T3" s="2626"/>
    </row>
    <row r="4" spans="1:30" ht="15.6">
      <c r="A4" s="2624" t="s">
        <v>4405</v>
      </c>
      <c r="B4" s="2624"/>
      <c r="C4" s="2624"/>
      <c r="D4" s="2624"/>
      <c r="E4" s="2624"/>
      <c r="F4" s="2624"/>
      <c r="G4" s="2624"/>
      <c r="H4" s="2624"/>
      <c r="I4" s="2624"/>
      <c r="J4" s="2624"/>
      <c r="K4" s="2624"/>
      <c r="L4" s="2624"/>
      <c r="M4" s="2624"/>
      <c r="N4" s="2624"/>
      <c r="O4" s="2624"/>
      <c r="P4" s="2624"/>
      <c r="Q4" s="2624"/>
      <c r="R4" s="2624"/>
      <c r="S4" s="2624"/>
      <c r="T4" s="2624"/>
    </row>
    <row r="5" spans="1:30" ht="32.25" customHeight="1">
      <c r="A5" s="2636" t="s">
        <v>4406</v>
      </c>
      <c r="B5" s="2636" t="s">
        <v>4444</v>
      </c>
      <c r="C5" s="2636"/>
      <c r="D5" s="2636" t="s">
        <v>3876</v>
      </c>
      <c r="E5" s="2636" t="s">
        <v>3368</v>
      </c>
      <c r="F5" s="2636"/>
      <c r="G5" s="2636" t="s">
        <v>4445</v>
      </c>
      <c r="H5" s="2636"/>
      <c r="I5" s="2636"/>
      <c r="J5" s="2636"/>
      <c r="K5" s="2636"/>
      <c r="L5" s="2636" t="s">
        <v>4446</v>
      </c>
      <c r="M5" s="2636"/>
      <c r="N5" s="2636"/>
      <c r="O5" s="2636" t="s">
        <v>4447</v>
      </c>
      <c r="P5" s="2636"/>
      <c r="Q5" s="2636"/>
      <c r="R5" s="2636" t="s">
        <v>4448</v>
      </c>
      <c r="S5" s="2636" t="s">
        <v>4411</v>
      </c>
      <c r="T5" s="2636"/>
    </row>
    <row r="6" spans="1:30" ht="35.25" customHeight="1">
      <c r="A6" s="2636"/>
      <c r="B6" s="2636" t="s">
        <v>4449</v>
      </c>
      <c r="C6" s="2636" t="s">
        <v>4434</v>
      </c>
      <c r="D6" s="2636"/>
      <c r="E6" s="2636" t="s">
        <v>4450</v>
      </c>
      <c r="F6" s="2636" t="s">
        <v>4451</v>
      </c>
      <c r="G6" s="2636" t="s">
        <v>4452</v>
      </c>
      <c r="H6" s="2636" t="s">
        <v>4453</v>
      </c>
      <c r="I6" s="2636" t="s">
        <v>4454</v>
      </c>
      <c r="J6" s="2636" t="s">
        <v>4455</v>
      </c>
      <c r="K6" s="2636" t="s">
        <v>4456</v>
      </c>
      <c r="L6" s="2636" t="s">
        <v>4457</v>
      </c>
      <c r="M6" s="2636" t="s">
        <v>4458</v>
      </c>
      <c r="N6" s="2636"/>
      <c r="O6" s="2636" t="s">
        <v>4459</v>
      </c>
      <c r="P6" s="2636" t="s">
        <v>4460</v>
      </c>
      <c r="Q6" s="2636" t="s">
        <v>4461</v>
      </c>
      <c r="R6" s="2636"/>
      <c r="S6" s="2636" t="s">
        <v>4462</v>
      </c>
      <c r="T6" s="2636" t="s">
        <v>4463</v>
      </c>
      <c r="U6" s="1047">
        <v>17</v>
      </c>
      <c r="V6" s="1047">
        <v>18</v>
      </c>
      <c r="W6" s="1047">
        <v>19</v>
      </c>
      <c r="X6" s="1047">
        <v>20</v>
      </c>
      <c r="Y6" s="1047">
        <v>21</v>
      </c>
      <c r="Z6" s="1047">
        <v>22</v>
      </c>
      <c r="AA6" s="1047">
        <v>23</v>
      </c>
      <c r="AB6" s="1047">
        <v>24</v>
      </c>
      <c r="AC6" s="1047">
        <v>25</v>
      </c>
      <c r="AD6" s="1047">
        <v>28</v>
      </c>
    </row>
    <row r="7" spans="1:30" ht="61.5" customHeight="1">
      <c r="A7" s="2636"/>
      <c r="B7" s="2636"/>
      <c r="C7" s="2636"/>
      <c r="D7" s="2636"/>
      <c r="E7" s="2636"/>
      <c r="F7" s="2636"/>
      <c r="G7" s="2636"/>
      <c r="H7" s="2636"/>
      <c r="I7" s="2636"/>
      <c r="J7" s="2636"/>
      <c r="K7" s="2636"/>
      <c r="L7" s="2636"/>
      <c r="M7" s="1015" t="s">
        <v>4464</v>
      </c>
      <c r="N7" s="1015" t="s">
        <v>4425</v>
      </c>
      <c r="O7" s="2636"/>
      <c r="P7" s="2636"/>
      <c r="Q7" s="2636"/>
      <c r="R7" s="2636"/>
      <c r="S7" s="2636"/>
      <c r="T7" s="2636"/>
      <c r="U7" s="1048" t="s">
        <v>2357</v>
      </c>
      <c r="V7" s="1048" t="s">
        <v>2358</v>
      </c>
      <c r="W7" s="1049" t="s">
        <v>2356</v>
      </c>
      <c r="X7" s="1049" t="s">
        <v>2181</v>
      </c>
      <c r="Y7" s="1049" t="s">
        <v>911</v>
      </c>
      <c r="Z7" s="1050" t="s">
        <v>3985</v>
      </c>
      <c r="AA7" s="1050" t="s">
        <v>4176</v>
      </c>
      <c r="AB7" s="1050" t="s">
        <v>3886</v>
      </c>
      <c r="AC7" s="1050" t="s">
        <v>4183</v>
      </c>
      <c r="AD7" s="1050" t="s">
        <v>4184</v>
      </c>
    </row>
    <row r="8" spans="1:30" s="964" customFormat="1" ht="21" customHeight="1">
      <c r="A8" s="1015" t="str">
        <f>"("&amp;COLUMN()&amp;")"</f>
        <v>(1)</v>
      </c>
      <c r="B8" s="1015" t="str">
        <f t="shared" ref="B8:T8" si="0">"("&amp;COLUMN()&amp;")"</f>
        <v>(2)</v>
      </c>
      <c r="C8" s="1015" t="str">
        <f t="shared" si="0"/>
        <v>(3)</v>
      </c>
      <c r="D8" s="1015" t="str">
        <f t="shared" si="0"/>
        <v>(4)</v>
      </c>
      <c r="E8" s="1015" t="str">
        <f t="shared" si="0"/>
        <v>(5)</v>
      </c>
      <c r="F8" s="1015" t="str">
        <f t="shared" si="0"/>
        <v>(6)</v>
      </c>
      <c r="G8" s="1015" t="str">
        <f t="shared" si="0"/>
        <v>(7)</v>
      </c>
      <c r="H8" s="1015" t="str">
        <f t="shared" si="0"/>
        <v>(8)</v>
      </c>
      <c r="I8" s="1015" t="str">
        <f t="shared" si="0"/>
        <v>(9)</v>
      </c>
      <c r="J8" s="1015" t="str">
        <f t="shared" si="0"/>
        <v>(10)</v>
      </c>
      <c r="K8" s="1015" t="str">
        <f t="shared" si="0"/>
        <v>(11)</v>
      </c>
      <c r="L8" s="1015" t="str">
        <f t="shared" si="0"/>
        <v>(12)</v>
      </c>
      <c r="M8" s="1015" t="str">
        <f t="shared" si="0"/>
        <v>(13)</v>
      </c>
      <c r="N8" s="1015" t="str">
        <f t="shared" si="0"/>
        <v>(14)</v>
      </c>
      <c r="O8" s="1015" t="str">
        <f t="shared" si="0"/>
        <v>(15)</v>
      </c>
      <c r="P8" s="1015" t="str">
        <f t="shared" si="0"/>
        <v>(16)</v>
      </c>
      <c r="Q8" s="1015" t="str">
        <f t="shared" si="0"/>
        <v>(17)</v>
      </c>
      <c r="R8" s="1015" t="str">
        <f t="shared" si="0"/>
        <v>(18)</v>
      </c>
      <c r="S8" s="1015" t="str">
        <f t="shared" si="0"/>
        <v>(19)</v>
      </c>
      <c r="T8" s="1015" t="str">
        <f t="shared" si="0"/>
        <v>(20)</v>
      </c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</row>
    <row r="9" spans="1:30" s="1058" customFormat="1" ht="24.9" customHeight="1">
      <c r="A9" s="1031"/>
      <c r="B9" s="1052"/>
      <c r="C9" s="1052"/>
      <c r="D9" s="1037"/>
      <c r="E9" s="1053"/>
      <c r="F9" s="1054"/>
      <c r="G9" s="1054"/>
      <c r="H9" s="1054"/>
      <c r="I9" s="1055"/>
      <c r="J9" s="1054"/>
      <c r="K9" s="1054"/>
      <c r="L9" s="1055"/>
      <c r="M9" s="1054"/>
      <c r="N9" s="1055"/>
      <c r="O9" s="1033"/>
      <c r="P9" s="1037"/>
      <c r="Q9" s="1033"/>
      <c r="R9" s="1056"/>
      <c r="S9" s="1056"/>
      <c r="T9" s="1056"/>
      <c r="U9" s="1057">
        <v>0</v>
      </c>
      <c r="V9" s="1057">
        <v>1</v>
      </c>
      <c r="W9" s="1057">
        <v>0</v>
      </c>
      <c r="X9" s="1057">
        <v>0</v>
      </c>
      <c r="Y9" s="1057">
        <v>0</v>
      </c>
      <c r="Z9" s="1057">
        <v>2</v>
      </c>
      <c r="AA9" s="1057">
        <v>3</v>
      </c>
      <c r="AB9" s="1057">
        <v>1</v>
      </c>
      <c r="AC9" s="1057">
        <v>1</v>
      </c>
      <c r="AD9" s="1057">
        <v>2</v>
      </c>
    </row>
    <row r="10" spans="1:30" s="1058" customFormat="1" ht="24.9" customHeight="1">
      <c r="A10" s="1031"/>
      <c r="B10" s="1052"/>
      <c r="C10" s="1052"/>
      <c r="D10" s="1037"/>
      <c r="E10" s="1053"/>
      <c r="F10" s="1054"/>
      <c r="G10" s="1054"/>
      <c r="H10" s="1054"/>
      <c r="I10" s="1055"/>
      <c r="J10" s="1054"/>
      <c r="K10" s="1054"/>
      <c r="L10" s="1055"/>
      <c r="M10" s="1054"/>
      <c r="N10" s="1055"/>
      <c r="O10" s="1033"/>
      <c r="P10" s="1037"/>
      <c r="Q10" s="1033"/>
      <c r="R10" s="1056"/>
      <c r="S10" s="1056"/>
      <c r="T10" s="1056"/>
      <c r="U10" s="1057">
        <v>0</v>
      </c>
      <c r="V10" s="1057">
        <v>1</v>
      </c>
      <c r="W10" s="1057">
        <v>0</v>
      </c>
      <c r="X10" s="1057">
        <v>0</v>
      </c>
      <c r="Y10" s="1057">
        <v>1</v>
      </c>
      <c r="Z10" s="1057">
        <v>2</v>
      </c>
      <c r="AA10" s="1057">
        <v>6</v>
      </c>
      <c r="AB10" s="1057">
        <v>0</v>
      </c>
      <c r="AC10" s="1057">
        <v>2</v>
      </c>
      <c r="AD10" s="1057">
        <v>2</v>
      </c>
    </row>
    <row r="11" spans="1:30" s="1058" customFormat="1" ht="24.9" customHeight="1">
      <c r="A11" s="1031"/>
      <c r="B11" s="1052"/>
      <c r="C11" s="1052"/>
      <c r="D11" s="1037"/>
      <c r="E11" s="1059"/>
      <c r="F11" s="1054"/>
      <c r="G11" s="1054"/>
      <c r="H11" s="1054"/>
      <c r="I11" s="1055"/>
      <c r="J11" s="1054"/>
      <c r="K11" s="1054"/>
      <c r="L11" s="1055"/>
      <c r="M11" s="1054"/>
      <c r="N11" s="1055"/>
      <c r="O11" s="1033"/>
      <c r="P11" s="1037"/>
      <c r="Q11" s="1033"/>
      <c r="R11" s="1056"/>
      <c r="S11" s="1056"/>
      <c r="T11" s="1056"/>
      <c r="U11" s="1057">
        <v>0</v>
      </c>
      <c r="V11" s="1057">
        <v>1</v>
      </c>
      <c r="W11" s="1057">
        <v>0</v>
      </c>
      <c r="X11" s="1057">
        <v>0</v>
      </c>
      <c r="Y11" s="1057">
        <v>1</v>
      </c>
      <c r="Z11" s="1057">
        <v>2</v>
      </c>
      <c r="AA11" s="1057">
        <v>6</v>
      </c>
      <c r="AB11" s="1057">
        <v>0</v>
      </c>
      <c r="AC11" s="1057">
        <v>2</v>
      </c>
      <c r="AD11" s="1057">
        <v>2</v>
      </c>
    </row>
    <row r="12" spans="1:30" s="1058" customFormat="1" ht="24.9" customHeight="1">
      <c r="A12" s="1031"/>
      <c r="B12" s="1052"/>
      <c r="C12" s="1052"/>
      <c r="D12" s="1037"/>
      <c r="E12" s="1060"/>
      <c r="F12" s="1054"/>
      <c r="G12" s="1054"/>
      <c r="H12" s="1054"/>
      <c r="I12" s="1055"/>
      <c r="J12" s="1054"/>
      <c r="K12" s="1054"/>
      <c r="L12" s="1055"/>
      <c r="M12" s="1054"/>
      <c r="N12" s="1055"/>
      <c r="O12" s="1033"/>
      <c r="P12" s="1037"/>
      <c r="Q12" s="1033"/>
      <c r="R12" s="1056"/>
      <c r="S12" s="1056"/>
      <c r="T12" s="1056"/>
      <c r="U12" s="1057">
        <v>0</v>
      </c>
      <c r="V12" s="1057">
        <v>0</v>
      </c>
      <c r="W12" s="1057">
        <v>1</v>
      </c>
      <c r="X12" s="1057">
        <v>0</v>
      </c>
      <c r="Y12" s="1057">
        <v>0</v>
      </c>
      <c r="Z12" s="1057">
        <v>3</v>
      </c>
      <c r="AA12" s="1057">
        <v>0</v>
      </c>
      <c r="AB12" s="1057">
        <v>1</v>
      </c>
      <c r="AC12" s="1057">
        <v>0</v>
      </c>
      <c r="AD12" s="1057">
        <v>0</v>
      </c>
    </row>
    <row r="13" spans="1:30" s="1058" customFormat="1" ht="24.9" customHeight="1">
      <c r="A13" s="1031"/>
      <c r="B13" s="1061"/>
      <c r="C13" s="1061"/>
      <c r="D13" s="1037"/>
      <c r="E13" s="1060"/>
      <c r="F13" s="1054"/>
      <c r="G13" s="1033"/>
      <c r="H13" s="1033"/>
      <c r="I13" s="1055"/>
      <c r="J13" s="1033"/>
      <c r="K13" s="1054"/>
      <c r="L13" s="1055"/>
      <c r="M13" s="1054"/>
      <c r="N13" s="1055"/>
      <c r="O13" s="1033"/>
      <c r="P13" s="1037"/>
      <c r="Q13" s="1033"/>
      <c r="R13" s="1056"/>
      <c r="S13" s="1056"/>
      <c r="T13" s="1056"/>
      <c r="U13" s="1057">
        <v>0</v>
      </c>
      <c r="V13" s="1057">
        <v>0</v>
      </c>
      <c r="W13" s="1057">
        <v>0</v>
      </c>
      <c r="X13" s="1057">
        <v>1</v>
      </c>
      <c r="Y13" s="1057">
        <v>0</v>
      </c>
      <c r="Z13" s="1057">
        <v>6</v>
      </c>
      <c r="AA13" s="1057">
        <v>0</v>
      </c>
      <c r="AB13" s="1057">
        <v>1</v>
      </c>
      <c r="AC13" s="1057">
        <v>0</v>
      </c>
      <c r="AD13" s="1057">
        <v>0</v>
      </c>
    </row>
    <row r="14" spans="1:30" s="1058" customFormat="1" ht="24.9" customHeight="1">
      <c r="A14" s="1031"/>
      <c r="B14" s="1061"/>
      <c r="C14" s="1061"/>
      <c r="D14" s="1037"/>
      <c r="E14" s="1053"/>
      <c r="F14" s="1054"/>
      <c r="G14" s="1033"/>
      <c r="H14" s="1033"/>
      <c r="I14" s="1055"/>
      <c r="J14" s="1033"/>
      <c r="K14" s="1054"/>
      <c r="L14" s="1055"/>
      <c r="M14" s="1054"/>
      <c r="N14" s="1055"/>
      <c r="O14" s="1033"/>
      <c r="Q14" s="1033"/>
      <c r="R14" s="1056"/>
      <c r="S14" s="1056"/>
      <c r="T14" s="1056"/>
      <c r="U14" s="1057">
        <v>1</v>
      </c>
      <c r="V14" s="1057">
        <v>0</v>
      </c>
      <c r="W14" s="1057">
        <v>0</v>
      </c>
      <c r="X14" s="1057">
        <v>0</v>
      </c>
      <c r="Y14" s="1057">
        <v>0</v>
      </c>
      <c r="Z14" s="1057">
        <v>0</v>
      </c>
      <c r="AA14" s="1057">
        <v>0</v>
      </c>
      <c r="AB14" s="1057">
        <v>1</v>
      </c>
      <c r="AC14" s="1057">
        <v>0</v>
      </c>
      <c r="AD14" s="1057">
        <v>0</v>
      </c>
    </row>
    <row r="15" spans="1:30" s="1058" customFormat="1" ht="24.9" customHeight="1">
      <c r="A15" s="1031"/>
      <c r="B15" s="1061"/>
      <c r="C15" s="1061"/>
      <c r="D15" s="1037"/>
      <c r="E15" s="1053"/>
      <c r="F15" s="1054"/>
      <c r="G15" s="1033"/>
      <c r="H15" s="1033"/>
      <c r="I15" s="1055"/>
      <c r="J15" s="1033"/>
      <c r="K15" s="1054"/>
      <c r="L15" s="1055"/>
      <c r="M15" s="1054"/>
      <c r="N15" s="1055"/>
      <c r="O15" s="1033"/>
      <c r="P15" s="1037"/>
      <c r="Q15" s="1033"/>
      <c r="R15" s="1056"/>
      <c r="S15" s="1056"/>
      <c r="T15" s="1056"/>
      <c r="U15" s="1057">
        <v>0</v>
      </c>
      <c r="V15" s="1057">
        <v>0</v>
      </c>
      <c r="W15" s="1057">
        <v>0</v>
      </c>
      <c r="X15" s="1057">
        <v>0</v>
      </c>
      <c r="Y15" s="1057">
        <v>0</v>
      </c>
      <c r="Z15" s="1057">
        <v>0</v>
      </c>
      <c r="AA15" s="1057">
        <v>3</v>
      </c>
      <c r="AB15" s="1057">
        <v>0</v>
      </c>
      <c r="AC15" s="1057">
        <v>1</v>
      </c>
      <c r="AD15" s="1057">
        <v>0</v>
      </c>
    </row>
    <row r="16" spans="1:30" ht="24.75" customHeight="1">
      <c r="A16" s="1062"/>
      <c r="B16" s="1041"/>
      <c r="C16" s="1041"/>
      <c r="D16" s="1042"/>
      <c r="E16" s="1063"/>
      <c r="F16" s="1033"/>
      <c r="G16" s="1064"/>
      <c r="H16" s="1064"/>
      <c r="I16" s="1055"/>
      <c r="J16" s="1064"/>
      <c r="K16" s="1064"/>
      <c r="L16" s="1042"/>
      <c r="M16" s="1064"/>
      <c r="N16" s="1042"/>
      <c r="O16" s="1064"/>
      <c r="P16" s="1042"/>
      <c r="Q16" s="1064"/>
      <c r="R16" s="1064"/>
      <c r="S16" s="1064"/>
      <c r="T16" s="1064"/>
      <c r="U16" s="1065" t="e">
        <v>#N/A</v>
      </c>
      <c r="V16" s="1065" t="e">
        <v>#N/A</v>
      </c>
      <c r="W16" s="1065" t="e">
        <v>#N/A</v>
      </c>
      <c r="X16" s="1065" t="e">
        <v>#N/A</v>
      </c>
      <c r="Y16" s="1065" t="e">
        <v>#N/A</v>
      </c>
      <c r="Z16" s="1065" t="e">
        <v>#N/A</v>
      </c>
      <c r="AA16" s="1065" t="e">
        <v>#N/A</v>
      </c>
      <c r="AB16" s="1065" t="e">
        <v>#N/A</v>
      </c>
      <c r="AC16" s="1065" t="e">
        <v>#N/A</v>
      </c>
      <c r="AD16" s="1065" t="e">
        <v>#N/A</v>
      </c>
    </row>
    <row r="17" spans="1:30" ht="24.75" customHeight="1">
      <c r="A17" s="1062"/>
      <c r="B17" s="1041"/>
      <c r="C17" s="1041"/>
      <c r="D17" s="1042"/>
      <c r="E17" s="1063"/>
      <c r="F17" s="1033"/>
      <c r="G17" s="1064"/>
      <c r="H17" s="1064"/>
      <c r="I17" s="1055"/>
      <c r="J17" s="1064"/>
      <c r="K17" s="1064"/>
      <c r="L17" s="1064"/>
      <c r="M17" s="1064"/>
      <c r="N17" s="1042"/>
      <c r="O17" s="1064"/>
      <c r="P17" s="1064"/>
      <c r="Q17" s="1064"/>
      <c r="R17" s="1064"/>
      <c r="S17" s="1064"/>
      <c r="T17" s="1064"/>
      <c r="U17" s="1065" t="e">
        <v>#N/A</v>
      </c>
      <c r="V17" s="1065" t="e">
        <v>#N/A</v>
      </c>
      <c r="W17" s="1065" t="e">
        <v>#N/A</v>
      </c>
      <c r="X17" s="1065" t="e">
        <v>#N/A</v>
      </c>
      <c r="Y17" s="1065" t="e">
        <v>#N/A</v>
      </c>
      <c r="Z17" s="1065" t="e">
        <v>#N/A</v>
      </c>
      <c r="AA17" s="1065" t="e">
        <v>#N/A</v>
      </c>
      <c r="AB17" s="1065" t="e">
        <v>#N/A</v>
      </c>
      <c r="AC17" s="1065" t="e">
        <v>#N/A</v>
      </c>
      <c r="AD17" s="1065" t="e">
        <v>#N/A</v>
      </c>
    </row>
    <row r="18" spans="1:30" ht="15.6">
      <c r="U18" s="1048"/>
      <c r="V18" s="1048"/>
      <c r="W18" s="1049"/>
      <c r="X18" s="1049"/>
      <c r="Y18" s="1049"/>
      <c r="Z18" s="1065"/>
      <c r="AA18" s="1065" t="e">
        <v>#N/A</v>
      </c>
      <c r="AB18" s="1065" t="e">
        <v>#N/A</v>
      </c>
      <c r="AC18" s="1065" t="e">
        <v>#N/A</v>
      </c>
      <c r="AD18" s="1065" t="e">
        <v>#N/A</v>
      </c>
    </row>
  </sheetData>
  <autoFilter ref="A8:AD18"/>
  <mergeCells count="32">
    <mergeCell ref="A4:Q4"/>
    <mergeCell ref="R4:T4"/>
    <mergeCell ref="A1:T1"/>
    <mergeCell ref="O2:T2"/>
    <mergeCell ref="O3:T3"/>
    <mergeCell ref="A2:N2"/>
    <mergeCell ref="A3:N3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L5:N5"/>
    <mergeCell ref="L6:L7"/>
    <mergeCell ref="M6:N6"/>
    <mergeCell ref="B6:B7"/>
    <mergeCell ref="C6:C7"/>
    <mergeCell ref="E6:E7"/>
    <mergeCell ref="F6:F7"/>
    <mergeCell ref="G6:G7"/>
    <mergeCell ref="S6:S7"/>
    <mergeCell ref="T6:T7"/>
    <mergeCell ref="O5:Q5"/>
    <mergeCell ref="R5:R7"/>
    <mergeCell ref="S5:T5"/>
    <mergeCell ref="O6:O7"/>
    <mergeCell ref="P6:P7"/>
    <mergeCell ref="Q6:Q7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644" t="s">
        <v>4465</v>
      </c>
      <c r="B1" s="2644"/>
      <c r="C1" s="2644"/>
      <c r="D1" s="2644"/>
      <c r="E1" s="2644"/>
      <c r="F1" s="2644"/>
      <c r="G1" s="2644"/>
      <c r="H1" s="2644"/>
      <c r="I1" s="2644"/>
    </row>
    <row r="2" spans="1:9" ht="47.25" customHeight="1">
      <c r="A2" s="2624" t="e">
        <f>"Tên công trình: "&amp;Solieu!#REF!</f>
        <v>#REF!</v>
      </c>
      <c r="B2" s="2624"/>
      <c r="C2" s="2624"/>
      <c r="D2" s="2624"/>
      <c r="E2" s="2624"/>
      <c r="F2" s="2624"/>
      <c r="G2" s="2627" t="str">
        <f>"Đơn vị thi công: "&amp;Solieu!C9</f>
        <v>Đơn vị thi công: 18</v>
      </c>
      <c r="H2" s="2628"/>
      <c r="I2" s="2629"/>
    </row>
    <row r="3" spans="1:9" ht="31.5" customHeight="1">
      <c r="A3" s="2624" t="s">
        <v>4491</v>
      </c>
      <c r="B3" s="2624"/>
      <c r="C3" s="2624"/>
      <c r="D3" s="2624"/>
      <c r="E3" s="2624"/>
      <c r="F3" s="2624"/>
      <c r="G3" s="2645" t="s">
        <v>4404</v>
      </c>
      <c r="H3" s="2645"/>
      <c r="I3" s="2645"/>
    </row>
    <row r="4" spans="1:9" ht="15.6">
      <c r="A4" s="2624" t="s">
        <v>4405</v>
      </c>
      <c r="B4" s="2624"/>
      <c r="C4" s="2624"/>
      <c r="D4" s="2624"/>
      <c r="E4" s="2624"/>
      <c r="F4" s="2624"/>
      <c r="G4" s="2624"/>
      <c r="H4" s="2624"/>
      <c r="I4" s="2624"/>
    </row>
    <row r="5" spans="1:9" s="936" customFormat="1" ht="21" customHeight="1">
      <c r="A5" s="2626" t="s">
        <v>4406</v>
      </c>
      <c r="B5" s="2626" t="s">
        <v>4466</v>
      </c>
      <c r="C5" s="2626"/>
      <c r="D5" s="2626"/>
      <c r="E5" s="2626" t="s">
        <v>4467</v>
      </c>
      <c r="F5" s="2626"/>
      <c r="G5" s="2626" t="s">
        <v>4448</v>
      </c>
      <c r="H5" s="2626" t="s">
        <v>4411</v>
      </c>
      <c r="I5" s="2626"/>
    </row>
    <row r="6" spans="1:9" s="936" customFormat="1" ht="21" customHeight="1">
      <c r="A6" s="2626"/>
      <c r="B6" s="1045" t="s">
        <v>4468</v>
      </c>
      <c r="C6" s="2626" t="s">
        <v>4469</v>
      </c>
      <c r="D6" s="2626" t="s">
        <v>4395</v>
      </c>
      <c r="E6" s="2626" t="s">
        <v>4470</v>
      </c>
      <c r="F6" s="2626" t="s">
        <v>4471</v>
      </c>
      <c r="G6" s="2626"/>
      <c r="H6" s="2626" t="s">
        <v>4462</v>
      </c>
      <c r="I6" s="2626" t="s">
        <v>4463</v>
      </c>
    </row>
    <row r="7" spans="1:9" s="936" customFormat="1" ht="21" customHeight="1">
      <c r="A7" s="2626"/>
      <c r="B7" s="1045" t="s">
        <v>4472</v>
      </c>
      <c r="C7" s="2626"/>
      <c r="D7" s="2626"/>
      <c r="E7" s="2626"/>
      <c r="F7" s="2626"/>
      <c r="G7" s="2626"/>
      <c r="H7" s="2626"/>
      <c r="I7" s="2626"/>
    </row>
    <row r="8" spans="1:9" s="936" customFormat="1" ht="15.6">
      <c r="A8" s="967" t="str">
        <f>"("&amp;COLUMN()&amp;")"</f>
        <v>(1)</v>
      </c>
      <c r="B8" s="967" t="str">
        <f t="shared" ref="B8:I8" si="0">"("&amp;COLUMN()&amp;")"</f>
        <v>(2)</v>
      </c>
      <c r="C8" s="967" t="str">
        <f t="shared" si="0"/>
        <v>(3)</v>
      </c>
      <c r="D8" s="967" t="str">
        <f t="shared" si="0"/>
        <v>(4)</v>
      </c>
      <c r="E8" s="967" t="str">
        <f t="shared" si="0"/>
        <v>(5)</v>
      </c>
      <c r="F8" s="967" t="str">
        <f t="shared" si="0"/>
        <v>(6)</v>
      </c>
      <c r="G8" s="967" t="str">
        <f t="shared" si="0"/>
        <v>(7)</v>
      </c>
      <c r="H8" s="967" t="str">
        <f t="shared" si="0"/>
        <v>(8)</v>
      </c>
      <c r="I8" s="967" t="str">
        <f t="shared" si="0"/>
        <v>(9)</v>
      </c>
    </row>
    <row r="9" spans="1:9" ht="47.25" customHeight="1">
      <c r="A9" s="1019"/>
      <c r="B9" s="1017" t="e">
        <f>Solieu!#REF!</f>
        <v>#REF!</v>
      </c>
      <c r="C9" s="1018" t="e">
        <f>Solieu!#REF!&amp;"m"</f>
        <v>#REF!</v>
      </c>
      <c r="D9" s="1017">
        <f>Solieu!C71</f>
        <v>0</v>
      </c>
      <c r="E9" s="1017">
        <f>D9</f>
        <v>0</v>
      </c>
      <c r="F9" s="1017">
        <v>0</v>
      </c>
      <c r="G9" s="1017"/>
      <c r="H9" s="1019"/>
      <c r="I9" s="1019"/>
    </row>
    <row r="10" spans="1:9" ht="47.25" customHeight="1">
      <c r="A10" s="2641" t="s">
        <v>4473</v>
      </c>
      <c r="B10" s="2641"/>
      <c r="C10" s="2642" t="e">
        <f>C9</f>
        <v>#REF!</v>
      </c>
      <c r="D10" s="2643"/>
      <c r="E10" s="2643"/>
      <c r="F10" s="2643"/>
      <c r="G10" s="2643"/>
      <c r="H10" s="2643"/>
      <c r="I10" s="2643"/>
    </row>
  </sheetData>
  <mergeCells count="20">
    <mergeCell ref="A4:F4"/>
    <mergeCell ref="G4:I4"/>
    <mergeCell ref="A1:I1"/>
    <mergeCell ref="A2:F2"/>
    <mergeCell ref="G2:I2"/>
    <mergeCell ref="A3:F3"/>
    <mergeCell ref="G3:I3"/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0"/>
  <sheetViews>
    <sheetView topLeftCell="B1" workbookViewId="0">
      <selection activeCell="M13" sqref="M13"/>
    </sheetView>
  </sheetViews>
  <sheetFormatPr defaultRowHeight="16.8"/>
  <cols>
    <col min="2" max="2" width="16.453125" style="1178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1" width="10.08984375" bestFit="1" customWidth="1"/>
    <col min="16" max="16" width="12.6328125" customWidth="1"/>
  </cols>
  <sheetData>
    <row r="1" spans="2:23" ht="22.5" customHeight="1">
      <c r="D1" s="1073" t="s">
        <v>3978</v>
      </c>
      <c r="I1">
        <v>4</v>
      </c>
      <c r="N1">
        <f>HLOOKUP(N3,'bkt-DuToan'!1:2,2,0)</f>
        <v>37</v>
      </c>
      <c r="O1" s="1516">
        <f>HLOOKUP(O3,'bkt-DuToan'!1:2,2,0)</f>
        <v>40</v>
      </c>
      <c r="P1" s="1516">
        <f>HLOOKUP(P3,'bkt-DuToan'!1:2,2,0)</f>
        <v>10</v>
      </c>
      <c r="Q1" s="1516">
        <f>HLOOKUP(Q3,'bkt-DuToan'!1:2,2,0)</f>
        <v>15</v>
      </c>
      <c r="R1" s="1516">
        <f>HLOOKUP(R3,'bkt-DuToan'!1:2,2,0)</f>
        <v>7</v>
      </c>
      <c r="S1" s="1516">
        <f>HLOOKUP(S3,'bkt-DuToan'!1:2,2,0)</f>
        <v>3</v>
      </c>
      <c r="T1" s="1516">
        <f>HLOOKUP(T3,'bkt-DuToan'!1:2,2,0)</f>
        <v>2</v>
      </c>
      <c r="U1" s="1516">
        <f>HLOOKUP(U3,'bkt-DuToan'!1:2,2,0)</f>
        <v>2</v>
      </c>
      <c r="V1" s="1516">
        <f>HLOOKUP(V3,'bkt-DuToan'!1:2,2,0)</f>
        <v>1</v>
      </c>
      <c r="W1" s="1516">
        <f>HLOOKUP(W3,'bkt-DuToan'!1:2,2,0)</f>
        <v>2</v>
      </c>
    </row>
    <row r="2" spans="2:23">
      <c r="N2">
        <f>SUM(N4:N5)</f>
        <v>23</v>
      </c>
      <c r="O2" s="1516">
        <f t="shared" ref="O2:W2" si="0">SUM(O4:O6)</f>
        <v>40</v>
      </c>
      <c r="P2" s="1516">
        <f t="shared" si="0"/>
        <v>10</v>
      </c>
      <c r="Q2" s="1516">
        <f t="shared" si="0"/>
        <v>15</v>
      </c>
      <c r="R2" s="1516">
        <f t="shared" si="0"/>
        <v>7</v>
      </c>
      <c r="S2" s="1516">
        <f t="shared" si="0"/>
        <v>3</v>
      </c>
      <c r="T2" s="1516">
        <f t="shared" si="0"/>
        <v>2</v>
      </c>
      <c r="U2" s="1516">
        <f t="shared" si="0"/>
        <v>2</v>
      </c>
      <c r="V2" s="1516">
        <f t="shared" si="0"/>
        <v>103</v>
      </c>
      <c r="W2" s="1516">
        <f t="shared" si="0"/>
        <v>2</v>
      </c>
    </row>
    <row r="3" spans="2:23" ht="33.6">
      <c r="C3" s="1735" t="s">
        <v>1761</v>
      </c>
      <c r="D3" s="1735" t="s">
        <v>5382</v>
      </c>
      <c r="E3" s="1736" t="s">
        <v>4396</v>
      </c>
      <c r="F3" s="1736" t="s">
        <v>4308</v>
      </c>
      <c r="G3" s="1735" t="s">
        <v>4389</v>
      </c>
      <c r="H3" s="1735" t="s">
        <v>4307</v>
      </c>
      <c r="I3" s="1740" t="s">
        <v>515</v>
      </c>
      <c r="J3" s="1813"/>
      <c r="K3" s="1813"/>
      <c r="N3" t="str">
        <f>'bkt-DuToan'!O4</f>
        <v>M12</v>
      </c>
      <c r="O3" t="str">
        <f>'bkt-DuToan'!P4</f>
        <v>M12a</v>
      </c>
      <c r="P3" t="str">
        <f>'bkt-DuToan'!Q4</f>
        <v>M12BT ĐÔI</v>
      </c>
      <c r="Q3" t="str">
        <f>'bkt-DuToan'!R4</f>
        <v>M14a</v>
      </c>
      <c r="R3" t="str">
        <f>'bkt-DuToan'!S4</f>
        <v>CX12-B</v>
      </c>
      <c r="S3" t="str">
        <f>'bkt-DuToan'!T4</f>
        <v>CL12-B</v>
      </c>
      <c r="T3" t="str">
        <f>'bkt-DuToan'!U4</f>
        <v>CX14-B</v>
      </c>
      <c r="U3" t="str">
        <f>'bkt-DuToan'!V4</f>
        <v>CXX14-B</v>
      </c>
      <c r="V3" t="str">
        <f>'bkt-DuToan'!W4</f>
        <v>CK-B</v>
      </c>
      <c r="W3" t="str">
        <f>'bkt-DuToan'!X4</f>
        <v>NXX</v>
      </c>
    </row>
    <row r="4" spans="2:23" ht="18" customHeight="1">
      <c r="B4" s="1178" t="s">
        <v>87</v>
      </c>
      <c r="C4" s="1737">
        <f>SUM($I$4:I4)</f>
        <v>0</v>
      </c>
      <c r="D4" s="1739" t="e">
        <f>"Đào móng trụ "&amp;VLOOKUP(B4,ChiTietDuToan!C:F,4,0)&amp;" tại các vị trí: "&amp;HLOOKUP(B4,$3:$7,$I$1,0)</f>
        <v>#N/A</v>
      </c>
      <c r="E4" s="1741">
        <f>SUMIF(ChiTietDuToan!C:C,'2Mong'!B4,ChiTietDuToan!J:J)</f>
        <v>0</v>
      </c>
      <c r="F4" s="1741">
        <f t="shared" ref="F4:F35" si="1">IFERROR(HLOOKUP(B4,$3:$7,$I$1,0),0)</f>
        <v>0</v>
      </c>
      <c r="G4" s="1741" t="str">
        <f>VLOOKUP($D$1,Solieu!B:C,2,0)</f>
        <v>19, 20, 22, 26</v>
      </c>
      <c r="H4" s="1738"/>
      <c r="I4" t="str">
        <f>IFERROR(IF(OR(E4&gt;0,F4&gt;0),1,""),"")</f>
        <v/>
      </c>
      <c r="J4" s="2387"/>
      <c r="M4" s="2387">
        <v>43720</v>
      </c>
      <c r="N4">
        <f>SUMIF('bkt-DuToan'!$CZ:$CZ,1,'bkt-DuToan'!O:O)</f>
        <v>23</v>
      </c>
      <c r="O4" s="1516">
        <f>SUMIF('bkt-DuToan'!$CZ:$CZ,1,'bkt-DuToan'!P:P)</f>
        <v>23</v>
      </c>
      <c r="P4" s="1516">
        <f>SUMIF('bkt-DuToan'!$CZ:$CZ,1,'bkt-DuToan'!Q:Q)</f>
        <v>7</v>
      </c>
      <c r="Q4" s="1516">
        <f>SUMIF('bkt-DuToan'!$CZ:$CZ,1,'bkt-DuToan'!R:R)</f>
        <v>6</v>
      </c>
      <c r="R4" s="1516">
        <f>SUMIF('bkt-DuToan'!$CZ:$CZ,1,'bkt-DuToan'!S:S)</f>
        <v>5</v>
      </c>
      <c r="S4" s="1516">
        <f>SUMIF('bkt-DuToan'!$CZ:$CZ,1,'bkt-DuToan'!T:T)</f>
        <v>2</v>
      </c>
      <c r="T4" s="1516">
        <f>SUMIF('bkt-DuToan'!$CZ:$CZ,1,'bkt-DuToan'!U:U)</f>
        <v>0</v>
      </c>
      <c r="U4" s="1516">
        <f>SUMIF('bkt-DuToan'!$CZ:$CZ,1,'bkt-DuToan'!V:V)</f>
        <v>0</v>
      </c>
      <c r="V4" s="1516">
        <f>SUMIF('bkt-DuToan'!$CZ:$CZ,1,'bkt-DuToan'!W:W)</f>
        <v>1</v>
      </c>
      <c r="W4" s="1516">
        <f>SUMIF('bkt-DuToan'!$CZ:$CZ,1,'bkt-DuToan'!X:X)</f>
        <v>0</v>
      </c>
    </row>
    <row r="5" spans="2:23" ht="18" customHeight="1">
      <c r="B5" s="1178" t="s">
        <v>102</v>
      </c>
      <c r="C5" s="1737">
        <f>SUM($I$4:I5)</f>
        <v>0</v>
      </c>
      <c r="D5" s="1739" t="e">
        <f>"Đào móng trụ "&amp;VLOOKUP(B5,ChiTietDuToan!C:F,4,0)&amp;" tại các vị trí: "&amp;HLOOKUP(B5,$3:$7,$I$1,0)</f>
        <v>#N/A</v>
      </c>
      <c r="E5" s="1741">
        <f>SUMIF(ChiTietDuToan!C:C,'2Mong'!B5,ChiTietDuToan!J:J)</f>
        <v>0</v>
      </c>
      <c r="F5" s="1741">
        <f t="shared" si="1"/>
        <v>0</v>
      </c>
      <c r="G5" s="1741" t="str">
        <f>VLOOKUP($D$1,Solieu!B:C,2,0)</f>
        <v>19, 20, 22, 26</v>
      </c>
      <c r="H5" s="1738"/>
      <c r="I5" s="1516" t="str">
        <f t="shared" ref="I5:I68" si="2">IFERROR(IF(OR(E5&gt;0,F5&gt;0),1,""),"")</f>
        <v/>
      </c>
      <c r="J5" s="1516"/>
      <c r="N5" s="1851" t="s">
        <v>5380</v>
      </c>
      <c r="O5" s="1851" t="s">
        <v>5386</v>
      </c>
      <c r="P5" s="1851" t="s">
        <v>5390</v>
      </c>
      <c r="Q5" s="1851" t="s">
        <v>5388</v>
      </c>
      <c r="R5" s="1851" t="s">
        <v>5392</v>
      </c>
      <c r="S5" s="1851" t="s">
        <v>5394</v>
      </c>
      <c r="T5" s="1851"/>
      <c r="U5" s="1851"/>
      <c r="V5" s="1851">
        <v>102</v>
      </c>
      <c r="W5" s="1851"/>
    </row>
    <row r="6" spans="2:23" ht="18" customHeight="1">
      <c r="B6" s="1178" t="s">
        <v>770</v>
      </c>
      <c r="C6" s="1737">
        <f>SUM($I$4:I6)</f>
        <v>0</v>
      </c>
      <c r="D6" s="1739" t="e">
        <f>"Đào móng trụ "&amp;VLOOKUP(B6,ChiTietDuToan!C:F,4,0)&amp;" tại các vị trí: "&amp;HLOOKUP(B6,$3:$7,$I$1,0)</f>
        <v>#N/A</v>
      </c>
      <c r="E6" s="1741">
        <f>SUMIF(ChiTietDuToan!C:C,'2Mong'!B6,ChiTietDuToan!J:J)</f>
        <v>0</v>
      </c>
      <c r="F6" s="1741">
        <f t="shared" si="1"/>
        <v>0</v>
      </c>
      <c r="G6" s="1741" t="str">
        <f>VLOOKUP($D$1,Solieu!B:C,2,0)</f>
        <v>19, 20, 22, 26</v>
      </c>
      <c r="H6" s="1738"/>
      <c r="I6" s="1516" t="str">
        <f t="shared" si="2"/>
        <v/>
      </c>
      <c r="J6" s="1516"/>
      <c r="M6" s="2387">
        <v>43741</v>
      </c>
      <c r="N6" s="1851">
        <f>SUMIF('bkt-DuToan'!$DA:$DA,1,'bkt-DuToan'!O:O)</f>
        <v>14</v>
      </c>
      <c r="O6" s="1851">
        <f>SUMIF('bkt-DuToan'!$DA:$DA,1,'bkt-DuToan'!P:P)</f>
        <v>17</v>
      </c>
      <c r="P6" s="1851">
        <f>SUMIF('bkt-DuToan'!$DA:$DA,1,'bkt-DuToan'!Q:Q)</f>
        <v>3</v>
      </c>
      <c r="Q6" s="1851">
        <f>SUMIF('bkt-DuToan'!$DA:$DA,1,'bkt-DuToan'!R:R)</f>
        <v>9</v>
      </c>
      <c r="R6" s="1851">
        <f>SUMIF('bkt-DuToan'!$DA:$DA,1,'bkt-DuToan'!S:S)</f>
        <v>2</v>
      </c>
      <c r="S6" s="1851">
        <f>SUMIF('bkt-DuToan'!$DA:$DA,1,'bkt-DuToan'!T:T)</f>
        <v>1</v>
      </c>
      <c r="T6" s="1851">
        <f>SUMIF('bkt-DuToan'!$DA:$DA,1,'bkt-DuToan'!U:U)</f>
        <v>2</v>
      </c>
      <c r="U6" s="1851">
        <f>SUMIF('bkt-DuToan'!$DA:$DA,1,'bkt-DuToan'!V:V)</f>
        <v>2</v>
      </c>
      <c r="V6" s="1851">
        <f>SUMIF('bkt-DuToan'!$DA:$DA,1,'bkt-DuToan'!W:W)</f>
        <v>0</v>
      </c>
      <c r="W6" s="1851">
        <f>SUMIF('bkt-DuToan'!$DA:$DA,1,'bkt-DuToan'!X:X)</f>
        <v>2</v>
      </c>
    </row>
    <row r="7" spans="2:23" s="1516" customFormat="1" ht="18" customHeight="1">
      <c r="B7" s="1178" t="s">
        <v>769</v>
      </c>
      <c r="C7" s="1737">
        <f>SUM($I$4:I7)</f>
        <v>0</v>
      </c>
      <c r="D7" s="1739" t="e">
        <f>"Đào móng trụ "&amp;VLOOKUP(B7,ChiTietDuToan!C:F,4,0)&amp;" tại các vị trí: "&amp;HLOOKUP(B7,$3:$7,$I$1,0)</f>
        <v>#N/A</v>
      </c>
      <c r="E7" s="1741">
        <f>SUMIF(ChiTietDuToan!C:C,'2Mong'!B7,ChiTietDuToan!J:J)</f>
        <v>0</v>
      </c>
      <c r="F7" s="1741">
        <f t="shared" si="1"/>
        <v>0</v>
      </c>
      <c r="G7" s="1741" t="str">
        <f>VLOOKUP($D$1,Solieu!B:C,2,0)</f>
        <v>19, 20, 22, 26</v>
      </c>
      <c r="H7" s="1738"/>
      <c r="I7" s="1516" t="str">
        <f t="shared" si="2"/>
        <v/>
      </c>
      <c r="N7" s="1851" t="s">
        <v>5381</v>
      </c>
      <c r="O7" s="1851" t="s">
        <v>5387</v>
      </c>
      <c r="P7" s="1851" t="s">
        <v>5391</v>
      </c>
      <c r="Q7" s="1851" t="s">
        <v>5389</v>
      </c>
      <c r="R7" s="1851" t="s">
        <v>5393</v>
      </c>
      <c r="S7" s="1851">
        <v>167</v>
      </c>
      <c r="T7" s="1851">
        <v>150</v>
      </c>
      <c r="U7" s="1851">
        <v>171</v>
      </c>
      <c r="V7" s="1851"/>
      <c r="W7" s="1851">
        <v>171</v>
      </c>
    </row>
    <row r="8" spans="2:23" s="1516" customFormat="1" ht="18" customHeight="1">
      <c r="B8" s="1178" t="s">
        <v>446</v>
      </c>
      <c r="C8" s="1737">
        <f>SUM($I$4:I8)</f>
        <v>0</v>
      </c>
      <c r="D8" s="1739" t="e">
        <f>"Đào móng trụ "&amp;VLOOKUP(B8,ChiTietDuToan!C:F,4,0)&amp;" tại các vị trí: "&amp;HLOOKUP(B8,$3:$7,$I$1,0)</f>
        <v>#N/A</v>
      </c>
      <c r="E8" s="1741">
        <f>SUMIF(ChiTietDuToan!C:C,'2Mong'!B8,ChiTietDuToan!J:J)</f>
        <v>0</v>
      </c>
      <c r="F8" s="1741">
        <f t="shared" si="1"/>
        <v>0</v>
      </c>
      <c r="G8" s="1741" t="str">
        <f>VLOOKUP($D$1,Solieu!B:C,2,0)</f>
        <v>19, 20, 22, 26</v>
      </c>
      <c r="H8" s="1738"/>
      <c r="I8" s="1516" t="str">
        <f t="shared" si="2"/>
        <v/>
      </c>
    </row>
    <row r="9" spans="2:23" s="1516" customFormat="1" ht="18" customHeight="1">
      <c r="B9" s="1178" t="s">
        <v>447</v>
      </c>
      <c r="C9" s="1737">
        <f>SUM($I$4:I9)</f>
        <v>0</v>
      </c>
      <c r="D9" s="1739" t="e">
        <f>"Đào móng trụ "&amp;VLOOKUP(B9,ChiTietDuToan!C:F,4,0)&amp;" tại các vị trí: "&amp;HLOOKUP(B9,$3:$7,$I$1,0)</f>
        <v>#N/A</v>
      </c>
      <c r="E9" s="1741">
        <f>SUMIF(ChiTietDuToan!C:C,'2Mong'!B9,ChiTietDuToan!J:J)</f>
        <v>0</v>
      </c>
      <c r="F9" s="1741">
        <f t="shared" si="1"/>
        <v>0</v>
      </c>
      <c r="G9" s="1741" t="str">
        <f>VLOOKUP($D$1,Solieu!B:C,2,0)</f>
        <v>19, 20, 22, 26</v>
      </c>
      <c r="H9" s="1738"/>
      <c r="I9" s="1516" t="str">
        <f t="shared" si="2"/>
        <v/>
      </c>
    </row>
    <row r="10" spans="2:23" s="1516" customFormat="1" ht="18" customHeight="1">
      <c r="B10" s="1178" t="s">
        <v>988</v>
      </c>
      <c r="C10" s="1737">
        <f>SUM($I$4:I10)</f>
        <v>0</v>
      </c>
      <c r="D10" s="1739" t="e">
        <f>"Đào móng trụ "&amp;VLOOKUP(B10,ChiTietDuToan!C:F,4,0)&amp;" tại các vị trí: "&amp;HLOOKUP(B10,$3:$7,$I$1,0)</f>
        <v>#N/A</v>
      </c>
      <c r="E10" s="1741">
        <f>SUMIF(ChiTietDuToan!C:C,'2Mong'!B10,ChiTietDuToan!J:J)</f>
        <v>0</v>
      </c>
      <c r="F10" s="1741">
        <f t="shared" si="1"/>
        <v>0</v>
      </c>
      <c r="G10" s="1741" t="str">
        <f>VLOOKUP($D$1,Solieu!B:C,2,0)</f>
        <v>19, 20, 22, 26</v>
      </c>
      <c r="H10" s="1738"/>
      <c r="I10" s="1516" t="str">
        <f t="shared" si="2"/>
        <v/>
      </c>
    </row>
    <row r="11" spans="2:23" s="1516" customFormat="1" ht="18" customHeight="1">
      <c r="B11" s="1178" t="s">
        <v>2238</v>
      </c>
      <c r="C11" s="1737">
        <f>SUM($I$4:I11)</f>
        <v>0</v>
      </c>
      <c r="D11" s="1739" t="e">
        <f>"Đào móng trụ "&amp;VLOOKUP(B11,ChiTietDuToan!C:F,4,0)&amp;" tại các vị trí: "&amp;HLOOKUP(B11,$3:$7,$I$1,0)</f>
        <v>#N/A</v>
      </c>
      <c r="E11" s="1741">
        <f>SUMIF(ChiTietDuToan!C:C,'2Mong'!B11,ChiTietDuToan!J:J)</f>
        <v>0</v>
      </c>
      <c r="F11" s="1741">
        <f t="shared" si="1"/>
        <v>0</v>
      </c>
      <c r="G11" s="1741" t="str">
        <f>VLOOKUP($D$1,Solieu!B:C,2,0)</f>
        <v>19, 20, 22, 26</v>
      </c>
      <c r="H11" s="1738"/>
      <c r="I11" s="1516" t="str">
        <f t="shared" si="2"/>
        <v/>
      </c>
    </row>
    <row r="12" spans="2:23" s="1516" customFormat="1" ht="18" customHeight="1">
      <c r="B12" s="1178" t="s">
        <v>2378</v>
      </c>
      <c r="C12" s="1737">
        <f>SUM($I$4:I12)</f>
        <v>0</v>
      </c>
      <c r="D12" s="1739" t="e">
        <f>"Đào móng trụ "&amp;VLOOKUP(B12,ChiTietDuToan!C:F,4,0)&amp;" tại các vị trí: "&amp;HLOOKUP(B12,$3:$7,$I$1,0)</f>
        <v>#N/A</v>
      </c>
      <c r="E12" s="1741">
        <f>SUMIF(ChiTietDuToan!C:C,'2Mong'!B12,ChiTietDuToan!J:J)</f>
        <v>0</v>
      </c>
      <c r="F12" s="1741">
        <f t="shared" si="1"/>
        <v>0</v>
      </c>
      <c r="G12" s="1741" t="str">
        <f>VLOOKUP($D$1,Solieu!B:C,2,0)</f>
        <v>19, 20, 22, 26</v>
      </c>
      <c r="H12" s="1738"/>
      <c r="I12" s="1516" t="str">
        <f t="shared" si="2"/>
        <v/>
      </c>
    </row>
    <row r="13" spans="2:23" s="1516" customFormat="1" ht="18" customHeight="1">
      <c r="B13" s="1178" t="s">
        <v>4241</v>
      </c>
      <c r="C13" s="1737">
        <f>SUM($I$4:I13)</f>
        <v>0</v>
      </c>
      <c r="D13" s="1739" t="e">
        <f>"Đào móng trụ "&amp;VLOOKUP(B13,ChiTietDuToan!C:F,4,0)&amp;" tại các vị trí: "&amp;HLOOKUP(B13,$3:$7,$I$1,0)</f>
        <v>#N/A</v>
      </c>
      <c r="E13" s="1741">
        <f>SUMIF(ChiTietDuToan!C:C,'2Mong'!B13,ChiTietDuToan!J:J)</f>
        <v>0</v>
      </c>
      <c r="F13" s="1741">
        <f t="shared" si="1"/>
        <v>0</v>
      </c>
      <c r="G13" s="1741" t="str">
        <f>VLOOKUP($D$1,Solieu!B:C,2,0)</f>
        <v>19, 20, 22, 26</v>
      </c>
      <c r="H13" s="1738"/>
      <c r="I13" s="1516" t="str">
        <f t="shared" si="2"/>
        <v/>
      </c>
    </row>
    <row r="14" spans="2:23" s="1516" customFormat="1" ht="18" customHeight="1">
      <c r="B14" s="1178" t="s">
        <v>235</v>
      </c>
      <c r="C14" s="1737">
        <f>SUM($I$4:I14)</f>
        <v>0</v>
      </c>
      <c r="D14" s="1739" t="e">
        <f>"Đào móng trụ "&amp;VLOOKUP(B14,ChiTietDuToan!C:F,4,0)&amp;" tại các vị trí: "&amp;HLOOKUP(B14,$3:$7,$I$1,0)</f>
        <v>#N/A</v>
      </c>
      <c r="E14" s="1741">
        <f>SUMIF(ChiTietDuToan!C:C,'2Mong'!B14,ChiTietDuToan!J:J)</f>
        <v>0</v>
      </c>
      <c r="F14" s="1741">
        <f t="shared" si="1"/>
        <v>0</v>
      </c>
      <c r="G14" s="1741" t="str">
        <f>VLOOKUP($D$1,Solieu!B:C,2,0)</f>
        <v>19, 20, 22, 26</v>
      </c>
      <c r="H14" s="1738"/>
      <c r="I14" s="1516" t="str">
        <f t="shared" si="2"/>
        <v/>
      </c>
    </row>
    <row r="15" spans="2:23" ht="18" customHeight="1">
      <c r="B15" s="1178" t="s">
        <v>2239</v>
      </c>
      <c r="C15" s="1737">
        <f>SUM($I$4:I15)</f>
        <v>0</v>
      </c>
      <c r="D15" s="1739" t="e">
        <f>"Đào móng trụ "&amp;VLOOKUP(B15,ChiTietDuToan!C:F,4,0)&amp;" tại các vị trí: "&amp;HLOOKUP(B15,$3:$7,$I$1,0)</f>
        <v>#N/A</v>
      </c>
      <c r="E15" s="1741">
        <f>SUMIF(ChiTietDuToan!C:C,'2Mong'!B15,ChiTietDuToan!J:J)</f>
        <v>0</v>
      </c>
      <c r="F15" s="1741">
        <f t="shared" si="1"/>
        <v>0</v>
      </c>
      <c r="G15" s="1741" t="str">
        <f>VLOOKUP($D$1,Solieu!B:C,2,0)</f>
        <v>19, 20, 22, 26</v>
      </c>
      <c r="H15" s="1738"/>
      <c r="I15" s="1516" t="str">
        <f t="shared" si="2"/>
        <v/>
      </c>
      <c r="J15" s="1516"/>
    </row>
    <row r="16" spans="2:23" ht="18" customHeight="1">
      <c r="B16" s="1178" t="s">
        <v>949</v>
      </c>
      <c r="C16" s="1737">
        <f>SUM($I$4:I16)</f>
        <v>0</v>
      </c>
      <c r="D16" s="1739" t="e">
        <f>"Đào móng trụ "&amp;VLOOKUP(B16,ChiTietDuToan!C:F,4,0)&amp;" tại các vị trí: "&amp;HLOOKUP(B16,$3:$7,$I$1,0)</f>
        <v>#N/A</v>
      </c>
      <c r="E16" s="1741">
        <f>SUMIF(ChiTietDuToan!C:C,'2Mong'!B16,ChiTietDuToan!J:J)</f>
        <v>0</v>
      </c>
      <c r="F16" s="1741">
        <f t="shared" si="1"/>
        <v>0</v>
      </c>
      <c r="G16" s="1741" t="str">
        <f>VLOOKUP($D$1,Solieu!B:C,2,0)</f>
        <v>19, 20, 22, 26</v>
      </c>
      <c r="H16" s="1738"/>
      <c r="I16" s="1516" t="str">
        <f t="shared" si="2"/>
        <v/>
      </c>
      <c r="J16" s="1516"/>
    </row>
    <row r="17" spans="2:10" ht="18" customHeight="1">
      <c r="B17" s="1178" t="s">
        <v>950</v>
      </c>
      <c r="C17" s="1737">
        <f>SUM($I$4:I17)</f>
        <v>0</v>
      </c>
      <c r="D17" s="1739" t="e">
        <f>"Đào móng trụ "&amp;VLOOKUP(B17,ChiTietDuToan!C:F,4,0)&amp;" tại các vị trí: "&amp;HLOOKUP(B17,$3:$7,$I$1,0)</f>
        <v>#N/A</v>
      </c>
      <c r="E17" s="1741">
        <f>SUMIF(ChiTietDuToan!C:C,'2Mong'!B17,ChiTietDuToan!J:J)</f>
        <v>0</v>
      </c>
      <c r="F17" s="1741">
        <f t="shared" si="1"/>
        <v>0</v>
      </c>
      <c r="G17" s="1741" t="str">
        <f>VLOOKUP($D$1,Solieu!B:C,2,0)</f>
        <v>19, 20, 22, 26</v>
      </c>
      <c r="H17" s="1738"/>
      <c r="I17" s="1516" t="str">
        <f t="shared" si="2"/>
        <v/>
      </c>
      <c r="J17" s="1516"/>
    </row>
    <row r="18" spans="2:10" ht="18" customHeight="1">
      <c r="B18" s="1178" t="s">
        <v>2240</v>
      </c>
      <c r="C18" s="1737">
        <f>SUM($I$4:I18)</f>
        <v>0</v>
      </c>
      <c r="D18" s="1739" t="e">
        <f>"Đào móng trụ "&amp;VLOOKUP(B18,ChiTietDuToan!C:F,4,0)&amp;" tại các vị trí: "&amp;HLOOKUP(B18,$3:$7,$I$1,0)</f>
        <v>#N/A</v>
      </c>
      <c r="E18" s="1741">
        <f>SUMIF(ChiTietDuToan!C:C,'2Mong'!B18,ChiTietDuToan!J:J)</f>
        <v>0</v>
      </c>
      <c r="F18" s="1741">
        <f t="shared" si="1"/>
        <v>0</v>
      </c>
      <c r="G18" s="1741" t="str">
        <f>VLOOKUP($D$1,Solieu!B:C,2,0)</f>
        <v>19, 20, 22, 26</v>
      </c>
      <c r="H18" s="1738"/>
      <c r="I18" s="1516" t="str">
        <f t="shared" si="2"/>
        <v/>
      </c>
      <c r="J18" s="1516"/>
    </row>
    <row r="19" spans="2:10" ht="18" customHeight="1">
      <c r="B19" s="1178" t="s">
        <v>12</v>
      </c>
      <c r="C19" s="1737">
        <f>SUM($I$4:I19)</f>
        <v>0</v>
      </c>
      <c r="D19" s="1739" t="e">
        <f>"Đào móng trụ "&amp;VLOOKUP(B19,ChiTietDuToan!C:F,4,0)&amp;" tại các vị trí: "&amp;HLOOKUP(B19,$3:$7,$I$1,0)</f>
        <v>#N/A</v>
      </c>
      <c r="E19" s="1741">
        <f>SUMIF(ChiTietDuToan!C:C,'2Mong'!B19,ChiTietDuToan!J:J)</f>
        <v>0</v>
      </c>
      <c r="F19" s="1741">
        <f t="shared" si="1"/>
        <v>0</v>
      </c>
      <c r="G19" s="1741" t="str">
        <f>VLOOKUP($D$1,Solieu!B:C,2,0)</f>
        <v>19, 20, 22, 26</v>
      </c>
      <c r="H19" s="1738"/>
      <c r="I19" s="1516" t="str">
        <f t="shared" si="2"/>
        <v/>
      </c>
      <c r="J19" s="1516"/>
    </row>
    <row r="20" spans="2:10" ht="18" customHeight="1">
      <c r="B20" s="1178" t="s">
        <v>702</v>
      </c>
      <c r="C20" s="1737">
        <f>SUM($I$4:I20)</f>
        <v>0</v>
      </c>
      <c r="D20" s="1739" t="e">
        <f>"Đào móng trụ "&amp;VLOOKUP(B20,ChiTietDuToan!C:F,4,0)&amp;" tại các vị trí: "&amp;HLOOKUP(B20,$3:$7,$I$1,0)</f>
        <v>#N/A</v>
      </c>
      <c r="E20" s="1741">
        <f>SUMIF(ChiTietDuToan!C:C,'2Mong'!B20,ChiTietDuToan!J:J)</f>
        <v>0</v>
      </c>
      <c r="F20" s="1741">
        <f t="shared" si="1"/>
        <v>0</v>
      </c>
      <c r="G20" s="1741" t="str">
        <f>VLOOKUP($D$1,Solieu!B:C,2,0)</f>
        <v>19, 20, 22, 26</v>
      </c>
      <c r="H20" s="1738"/>
      <c r="I20" s="1516" t="str">
        <f t="shared" si="2"/>
        <v/>
      </c>
      <c r="J20" s="1516"/>
    </row>
    <row r="21" spans="2:10" ht="18" customHeight="1">
      <c r="B21" s="1178" t="s">
        <v>1024</v>
      </c>
      <c r="C21" s="1737">
        <f>SUM($I$4:I21)</f>
        <v>0</v>
      </c>
      <c r="D21" s="1739" t="e">
        <f>"Đào móng trụ "&amp;VLOOKUP(B21,ChiTietDuToan!C:F,4,0)&amp;" tại các vị trí: "&amp;HLOOKUP(B21,$3:$7,$I$1,0)</f>
        <v>#N/A</v>
      </c>
      <c r="E21" s="1741">
        <f>SUMIF(ChiTietDuToan!C:C,'2Mong'!B21,ChiTietDuToan!J:J)</f>
        <v>0</v>
      </c>
      <c r="F21" s="1741">
        <f t="shared" si="1"/>
        <v>0</v>
      </c>
      <c r="G21" s="1741" t="str">
        <f>VLOOKUP($D$1,Solieu!B:C,2,0)</f>
        <v>19, 20, 22, 26</v>
      </c>
      <c r="H21" s="1738"/>
      <c r="I21" s="1516" t="str">
        <f t="shared" si="2"/>
        <v/>
      </c>
      <c r="J21" s="1516"/>
    </row>
    <row r="22" spans="2:10" ht="18" customHeight="1">
      <c r="B22" s="1178" t="s">
        <v>2366</v>
      </c>
      <c r="C22" s="1737">
        <f>SUM($I$4:I22)</f>
        <v>0</v>
      </c>
      <c r="D22" s="1739" t="e">
        <f>"Đào móng trụ "&amp;VLOOKUP(B22,ChiTietDuToan!C:F,4,0)&amp;" tại các vị trí: "&amp;HLOOKUP(B22,$3:$7,$I$1,0)</f>
        <v>#N/A</v>
      </c>
      <c r="E22" s="1741">
        <f>SUMIF(ChiTietDuToan!C:C,'2Mong'!B22,ChiTietDuToan!J:J)</f>
        <v>0</v>
      </c>
      <c r="F22" s="1741">
        <f t="shared" si="1"/>
        <v>0</v>
      </c>
      <c r="G22" s="1741" t="str">
        <f>VLOOKUP($D$1,Solieu!B:C,2,0)</f>
        <v>19, 20, 22, 26</v>
      </c>
      <c r="H22" s="1738"/>
      <c r="I22" s="1516" t="str">
        <f t="shared" si="2"/>
        <v/>
      </c>
      <c r="J22" s="1516"/>
    </row>
    <row r="23" spans="2:10" ht="18" customHeight="1">
      <c r="B23" s="1178" t="s">
        <v>100</v>
      </c>
      <c r="C23" s="1737">
        <f>SUM($I$4:I23)</f>
        <v>0</v>
      </c>
      <c r="D23" s="1739" t="e">
        <f>"Đào móng trụ "&amp;VLOOKUP(B23,ChiTietDuToan!C:F,4,0)&amp;" tại các vị trí: "&amp;HLOOKUP(B23,$3:$7,$I$1,0)</f>
        <v>#N/A</v>
      </c>
      <c r="E23" s="1741">
        <f>SUMIF(ChiTietDuToan!C:C,'2Mong'!B23,ChiTietDuToan!J:J)</f>
        <v>0</v>
      </c>
      <c r="F23" s="1741">
        <f t="shared" si="1"/>
        <v>0</v>
      </c>
      <c r="G23" s="1741" t="str">
        <f>VLOOKUP($D$1,Solieu!B:C,2,0)</f>
        <v>19, 20, 22, 26</v>
      </c>
      <c r="H23" s="1738"/>
      <c r="I23" s="1516" t="str">
        <f t="shared" si="2"/>
        <v/>
      </c>
      <c r="J23" s="1516"/>
    </row>
    <row r="24" spans="2:10" ht="18" customHeight="1">
      <c r="B24" s="1178" t="s">
        <v>841</v>
      </c>
      <c r="C24" s="1737">
        <f>SUM($I$4:I24)</f>
        <v>0</v>
      </c>
      <c r="D24" s="1739" t="e">
        <f>"Đào móng trụ "&amp;VLOOKUP(B24,ChiTietDuToan!C:F,4,0)&amp;" tại các vị trí: "&amp;HLOOKUP(B24,$3:$7,$I$1,0)</f>
        <v>#N/A</v>
      </c>
      <c r="E24" s="1741">
        <f>SUMIF(ChiTietDuToan!C:C,'2Mong'!B24,ChiTietDuToan!J:J)</f>
        <v>0</v>
      </c>
      <c r="F24" s="1741">
        <f t="shared" si="1"/>
        <v>0</v>
      </c>
      <c r="G24" s="1741" t="str">
        <f>VLOOKUP($D$1,Solieu!B:C,2,0)</f>
        <v>19, 20, 22, 26</v>
      </c>
      <c r="H24" s="1738"/>
      <c r="I24" s="1516" t="str">
        <f t="shared" si="2"/>
        <v/>
      </c>
      <c r="J24" s="1516"/>
    </row>
    <row r="25" spans="2:10" ht="18" customHeight="1">
      <c r="B25" s="1178" t="s">
        <v>842</v>
      </c>
      <c r="C25" s="1737">
        <f>SUM($I$4:I25)</f>
        <v>0</v>
      </c>
      <c r="D25" s="1739" t="e">
        <f>"Đào móng trụ "&amp;VLOOKUP(B25,ChiTietDuToan!C:F,4,0)&amp;" tại các vị trí: "&amp;HLOOKUP(B25,$3:$7,$I$1,0)</f>
        <v>#N/A</v>
      </c>
      <c r="E25" s="1741">
        <f>SUMIF(ChiTietDuToan!C:C,'2Mong'!B25,ChiTietDuToan!J:J)</f>
        <v>0</v>
      </c>
      <c r="F25" s="1741">
        <f t="shared" si="1"/>
        <v>0</v>
      </c>
      <c r="G25" s="1741" t="str">
        <f>VLOOKUP($D$1,Solieu!B:C,2,0)</f>
        <v>19, 20, 22, 26</v>
      </c>
      <c r="H25" s="1738"/>
      <c r="I25" s="1516" t="str">
        <f t="shared" si="2"/>
        <v/>
      </c>
      <c r="J25" s="1516"/>
    </row>
    <row r="26" spans="2:10" ht="18" customHeight="1">
      <c r="B26" s="1178" t="s">
        <v>287</v>
      </c>
      <c r="C26" s="1737">
        <f>SUM($I$4:I26)</f>
        <v>0</v>
      </c>
      <c r="D26" s="1739" t="e">
        <f>"Đào móng trụ "&amp;VLOOKUP(B26,ChiTietDuToan!C:F,4,0)&amp;" tại các vị trí: "&amp;HLOOKUP(B26,$3:$7,$I$1,0)</f>
        <v>#N/A</v>
      </c>
      <c r="E26" s="1741">
        <f>SUMIF(ChiTietDuToan!C:C,'2Mong'!B26,ChiTietDuToan!J:J)</f>
        <v>0</v>
      </c>
      <c r="F26" s="1741">
        <f t="shared" si="1"/>
        <v>0</v>
      </c>
      <c r="G26" s="1741" t="str">
        <f>VLOOKUP($D$1,Solieu!B:C,2,0)</f>
        <v>19, 20, 22, 26</v>
      </c>
      <c r="H26" s="1738"/>
      <c r="I26" s="1516" t="str">
        <f t="shared" si="2"/>
        <v/>
      </c>
      <c r="J26" s="1516"/>
    </row>
    <row r="27" spans="2:10" ht="18" customHeight="1">
      <c r="B27" s="1178" t="s">
        <v>840</v>
      </c>
      <c r="C27" s="1737">
        <f>SUM($I$4:I27)</f>
        <v>0</v>
      </c>
      <c r="D27" s="1739" t="e">
        <f>"Đào móng trụ "&amp;VLOOKUP(B27,ChiTietDuToan!C:F,4,0)&amp;" tại các vị trí: "&amp;HLOOKUP(B27,$3:$7,$I$1,0)</f>
        <v>#N/A</v>
      </c>
      <c r="E27" s="1741">
        <f>SUMIF(ChiTietDuToan!C:C,'2Mong'!B27,ChiTietDuToan!J:J)</f>
        <v>0</v>
      </c>
      <c r="F27" s="1741">
        <f t="shared" si="1"/>
        <v>0</v>
      </c>
      <c r="G27" s="1741" t="str">
        <f>VLOOKUP($D$1,Solieu!B:C,2,0)</f>
        <v>19, 20, 22, 26</v>
      </c>
      <c r="H27" s="1738"/>
      <c r="I27" s="1516" t="str">
        <f t="shared" si="2"/>
        <v/>
      </c>
      <c r="J27" s="1516"/>
    </row>
    <row r="28" spans="2:10" ht="18" customHeight="1">
      <c r="B28" s="1178" t="s">
        <v>768</v>
      </c>
      <c r="C28" s="1737">
        <f>SUM($I$4:I28)</f>
        <v>0</v>
      </c>
      <c r="D28" s="1739" t="e">
        <f>"Đào móng trụ "&amp;VLOOKUP(B28,ChiTietDuToan!C:F,4,0)&amp;" tại các vị trí: "&amp;HLOOKUP(B28,$3:$7,$I$1,0)</f>
        <v>#N/A</v>
      </c>
      <c r="E28" s="1741">
        <f>SUMIF(ChiTietDuToan!C:C,'2Mong'!B28,ChiTietDuToan!J:J)</f>
        <v>0</v>
      </c>
      <c r="F28" s="1741">
        <f t="shared" si="1"/>
        <v>0</v>
      </c>
      <c r="G28" s="1741" t="str">
        <f>VLOOKUP($D$1,Solieu!B:C,2,0)</f>
        <v>19, 20, 22, 26</v>
      </c>
      <c r="H28" s="1738"/>
      <c r="I28" s="1516" t="str">
        <f t="shared" si="2"/>
        <v/>
      </c>
      <c r="J28" s="1516"/>
    </row>
    <row r="29" spans="2:10" ht="67.2">
      <c r="B29" s="1178" t="s">
        <v>220</v>
      </c>
      <c r="C29" s="1737">
        <f>SUM($I$4:I29)</f>
        <v>1</v>
      </c>
      <c r="D29" s="1739" t="str">
        <f>"Đào móng trụ "&amp;VLOOKUP(B29,ChiTietDuToan!C:F,4,0)&amp;" tại các vị trí: "&amp;HLOOKUP(B29,$3:$7,$I$1+1,0)</f>
        <v>Đào móng trụ Móng trụ bê tông 12m M12 tại các vị trí: 140A, 141A, 143A, 144A, 145B, 146A, 150A, 151A, 152A, 154A, 159A, 162A, 163A, 168A</v>
      </c>
      <c r="E29" s="1741">
        <f>SUMIF(ChiTietDuToan!C:C,'2Mong'!B29,ChiTietDuToan!J:J)</f>
        <v>36</v>
      </c>
      <c r="F29" s="1741">
        <f t="shared" si="1"/>
        <v>14</v>
      </c>
      <c r="G29" s="1741" t="str">
        <f>VLOOKUP($D$1,Solieu!B:C,2,0)</f>
        <v>19, 20, 22, 26</v>
      </c>
      <c r="H29" s="1738"/>
      <c r="I29" s="1516">
        <f t="shared" si="2"/>
        <v>1</v>
      </c>
      <c r="J29" s="1516"/>
    </row>
    <row r="30" spans="2:10" ht="84">
      <c r="B30" s="1178" t="s">
        <v>304</v>
      </c>
      <c r="C30" s="1737">
        <f>SUM($I$4:I30)</f>
        <v>2</v>
      </c>
      <c r="D30" s="1739" t="str">
        <f>"Đào móng trụ "&amp;VLOOKUP(B30,ChiTietDuToan!C:F,4,0)&amp;" tại các vị trí: "&amp;HLOOKUP(B30,$3:$7,$I$1+1,0)</f>
        <v>Đào móng trụ Móng trụ bê tông 12m có đà cản M12a tại các vị trí: 137A, 138A, 139B, 147A, 148A, 149A, 153A, 155A, 156A, 158A, 160A, 165A, 167A, 169A, 170A, 172A, 173A</v>
      </c>
      <c r="E30" s="1741">
        <f>SUMIF(ChiTietDuToan!C:C,'2Mong'!B30,ChiTietDuToan!J:J)</f>
        <v>40</v>
      </c>
      <c r="F30" s="1741">
        <f t="shared" si="1"/>
        <v>17</v>
      </c>
      <c r="G30" s="1741" t="str">
        <f>VLOOKUP($D$1,Solieu!B:C,2,0)</f>
        <v>19, 20, 22, 26</v>
      </c>
      <c r="H30" s="1738"/>
      <c r="I30" s="1516">
        <f t="shared" si="2"/>
        <v>1</v>
      </c>
      <c r="J30" s="1516"/>
    </row>
    <row r="31" spans="2:10" ht="33.6">
      <c r="B31" s="1178" t="s">
        <v>2325</v>
      </c>
      <c r="C31" s="1737">
        <f>SUM($I$4:I31)</f>
        <v>2</v>
      </c>
      <c r="D31" s="1739" t="e">
        <f>"Đào móng trụ "&amp;VLOOKUP(B31,ChiTietDuToan!C:F,4,0)&amp;" tại các vị trí: "&amp;HLOOKUP(B31,$3:$7,$I$1+1,0)</f>
        <v>#N/A</v>
      </c>
      <c r="E31" s="1741">
        <f>SUMIF(ChiTietDuToan!C:C,'2Mong'!B31,ChiTietDuToan!J:J)</f>
        <v>0</v>
      </c>
      <c r="F31" s="1741">
        <f t="shared" si="1"/>
        <v>0</v>
      </c>
      <c r="G31" s="1741" t="str">
        <f>VLOOKUP($D$1,Solieu!B:C,2,0)</f>
        <v>19, 20, 22, 26</v>
      </c>
      <c r="H31" s="1738"/>
      <c r="I31" s="1516" t="str">
        <f t="shared" si="2"/>
        <v/>
      </c>
      <c r="J31" s="1516"/>
    </row>
    <row r="32" spans="2:10" ht="33.6">
      <c r="B32" s="1178" t="s">
        <v>305</v>
      </c>
      <c r="C32" s="1737">
        <f>SUM($I$4:I32)</f>
        <v>2</v>
      </c>
      <c r="D32" s="1739" t="e">
        <f>"Đào móng trụ "&amp;VLOOKUP(B32,ChiTietDuToan!C:F,4,0)&amp;" tại các vị trí: "&amp;HLOOKUP(B32,$3:$7,$I$1+1,0)</f>
        <v>#N/A</v>
      </c>
      <c r="E32" s="1741">
        <f>SUMIF(ChiTietDuToan!C:C,'2Mong'!B32,ChiTietDuToan!J:J)</f>
        <v>0</v>
      </c>
      <c r="F32" s="1741">
        <f t="shared" si="1"/>
        <v>0</v>
      </c>
      <c r="G32" s="1741" t="str">
        <f>VLOOKUP($D$1,Solieu!B:C,2,0)</f>
        <v>19, 20, 22, 26</v>
      </c>
      <c r="H32" s="1738"/>
      <c r="I32" s="1516" t="str">
        <f t="shared" si="2"/>
        <v/>
      </c>
      <c r="J32" s="1516"/>
    </row>
    <row r="33" spans="2:10" ht="33.6">
      <c r="B33" s="1178" t="s">
        <v>643</v>
      </c>
      <c r="C33" s="1737">
        <f>SUM($I$4:I33)</f>
        <v>2</v>
      </c>
      <c r="D33" s="1739" t="e">
        <f>"Đào móng trụ "&amp;VLOOKUP(B33,ChiTietDuToan!C:F,4,0)&amp;" tại các vị trí: "&amp;HLOOKUP(B33,$3:$7,$I$1+1,0)</f>
        <v>#N/A</v>
      </c>
      <c r="E33" s="1741">
        <f>SUMIF(ChiTietDuToan!C:C,'2Mong'!B33,ChiTietDuToan!J:J)</f>
        <v>0</v>
      </c>
      <c r="F33" s="1741">
        <f t="shared" si="1"/>
        <v>0</v>
      </c>
      <c r="G33" s="1741" t="str">
        <f>VLOOKUP($D$1,Solieu!B:C,2,0)</f>
        <v>19, 20, 22, 26</v>
      </c>
      <c r="H33" s="1738"/>
      <c r="I33" s="1516" t="str">
        <f t="shared" si="2"/>
        <v/>
      </c>
      <c r="J33" s="1516"/>
    </row>
    <row r="34" spans="2:10" ht="33.6">
      <c r="B34" s="1178" t="s">
        <v>652</v>
      </c>
      <c r="C34" s="1737">
        <f>SUM($I$4:I34)</f>
        <v>2</v>
      </c>
      <c r="D34" s="1739" t="e">
        <f>"Đào móng trụ "&amp;VLOOKUP(B34,ChiTietDuToan!C:F,4,0)&amp;" tại các vị trí: "&amp;HLOOKUP(B34,$3:$7,$I$1+1,0)</f>
        <v>#N/A</v>
      </c>
      <c r="E34" s="1741">
        <f>SUMIF(ChiTietDuToan!C:C,'2Mong'!B34,ChiTietDuToan!J:J)</f>
        <v>0</v>
      </c>
      <c r="F34" s="1741">
        <f t="shared" si="1"/>
        <v>0</v>
      </c>
      <c r="G34" s="1741" t="str">
        <f>VLOOKUP($D$1,Solieu!B:C,2,0)</f>
        <v>19, 20, 22, 26</v>
      </c>
      <c r="H34" s="1738"/>
      <c r="I34" s="1516" t="str">
        <f t="shared" si="2"/>
        <v/>
      </c>
      <c r="J34" s="1516"/>
    </row>
    <row r="35" spans="2:10" ht="33.6">
      <c r="B35" s="1178" t="s">
        <v>514</v>
      </c>
      <c r="C35" s="1737">
        <f>SUM($I$4:I35)</f>
        <v>2</v>
      </c>
      <c r="D35" s="1739" t="e">
        <f>"Đào móng trụ "&amp;VLOOKUP(B35,ChiTietDuToan!C:F,4,0)&amp;" tại các vị trí: "&amp;HLOOKUP(B35,$3:$7,$I$1+1,0)</f>
        <v>#N/A</v>
      </c>
      <c r="E35" s="1741">
        <f>SUMIF(ChiTietDuToan!C:C,'2Mong'!B35,ChiTietDuToan!J:J)</f>
        <v>0</v>
      </c>
      <c r="F35" s="1741">
        <f t="shared" si="1"/>
        <v>0</v>
      </c>
      <c r="G35" s="1741" t="str">
        <f>VLOOKUP($D$1,Solieu!B:C,2,0)</f>
        <v>19, 20, 22, 26</v>
      </c>
      <c r="H35" s="1738"/>
      <c r="I35" s="1516" t="str">
        <f t="shared" si="2"/>
        <v/>
      </c>
      <c r="J35" s="1516"/>
    </row>
    <row r="36" spans="2:10" ht="33.6">
      <c r="B36" s="1178" t="s">
        <v>651</v>
      </c>
      <c r="C36" s="1737">
        <f>SUM($I$4:I36)</f>
        <v>2</v>
      </c>
      <c r="D36" s="1739" t="e">
        <f>"Đào móng trụ "&amp;VLOOKUP(B36,ChiTietDuToan!C:F,4,0)&amp;" tại các vị trí: "&amp;HLOOKUP(B36,$3:$7,$I$1+1,0)</f>
        <v>#N/A</v>
      </c>
      <c r="E36" s="1741">
        <f>SUMIF(ChiTietDuToan!C:C,'2Mong'!B36,ChiTietDuToan!J:J)</f>
        <v>0</v>
      </c>
      <c r="F36" s="1741">
        <f t="shared" ref="F36:F69" si="3">IFERROR(HLOOKUP(B36,$3:$7,$I$1,0),0)</f>
        <v>0</v>
      </c>
      <c r="G36" s="1741" t="str">
        <f>VLOOKUP($D$1,Solieu!B:C,2,0)</f>
        <v>19, 20, 22, 26</v>
      </c>
      <c r="H36" s="1738"/>
      <c r="I36" s="1516" t="str">
        <f t="shared" si="2"/>
        <v/>
      </c>
      <c r="J36" s="1516"/>
    </row>
    <row r="37" spans="2:10" ht="33.6">
      <c r="B37" s="1178" t="s">
        <v>1954</v>
      </c>
      <c r="C37" s="1737">
        <f>SUM($I$4:I37)</f>
        <v>2</v>
      </c>
      <c r="D37" s="1739" t="e">
        <f>"Đào móng trụ "&amp;VLOOKUP(B37,ChiTietDuToan!C:F,4,0)&amp;" tại các vị trí: "&amp;HLOOKUP(B37,$3:$7,$I$1+1,0)</f>
        <v>#N/A</v>
      </c>
      <c r="E37" s="1741">
        <f>SUMIF(ChiTietDuToan!C:C,'2Mong'!B37,ChiTietDuToan!J:J)</f>
        <v>0</v>
      </c>
      <c r="F37" s="1741">
        <f t="shared" si="3"/>
        <v>0</v>
      </c>
      <c r="G37" s="1741" t="str">
        <f>VLOOKUP($D$1,Solieu!B:C,2,0)</f>
        <v>19, 20, 22, 26</v>
      </c>
      <c r="H37" s="1738"/>
      <c r="I37" s="1516" t="str">
        <f t="shared" si="2"/>
        <v/>
      </c>
      <c r="J37" s="1516"/>
    </row>
    <row r="38" spans="2:10" ht="33.6">
      <c r="B38" s="1178" t="s">
        <v>2242</v>
      </c>
      <c r="C38" s="1737">
        <f>SUM($I$4:I38)</f>
        <v>2</v>
      </c>
      <c r="D38" s="1739" t="e">
        <f>"Đào móng trụ "&amp;VLOOKUP(B38,ChiTietDuToan!C:F,4,0)&amp;" tại các vị trí: "&amp;HLOOKUP(B38,$3:$7,$I$1+1,0)</f>
        <v>#N/A</v>
      </c>
      <c r="E38" s="1741">
        <f>SUMIF(ChiTietDuToan!C:C,'2Mong'!B38,ChiTietDuToan!J:J)</f>
        <v>0</v>
      </c>
      <c r="F38" s="1741">
        <f t="shared" si="3"/>
        <v>0</v>
      </c>
      <c r="G38" s="1741" t="str">
        <f>VLOOKUP($D$1,Solieu!B:C,2,0)</f>
        <v>19, 20, 22, 26</v>
      </c>
      <c r="H38" s="1738"/>
      <c r="I38" s="1516" t="str">
        <f t="shared" si="2"/>
        <v/>
      </c>
      <c r="J38" s="1516"/>
    </row>
    <row r="39" spans="2:10" ht="33.6">
      <c r="B39" s="1178" t="s">
        <v>503</v>
      </c>
      <c r="C39" s="1737">
        <f>SUM($I$4:I39)</f>
        <v>2</v>
      </c>
      <c r="D39" s="1739" t="e">
        <f>"Đào móng trụ "&amp;VLOOKUP(B39,ChiTietDuToan!C:F,4,0)&amp;" tại các vị trí: "&amp;HLOOKUP(B39,$3:$7,$I$1+1,0)</f>
        <v>#N/A</v>
      </c>
      <c r="E39" s="1741">
        <f>SUMIF(ChiTietDuToan!C:C,'2Mong'!B39,ChiTietDuToan!J:J)</f>
        <v>0</v>
      </c>
      <c r="F39" s="1741">
        <f t="shared" si="3"/>
        <v>0</v>
      </c>
      <c r="G39" s="1741" t="str">
        <f>VLOOKUP($D$1,Solieu!B:C,2,0)</f>
        <v>19, 20, 22, 26</v>
      </c>
      <c r="H39" s="1738"/>
      <c r="I39" s="1516" t="str">
        <f t="shared" si="2"/>
        <v/>
      </c>
      <c r="J39" s="1516"/>
    </row>
    <row r="40" spans="2:10" ht="33.6">
      <c r="B40" s="1178" t="s">
        <v>2367</v>
      </c>
      <c r="C40" s="1737">
        <f>SUM($I$4:I40)</f>
        <v>2</v>
      </c>
      <c r="D40" s="1739" t="e">
        <f>"Đào móng trụ "&amp;VLOOKUP(B40,ChiTietDuToan!C:F,4,0)&amp;" tại các vị trí: "&amp;HLOOKUP(B40,$3:$7,$I$1+1,0)</f>
        <v>#N/A</v>
      </c>
      <c r="E40" s="1741">
        <f>SUMIF(ChiTietDuToan!C:C,'2Mong'!B40,ChiTietDuToan!J:J)</f>
        <v>0</v>
      </c>
      <c r="F40" s="1741">
        <f t="shared" si="3"/>
        <v>0</v>
      </c>
      <c r="G40" s="1741" t="str">
        <f>VLOOKUP($D$1,Solieu!B:C,2,0)</f>
        <v>19, 20, 22, 26</v>
      </c>
      <c r="H40" s="1738"/>
      <c r="I40" s="1516" t="str">
        <f t="shared" si="2"/>
        <v/>
      </c>
      <c r="J40" s="1516"/>
    </row>
    <row r="41" spans="2:10" ht="33.6">
      <c r="B41" s="1178" t="s">
        <v>2368</v>
      </c>
      <c r="C41" s="1737">
        <f>SUM($I$4:I41)</f>
        <v>2</v>
      </c>
      <c r="D41" s="1739" t="e">
        <f>"Đào móng trụ "&amp;VLOOKUP(B41,ChiTietDuToan!C:F,4,0)&amp;" tại các vị trí: "&amp;HLOOKUP(B41,$3:$7,$I$1+1,0)</f>
        <v>#N/A</v>
      </c>
      <c r="E41" s="1741">
        <f>SUMIF(ChiTietDuToan!C:C,'2Mong'!B41,ChiTietDuToan!J:J)</f>
        <v>0</v>
      </c>
      <c r="F41" s="1741">
        <f t="shared" si="3"/>
        <v>0</v>
      </c>
      <c r="G41" s="1741" t="str">
        <f>VLOOKUP($D$1,Solieu!B:C,2,0)</f>
        <v>19, 20, 22, 26</v>
      </c>
      <c r="H41" s="1738"/>
      <c r="I41" s="1516" t="str">
        <f t="shared" si="2"/>
        <v/>
      </c>
      <c r="J41" s="1516"/>
    </row>
    <row r="42" spans="2:10" ht="33.6">
      <c r="B42" s="1178" t="s">
        <v>2369</v>
      </c>
      <c r="C42" s="1737">
        <f>SUM($I$4:I42)</f>
        <v>3</v>
      </c>
      <c r="D42" s="1739" t="str">
        <f>"Đào móng trụ "&amp;VLOOKUP(B42,ChiTietDuToan!C:F,4,0)&amp;" tại các vị trí: "&amp;HLOOKUP(B42,$3:$7,$I$1+1,0)</f>
        <v>Đào móng trụ Móng bê tông trụ đôi 12m tại các vị trí: 142A, 157A, 164A</v>
      </c>
      <c r="E42" s="1741">
        <f>SUMIF(ChiTietDuToan!C:C,'2Mong'!B42,ChiTietDuToan!J:J)</f>
        <v>10</v>
      </c>
      <c r="F42" s="1741">
        <f t="shared" si="3"/>
        <v>3</v>
      </c>
      <c r="G42" s="1741" t="str">
        <f>VLOOKUP($D$1,Solieu!B:C,2,0)</f>
        <v>19, 20, 22, 26</v>
      </c>
      <c r="H42" s="1738"/>
      <c r="I42" s="1516">
        <f t="shared" si="2"/>
        <v>1</v>
      </c>
      <c r="J42" s="1516"/>
    </row>
    <row r="43" spans="2:10" ht="33.6">
      <c r="B43" s="1178" t="s">
        <v>752</v>
      </c>
      <c r="C43" s="1737">
        <f>SUM($I$4:I43)</f>
        <v>3</v>
      </c>
      <c r="D43" s="1739" t="e">
        <f>"Đào móng trụ "&amp;VLOOKUP(B43,ChiTietDuToan!C:F,4,0)&amp;" tại các vị trí: "&amp;HLOOKUP(B43,$3:$7,$I$1+1,0)</f>
        <v>#N/A</v>
      </c>
      <c r="E43" s="1741">
        <f>SUMIF(ChiTietDuToan!C:C,'2Mong'!B43,ChiTietDuToan!J:J)</f>
        <v>0</v>
      </c>
      <c r="F43" s="1741">
        <f t="shared" si="3"/>
        <v>0</v>
      </c>
      <c r="G43" s="1741" t="str">
        <f>VLOOKUP($D$1,Solieu!B:C,2,0)</f>
        <v>19, 20, 22, 26</v>
      </c>
      <c r="H43" s="1738"/>
      <c r="I43" s="1516" t="str">
        <f t="shared" si="2"/>
        <v/>
      </c>
      <c r="J43" s="1516"/>
    </row>
    <row r="44" spans="2:10" ht="33.6">
      <c r="B44" s="1178" t="s">
        <v>2326</v>
      </c>
      <c r="C44" s="1737">
        <f>SUM($I$4:I44)</f>
        <v>3</v>
      </c>
      <c r="D44" s="1739" t="e">
        <f>"Đào móng trụ "&amp;VLOOKUP(B44,ChiTietDuToan!C:F,4,0)&amp;" tại các vị trí: "&amp;HLOOKUP(B44,$3:$7,$I$1+1,0)</f>
        <v>#N/A</v>
      </c>
      <c r="E44" s="1741">
        <f>SUMIF(ChiTietDuToan!C:C,'2Mong'!B44,ChiTietDuToan!J:J)</f>
        <v>0</v>
      </c>
      <c r="F44" s="1741">
        <f t="shared" si="3"/>
        <v>0</v>
      </c>
      <c r="G44" s="1741" t="str">
        <f>VLOOKUP($D$1,Solieu!B:C,2,0)</f>
        <v>19, 20, 22, 26</v>
      </c>
      <c r="H44" s="1738"/>
      <c r="I44" s="1516" t="str">
        <f t="shared" si="2"/>
        <v/>
      </c>
      <c r="J44" s="1516"/>
    </row>
    <row r="45" spans="2:10" ht="33.6">
      <c r="B45" s="1178" t="s">
        <v>788</v>
      </c>
      <c r="C45" s="1737">
        <f>SUM($I$4:I45)</f>
        <v>3</v>
      </c>
      <c r="D45" s="1739" t="e">
        <f>"Đào móng trụ "&amp;VLOOKUP(B45,ChiTietDuToan!C:F,4,0)&amp;" tại các vị trí: "&amp;HLOOKUP(B45,$3:$7,$I$1+1,0)</f>
        <v>#N/A</v>
      </c>
      <c r="E45" s="1741">
        <f>SUMIF(ChiTietDuToan!C:C,'2Mong'!B45,ChiTietDuToan!J:J)</f>
        <v>0</v>
      </c>
      <c r="F45" s="1741">
        <f t="shared" si="3"/>
        <v>0</v>
      </c>
      <c r="G45" s="1741" t="str">
        <f>VLOOKUP($D$1,Solieu!B:C,2,0)</f>
        <v>19, 20, 22, 26</v>
      </c>
      <c r="H45" s="1738"/>
      <c r="I45" s="1516" t="str">
        <f t="shared" si="2"/>
        <v/>
      </c>
      <c r="J45" s="1516"/>
    </row>
    <row r="46" spans="2:10" ht="50.4">
      <c r="B46" s="1178" t="s">
        <v>653</v>
      </c>
      <c r="C46" s="1737">
        <f>SUM($I$4:I46)</f>
        <v>4</v>
      </c>
      <c r="D46" s="1739" t="str">
        <f>"Đào móng trụ "&amp;VLOOKUP(B46,ChiTietDuToan!C:F,4,0)&amp;" tại các vị trí: "&amp;HLOOKUP(B46,$3:$7,$I$1+1,0)</f>
        <v>Đào móng trụ Móng bê tông trụ 14m M14a tại các vị trí: 147, 148, 150, 161, 164, 169, 171, 171A, 172</v>
      </c>
      <c r="E46" s="1741">
        <f>SUMIF(ChiTietDuToan!C:C,'2Mong'!B46,ChiTietDuToan!J:J)</f>
        <v>15</v>
      </c>
      <c r="F46" s="1741">
        <f t="shared" si="3"/>
        <v>9</v>
      </c>
      <c r="G46" s="1741" t="str">
        <f>VLOOKUP($D$1,Solieu!B:C,2,0)</f>
        <v>19, 20, 22, 26</v>
      </c>
      <c r="H46" s="1738"/>
      <c r="I46" s="1516">
        <f t="shared" si="2"/>
        <v>1</v>
      </c>
      <c r="J46" s="1516"/>
    </row>
    <row r="47" spans="2:10" ht="33.6">
      <c r="B47" s="1178" t="s">
        <v>758</v>
      </c>
      <c r="C47" s="1737">
        <f>SUM($I$4:I47)</f>
        <v>4</v>
      </c>
      <c r="D47" s="1739" t="e">
        <f>"Đào móng trụ "&amp;VLOOKUP(B47,ChiTietDuToan!C:F,4,0)&amp;" tại các vị trí: "&amp;HLOOKUP(B47,$3:$7,$I$1+1,0)</f>
        <v>#N/A</v>
      </c>
      <c r="E47" s="1741">
        <f>SUMIF(ChiTietDuToan!C:C,'2Mong'!B47,ChiTietDuToan!J:J)</f>
        <v>0</v>
      </c>
      <c r="F47" s="1741">
        <f t="shared" si="3"/>
        <v>0</v>
      </c>
      <c r="G47" s="1741" t="str">
        <f>VLOOKUP($D$1,Solieu!B:C,2,0)</f>
        <v>19, 20, 22, 26</v>
      </c>
      <c r="H47" s="1738"/>
      <c r="I47" s="1516" t="str">
        <f t="shared" si="2"/>
        <v/>
      </c>
      <c r="J47" s="1516"/>
    </row>
    <row r="48" spans="2:10" ht="33.6">
      <c r="B48" s="1178" t="s">
        <v>2370</v>
      </c>
      <c r="C48" s="1737">
        <f>SUM($I$4:I48)</f>
        <v>4</v>
      </c>
      <c r="D48" s="1739" t="e">
        <f>"Đào móng trụ "&amp;VLOOKUP(B48,ChiTietDuToan!C:F,4,0)&amp;" tại các vị trí: "&amp;HLOOKUP(B48,$3:$7,$I$1+1,0)</f>
        <v>#N/A</v>
      </c>
      <c r="E48" s="1741">
        <f>SUMIF(ChiTietDuToan!C:C,'2Mong'!B48,ChiTietDuToan!J:J)</f>
        <v>0</v>
      </c>
      <c r="F48" s="1741">
        <f t="shared" si="3"/>
        <v>0</v>
      </c>
      <c r="G48" s="1741" t="str">
        <f>VLOOKUP($D$1,Solieu!B:C,2,0)</f>
        <v>19, 20, 22, 26</v>
      </c>
      <c r="H48" s="1738"/>
      <c r="I48" s="1516" t="str">
        <f t="shared" si="2"/>
        <v/>
      </c>
      <c r="J48" s="1516"/>
    </row>
    <row r="49" spans="2:10" ht="33.6">
      <c r="B49" s="1178" t="s">
        <v>654</v>
      </c>
      <c r="C49" s="1737">
        <f>SUM($I$4:I49)</f>
        <v>4</v>
      </c>
      <c r="D49" s="1739" t="e">
        <f>"Đào móng trụ "&amp;VLOOKUP(B49,ChiTietDuToan!C:F,4,0)&amp;" tại các vị trí: "&amp;HLOOKUP(B49,$3:$7,$I$1+1,0)</f>
        <v>#N/A</v>
      </c>
      <c r="E49" s="1741">
        <f>SUMIF(ChiTietDuToan!C:C,'2Mong'!B49,ChiTietDuToan!J:J)</f>
        <v>0</v>
      </c>
      <c r="F49" s="1741">
        <f t="shared" si="3"/>
        <v>0</v>
      </c>
      <c r="G49" s="1741" t="str">
        <f>VLOOKUP($D$1,Solieu!B:C,2,0)</f>
        <v>19, 20, 22, 26</v>
      </c>
      <c r="H49" s="1738"/>
      <c r="I49" s="1516" t="str">
        <f t="shared" si="2"/>
        <v/>
      </c>
      <c r="J49" s="1516"/>
    </row>
    <row r="50" spans="2:10" ht="33.6">
      <c r="B50" s="1178" t="s">
        <v>486</v>
      </c>
      <c r="C50" s="1737">
        <f>SUM($I$4:I50)</f>
        <v>4</v>
      </c>
      <c r="D50" s="1739" t="e">
        <f>"Đào móng trụ "&amp;VLOOKUP(B50,ChiTietDuToan!C:F,4,0)&amp;" tại các vị trí: "&amp;HLOOKUP(B50,$3:$7,$I$1+1,0)</f>
        <v>#N/A</v>
      </c>
      <c r="E50" s="1741">
        <f>SUMIF(ChiTietDuToan!C:C,'2Mong'!B50,ChiTietDuToan!J:J)</f>
        <v>0</v>
      </c>
      <c r="F50" s="1741">
        <f t="shared" si="3"/>
        <v>0</v>
      </c>
      <c r="G50" s="1741" t="str">
        <f>VLOOKUP($D$1,Solieu!B:C,2,0)</f>
        <v>19, 20, 22, 26</v>
      </c>
      <c r="H50" s="1738"/>
      <c r="I50" s="1516" t="str">
        <f t="shared" si="2"/>
        <v/>
      </c>
      <c r="J50" s="1516"/>
    </row>
    <row r="51" spans="2:10" ht="33.6">
      <c r="B51" s="1178" t="s">
        <v>487</v>
      </c>
      <c r="C51" s="1737">
        <f>SUM($I$4:I51)</f>
        <v>4</v>
      </c>
      <c r="D51" s="1739" t="e">
        <f>"Đào móng trụ "&amp;VLOOKUP(B51,ChiTietDuToan!C:F,4,0)&amp;" tại các vị trí: "&amp;HLOOKUP(B51,$3:$7,$I$1+1,0)</f>
        <v>#N/A</v>
      </c>
      <c r="E51" s="1741">
        <f>SUMIF(ChiTietDuToan!C:C,'2Mong'!B51,ChiTietDuToan!J:J)</f>
        <v>0</v>
      </c>
      <c r="F51" s="1741">
        <f t="shared" si="3"/>
        <v>0</v>
      </c>
      <c r="G51" s="1741" t="str">
        <f>VLOOKUP($D$1,Solieu!B:C,2,0)</f>
        <v>19, 20, 22, 26</v>
      </c>
      <c r="H51" s="1738"/>
      <c r="I51" s="1516" t="str">
        <f t="shared" si="2"/>
        <v/>
      </c>
      <c r="J51" s="1516"/>
    </row>
    <row r="52" spans="2:10" ht="33.6">
      <c r="B52" s="1178" t="s">
        <v>286</v>
      </c>
      <c r="C52" s="1737">
        <f>SUM($I$4:I52)</f>
        <v>4</v>
      </c>
      <c r="D52" s="1739" t="e">
        <f>"Đào móng trụ "&amp;VLOOKUP(B52,ChiTietDuToan!C:F,4,0)&amp;" tại các vị trí: "&amp;HLOOKUP(B52,$3:$7,$I$1+1,0)</f>
        <v>#N/A</v>
      </c>
      <c r="E52" s="1741">
        <f>SUMIF(ChiTietDuToan!C:C,'2Mong'!B52,ChiTietDuToan!J:J)</f>
        <v>0</v>
      </c>
      <c r="F52" s="1741">
        <f t="shared" si="3"/>
        <v>0</v>
      </c>
      <c r="G52" s="1741" t="str">
        <f>VLOOKUP($D$1,Solieu!B:C,2,0)</f>
        <v>19, 20, 22, 26</v>
      </c>
      <c r="H52" s="1738"/>
      <c r="I52" s="1516" t="str">
        <f t="shared" si="2"/>
        <v/>
      </c>
      <c r="J52" s="1516"/>
    </row>
    <row r="53" spans="2:10" ht="33.6">
      <c r="B53" s="1178" t="s">
        <v>655</v>
      </c>
      <c r="C53" s="1737">
        <f>SUM($I$4:I53)</f>
        <v>4</v>
      </c>
      <c r="D53" s="1739" t="e">
        <f>"Đào móng trụ "&amp;VLOOKUP(B53,ChiTietDuToan!C:F,4,0)&amp;" tại các vị trí: "&amp;HLOOKUP(B53,$3:$7,$I$1+1,0)</f>
        <v>#N/A</v>
      </c>
      <c r="E53" s="1741">
        <f>SUMIF(ChiTietDuToan!C:C,'2Mong'!B53,ChiTietDuToan!J:J)</f>
        <v>0</v>
      </c>
      <c r="F53" s="1741">
        <f t="shared" si="3"/>
        <v>0</v>
      </c>
      <c r="G53" s="1741" t="str">
        <f>VLOOKUP($D$1,Solieu!B:C,2,0)</f>
        <v>19, 20, 22, 26</v>
      </c>
      <c r="H53" s="1738"/>
      <c r="I53" s="1516" t="str">
        <f t="shared" si="2"/>
        <v/>
      </c>
      <c r="J53" s="1516"/>
    </row>
    <row r="54" spans="2:10" ht="33.6">
      <c r="B54" s="1178" t="s">
        <v>1694</v>
      </c>
      <c r="C54" s="1737">
        <f>SUM($I$4:I54)</f>
        <v>4</v>
      </c>
      <c r="D54" s="1739" t="e">
        <f>"Đào móng trụ "&amp;VLOOKUP(B54,ChiTietDuToan!C:F,4,0)&amp;" tại các vị trí: "&amp;HLOOKUP(B54,$3:$7,$I$1+1,0)</f>
        <v>#N/A</v>
      </c>
      <c r="E54" s="1741">
        <f>SUMIF(ChiTietDuToan!C:C,'2Mong'!B54,ChiTietDuToan!J:J)</f>
        <v>0</v>
      </c>
      <c r="F54" s="1741">
        <f t="shared" si="3"/>
        <v>0</v>
      </c>
      <c r="G54" s="1741" t="str">
        <f>VLOOKUP($D$1,Solieu!B:C,2,0)</f>
        <v>19, 20, 22, 26</v>
      </c>
      <c r="H54" s="1738"/>
      <c r="I54" s="1516" t="str">
        <f t="shared" si="2"/>
        <v/>
      </c>
      <c r="J54" s="1516"/>
    </row>
    <row r="55" spans="2:10" ht="33.6">
      <c r="B55" s="1178" t="s">
        <v>1017</v>
      </c>
      <c r="C55" s="1737">
        <f>SUM($I$4:I55)</f>
        <v>4</v>
      </c>
      <c r="D55" s="1739" t="e">
        <f>"Đào móng trụ "&amp;VLOOKUP(B55,ChiTietDuToan!C:F,4,0)&amp;" tại các vị trí: "&amp;HLOOKUP(B55,$3:$7,$I$1+1,0)</f>
        <v>#N/A</v>
      </c>
      <c r="E55" s="1741">
        <f>SUMIF(ChiTietDuToan!C:C,'2Mong'!B55,ChiTietDuToan!J:J)</f>
        <v>0</v>
      </c>
      <c r="F55" s="1741">
        <f t="shared" si="3"/>
        <v>0</v>
      </c>
      <c r="G55" s="1741" t="str">
        <f>VLOOKUP($D$1,Solieu!B:C,2,0)</f>
        <v>19, 20, 22, 26</v>
      </c>
      <c r="H55" s="1738"/>
      <c r="I55" s="1516" t="str">
        <f t="shared" si="2"/>
        <v/>
      </c>
      <c r="J55" s="1516"/>
    </row>
    <row r="56" spans="2:10" ht="33.6">
      <c r="B56" s="1178" t="s">
        <v>313</v>
      </c>
      <c r="C56" s="1737">
        <f>SUM($I$4:I56)</f>
        <v>4</v>
      </c>
      <c r="D56" s="1739" t="e">
        <f>"Đào móng trụ "&amp;VLOOKUP(B56,ChiTietDuToan!C:F,4,0)&amp;" tại các vị trí: "&amp;HLOOKUP(B56,$3:$7,$I$1+1,0)</f>
        <v>#N/A</v>
      </c>
      <c r="E56" s="1741">
        <f>SUMIF(ChiTietDuToan!C:C,'2Mong'!B56,ChiTietDuToan!J:J)</f>
        <v>0</v>
      </c>
      <c r="F56" s="1741">
        <f t="shared" si="3"/>
        <v>0</v>
      </c>
      <c r="G56" s="1741" t="str">
        <f>VLOOKUP($D$1,Solieu!B:C,2,0)</f>
        <v>19, 20, 22, 26</v>
      </c>
      <c r="H56" s="1738"/>
      <c r="I56" s="1516" t="str">
        <f t="shared" si="2"/>
        <v/>
      </c>
      <c r="J56" s="1516"/>
    </row>
    <row r="57" spans="2:10" ht="33.6">
      <c r="B57" s="1178" t="s">
        <v>908</v>
      </c>
      <c r="C57" s="1737">
        <f>SUM($I$4:I57)</f>
        <v>4</v>
      </c>
      <c r="D57" s="1739" t="e">
        <f>"Đào móng trụ "&amp;VLOOKUP(B57,ChiTietDuToan!C:F,4,0)&amp;" tại các vị trí: "&amp;HLOOKUP(B57,$3:$7,$I$1+1,0)</f>
        <v>#N/A</v>
      </c>
      <c r="E57" s="1741">
        <f>SUMIF(ChiTietDuToan!C:C,'2Mong'!B57,ChiTietDuToan!J:J)</f>
        <v>0</v>
      </c>
      <c r="F57" s="1741">
        <f t="shared" si="3"/>
        <v>0</v>
      </c>
      <c r="G57" s="1741" t="str">
        <f>VLOOKUP($D$1,Solieu!B:C,2,0)</f>
        <v>19, 20, 22, 26</v>
      </c>
      <c r="H57" s="1738"/>
      <c r="I57" s="1516" t="str">
        <f t="shared" si="2"/>
        <v/>
      </c>
      <c r="J57" s="1516"/>
    </row>
    <row r="58" spans="2:10" ht="33.6">
      <c r="B58" s="1178" t="s">
        <v>516</v>
      </c>
      <c r="C58" s="1737">
        <f>SUM($I$4:I58)</f>
        <v>4</v>
      </c>
      <c r="D58" s="1739" t="e">
        <f>"Đào móng trụ "&amp;VLOOKUP(B58,ChiTietDuToan!C:F,4,0)&amp;" tại các vị trí: "&amp;HLOOKUP(B58,$3:$7,$I$1+1,0)</f>
        <v>#N/A</v>
      </c>
      <c r="E58" s="1741">
        <f>SUMIF(ChiTietDuToan!C:C,'2Mong'!B58,ChiTietDuToan!J:J)</f>
        <v>0</v>
      </c>
      <c r="F58" s="1741">
        <f t="shared" si="3"/>
        <v>0</v>
      </c>
      <c r="G58" s="1741" t="str">
        <f>VLOOKUP($D$1,Solieu!B:C,2,0)</f>
        <v>19, 20, 22, 26</v>
      </c>
      <c r="H58" s="1738"/>
      <c r="I58" s="1516" t="str">
        <f t="shared" si="2"/>
        <v/>
      </c>
      <c r="J58" s="1516"/>
    </row>
    <row r="59" spans="2:10" ht="33.6">
      <c r="B59" s="1178" t="s">
        <v>553</v>
      </c>
      <c r="C59" s="1737">
        <f>SUM($I$4:I59)</f>
        <v>4</v>
      </c>
      <c r="D59" s="1739" t="e">
        <f>"Đào móng trụ "&amp;VLOOKUP(B59,ChiTietDuToan!C:F,4,0)&amp;" tại các vị trí: "&amp;HLOOKUP(B59,$3:$7,$I$1+1,0)</f>
        <v>#N/A</v>
      </c>
      <c r="E59" s="1741">
        <f>SUMIF(ChiTietDuToan!C:C,'2Mong'!B59,ChiTietDuToan!J:J)</f>
        <v>0</v>
      </c>
      <c r="F59" s="1741">
        <f t="shared" si="3"/>
        <v>0</v>
      </c>
      <c r="G59" s="1741" t="str">
        <f>VLOOKUP($D$1,Solieu!B:C,2,0)</f>
        <v>19, 20, 22, 26</v>
      </c>
      <c r="H59" s="1738"/>
      <c r="I59" s="1516" t="str">
        <f t="shared" si="2"/>
        <v/>
      </c>
      <c r="J59" s="1516"/>
    </row>
    <row r="60" spans="2:10" ht="33.6">
      <c r="B60" s="1178" t="s">
        <v>1544</v>
      </c>
      <c r="C60" s="1737">
        <f>SUM($I$4:I60)</f>
        <v>5</v>
      </c>
      <c r="D60" s="1739" t="str">
        <f>"Đào móng trụ "&amp;VLOOKUP(B60,ChiTietDuToan!C:F,4,0)&amp;" tại các vị trí: "&amp;HLOOKUP(B60,$3:$7,$I$1+1,0)</f>
        <v>Đào móng trụ Bộ móng neo xòe cho chằng xuống: NXX tại các vị trí: 171</v>
      </c>
      <c r="E60" s="1741">
        <f>SUMIF(ChiTietDuToan!C:C,'2Mong'!B60,ChiTietDuToan!J:J)</f>
        <v>2</v>
      </c>
      <c r="F60" s="1741">
        <f t="shared" si="3"/>
        <v>2</v>
      </c>
      <c r="G60" s="1741" t="str">
        <f>VLOOKUP($D$1,Solieu!B:C,2,0)</f>
        <v>19, 20, 22, 26</v>
      </c>
      <c r="H60" s="1738"/>
      <c r="I60" s="1516">
        <f t="shared" si="2"/>
        <v>1</v>
      </c>
      <c r="J60" s="1516"/>
    </row>
    <row r="61" spans="2:10" ht="33.6">
      <c r="B61" s="1178" t="s">
        <v>1545</v>
      </c>
      <c r="C61" s="1737">
        <f>SUM($I$4:I61)</f>
        <v>5</v>
      </c>
      <c r="D61" s="1739" t="e">
        <f>"Đào móng trụ "&amp;VLOOKUP(B61,ChiTietDuToan!C:F,4,0)&amp;" tại các vị trí: "&amp;HLOOKUP(B61,$3:$7,$I$1+1,0)</f>
        <v>#N/A</v>
      </c>
      <c r="E61" s="1741">
        <f>SUMIF(ChiTietDuToan!C:C,'2Mong'!B61,ChiTietDuToan!J:J)</f>
        <v>0</v>
      </c>
      <c r="F61" s="1741">
        <f t="shared" si="3"/>
        <v>0</v>
      </c>
      <c r="G61" s="1741" t="str">
        <f>VLOOKUP($D$1,Solieu!B:C,2,0)</f>
        <v>19, 20, 22, 26</v>
      </c>
      <c r="H61" s="1738"/>
      <c r="I61" s="1516" t="str">
        <f t="shared" si="2"/>
        <v/>
      </c>
      <c r="J61" s="1516"/>
    </row>
    <row r="62" spans="2:10" ht="33.6">
      <c r="B62" s="1178" t="s">
        <v>1624</v>
      </c>
      <c r="C62" s="1737">
        <f>SUM($I$4:I62)</f>
        <v>5</v>
      </c>
      <c r="D62" s="1739" t="e">
        <f>"Đào móng trụ "&amp;VLOOKUP(B62,ChiTietDuToan!C:F,4,0)&amp;" tại các vị trí: "&amp;HLOOKUP(B62,$3:$7,$I$1+1,0)</f>
        <v>#N/A</v>
      </c>
      <c r="E62" s="1741">
        <f>SUMIF(ChiTietDuToan!C:C,'2Mong'!B62,ChiTietDuToan!J:J)</f>
        <v>0</v>
      </c>
      <c r="F62" s="1741">
        <f t="shared" si="3"/>
        <v>0</v>
      </c>
      <c r="G62" s="1741" t="str">
        <f>VLOOKUP($D$1,Solieu!B:C,2,0)</f>
        <v>19, 20, 22, 26</v>
      </c>
      <c r="H62" s="1738"/>
      <c r="I62" s="1516" t="str">
        <f t="shared" si="2"/>
        <v/>
      </c>
      <c r="J62" s="1516"/>
    </row>
    <row r="63" spans="2:10" ht="33.6">
      <c r="B63" s="1178" t="s">
        <v>1121</v>
      </c>
      <c r="C63" s="1737">
        <f>SUM($I$4:I63)</f>
        <v>5</v>
      </c>
      <c r="D63" s="1739" t="e">
        <f>"Đào móng trụ "&amp;VLOOKUP(B63,ChiTietDuToan!C:F,4,0)&amp;" tại các vị trí: "&amp;HLOOKUP(B63,$3:$7,$I$1+1,0)</f>
        <v>#N/A</v>
      </c>
      <c r="E63" s="1741">
        <f>SUMIF(ChiTietDuToan!C:C,'2Mong'!B63,ChiTietDuToan!J:J)</f>
        <v>0</v>
      </c>
      <c r="F63" s="1741">
        <f t="shared" si="3"/>
        <v>0</v>
      </c>
      <c r="G63" s="1741" t="str">
        <f>VLOOKUP($D$1,Solieu!B:C,2,0)</f>
        <v>19, 20, 22, 26</v>
      </c>
      <c r="H63" s="1738"/>
      <c r="I63" s="1516" t="str">
        <f t="shared" si="2"/>
        <v/>
      </c>
      <c r="J63" s="1516"/>
    </row>
    <row r="64" spans="2:10" ht="33.6">
      <c r="B64" s="1178" t="s">
        <v>2208</v>
      </c>
      <c r="C64" s="1737">
        <f>SUM($I$4:I64)</f>
        <v>5</v>
      </c>
      <c r="D64" s="1739" t="e">
        <f>"Đào móng trụ "&amp;VLOOKUP(B64,ChiTietDuToan!C:F,4,0)&amp;" tại các vị trí: "&amp;HLOOKUP(B64,$3:$7,$I$1+1,0)</f>
        <v>#N/A</v>
      </c>
      <c r="E64" s="1741">
        <f>SUMIF(ChiTietDuToan!C:C,'2Mong'!B64,ChiTietDuToan!J:J)</f>
        <v>0</v>
      </c>
      <c r="F64" s="1741">
        <f t="shared" si="3"/>
        <v>0</v>
      </c>
      <c r="G64" s="1741" t="str">
        <f>VLOOKUP($D$1,Solieu!B:C,2,0)</f>
        <v>19, 20, 22, 26</v>
      </c>
      <c r="H64" s="1738"/>
      <c r="I64" s="1516" t="str">
        <f t="shared" si="2"/>
        <v/>
      </c>
      <c r="J64" s="1516"/>
    </row>
    <row r="65" spans="2:10" ht="33.6">
      <c r="B65" s="1178" t="s">
        <v>1122</v>
      </c>
      <c r="C65" s="1737">
        <f>SUM($I$4:I65)</f>
        <v>5</v>
      </c>
      <c r="D65" s="1739" t="e">
        <f>"Đào móng trụ "&amp;VLOOKUP(B65,ChiTietDuToan!C:F,4,0)&amp;" tại các vị trí: "&amp;HLOOKUP(B65,$3:$7,$I$1+1,0)</f>
        <v>#N/A</v>
      </c>
      <c r="E65" s="1741">
        <f>SUMIF(ChiTietDuToan!C:C,'2Mong'!B65,ChiTietDuToan!J:J)</f>
        <v>0</v>
      </c>
      <c r="F65" s="1741">
        <f t="shared" si="3"/>
        <v>0</v>
      </c>
      <c r="G65" s="1741" t="str">
        <f>VLOOKUP($D$1,Solieu!B:C,2,0)</f>
        <v>19, 20, 22, 26</v>
      </c>
      <c r="H65" s="1738"/>
      <c r="I65" s="1516" t="str">
        <f t="shared" si="2"/>
        <v/>
      </c>
      <c r="J65" s="1516"/>
    </row>
    <row r="66" spans="2:10" ht="33.6">
      <c r="B66" s="1178" t="s">
        <v>2209</v>
      </c>
      <c r="C66" s="1737">
        <f>SUM($I$4:I66)</f>
        <v>5</v>
      </c>
      <c r="D66" s="1739" t="e">
        <f>"Đào móng trụ "&amp;VLOOKUP(B66,ChiTietDuToan!C:F,4,0)&amp;" tại các vị trí: "&amp;HLOOKUP(B66,$3:$7,$I$1+1,0)</f>
        <v>#N/A</v>
      </c>
      <c r="E66" s="1741">
        <f>SUMIF(ChiTietDuToan!C:C,'2Mong'!B66,ChiTietDuToan!J:J)</f>
        <v>0</v>
      </c>
      <c r="F66" s="1741">
        <f t="shared" si="3"/>
        <v>0</v>
      </c>
      <c r="G66" s="1741" t="str">
        <f>VLOOKUP($D$1,Solieu!B:C,2,0)</f>
        <v>19, 20, 22, 26</v>
      </c>
      <c r="H66" s="1738"/>
      <c r="I66" s="1516" t="str">
        <f t="shared" si="2"/>
        <v/>
      </c>
      <c r="J66" s="1516"/>
    </row>
    <row r="67" spans="2:10" ht="33.6">
      <c r="B67" s="1178" t="s">
        <v>1123</v>
      </c>
      <c r="C67" s="1737">
        <f>SUM($I$4:I67)</f>
        <v>5</v>
      </c>
      <c r="D67" s="1739" t="e">
        <f>"Đào móng trụ "&amp;VLOOKUP(B67,ChiTietDuToan!C:F,4,0)&amp;" tại các vị trí: "&amp;HLOOKUP(B67,$3:$7,$I$1+1,0)</f>
        <v>#N/A</v>
      </c>
      <c r="E67" s="1741">
        <f>SUMIF(ChiTietDuToan!C:C,'2Mong'!B67,ChiTietDuToan!J:J)</f>
        <v>0</v>
      </c>
      <c r="F67" s="1741">
        <f t="shared" si="3"/>
        <v>0</v>
      </c>
      <c r="G67" s="1741" t="str">
        <f>VLOOKUP($D$1,Solieu!B:C,2,0)</f>
        <v>19, 20, 22, 26</v>
      </c>
      <c r="H67" s="1738"/>
      <c r="I67" s="1516" t="str">
        <f t="shared" si="2"/>
        <v/>
      </c>
      <c r="J67" s="1516"/>
    </row>
    <row r="68" spans="2:10" ht="33.6">
      <c r="B68" s="1178" t="s">
        <v>2099</v>
      </c>
      <c r="C68" s="1737">
        <f>SUM($I$4:I68)</f>
        <v>5</v>
      </c>
      <c r="D68" s="1739" t="e">
        <f>"Đào móng trụ "&amp;VLOOKUP(B68,ChiTietDuToan!C:F,4,0)&amp;" tại các vị trí: "&amp;HLOOKUP(B68,$3:$7,$I$1+1,0)</f>
        <v>#N/A</v>
      </c>
      <c r="E68" s="1741">
        <f>SUMIF(ChiTietDuToan!C:C,'2Mong'!B68,ChiTietDuToan!J:J)</f>
        <v>0</v>
      </c>
      <c r="F68" s="1741">
        <f t="shared" si="3"/>
        <v>0</v>
      </c>
      <c r="G68" s="1741" t="str">
        <f>VLOOKUP($D$1,Solieu!B:C,2,0)</f>
        <v>19, 20, 22, 26</v>
      </c>
      <c r="H68" s="1738"/>
      <c r="I68" s="1516" t="str">
        <f t="shared" si="2"/>
        <v/>
      </c>
      <c r="J68" s="1516"/>
    </row>
    <row r="69" spans="2:10" ht="33.6">
      <c r="B69" s="1178" t="s">
        <v>1124</v>
      </c>
      <c r="C69" s="1737">
        <f>SUM($I$4:I69)</f>
        <v>5</v>
      </c>
      <c r="D69" s="1739" t="e">
        <f>"Đào móng trụ "&amp;VLOOKUP(B69,ChiTietDuToan!C:F,4,0)&amp;" tại các vị trí: "&amp;HLOOKUP(B69,$3:$7,$I$1+1,0)</f>
        <v>#N/A</v>
      </c>
      <c r="E69" s="1741">
        <f>SUMIF(ChiTietDuToan!C:C,'2Mong'!B69,ChiTietDuToan!J:J)</f>
        <v>0</v>
      </c>
      <c r="F69" s="1741">
        <f t="shared" si="3"/>
        <v>0</v>
      </c>
      <c r="G69" s="1741" t="str">
        <f>VLOOKUP($D$1,Solieu!B:C,2,0)</f>
        <v>19, 20, 22, 26</v>
      </c>
      <c r="H69" s="1738"/>
      <c r="I69" s="1516" t="str">
        <f t="shared" ref="I69" si="4">IFERROR(IF(OR(E69&gt;0,F69&gt;0),1,""),"")</f>
        <v/>
      </c>
      <c r="J69" s="1516"/>
    </row>
    <row r="70" spans="2:10" ht="25.5" customHeight="1">
      <c r="C70" s="1737"/>
      <c r="D70" s="1735" t="s">
        <v>4426</v>
      </c>
      <c r="E70" s="1742">
        <f>SUM(E4:E69)</f>
        <v>103</v>
      </c>
      <c r="F70" s="1742">
        <f>SUM(F4:F69)</f>
        <v>45</v>
      </c>
      <c r="G70" s="1737"/>
      <c r="H70" s="1738"/>
      <c r="I70" s="1516">
        <v>1</v>
      </c>
    </row>
  </sheetData>
  <autoFilter ref="I3:I7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0"/>
  <sheetViews>
    <sheetView topLeftCell="A19" workbookViewId="0">
      <selection activeCell="D30" sqref="D30"/>
    </sheetView>
  </sheetViews>
  <sheetFormatPr defaultColWidth="8.90625" defaultRowHeight="16.8"/>
  <cols>
    <col min="1" max="1" width="8.90625" style="1516"/>
    <col min="2" max="2" width="14.453125" style="1178" customWidth="1"/>
    <col min="3" max="3" width="4.90625" style="1516" customWidth="1"/>
    <col min="4" max="4" width="36.90625" style="1516" customWidth="1"/>
    <col min="5" max="6" width="6" style="1516" customWidth="1"/>
    <col min="7" max="7" width="10.54296875" style="1516" customWidth="1"/>
    <col min="8" max="8" width="6" style="1516" customWidth="1"/>
    <col min="9" max="10" width="8.90625" style="1516"/>
    <col min="11" max="11" width="10.08984375" style="1851" bestFit="1" customWidth="1"/>
    <col min="12" max="13" width="11.81640625" style="1851" customWidth="1"/>
    <col min="14" max="15" width="8.90625" style="1851"/>
    <col min="16" max="16384" width="8.90625" style="1516"/>
  </cols>
  <sheetData>
    <row r="1" spans="2:13">
      <c r="D1" s="1073" t="s">
        <v>2897</v>
      </c>
    </row>
    <row r="3" spans="2:13" ht="33.6">
      <c r="C3" s="2158" t="s">
        <v>1761</v>
      </c>
      <c r="D3" s="2158" t="s">
        <v>5382</v>
      </c>
      <c r="E3" s="1736" t="s">
        <v>4396</v>
      </c>
      <c r="F3" s="1736" t="s">
        <v>4308</v>
      </c>
      <c r="G3" s="2158" t="s">
        <v>4389</v>
      </c>
      <c r="H3" s="2158" t="s">
        <v>4307</v>
      </c>
      <c r="I3" s="1764" t="s">
        <v>515</v>
      </c>
      <c r="L3" s="1851" t="str">
        <f>'bkt-DuToan'!M4</f>
        <v>BTLT 12 F540</v>
      </c>
      <c r="M3" s="1851" t="str">
        <f>'bkt-DuToan'!N4</f>
        <v>BTLT 14 F650</v>
      </c>
    </row>
    <row r="4" spans="2:13" ht="33.6">
      <c r="B4" s="1178" t="s">
        <v>984</v>
      </c>
      <c r="C4" s="1737">
        <v>0</v>
      </c>
      <c r="D4" s="1739" t="e">
        <v>#N/A</v>
      </c>
      <c r="E4" s="1741">
        <v>0</v>
      </c>
      <c r="F4" s="1741">
        <v>0</v>
      </c>
      <c r="G4" s="1741" t="s">
        <v>5377</v>
      </c>
      <c r="H4" s="1738"/>
      <c r="I4" s="1516" t="str">
        <f>'2Mong'!I4</f>
        <v/>
      </c>
      <c r="K4" s="2392">
        <v>43744</v>
      </c>
      <c r="L4" s="1851">
        <f>SUMIF('bkt-DuToan'!$DB:$DB,1,'bkt-DuToan'!M:M)</f>
        <v>60</v>
      </c>
      <c r="M4" s="1851">
        <f>SUMIF('bkt-DuToan'!$DB:$DB,1,'bkt-DuToan'!N:N)</f>
        <v>6</v>
      </c>
    </row>
    <row r="5" spans="2:13" ht="33.6">
      <c r="B5" s="1178" t="s">
        <v>234</v>
      </c>
      <c r="C5" s="1737">
        <v>0</v>
      </c>
      <c r="D5" s="1739" t="e">
        <v>#N/A</v>
      </c>
      <c r="E5" s="1741">
        <v>0</v>
      </c>
      <c r="F5" s="1741">
        <v>0</v>
      </c>
      <c r="G5" s="1741" t="s">
        <v>5377</v>
      </c>
      <c r="H5" s="1738"/>
      <c r="I5" s="1516" t="str">
        <f>'2Mong'!I5</f>
        <v/>
      </c>
      <c r="J5" s="1073"/>
      <c r="L5" s="1851" t="s">
        <v>5397</v>
      </c>
      <c r="M5" s="1851" t="s">
        <v>5388</v>
      </c>
    </row>
    <row r="6" spans="2:13" ht="23.25" customHeight="1">
      <c r="B6" s="1178" t="s">
        <v>233</v>
      </c>
      <c r="C6" s="1737">
        <v>0</v>
      </c>
      <c r="D6" s="1739" t="e">
        <v>#N/A</v>
      </c>
      <c r="E6" s="1741">
        <v>0</v>
      </c>
      <c r="F6" s="1741">
        <v>0</v>
      </c>
      <c r="G6" s="1741" t="s">
        <v>5377</v>
      </c>
      <c r="H6" s="1738"/>
      <c r="I6" s="1516" t="str">
        <f>'2Mong'!I6</f>
        <v/>
      </c>
      <c r="J6" s="1073"/>
      <c r="K6" s="2392">
        <v>43751</v>
      </c>
      <c r="L6" s="1851">
        <f>SUMIF('bkt-DuToan'!$DC:$DC,1,'bkt-DuToan'!M:M)</f>
        <v>37</v>
      </c>
      <c r="M6" s="1851">
        <f>SUMIF('bkt-DuToan'!$DC:$DC,1,'bkt-DuToan'!N:N)</f>
        <v>9</v>
      </c>
    </row>
    <row r="7" spans="2:13" ht="33.6">
      <c r="B7" s="1178" t="s">
        <v>186</v>
      </c>
      <c r="C7" s="1737">
        <v>0</v>
      </c>
      <c r="D7" s="1739" t="e">
        <v>#N/A</v>
      </c>
      <c r="E7" s="1741">
        <v>0</v>
      </c>
      <c r="F7" s="1741">
        <v>0</v>
      </c>
      <c r="G7" s="1741" t="s">
        <v>5377</v>
      </c>
      <c r="H7" s="1738"/>
      <c r="I7" s="1516" t="str">
        <f>'2Mong'!I7</f>
        <v/>
      </c>
      <c r="J7" s="1073"/>
      <c r="L7" s="1851" t="s">
        <v>5399</v>
      </c>
      <c r="M7" s="1851" t="s">
        <v>5398</v>
      </c>
    </row>
    <row r="8" spans="2:13" ht="33.6">
      <c r="B8" s="1178" t="s">
        <v>1682</v>
      </c>
      <c r="C8" s="1737">
        <v>0</v>
      </c>
      <c r="D8" s="1739" t="e">
        <v>#N/A</v>
      </c>
      <c r="E8" s="1741">
        <v>0</v>
      </c>
      <c r="F8" s="1741">
        <v>0</v>
      </c>
      <c r="G8" s="1741" t="s">
        <v>5377</v>
      </c>
      <c r="H8" s="1738"/>
      <c r="I8" s="1516" t="str">
        <f>'2Mong'!I8</f>
        <v/>
      </c>
      <c r="J8" s="1073"/>
    </row>
    <row r="9" spans="2:13" ht="33.6">
      <c r="B9" s="1178" t="s">
        <v>513</v>
      </c>
      <c r="C9" s="1737">
        <v>0</v>
      </c>
      <c r="D9" s="1739" t="e">
        <v>#N/A</v>
      </c>
      <c r="E9" s="1741">
        <v>0</v>
      </c>
      <c r="F9" s="1741">
        <v>0</v>
      </c>
      <c r="G9" s="1741" t="s">
        <v>5377</v>
      </c>
      <c r="H9" s="1738"/>
      <c r="I9" s="1516" t="str">
        <f>'2Mong'!I9</f>
        <v/>
      </c>
      <c r="J9" s="1073"/>
    </row>
    <row r="10" spans="2:13" ht="33.6">
      <c r="B10" s="1178" t="s">
        <v>301</v>
      </c>
      <c r="C10" s="1737">
        <v>0</v>
      </c>
      <c r="D10" s="1739" t="e">
        <v>#N/A</v>
      </c>
      <c r="E10" s="1741">
        <v>0</v>
      </c>
      <c r="F10" s="1741">
        <v>0</v>
      </c>
      <c r="G10" s="1741" t="s">
        <v>5377</v>
      </c>
      <c r="H10" s="1738"/>
      <c r="I10" s="1516" t="str">
        <f>'2Mong'!I10</f>
        <v/>
      </c>
      <c r="J10" s="1073"/>
      <c r="K10" s="1851">
        <v>36</v>
      </c>
      <c r="L10" s="1851">
        <v>23</v>
      </c>
    </row>
    <row r="11" spans="2:13" ht="33.6">
      <c r="B11" s="1178" t="s">
        <v>371</v>
      </c>
      <c r="C11" s="1737">
        <v>0</v>
      </c>
      <c r="D11" s="1739" t="e">
        <v>#N/A</v>
      </c>
      <c r="E11" s="1741">
        <v>0</v>
      </c>
      <c r="F11" s="1741">
        <v>0</v>
      </c>
      <c r="G11" s="1741" t="s">
        <v>5377</v>
      </c>
      <c r="H11" s="1738"/>
      <c r="I11" s="1516" t="str">
        <f>'2Mong'!I11</f>
        <v/>
      </c>
      <c r="J11" s="1073"/>
      <c r="K11" s="1851">
        <v>40</v>
      </c>
      <c r="L11" s="1851">
        <v>23</v>
      </c>
    </row>
    <row r="12" spans="2:13" ht="33.6">
      <c r="B12" s="1178" t="s">
        <v>1216</v>
      </c>
      <c r="C12" s="1737">
        <v>0</v>
      </c>
      <c r="D12" s="1739" t="e">
        <v>#N/A</v>
      </c>
      <c r="E12" s="1741">
        <v>0</v>
      </c>
      <c r="F12" s="1741">
        <v>0</v>
      </c>
      <c r="G12" s="1741" t="s">
        <v>5377</v>
      </c>
      <c r="H12" s="1738"/>
      <c r="I12" s="1516" t="str">
        <f>'2Mong'!I12</f>
        <v/>
      </c>
      <c r="J12" s="1073"/>
      <c r="K12" s="1851">
        <v>10</v>
      </c>
      <c r="L12" s="1851">
        <v>7</v>
      </c>
    </row>
    <row r="13" spans="2:13" ht="33.6">
      <c r="B13" s="1178" t="s">
        <v>707</v>
      </c>
      <c r="C13" s="1737">
        <v>0</v>
      </c>
      <c r="D13" s="1739" t="e">
        <v>#N/A</v>
      </c>
      <c r="E13" s="1741">
        <v>0</v>
      </c>
      <c r="F13" s="1741">
        <v>0</v>
      </c>
      <c r="G13" s="1741" t="s">
        <v>5377</v>
      </c>
      <c r="H13" s="1738"/>
      <c r="I13" s="1516" t="str">
        <f>'2Mong'!I13</f>
        <v/>
      </c>
      <c r="J13" s="1073"/>
      <c r="K13" s="1851">
        <v>15</v>
      </c>
      <c r="L13" s="1851">
        <v>6</v>
      </c>
    </row>
    <row r="14" spans="2:13" ht="33.6">
      <c r="B14" s="1178" t="s">
        <v>2371</v>
      </c>
      <c r="C14" s="1737">
        <v>0</v>
      </c>
      <c r="D14" s="1739" t="e">
        <v>#N/A</v>
      </c>
      <c r="E14" s="1741">
        <v>0</v>
      </c>
      <c r="F14" s="1741">
        <v>0</v>
      </c>
      <c r="G14" s="1741" t="s">
        <v>5377</v>
      </c>
      <c r="H14" s="1738"/>
      <c r="I14" s="1516" t="str">
        <f>'2Mong'!I14</f>
        <v/>
      </c>
      <c r="J14" s="1073"/>
      <c r="K14" s="1851">
        <f>SUM(K10:K13)</f>
        <v>101</v>
      </c>
      <c r="L14" s="1851">
        <f>SUM(L10:L13)</f>
        <v>59</v>
      </c>
    </row>
    <row r="15" spans="2:13" ht="33.6">
      <c r="B15" s="1178" t="s">
        <v>303</v>
      </c>
      <c r="C15" s="1737">
        <v>0</v>
      </c>
      <c r="D15" s="1739" t="e">
        <v>#N/A</v>
      </c>
      <c r="E15" s="1741">
        <v>0</v>
      </c>
      <c r="F15" s="1741">
        <v>0</v>
      </c>
      <c r="G15" s="1741" t="s">
        <v>5377</v>
      </c>
      <c r="H15" s="1738"/>
      <c r="I15" s="1516" t="str">
        <f>'2Mong'!I15</f>
        <v/>
      </c>
      <c r="J15" s="1073"/>
    </row>
    <row r="16" spans="2:13" ht="33.6">
      <c r="B16" s="1178" t="s">
        <v>767</v>
      </c>
      <c r="C16" s="1737">
        <v>0</v>
      </c>
      <c r="D16" s="1739" t="e">
        <v>#N/A</v>
      </c>
      <c r="E16" s="1741">
        <v>0</v>
      </c>
      <c r="F16" s="1741">
        <v>0</v>
      </c>
      <c r="G16" s="1741" t="s">
        <v>5377</v>
      </c>
      <c r="H16" s="1738"/>
      <c r="I16" s="1516" t="str">
        <f>'2Mong'!I16</f>
        <v/>
      </c>
    </row>
    <row r="17" spans="3:9" ht="31.5" customHeight="1">
      <c r="C17" s="1737">
        <v>0</v>
      </c>
      <c r="D17" s="2158" t="e">
        <v>#N/A</v>
      </c>
      <c r="E17" s="1742">
        <v>0</v>
      </c>
      <c r="F17" s="1742">
        <v>0</v>
      </c>
      <c r="G17" s="1737" t="s">
        <v>5377</v>
      </c>
      <c r="H17" s="1738"/>
      <c r="I17" s="1516" t="str">
        <f>'2Mong'!I17</f>
        <v/>
      </c>
    </row>
    <row r="18" spans="3:9">
      <c r="C18" s="902">
        <v>0</v>
      </c>
      <c r="D18" s="902" t="e">
        <v>#N/A</v>
      </c>
      <c r="E18" s="902">
        <v>0</v>
      </c>
      <c r="F18" s="902">
        <v>0</v>
      </c>
      <c r="G18" s="902" t="s">
        <v>5377</v>
      </c>
      <c r="H18" s="902"/>
      <c r="I18" s="1516" t="str">
        <f>'2Mong'!I18</f>
        <v/>
      </c>
    </row>
    <row r="19" spans="3:9">
      <c r="C19" s="902">
        <v>0</v>
      </c>
      <c r="D19" s="902" t="e">
        <v>#N/A</v>
      </c>
      <c r="E19" s="902">
        <v>0</v>
      </c>
      <c r="F19" s="902">
        <v>0</v>
      </c>
      <c r="G19" s="902" t="s">
        <v>5377</v>
      </c>
      <c r="H19" s="902"/>
      <c r="I19" s="1516" t="str">
        <f>'2Mong'!I19</f>
        <v/>
      </c>
    </row>
    <row r="20" spans="3:9">
      <c r="C20" s="902">
        <v>0</v>
      </c>
      <c r="D20" s="902" t="e">
        <v>#N/A</v>
      </c>
      <c r="E20" s="902">
        <v>0</v>
      </c>
      <c r="F20" s="902">
        <v>0</v>
      </c>
      <c r="G20" s="902" t="s">
        <v>5377</v>
      </c>
      <c r="H20" s="902"/>
      <c r="I20" s="1516" t="str">
        <f>'2Mong'!I20</f>
        <v/>
      </c>
    </row>
    <row r="21" spans="3:9">
      <c r="C21" s="902">
        <v>0</v>
      </c>
      <c r="D21" s="902" t="e">
        <v>#N/A</v>
      </c>
      <c r="E21" s="902">
        <v>0</v>
      </c>
      <c r="F21" s="902">
        <v>0</v>
      </c>
      <c r="G21" s="902" t="s">
        <v>5377</v>
      </c>
      <c r="H21" s="902"/>
      <c r="I21" s="1516" t="str">
        <f>'2Mong'!I21</f>
        <v/>
      </c>
    </row>
    <row r="22" spans="3:9">
      <c r="C22" s="902">
        <v>0</v>
      </c>
      <c r="D22" s="902" t="e">
        <v>#N/A</v>
      </c>
      <c r="E22" s="902">
        <v>0</v>
      </c>
      <c r="F22" s="902">
        <v>0</v>
      </c>
      <c r="G22" s="902" t="s">
        <v>5377</v>
      </c>
      <c r="H22" s="902"/>
      <c r="I22" s="1516" t="str">
        <f>'2Mong'!I22</f>
        <v/>
      </c>
    </row>
    <row r="23" spans="3:9">
      <c r="C23" s="902">
        <v>0</v>
      </c>
      <c r="D23" s="902" t="e">
        <v>#N/A</v>
      </c>
      <c r="E23" s="902">
        <v>0</v>
      </c>
      <c r="F23" s="902">
        <v>0</v>
      </c>
      <c r="G23" s="902" t="s">
        <v>5377</v>
      </c>
      <c r="H23" s="902"/>
      <c r="I23" s="1516" t="str">
        <f>'2Mong'!I23</f>
        <v/>
      </c>
    </row>
    <row r="24" spans="3:9">
      <c r="C24" s="902">
        <v>0</v>
      </c>
      <c r="D24" s="902" t="e">
        <v>#N/A</v>
      </c>
      <c r="E24" s="902">
        <v>0</v>
      </c>
      <c r="F24" s="902">
        <v>0</v>
      </c>
      <c r="G24" s="902" t="s">
        <v>5377</v>
      </c>
      <c r="H24" s="902"/>
      <c r="I24" s="1516" t="str">
        <f>'2Mong'!I24</f>
        <v/>
      </c>
    </row>
    <row r="25" spans="3:9">
      <c r="C25" s="902">
        <v>0</v>
      </c>
      <c r="D25" s="902" t="e">
        <v>#N/A</v>
      </c>
      <c r="E25" s="902">
        <v>0</v>
      </c>
      <c r="F25" s="902">
        <v>0</v>
      </c>
      <c r="G25" s="902" t="s">
        <v>5377</v>
      </c>
      <c r="H25" s="902"/>
      <c r="I25" s="1516" t="str">
        <f>'2Mong'!I25</f>
        <v/>
      </c>
    </row>
    <row r="26" spans="3:9">
      <c r="C26" s="902">
        <v>0</v>
      </c>
      <c r="D26" s="902" t="e">
        <v>#N/A</v>
      </c>
      <c r="E26" s="902">
        <v>0</v>
      </c>
      <c r="F26" s="902">
        <v>0</v>
      </c>
      <c r="G26" s="902" t="s">
        <v>5377</v>
      </c>
      <c r="H26" s="902"/>
      <c r="I26" s="1516" t="str">
        <f>'2Mong'!I26</f>
        <v/>
      </c>
    </row>
    <row r="27" spans="3:9">
      <c r="C27" s="902">
        <v>0</v>
      </c>
      <c r="D27" s="902" t="e">
        <v>#N/A</v>
      </c>
      <c r="E27" s="902">
        <v>0</v>
      </c>
      <c r="F27" s="902">
        <v>0</v>
      </c>
      <c r="G27" s="902" t="s">
        <v>5377</v>
      </c>
      <c r="H27" s="902"/>
      <c r="I27" s="1516" t="str">
        <f>'2Mong'!I27</f>
        <v/>
      </c>
    </row>
    <row r="28" spans="3:9">
      <c r="C28" s="902">
        <v>0</v>
      </c>
      <c r="D28" s="902" t="e">
        <v>#N/A</v>
      </c>
      <c r="E28" s="902">
        <v>0</v>
      </c>
      <c r="F28" s="902">
        <v>0</v>
      </c>
      <c r="G28" s="902" t="s">
        <v>5377</v>
      </c>
      <c r="H28" s="902"/>
      <c r="I28" s="1516" t="str">
        <f>'2Mong'!I28</f>
        <v/>
      </c>
    </row>
    <row r="29" spans="3:9" ht="67.2">
      <c r="C29" s="902">
        <v>1</v>
      </c>
      <c r="D29" s="2393" t="s">
        <v>5400</v>
      </c>
      <c r="E29" s="902">
        <v>36</v>
      </c>
      <c r="F29" s="902">
        <v>14</v>
      </c>
      <c r="G29" s="902" t="s">
        <v>5377</v>
      </c>
      <c r="H29" s="902"/>
      <c r="I29" s="1516">
        <f>'2Mong'!I29</f>
        <v>1</v>
      </c>
    </row>
    <row r="30" spans="3:9" ht="84">
      <c r="C30" s="902">
        <v>2</v>
      </c>
      <c r="D30" s="2393" t="s">
        <v>5401</v>
      </c>
      <c r="E30" s="902">
        <v>40</v>
      </c>
      <c r="F30" s="902">
        <v>17</v>
      </c>
      <c r="G30" s="902" t="s">
        <v>5377</v>
      </c>
      <c r="H30" s="902"/>
      <c r="I30" s="1516">
        <f>'2Mong'!I30</f>
        <v>1</v>
      </c>
    </row>
    <row r="31" spans="3:9">
      <c r="C31" s="902">
        <v>2</v>
      </c>
      <c r="D31" s="902" t="e">
        <v>#N/A</v>
      </c>
      <c r="E31" s="902">
        <v>0</v>
      </c>
      <c r="F31" s="902">
        <v>0</v>
      </c>
      <c r="G31" s="902" t="s">
        <v>5377</v>
      </c>
      <c r="H31" s="902"/>
      <c r="I31" s="1516" t="str">
        <f>'2Mong'!I31</f>
        <v/>
      </c>
    </row>
    <row r="32" spans="3:9">
      <c r="C32" s="902">
        <v>2</v>
      </c>
      <c r="D32" s="902" t="e">
        <v>#N/A</v>
      </c>
      <c r="E32" s="902">
        <v>0</v>
      </c>
      <c r="F32" s="902">
        <v>0</v>
      </c>
      <c r="G32" s="902" t="s">
        <v>5377</v>
      </c>
      <c r="H32" s="902"/>
      <c r="I32" s="1516" t="str">
        <f>'2Mong'!I32</f>
        <v/>
      </c>
    </row>
    <row r="33" spans="3:9">
      <c r="C33" s="902">
        <v>2</v>
      </c>
      <c r="D33" s="902" t="e">
        <v>#N/A</v>
      </c>
      <c r="E33" s="902">
        <v>0</v>
      </c>
      <c r="F33" s="902">
        <v>0</v>
      </c>
      <c r="G33" s="902" t="s">
        <v>5377</v>
      </c>
      <c r="H33" s="902"/>
      <c r="I33" s="1516" t="str">
        <f>'2Mong'!I33</f>
        <v/>
      </c>
    </row>
    <row r="34" spans="3:9">
      <c r="C34" s="902">
        <v>2</v>
      </c>
      <c r="D34" s="902" t="e">
        <v>#N/A</v>
      </c>
      <c r="E34" s="902">
        <v>0</v>
      </c>
      <c r="F34" s="902">
        <v>0</v>
      </c>
      <c r="G34" s="902" t="s">
        <v>5377</v>
      </c>
      <c r="H34" s="902"/>
      <c r="I34" s="1516" t="str">
        <f>'2Mong'!I34</f>
        <v/>
      </c>
    </row>
    <row r="35" spans="3:9">
      <c r="C35" s="902">
        <v>2</v>
      </c>
      <c r="D35" s="902" t="e">
        <v>#N/A</v>
      </c>
      <c r="E35" s="902">
        <v>0</v>
      </c>
      <c r="F35" s="902">
        <v>0</v>
      </c>
      <c r="G35" s="902" t="s">
        <v>5377</v>
      </c>
      <c r="H35" s="902"/>
      <c r="I35" s="1516" t="str">
        <f>'2Mong'!I35</f>
        <v/>
      </c>
    </row>
    <row r="36" spans="3:9">
      <c r="C36" s="902">
        <v>2</v>
      </c>
      <c r="D36" s="902" t="e">
        <v>#N/A</v>
      </c>
      <c r="E36" s="902">
        <v>0</v>
      </c>
      <c r="F36" s="902">
        <v>0</v>
      </c>
      <c r="G36" s="902" t="s">
        <v>5377</v>
      </c>
      <c r="H36" s="902"/>
      <c r="I36" s="1516" t="str">
        <f>'2Mong'!I36</f>
        <v/>
      </c>
    </row>
    <row r="37" spans="3:9">
      <c r="C37" s="902">
        <v>2</v>
      </c>
      <c r="D37" s="902" t="e">
        <v>#N/A</v>
      </c>
      <c r="E37" s="902">
        <v>0</v>
      </c>
      <c r="F37" s="902">
        <v>0</v>
      </c>
      <c r="G37" s="902" t="s">
        <v>5377</v>
      </c>
      <c r="H37" s="902"/>
      <c r="I37" s="1516" t="str">
        <f>'2Mong'!I37</f>
        <v/>
      </c>
    </row>
    <row r="38" spans="3:9">
      <c r="C38" s="902">
        <v>2</v>
      </c>
      <c r="D38" s="902" t="e">
        <v>#N/A</v>
      </c>
      <c r="E38" s="902">
        <v>0</v>
      </c>
      <c r="F38" s="902">
        <v>0</v>
      </c>
      <c r="G38" s="902" t="s">
        <v>5377</v>
      </c>
      <c r="H38" s="902"/>
      <c r="I38" s="1516" t="str">
        <f>'2Mong'!I38</f>
        <v/>
      </c>
    </row>
    <row r="39" spans="3:9">
      <c r="C39" s="902">
        <v>2</v>
      </c>
      <c r="D39" s="902" t="e">
        <v>#N/A</v>
      </c>
      <c r="E39" s="902">
        <v>0</v>
      </c>
      <c r="F39" s="902">
        <v>0</v>
      </c>
      <c r="G39" s="902" t="s">
        <v>5377</v>
      </c>
      <c r="H39" s="902"/>
      <c r="I39" s="1516" t="str">
        <f>'2Mong'!I39</f>
        <v/>
      </c>
    </row>
    <row r="40" spans="3:9">
      <c r="C40" s="902">
        <v>2</v>
      </c>
      <c r="D40" s="902" t="e">
        <v>#N/A</v>
      </c>
      <c r="E40" s="902">
        <v>0</v>
      </c>
      <c r="F40" s="902">
        <v>0</v>
      </c>
      <c r="G40" s="902" t="s">
        <v>5377</v>
      </c>
      <c r="H40" s="902"/>
      <c r="I40" s="1516" t="str">
        <f>'2Mong'!I40</f>
        <v/>
      </c>
    </row>
    <row r="41" spans="3:9">
      <c r="C41" s="902">
        <v>2</v>
      </c>
      <c r="D41" s="902" t="e">
        <v>#N/A</v>
      </c>
      <c r="E41" s="902">
        <v>0</v>
      </c>
      <c r="F41" s="902">
        <v>0</v>
      </c>
      <c r="G41" s="902" t="s">
        <v>5377</v>
      </c>
      <c r="H41" s="902"/>
      <c r="I41" s="1516" t="str">
        <f>'2Mong'!I41</f>
        <v/>
      </c>
    </row>
    <row r="42" spans="3:9" ht="33.6">
      <c r="C42" s="902">
        <v>3</v>
      </c>
      <c r="D42" s="2393" t="s">
        <v>5402</v>
      </c>
      <c r="E42" s="902">
        <v>10</v>
      </c>
      <c r="F42" s="902">
        <v>3</v>
      </c>
      <c r="G42" s="902" t="s">
        <v>5377</v>
      </c>
      <c r="H42" s="902"/>
      <c r="I42" s="1516">
        <f>'2Mong'!I42</f>
        <v>1</v>
      </c>
    </row>
    <row r="43" spans="3:9">
      <c r="C43" s="902">
        <v>3</v>
      </c>
      <c r="D43" s="902" t="e">
        <v>#N/A</v>
      </c>
      <c r="E43" s="902">
        <v>0</v>
      </c>
      <c r="F43" s="902">
        <v>0</v>
      </c>
      <c r="G43" s="902" t="s">
        <v>5377</v>
      </c>
      <c r="H43" s="902"/>
      <c r="I43" s="1516" t="str">
        <f>'2Mong'!I43</f>
        <v/>
      </c>
    </row>
    <row r="44" spans="3:9">
      <c r="C44" s="902">
        <v>3</v>
      </c>
      <c r="D44" s="902" t="e">
        <v>#N/A</v>
      </c>
      <c r="E44" s="902">
        <v>0</v>
      </c>
      <c r="F44" s="902">
        <v>0</v>
      </c>
      <c r="G44" s="902" t="s">
        <v>5377</v>
      </c>
      <c r="H44" s="902"/>
      <c r="I44" s="1516" t="str">
        <f>'2Mong'!I44</f>
        <v/>
      </c>
    </row>
    <row r="45" spans="3:9">
      <c r="C45" s="902">
        <v>3</v>
      </c>
      <c r="D45" s="902" t="e">
        <v>#N/A</v>
      </c>
      <c r="E45" s="902">
        <v>0</v>
      </c>
      <c r="F45" s="902">
        <v>0</v>
      </c>
      <c r="G45" s="902" t="s">
        <v>5377</v>
      </c>
      <c r="H45" s="902"/>
      <c r="I45" s="1516" t="str">
        <f>'2Mong'!I45</f>
        <v/>
      </c>
    </row>
    <row r="46" spans="3:9" ht="50.4">
      <c r="C46" s="902">
        <v>4</v>
      </c>
      <c r="D46" s="2393" t="s">
        <v>5403</v>
      </c>
      <c r="E46" s="902">
        <v>15</v>
      </c>
      <c r="F46" s="902">
        <v>9</v>
      </c>
      <c r="G46" s="902" t="s">
        <v>5377</v>
      </c>
      <c r="H46" s="902"/>
      <c r="I46" s="1516">
        <f>'2Mong'!I46</f>
        <v>1</v>
      </c>
    </row>
    <row r="47" spans="3:9">
      <c r="C47" s="902">
        <v>4</v>
      </c>
      <c r="D47" s="902" t="e">
        <v>#N/A</v>
      </c>
      <c r="E47" s="902">
        <v>0</v>
      </c>
      <c r="F47" s="902">
        <v>0</v>
      </c>
      <c r="G47" s="902" t="s">
        <v>5377</v>
      </c>
      <c r="H47" s="902"/>
      <c r="I47" s="1516" t="str">
        <f>'2Mong'!I47</f>
        <v/>
      </c>
    </row>
    <row r="48" spans="3:9">
      <c r="C48" s="902">
        <v>4</v>
      </c>
      <c r="D48" s="902" t="e">
        <v>#N/A</v>
      </c>
      <c r="E48" s="902">
        <v>0</v>
      </c>
      <c r="F48" s="902">
        <v>0</v>
      </c>
      <c r="G48" s="902" t="s">
        <v>5377</v>
      </c>
      <c r="H48" s="902"/>
      <c r="I48" s="1516" t="str">
        <f>'2Mong'!I48</f>
        <v/>
      </c>
    </row>
    <row r="49" spans="3:9">
      <c r="C49" s="902">
        <v>4</v>
      </c>
      <c r="D49" s="902" t="e">
        <v>#N/A</v>
      </c>
      <c r="E49" s="902">
        <v>0</v>
      </c>
      <c r="F49" s="902">
        <v>0</v>
      </c>
      <c r="G49" s="902" t="s">
        <v>5377</v>
      </c>
      <c r="H49" s="902"/>
      <c r="I49" s="1516" t="str">
        <f>'2Mong'!I49</f>
        <v/>
      </c>
    </row>
    <row r="50" spans="3:9">
      <c r="C50" s="902">
        <v>4</v>
      </c>
      <c r="D50" s="902" t="e">
        <v>#N/A</v>
      </c>
      <c r="E50" s="902">
        <v>0</v>
      </c>
      <c r="F50" s="902">
        <v>0</v>
      </c>
      <c r="G50" s="902" t="s">
        <v>5377</v>
      </c>
      <c r="H50" s="902"/>
      <c r="I50" s="1516" t="str">
        <f>'2Mong'!I50</f>
        <v/>
      </c>
    </row>
    <row r="51" spans="3:9">
      <c r="C51" s="902">
        <v>4</v>
      </c>
      <c r="D51" s="902" t="e">
        <v>#N/A</v>
      </c>
      <c r="E51" s="902">
        <v>0</v>
      </c>
      <c r="F51" s="902">
        <v>0</v>
      </c>
      <c r="G51" s="902" t="s">
        <v>5377</v>
      </c>
      <c r="H51" s="902"/>
      <c r="I51" s="1516" t="str">
        <f>'2Mong'!I51</f>
        <v/>
      </c>
    </row>
    <row r="52" spans="3:9">
      <c r="C52" s="902">
        <v>4</v>
      </c>
      <c r="D52" s="902" t="e">
        <v>#N/A</v>
      </c>
      <c r="E52" s="902">
        <v>0</v>
      </c>
      <c r="F52" s="902">
        <v>0</v>
      </c>
      <c r="G52" s="902" t="s">
        <v>5377</v>
      </c>
      <c r="H52" s="902"/>
      <c r="I52" s="1516" t="str">
        <f>'2Mong'!I52</f>
        <v/>
      </c>
    </row>
    <row r="53" spans="3:9">
      <c r="C53" s="902">
        <v>4</v>
      </c>
      <c r="D53" s="902" t="e">
        <v>#N/A</v>
      </c>
      <c r="E53" s="902">
        <v>0</v>
      </c>
      <c r="F53" s="902">
        <v>0</v>
      </c>
      <c r="G53" s="902" t="s">
        <v>5377</v>
      </c>
      <c r="H53" s="902"/>
      <c r="I53" s="1516" t="str">
        <f>'2Mong'!I53</f>
        <v/>
      </c>
    </row>
    <row r="54" spans="3:9">
      <c r="C54" s="902">
        <v>4</v>
      </c>
      <c r="D54" s="902" t="e">
        <v>#N/A</v>
      </c>
      <c r="E54" s="902">
        <v>0</v>
      </c>
      <c r="F54" s="902">
        <v>0</v>
      </c>
      <c r="G54" s="902" t="s">
        <v>5377</v>
      </c>
      <c r="H54" s="902"/>
      <c r="I54" s="1516" t="str">
        <f>'2Mong'!I54</f>
        <v/>
      </c>
    </row>
    <row r="55" spans="3:9">
      <c r="C55" s="902">
        <v>4</v>
      </c>
      <c r="D55" s="902" t="e">
        <v>#N/A</v>
      </c>
      <c r="E55" s="902">
        <v>0</v>
      </c>
      <c r="F55" s="902">
        <v>0</v>
      </c>
      <c r="G55" s="902" t="s">
        <v>5377</v>
      </c>
      <c r="H55" s="902"/>
      <c r="I55" s="1516" t="str">
        <f>'2Mong'!I55</f>
        <v/>
      </c>
    </row>
    <row r="56" spans="3:9">
      <c r="C56" s="902">
        <v>4</v>
      </c>
      <c r="D56" s="902" t="e">
        <v>#N/A</v>
      </c>
      <c r="E56" s="902">
        <v>0</v>
      </c>
      <c r="F56" s="902">
        <v>0</v>
      </c>
      <c r="G56" s="902" t="s">
        <v>5377</v>
      </c>
      <c r="H56" s="902"/>
      <c r="I56" s="1516" t="str">
        <f>'2Mong'!I56</f>
        <v/>
      </c>
    </row>
    <row r="57" spans="3:9">
      <c r="C57" s="902">
        <v>4</v>
      </c>
      <c r="D57" s="902" t="e">
        <v>#N/A</v>
      </c>
      <c r="E57" s="902">
        <v>0</v>
      </c>
      <c r="F57" s="902">
        <v>0</v>
      </c>
      <c r="G57" s="902" t="s">
        <v>5377</v>
      </c>
      <c r="H57" s="902"/>
      <c r="I57" s="1516" t="str">
        <f>'2Mong'!I57</f>
        <v/>
      </c>
    </row>
    <row r="58" spans="3:9">
      <c r="C58" s="902">
        <v>4</v>
      </c>
      <c r="D58" s="902" t="e">
        <v>#N/A</v>
      </c>
      <c r="E58" s="902">
        <v>0</v>
      </c>
      <c r="F58" s="902">
        <v>0</v>
      </c>
      <c r="G58" s="902" t="s">
        <v>5377</v>
      </c>
      <c r="H58" s="902"/>
      <c r="I58" s="1516" t="str">
        <f>'2Mong'!I58</f>
        <v/>
      </c>
    </row>
    <row r="59" spans="3:9">
      <c r="C59" s="902">
        <v>4</v>
      </c>
      <c r="D59" s="902" t="e">
        <v>#N/A</v>
      </c>
      <c r="E59" s="902">
        <v>0</v>
      </c>
      <c r="F59" s="902">
        <v>0</v>
      </c>
      <c r="G59" s="902" t="s">
        <v>5377</v>
      </c>
      <c r="H59" s="902"/>
      <c r="I59" s="1516" t="str">
        <f>'2Mong'!I59</f>
        <v/>
      </c>
    </row>
    <row r="60" spans="3:9" ht="33.6">
      <c r="C60" s="902">
        <v>5</v>
      </c>
      <c r="D60" s="2393" t="s">
        <v>5404</v>
      </c>
      <c r="E60" s="902">
        <v>2</v>
      </c>
      <c r="F60" s="902">
        <v>2</v>
      </c>
      <c r="G60" s="902" t="s">
        <v>5377</v>
      </c>
      <c r="H60" s="902"/>
      <c r="I60" s="1516">
        <f>'2Mong'!I60</f>
        <v>1</v>
      </c>
    </row>
    <row r="61" spans="3:9">
      <c r="C61" s="902">
        <v>5</v>
      </c>
      <c r="D61" s="902" t="e">
        <v>#N/A</v>
      </c>
      <c r="E61" s="902">
        <v>0</v>
      </c>
      <c r="F61" s="902">
        <v>0</v>
      </c>
      <c r="G61" s="902" t="s">
        <v>5377</v>
      </c>
      <c r="H61" s="902"/>
      <c r="I61" s="1516" t="str">
        <f>'2Mong'!I61</f>
        <v/>
      </c>
    </row>
    <row r="62" spans="3:9">
      <c r="C62" s="902">
        <v>5</v>
      </c>
      <c r="D62" s="902" t="e">
        <v>#N/A</v>
      </c>
      <c r="E62" s="902">
        <v>0</v>
      </c>
      <c r="F62" s="902">
        <v>0</v>
      </c>
      <c r="G62" s="902" t="s">
        <v>5377</v>
      </c>
      <c r="H62" s="902"/>
      <c r="I62" s="1516" t="str">
        <f>'2Mong'!I62</f>
        <v/>
      </c>
    </row>
    <row r="63" spans="3:9">
      <c r="C63" s="902">
        <v>5</v>
      </c>
      <c r="D63" s="902" t="e">
        <v>#N/A</v>
      </c>
      <c r="E63" s="902">
        <v>0</v>
      </c>
      <c r="F63" s="902">
        <v>0</v>
      </c>
      <c r="G63" s="902" t="s">
        <v>5377</v>
      </c>
      <c r="H63" s="902"/>
      <c r="I63" s="1516" t="str">
        <f>'2Mong'!I63</f>
        <v/>
      </c>
    </row>
    <row r="64" spans="3:9">
      <c r="C64" s="902">
        <v>5</v>
      </c>
      <c r="D64" s="902" t="e">
        <v>#N/A</v>
      </c>
      <c r="E64" s="902">
        <v>0</v>
      </c>
      <c r="F64" s="902">
        <v>0</v>
      </c>
      <c r="G64" s="902" t="s">
        <v>5377</v>
      </c>
      <c r="H64" s="902"/>
      <c r="I64" s="1516" t="str">
        <f>'2Mong'!I64</f>
        <v/>
      </c>
    </row>
    <row r="65" spans="3:9">
      <c r="C65" s="902">
        <v>5</v>
      </c>
      <c r="D65" s="902" t="e">
        <v>#N/A</v>
      </c>
      <c r="E65" s="902">
        <v>0</v>
      </c>
      <c r="F65" s="902">
        <v>0</v>
      </c>
      <c r="G65" s="902" t="s">
        <v>5377</v>
      </c>
      <c r="H65" s="902"/>
      <c r="I65" s="1516" t="str">
        <f>'2Mong'!I65</f>
        <v/>
      </c>
    </row>
    <row r="66" spans="3:9">
      <c r="C66" s="902">
        <v>5</v>
      </c>
      <c r="D66" s="902" t="e">
        <v>#N/A</v>
      </c>
      <c r="E66" s="902">
        <v>0</v>
      </c>
      <c r="F66" s="902">
        <v>0</v>
      </c>
      <c r="G66" s="902" t="s">
        <v>5377</v>
      </c>
      <c r="H66" s="902"/>
      <c r="I66" s="1516" t="str">
        <f>'2Mong'!I66</f>
        <v/>
      </c>
    </row>
    <row r="67" spans="3:9">
      <c r="C67" s="902">
        <v>5</v>
      </c>
      <c r="D67" s="902" t="e">
        <v>#N/A</v>
      </c>
      <c r="E67" s="902">
        <v>0</v>
      </c>
      <c r="F67" s="902">
        <v>0</v>
      </c>
      <c r="G67" s="902" t="s">
        <v>5377</v>
      </c>
      <c r="H67" s="902"/>
      <c r="I67" s="1516" t="str">
        <f>'2Mong'!I67</f>
        <v/>
      </c>
    </row>
    <row r="68" spans="3:9">
      <c r="C68" s="902">
        <v>5</v>
      </c>
      <c r="D68" s="902" t="e">
        <v>#N/A</v>
      </c>
      <c r="E68" s="902">
        <v>0</v>
      </c>
      <c r="F68" s="902">
        <v>0</v>
      </c>
      <c r="G68" s="902" t="s">
        <v>5377</v>
      </c>
      <c r="H68" s="902"/>
      <c r="I68" s="1516" t="str">
        <f>'2Mong'!I68</f>
        <v/>
      </c>
    </row>
    <row r="69" spans="3:9">
      <c r="C69" s="902">
        <v>5</v>
      </c>
      <c r="D69" s="902" t="e">
        <v>#N/A</v>
      </c>
      <c r="E69" s="902">
        <v>0</v>
      </c>
      <c r="F69" s="902">
        <v>0</v>
      </c>
      <c r="G69" s="902" t="s">
        <v>5377</v>
      </c>
      <c r="H69" s="902"/>
      <c r="I69" s="1516" t="str">
        <f>'2Mong'!I69</f>
        <v/>
      </c>
    </row>
    <row r="70" spans="3:9">
      <c r="C70" s="902"/>
      <c r="D70" s="902" t="s">
        <v>4426</v>
      </c>
      <c r="E70" s="902">
        <v>103</v>
      </c>
      <c r="F70" s="902">
        <v>45</v>
      </c>
      <c r="G70" s="902"/>
      <c r="H70" s="902"/>
      <c r="I70" s="1516">
        <f>'2Mong'!I70</f>
        <v>1</v>
      </c>
    </row>
  </sheetData>
  <autoFilter ref="I3:I70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1"/>
  <sheetViews>
    <sheetView workbookViewId="0">
      <selection activeCell="D18" sqref="D18"/>
    </sheetView>
  </sheetViews>
  <sheetFormatPr defaultColWidth="8.90625" defaultRowHeight="16.8"/>
  <cols>
    <col min="1" max="1" width="8.90625" style="1516"/>
    <col min="2" max="2" width="14.453125" style="1778" customWidth="1"/>
    <col min="3" max="3" width="5.6328125" style="1516" customWidth="1"/>
    <col min="4" max="4" width="30.08984375" style="1516" customWidth="1"/>
    <col min="5" max="6" width="6" style="1516" customWidth="1"/>
    <col min="7" max="7" width="10.54296875" style="1516" customWidth="1"/>
    <col min="8" max="8" width="6.36328125" style="1516" customWidth="1"/>
    <col min="9" max="9" width="8.90625" style="1516"/>
    <col min="10" max="10" width="0" style="1516" hidden="1" customWidth="1"/>
    <col min="11" max="11" width="9.90625" style="1516" customWidth="1"/>
    <col min="12" max="16384" width="8.90625" style="1516"/>
  </cols>
  <sheetData>
    <row r="3" spans="2:10" ht="33.6">
      <c r="C3" s="2158" t="s">
        <v>1761</v>
      </c>
      <c r="D3" s="2158" t="s">
        <v>4488</v>
      </c>
      <c r="E3" s="1736" t="s">
        <v>4396</v>
      </c>
      <c r="F3" s="1736" t="s">
        <v>4308</v>
      </c>
      <c r="G3" s="2158" t="s">
        <v>4389</v>
      </c>
      <c r="H3" s="2158" t="s">
        <v>4307</v>
      </c>
      <c r="I3" s="1740" t="s">
        <v>515</v>
      </c>
    </row>
    <row r="4" spans="2:10" ht="24" customHeight="1">
      <c r="B4" s="1778" t="s">
        <v>2378</v>
      </c>
      <c r="C4" s="1737">
        <f ca="1">SUM($I$4:I4)</f>
        <v>0</v>
      </c>
      <c r="D4" s="1739" t="str">
        <f>VLOOKUP(B4,chitiet!A:E,5,0)</f>
        <v>Móng bê tông trụ đơn 8,4m</v>
      </c>
      <c r="E4" s="1741">
        <f ca="1">SUMIF(chitiet!A:A,DaCan!B4,chitiet!H:H)</f>
        <v>0</v>
      </c>
      <c r="F4" s="1741">
        <f>SUMIF(chitiet!A:A,DaCan!B4,chitiet!P:P)</f>
        <v>0</v>
      </c>
      <c r="G4" s="1741" t="str">
        <f>VLOOKUP(J4,Solieu!B:C,2,0)</f>
        <v>26</v>
      </c>
      <c r="H4" s="1738"/>
      <c r="I4" s="1516" t="str">
        <f ca="1">IF(OR(E4&gt;0,F4&gt;0),1,"")</f>
        <v/>
      </c>
      <c r="J4" s="1073" t="s">
        <v>4744</v>
      </c>
    </row>
    <row r="5" spans="2:10" ht="24" customHeight="1">
      <c r="B5" s="1778" t="s">
        <v>4241</v>
      </c>
      <c r="C5" s="1737">
        <f ca="1">SUM($I$4:I5)</f>
        <v>0</v>
      </c>
      <c r="D5" s="1739" t="str">
        <f>VLOOKUP(B5,chitiet!A:E,5,0)</f>
        <v>Móng bê tông trụ đôi 8,5m</v>
      </c>
      <c r="E5" s="1741">
        <f ca="1">SUMIF(chitiet!A:A,DaCan!B5,chitiet!H:H)</f>
        <v>0</v>
      </c>
      <c r="F5" s="1741">
        <f ca="1">SUMIF(chitiet!A:A,DaCan!B5,chitiet!P:P)</f>
        <v>0</v>
      </c>
      <c r="G5" s="1741" t="str">
        <f>VLOOKUP(J5,Solieu!B:C,2,0)</f>
        <v>26</v>
      </c>
      <c r="H5" s="1738"/>
      <c r="I5" s="1516" t="str">
        <f t="shared" ref="I5:I10" ca="1" si="0">IF(OR(E5&gt;0,F5&gt;0),1,"")</f>
        <v/>
      </c>
      <c r="J5" s="1073" t="s">
        <v>4744</v>
      </c>
    </row>
    <row r="6" spans="2:10" ht="24" customHeight="1">
      <c r="B6" s="1778" t="s">
        <v>2366</v>
      </c>
      <c r="C6" s="1737">
        <f ca="1">SUM($I$4:I6)</f>
        <v>0</v>
      </c>
      <c r="D6" s="1739" t="str">
        <f>VLOOKUP(B6,chitiet!A:E,5,0)</f>
        <v>Móng bê tông trụ đơn 10.5m</v>
      </c>
      <c r="E6" s="1741">
        <f>SUMIF(chitiet!A:A,DaCan!B6,chitiet!H:H)</f>
        <v>0</v>
      </c>
      <c r="F6" s="1741">
        <f>SUMIF(chitiet!A:A,DaCan!B6,chitiet!P:P)</f>
        <v>0</v>
      </c>
      <c r="G6" s="1741" t="str">
        <f>VLOOKUP(J6,Solieu!B:C,2,0)</f>
        <v>26</v>
      </c>
      <c r="H6" s="1738"/>
      <c r="I6" s="1516" t="str">
        <f t="shared" si="0"/>
        <v/>
      </c>
      <c r="J6" s="1073" t="s">
        <v>4744</v>
      </c>
    </row>
    <row r="7" spans="2:10" ht="24" customHeight="1">
      <c r="B7" s="1778" t="s">
        <v>2368</v>
      </c>
      <c r="C7" s="1737">
        <f ca="1">SUM($I$4:I7)</f>
        <v>0</v>
      </c>
      <c r="D7" s="1739" t="str">
        <f>VLOOKUP(B7,chitiet!A:E,5,0)</f>
        <v>Móng bê tông trụ đơn 12m</v>
      </c>
      <c r="E7" s="1741">
        <f>SUMIF(chitiet!A:A,DaCan!B7,chitiet!H:H)</f>
        <v>0</v>
      </c>
      <c r="F7" s="1741">
        <f>SUMIF(chitiet!A:A,DaCan!B7,chitiet!P:P)</f>
        <v>0</v>
      </c>
      <c r="G7" s="1741" t="str">
        <f>VLOOKUP(J7,Solieu!B:C,2,0)</f>
        <v>26</v>
      </c>
      <c r="H7" s="1738"/>
      <c r="I7" s="1516" t="str">
        <f t="shared" si="0"/>
        <v/>
      </c>
      <c r="J7" s="1073" t="s">
        <v>4744</v>
      </c>
    </row>
    <row r="8" spans="2:10" ht="24" customHeight="1">
      <c r="B8" s="1778" t="s">
        <v>2369</v>
      </c>
      <c r="C8" s="1737">
        <f ca="1">SUM($I$4:I8)</f>
        <v>0</v>
      </c>
      <c r="D8" s="1739" t="str">
        <f>VLOOKUP(B8,chitiet!A:E,5,0)</f>
        <v>Móng bê tông trụ đôi 12m</v>
      </c>
      <c r="E8" s="1741">
        <f>SUMIF(chitiet!A:A,DaCan!B8,chitiet!H:H)</f>
        <v>0</v>
      </c>
      <c r="F8" s="1741">
        <f>SUMIF(chitiet!A:A,DaCan!B8,chitiet!P:P)</f>
        <v>0</v>
      </c>
      <c r="G8" s="1741" t="str">
        <f>VLOOKUP(J8,Solieu!B:C,2,0)</f>
        <v>26</v>
      </c>
      <c r="H8" s="1738"/>
      <c r="I8" s="1516" t="str">
        <f t="shared" si="0"/>
        <v/>
      </c>
      <c r="J8" s="1073" t="s">
        <v>4744</v>
      </c>
    </row>
    <row r="9" spans="2:10" ht="24" customHeight="1">
      <c r="B9" s="1778" t="s">
        <v>2326</v>
      </c>
      <c r="C9" s="1737">
        <f ca="1">SUM($I$4:I9)</f>
        <v>0</v>
      </c>
      <c r="D9" s="1739" t="str">
        <f>VLOOKUP(B9,chitiet!A:E,5,0)</f>
        <v>Móng bê tông trụ đôi 12m tim 500</v>
      </c>
      <c r="E9" s="1741">
        <f>SUMIF(chitiet!A:A,DaCan!B9,chitiet!H:H)</f>
        <v>0</v>
      </c>
      <c r="F9" s="1741">
        <f>SUMIF(chitiet!A:A,DaCan!B9,chitiet!P:P)</f>
        <v>0</v>
      </c>
      <c r="G9" s="1741" t="str">
        <f>VLOOKUP(J9,Solieu!B:C,2,0)</f>
        <v>26</v>
      </c>
      <c r="H9" s="1738"/>
      <c r="I9" s="1516" t="str">
        <f t="shared" si="0"/>
        <v/>
      </c>
      <c r="J9" s="1073" t="s">
        <v>4744</v>
      </c>
    </row>
    <row r="10" spans="2:10" ht="24" customHeight="1">
      <c r="B10" s="1778" t="s">
        <v>2370</v>
      </c>
      <c r="C10" s="1737">
        <f ca="1">SUM($I$4:I10)</f>
        <v>0</v>
      </c>
      <c r="D10" s="1739" t="str">
        <f>VLOOKUP(B10,chitiet!A:E,5,0)</f>
        <v>Móng bê tông trụ đơn 14m</v>
      </c>
      <c r="E10" s="1741">
        <f>SUMIF(chitiet!A:A,DaCan!B10,chitiet!H:H)</f>
        <v>0</v>
      </c>
      <c r="F10" s="1741">
        <f>SUMIF(chitiet!A:A,DaCan!B10,chitiet!P:P)</f>
        <v>0</v>
      </c>
      <c r="G10" s="1741" t="str">
        <f>VLOOKUP(J10,Solieu!B:C,2,0)</f>
        <v>26</v>
      </c>
      <c r="H10" s="1738"/>
      <c r="I10" s="1516" t="str">
        <f t="shared" si="0"/>
        <v/>
      </c>
      <c r="J10" s="1073" t="s">
        <v>4744</v>
      </c>
    </row>
    <row r="11" spans="2:10" ht="24" customHeight="1">
      <c r="C11" s="1737"/>
      <c r="D11" s="2158" t="s">
        <v>4426</v>
      </c>
      <c r="E11" s="1742">
        <f ca="1">SUM(E4:E10)</f>
        <v>0</v>
      </c>
      <c r="F11" s="1742">
        <f ca="1">SUM(F4:F10)</f>
        <v>0</v>
      </c>
      <c r="G11" s="1737"/>
      <c r="H11" s="1738"/>
      <c r="I11" s="1516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1"/>
  <sheetViews>
    <sheetView workbookViewId="0">
      <selection activeCell="G24" sqref="G24"/>
    </sheetView>
  </sheetViews>
  <sheetFormatPr defaultColWidth="8.90625" defaultRowHeight="16.8"/>
  <cols>
    <col min="1" max="1" width="28.54296875" style="1743" bestFit="1" customWidth="1"/>
    <col min="2" max="2" width="14.453125" style="1178" customWidth="1"/>
    <col min="3" max="3" width="5.6328125" style="1516" customWidth="1"/>
    <col min="4" max="4" width="30.08984375" style="1516" customWidth="1"/>
    <col min="5" max="6" width="6" style="1516" customWidth="1"/>
    <col min="7" max="7" width="10.54296875" style="1516" customWidth="1"/>
    <col min="8" max="8" width="6.36328125" style="1516" customWidth="1"/>
    <col min="9" max="9" width="8.90625" style="1516"/>
    <col min="10" max="10" width="0" style="1516" hidden="1" customWidth="1"/>
    <col min="11" max="11" width="9.90625" style="1516" customWidth="1"/>
    <col min="12" max="12" width="8.90625" style="1516"/>
    <col min="13" max="13" width="9.90625" style="1516" customWidth="1"/>
    <col min="14" max="14" width="22.26953125" style="1516" customWidth="1"/>
    <col min="15" max="16384" width="8.90625" style="1516"/>
  </cols>
  <sheetData>
    <row r="1" spans="1:14">
      <c r="I1" s="1516">
        <v>4</v>
      </c>
    </row>
    <row r="3" spans="1:14" ht="33.6">
      <c r="C3" s="1735" t="s">
        <v>1761</v>
      </c>
      <c r="D3" s="1735" t="s">
        <v>5382</v>
      </c>
      <c r="E3" s="1736" t="s">
        <v>4396</v>
      </c>
      <c r="F3" s="1736" t="s">
        <v>4308</v>
      </c>
      <c r="G3" s="1735" t="s">
        <v>4389</v>
      </c>
      <c r="H3" s="1735" t="s">
        <v>4307</v>
      </c>
      <c r="I3" s="1740" t="s">
        <v>515</v>
      </c>
      <c r="N3" s="1516" t="s">
        <v>2369</v>
      </c>
    </row>
    <row r="4" spans="1:14" ht="24" hidden="1" customHeight="1">
      <c r="A4" s="1743" t="str">
        <f>VLOOKUP(B4,chitiet!A:E,5,0)</f>
        <v>Móng bê tông trụ đơn 8,4m</v>
      </c>
      <c r="B4" s="1178" t="s">
        <v>2378</v>
      </c>
      <c r="C4" s="1737">
        <f>SUM($I$4:I4)</f>
        <v>0</v>
      </c>
      <c r="D4" s="1739" t="e">
        <f>VLOOKUP(B4,chitiet!A:E,5,0)&amp;" tại vị trí: "&amp;HLOOKUP(B4,$3:$7,$I$1,0)</f>
        <v>#N/A</v>
      </c>
      <c r="E4" s="1741">
        <f>IFERROR(VLOOKUP(B4,ChiTietDuToan!C:I,7,0),0)</f>
        <v>0</v>
      </c>
      <c r="F4" s="1741">
        <f>SUMIF(chitiet!A:A,'4BT'!B4,chitiet!P:P)</f>
        <v>0</v>
      </c>
      <c r="G4" s="1741" t="str">
        <f>VLOOKUP(J4,Solieu!B:C,2,0)</f>
        <v>26</v>
      </c>
      <c r="H4" s="1738"/>
      <c r="I4" s="1516" t="str">
        <f>IF(OR(E4&gt;0,F4&gt;0),1,"")</f>
        <v/>
      </c>
      <c r="J4" s="1073" t="s">
        <v>4744</v>
      </c>
      <c r="N4" s="1516">
        <f>SUMIF('bkt-DuToan'!DB:DB,1,'bkt-DuToan'!Q:Q)</f>
        <v>7</v>
      </c>
    </row>
    <row r="5" spans="1:14" ht="24" hidden="1" customHeight="1">
      <c r="A5" s="1743" t="str">
        <f>VLOOKUP(B5,chitiet!A:E,5,0)</f>
        <v>Móng bê tông trụ đôi 8,5m</v>
      </c>
      <c r="B5" s="1178" t="s">
        <v>4241</v>
      </c>
      <c r="C5" s="1737">
        <f ca="1">SUM($I$4:I5)</f>
        <v>0</v>
      </c>
      <c r="D5" s="1739" t="e">
        <f>VLOOKUP(B5,chitiet!A:E,5,0)&amp;" tại vị trí: "&amp;HLOOKUP(B5,$3:$7,$I$1,0)</f>
        <v>#N/A</v>
      </c>
      <c r="E5" s="1741">
        <f>IFERROR(VLOOKUP(B5,ChiTietDuToan!C:I,7,0),0)</f>
        <v>0</v>
      </c>
      <c r="F5" s="1741">
        <f ca="1">SUMIF(chitiet!A:A,'4BT'!B5,chitiet!P:P)</f>
        <v>0</v>
      </c>
      <c r="G5" s="1741" t="str">
        <f>VLOOKUP(J5,Solieu!B:C,2,0)</f>
        <v>26</v>
      </c>
      <c r="H5" s="1738"/>
      <c r="I5" s="1516" t="str">
        <f t="shared" ref="I5:I10" ca="1" si="0">IF(OR(E5&gt;0,F5&gt;0),1,"")</f>
        <v/>
      </c>
      <c r="J5" s="1073" t="s">
        <v>4744</v>
      </c>
      <c r="M5" s="2387">
        <v>43744</v>
      </c>
      <c r="N5" s="2295" t="s">
        <v>5390</v>
      </c>
    </row>
    <row r="6" spans="1:14" ht="24" hidden="1" customHeight="1">
      <c r="A6" s="1743" t="str">
        <f>VLOOKUP(B6,chitiet!A:E,5,0)</f>
        <v>Móng bê tông trụ đơn 10.5m</v>
      </c>
      <c r="B6" s="1178" t="s">
        <v>2366</v>
      </c>
      <c r="C6" s="1737">
        <f ca="1">SUM($I$4:I6)</f>
        <v>0</v>
      </c>
      <c r="D6" s="1739" t="e">
        <f>VLOOKUP(B6,chitiet!A:E,5,0)&amp;" tại vị trí: "&amp;HLOOKUP(B6,$3:$7,$I$1,0)</f>
        <v>#N/A</v>
      </c>
      <c r="E6" s="1741">
        <f>IFERROR(VLOOKUP(B6,ChiTietDuToan!C:I,7,0),0)</f>
        <v>0</v>
      </c>
      <c r="F6" s="1741">
        <f>SUMIF(chitiet!A:A,'4BT'!B6,chitiet!P:P)</f>
        <v>0</v>
      </c>
      <c r="G6" s="1741" t="str">
        <f>VLOOKUP(J6,Solieu!B:C,2,0)</f>
        <v>26</v>
      </c>
      <c r="H6" s="1738"/>
      <c r="I6" s="1516" t="str">
        <f t="shared" si="0"/>
        <v/>
      </c>
      <c r="J6" s="1073" t="s">
        <v>4744</v>
      </c>
      <c r="N6" s="1516">
        <f>SUMIF('bkt-DuToan'!DC:DC,1,'bkt-DuToan'!Q:Q)</f>
        <v>3</v>
      </c>
    </row>
    <row r="7" spans="1:14" ht="24" hidden="1" customHeight="1">
      <c r="A7" s="1743" t="str">
        <f>VLOOKUP(B7,chitiet!A:E,5,0)</f>
        <v>Móng bê tông trụ đơn 12m</v>
      </c>
      <c r="B7" s="1178" t="s">
        <v>2368</v>
      </c>
      <c r="C7" s="1737">
        <f ca="1">SUM($I$4:I7)</f>
        <v>0</v>
      </c>
      <c r="D7" s="1739" t="e">
        <f>VLOOKUP(B7,chitiet!A:E,5,0)&amp;" tại vị trí: "&amp;HLOOKUP(B7,$3:$7,$I$1,0)</f>
        <v>#N/A</v>
      </c>
      <c r="E7" s="1741">
        <f>IFERROR(VLOOKUP(B7,ChiTietDuToan!C:I,7,0),0)</f>
        <v>0</v>
      </c>
      <c r="F7" s="1741">
        <f>SUMIF(chitiet!A:A,'4BT'!B7,chitiet!P:P)</f>
        <v>0</v>
      </c>
      <c r="G7" s="1741" t="str">
        <f>VLOOKUP(J7,Solieu!B:C,2,0)</f>
        <v>26</v>
      </c>
      <c r="H7" s="1738"/>
      <c r="I7" s="1516" t="str">
        <f t="shared" si="0"/>
        <v/>
      </c>
      <c r="J7" s="1073" t="s">
        <v>4744</v>
      </c>
      <c r="M7" s="2387">
        <v>43751</v>
      </c>
      <c r="N7" s="1516" t="s">
        <v>5391</v>
      </c>
    </row>
    <row r="8" spans="1:14" ht="61.8" customHeight="1">
      <c r="A8" s="1743" t="str">
        <f>VLOOKUP(B8,chitiet!A:E,5,0)</f>
        <v>Móng bê tông trụ đôi 12m</v>
      </c>
      <c r="B8" s="1178" t="s">
        <v>2369</v>
      </c>
      <c r="C8" s="1737">
        <f ca="1">SUM($I$4:I8)</f>
        <v>1</v>
      </c>
      <c r="D8" s="1739" t="str">
        <f>VLOOKUP(B8,chitiet!A:E,5,0)&amp;" tại vị trí: "&amp;HLOOKUP(B8,$3:$7,$I$1+1,0)</f>
        <v>Móng bê tông trụ đôi 12m tại vị trí: 142A, 157A, 164A</v>
      </c>
      <c r="E8" s="1741">
        <f>IFERROR(VLOOKUP(B8,ChiTietDuToan!C:I,7,0),0)</f>
        <v>10</v>
      </c>
      <c r="F8" s="1741">
        <f>HLOOKUP(B8,$3:$7,$I$1,0)</f>
        <v>3</v>
      </c>
      <c r="G8" s="1741" t="str">
        <f>VLOOKUP(J8,Solieu!B:C,2,0)</f>
        <v>26</v>
      </c>
      <c r="H8" s="1738"/>
      <c r="I8" s="1516">
        <f t="shared" si="0"/>
        <v>1</v>
      </c>
      <c r="J8" s="1073" t="s">
        <v>4744</v>
      </c>
    </row>
    <row r="9" spans="1:14" ht="24" hidden="1" customHeight="1">
      <c r="A9" s="1743" t="str">
        <f>VLOOKUP(B9,chitiet!A:E,5,0)</f>
        <v>Móng bê tông trụ đôi 12m tim 500</v>
      </c>
      <c r="B9" s="1178" t="s">
        <v>2326</v>
      </c>
      <c r="C9" s="1737">
        <f ca="1">SUM($I$4:I9)</f>
        <v>1</v>
      </c>
      <c r="D9" s="1739" t="e">
        <f>VLOOKUP(B9,chitiet!A:E,5,0)&amp;" tại vị trí: "&amp;HLOOKUP(B9,$3:$7,$I$1,0)</f>
        <v>#N/A</v>
      </c>
      <c r="E9" s="1741">
        <f>IFERROR(VLOOKUP(B9,ChiTietDuToan!C:I,7,0),0)</f>
        <v>0</v>
      </c>
      <c r="F9" s="1741">
        <f>SUMIF(chitiet!A:A,'4BT'!B9,chitiet!P:P)</f>
        <v>0</v>
      </c>
      <c r="G9" s="1741" t="str">
        <f>VLOOKUP(J9,Solieu!B:C,2,0)</f>
        <v>26</v>
      </c>
      <c r="H9" s="1738"/>
      <c r="I9" s="1516" t="str">
        <f t="shared" si="0"/>
        <v/>
      </c>
      <c r="J9" s="1073" t="s">
        <v>4744</v>
      </c>
    </row>
    <row r="10" spans="1:14" ht="24" hidden="1" customHeight="1">
      <c r="A10" s="1743" t="str">
        <f>VLOOKUP(B10,chitiet!A:E,5,0)</f>
        <v>Móng bê tông trụ đơn 14m</v>
      </c>
      <c r="B10" s="1178" t="s">
        <v>2370</v>
      </c>
      <c r="C10" s="1737">
        <f ca="1">SUM($I$4:I10)</f>
        <v>1</v>
      </c>
      <c r="D10" s="1739" t="e">
        <f>VLOOKUP(B10,chitiet!A:E,5,0)&amp;" tại vị trí: "&amp;HLOOKUP(B10,$3:$7,$I$1,0)</f>
        <v>#N/A</v>
      </c>
      <c r="E10" s="1741">
        <f>IFERROR(VLOOKUP(B10,ChiTietDuToan!C:I,7,0),0)</f>
        <v>0</v>
      </c>
      <c r="F10" s="1741">
        <f>SUMIF(chitiet!A:A,'4BT'!B10,chitiet!P:P)</f>
        <v>0</v>
      </c>
      <c r="G10" s="1741" t="str">
        <f>VLOOKUP(J10,Solieu!B:C,2,0)</f>
        <v>26</v>
      </c>
      <c r="H10" s="1738"/>
      <c r="I10" s="1516" t="str">
        <f t="shared" si="0"/>
        <v/>
      </c>
      <c r="J10" s="1073" t="s">
        <v>4744</v>
      </c>
    </row>
    <row r="11" spans="1:14" ht="24" customHeight="1">
      <c r="A11" s="1743" t="e">
        <f>VLOOKUP(B11,chitiet!A:E,5,0)</f>
        <v>#N/A</v>
      </c>
      <c r="C11" s="1737"/>
      <c r="D11" s="1735" t="s">
        <v>4426</v>
      </c>
      <c r="E11" s="1742">
        <f>SUM(E4:E10)</f>
        <v>10</v>
      </c>
      <c r="F11" s="1742">
        <f ca="1">SUM(F4:F10)</f>
        <v>3</v>
      </c>
      <c r="G11" s="1737"/>
      <c r="H11" s="1738"/>
      <c r="I11" s="1516">
        <v>1</v>
      </c>
    </row>
  </sheetData>
  <autoFilter ref="I3:I11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Q33"/>
  <sheetViews>
    <sheetView workbookViewId="0">
      <selection activeCell="G38" sqref="G38"/>
    </sheetView>
  </sheetViews>
  <sheetFormatPr defaultColWidth="8.90625" defaultRowHeight="16.8"/>
  <cols>
    <col min="1" max="1" width="8.90625" style="1516"/>
    <col min="2" max="2" width="14.453125" style="1874" customWidth="1"/>
    <col min="3" max="3" width="5.36328125" style="1516" customWidth="1"/>
    <col min="4" max="4" width="37" style="1516" customWidth="1"/>
    <col min="5" max="6" width="6" style="1516" customWidth="1"/>
    <col min="7" max="7" width="10.54296875" style="1516" customWidth="1"/>
    <col min="8" max="8" width="6.36328125" style="1516" customWidth="1"/>
    <col min="9" max="11" width="8.90625" style="1516"/>
    <col min="12" max="12" width="11" style="1516" customWidth="1"/>
    <col min="13" max="16384" width="8.90625" style="1516"/>
  </cols>
  <sheetData>
    <row r="1" spans="2:17">
      <c r="D1" s="1073" t="s">
        <v>4746</v>
      </c>
      <c r="I1" s="1516">
        <v>4</v>
      </c>
    </row>
    <row r="2" spans="2:17">
      <c r="L2" s="1516">
        <f>HLOOKUP(L3,'bkt-DuToan'!1:2,2,0)</f>
        <v>7</v>
      </c>
      <c r="M2" s="1516">
        <f>HLOOKUP(M3,'bkt-DuToan'!1:2,2,0)</f>
        <v>3</v>
      </c>
      <c r="N2" s="1516">
        <f>HLOOKUP(N3,'bkt-DuToan'!1:2,2,0)</f>
        <v>2</v>
      </c>
      <c r="O2" s="1516">
        <f>HLOOKUP(O3,'bkt-DuToan'!1:2,2,0)</f>
        <v>2</v>
      </c>
      <c r="P2" s="1516">
        <f>HLOOKUP(P3,'bkt-DuToan'!1:2,2,0)</f>
        <v>1</v>
      </c>
      <c r="Q2" s="1516">
        <f>HLOOKUP(Q3,'bkt-DuToan'!1:2,2,0)</f>
        <v>2</v>
      </c>
    </row>
    <row r="3" spans="2:17" ht="33.6">
      <c r="C3" s="1735" t="s">
        <v>1761</v>
      </c>
      <c r="D3" s="1735" t="s">
        <v>4627</v>
      </c>
      <c r="E3" s="1736" t="s">
        <v>4396</v>
      </c>
      <c r="F3" s="1736" t="s">
        <v>4308</v>
      </c>
      <c r="G3" s="1735" t="s">
        <v>4389</v>
      </c>
      <c r="H3" s="1735" t="s">
        <v>4307</v>
      </c>
      <c r="I3" s="1740" t="s">
        <v>515</v>
      </c>
      <c r="L3" s="1516" t="str">
        <f>'bkt-DuToan'!S4</f>
        <v>CX12-B</v>
      </c>
      <c r="M3" s="1516" t="str">
        <f>'bkt-DuToan'!T4</f>
        <v>CL12-B</v>
      </c>
      <c r="N3" s="1516" t="str">
        <f>'bkt-DuToan'!U4</f>
        <v>CX14-B</v>
      </c>
      <c r="O3" s="1516" t="str">
        <f>'bkt-DuToan'!V4</f>
        <v>CXX14-B</v>
      </c>
      <c r="P3" s="1516" t="str">
        <f>'bkt-DuToan'!W4</f>
        <v>CK-B</v>
      </c>
      <c r="Q3" s="1516" t="str">
        <f>'bkt-DuToan'!X4</f>
        <v>NXX</v>
      </c>
    </row>
    <row r="4" spans="2:17" ht="25.5" hidden="1" customHeight="1">
      <c r="B4" s="1874" t="s">
        <v>1225</v>
      </c>
      <c r="C4" s="1737">
        <f>SUM($I$4:I4)</f>
        <v>0</v>
      </c>
      <c r="D4" s="1739" t="str">
        <f>VLOOKUP(B4,chitiet!A:E,5,0)&amp;" tại các vị trí: "&amp;IFERROR(HLOOKUP(B4,$3:$8,$I$1+1,0),0)</f>
        <v>Bộ CODE lắp néo trung hòa: CODE th-Þ240 tại các vị trí: 0</v>
      </c>
      <c r="E4" s="1741">
        <f>SUMIF(ChiTietDuToan!C:C,'5Neo'!B4,ChiTietDuToan!I:I)</f>
        <v>0</v>
      </c>
      <c r="F4" s="1741">
        <f>IFERROR(HLOOKUP(B4,$3:$8,$I$1,0),0)</f>
        <v>0</v>
      </c>
      <c r="G4" s="1741" t="str">
        <f>VLOOKUP($D$1,Solieu!B:C,2,0)</f>
        <v>22, 26</v>
      </c>
      <c r="H4" s="1738"/>
      <c r="I4" s="1516" t="str">
        <f>IF(OR(E4&gt;0,F4&gt;0),1,"")</f>
        <v/>
      </c>
      <c r="K4" s="2387">
        <v>43744</v>
      </c>
      <c r="L4" s="1516">
        <f>SUMIF('bkt-DuToan'!$DB:$DB,1,'bkt-DuToan'!S:S)</f>
        <v>5</v>
      </c>
      <c r="M4" s="1516">
        <f>SUMIF('bkt-DuToan'!$DB:$DB,1,'bkt-DuToan'!T:T)</f>
        <v>2</v>
      </c>
      <c r="N4" s="1516">
        <f>SUMIF('bkt-DuToan'!$DB:$DB,1,'bkt-DuToan'!U:U)</f>
        <v>0</v>
      </c>
      <c r="O4" s="1516">
        <f>SUMIF('bkt-DuToan'!$DB:$DB,1,'bkt-DuToan'!V:V)</f>
        <v>0</v>
      </c>
      <c r="P4" s="1516">
        <f>SUMIF('bkt-DuToan'!$DB:$DB,1,'bkt-DuToan'!W:W)</f>
        <v>1</v>
      </c>
      <c r="Q4" s="1516">
        <f>SUMIF('bkt-DuToan'!$DB:$DB,1,'bkt-DuToan'!X:X)</f>
        <v>0</v>
      </c>
    </row>
    <row r="5" spans="2:17" ht="24.75" hidden="1" customHeight="1">
      <c r="B5" s="1874" t="s">
        <v>638</v>
      </c>
      <c r="C5" s="1737">
        <f>SUM($I$4:I5)</f>
        <v>0</v>
      </c>
      <c r="D5" s="1739" t="str">
        <f>VLOOKUP(B5,chitiet!A:E,5,0)&amp;" tại các vị trí: "&amp;IFERROR(HLOOKUP(B5,$3:$8,$I$1+1,0),0)</f>
        <v>Bộ chằng xuống đơn cho trụ hạ thế: CX.ht tại các vị trí: 0</v>
      </c>
      <c r="E5" s="1741">
        <f>SUMIF(ChiTietDuToan!C:C,'5Neo'!B5,ChiTietDuToan!I:I)</f>
        <v>0</v>
      </c>
      <c r="F5" s="1741">
        <f t="shared" ref="F5:F32" si="0">IFERROR(HLOOKUP(B5,$3:$8,$I$1,0),0)</f>
        <v>0</v>
      </c>
      <c r="G5" s="1741" t="str">
        <f>VLOOKUP($D$1,Solieu!B:C,2,0)</f>
        <v>22, 26</v>
      </c>
      <c r="H5" s="1738"/>
      <c r="I5" s="1516" t="str">
        <f t="shared" ref="I5:I32" si="1">IF(OR(E5&gt;0,F5&gt;0),1,"")</f>
        <v/>
      </c>
      <c r="J5" s="1073"/>
      <c r="L5" s="1516" t="s">
        <v>5392</v>
      </c>
      <c r="M5" s="1516" t="s">
        <v>5394</v>
      </c>
      <c r="P5" s="1516">
        <v>102</v>
      </c>
    </row>
    <row r="6" spans="2:17" ht="33.6" hidden="1">
      <c r="B6" s="1874" t="s">
        <v>206</v>
      </c>
      <c r="C6" s="1737">
        <f>SUM($I$4:I6)</f>
        <v>0</v>
      </c>
      <c r="D6" s="1739" t="str">
        <f>VLOOKUP(B6,chitiet!A:E,5,0)&amp;" tại các vị trí: "&amp;IFERROR(HLOOKUP(B6,$3:$8,$I$1+1,0),0)</f>
        <v>Tháo bộ chằng lệch đơn cho trụ hạ thế: CL.ht tại các vị trí: 0</v>
      </c>
      <c r="E6" s="1741">
        <f>SUMIF(ChiTietDuToan!C:C,'5Neo'!B6,ChiTietDuToan!I:I)</f>
        <v>0</v>
      </c>
      <c r="F6" s="1741">
        <f t="shared" si="0"/>
        <v>0</v>
      </c>
      <c r="G6" s="1741" t="str">
        <f>VLOOKUP($D$1,Solieu!B:C,2,0)</f>
        <v>22, 26</v>
      </c>
      <c r="H6" s="1738"/>
      <c r="I6" s="1516" t="str">
        <f t="shared" si="1"/>
        <v/>
      </c>
      <c r="J6" s="1073"/>
      <c r="K6" s="2387">
        <v>43751</v>
      </c>
      <c r="L6" s="1516">
        <f>SUMIF('bkt-DuToan'!$DC:$DC,1,'bkt-DuToan'!S:S)</f>
        <v>2</v>
      </c>
      <c r="M6" s="1516">
        <f>SUMIF('bkt-DuToan'!$DC:$DC,1,'bkt-DuToan'!T:T)</f>
        <v>1</v>
      </c>
      <c r="N6" s="1516">
        <f>SUMIF('bkt-DuToan'!$DC:$DC,1,'bkt-DuToan'!U:U)</f>
        <v>2</v>
      </c>
      <c r="O6" s="1516">
        <f>SUMIF('bkt-DuToan'!$DC:$DC,1,'bkt-DuToan'!V:V)</f>
        <v>2</v>
      </c>
      <c r="P6" s="1516">
        <f>SUMIF('bkt-DuToan'!$DC:$DC,1,'bkt-DuToan'!W:W)</f>
        <v>0</v>
      </c>
      <c r="Q6" s="1516">
        <f>SUMIF('bkt-DuToan'!$DC:$DC,1,'bkt-DuToan'!X:X)</f>
        <v>2</v>
      </c>
    </row>
    <row r="7" spans="2:17" ht="33.6" hidden="1">
      <c r="B7" s="1874" t="s">
        <v>637</v>
      </c>
      <c r="C7" s="1737">
        <f>SUM($I$4:I7)</f>
        <v>0</v>
      </c>
      <c r="D7" s="1739" t="str">
        <f>VLOOKUP(B7,chitiet!A:E,5,0)&amp;" tại các vị trí: "&amp;IFERROR(HLOOKUP(B7,$3:$8,$I$1+1,0),0)</f>
        <v>Bộ chằng lệch đơn cho trụ hạ thế: CL.ht tại các vị trí: 0</v>
      </c>
      <c r="E7" s="1741">
        <f>SUMIF(ChiTietDuToan!C:C,'5Neo'!B7,ChiTietDuToan!I:I)</f>
        <v>0</v>
      </c>
      <c r="F7" s="1741">
        <f t="shared" si="0"/>
        <v>0</v>
      </c>
      <c r="G7" s="1741" t="str">
        <f>VLOOKUP($D$1,Solieu!B:C,2,0)</f>
        <v>22, 26</v>
      </c>
      <c r="H7" s="1738"/>
      <c r="I7" s="1516" t="str">
        <f t="shared" si="1"/>
        <v/>
      </c>
      <c r="J7" s="1073"/>
      <c r="L7" s="1516" t="s">
        <v>5393</v>
      </c>
      <c r="M7" s="1516">
        <v>167</v>
      </c>
      <c r="N7" s="1516">
        <v>150</v>
      </c>
      <c r="O7" s="1516">
        <v>171</v>
      </c>
      <c r="Q7" s="1516">
        <v>171</v>
      </c>
    </row>
    <row r="8" spans="2:17" ht="33.6" hidden="1">
      <c r="B8" s="1874" t="s">
        <v>843</v>
      </c>
      <c r="C8" s="1737">
        <f>SUM($I$4:I8)</f>
        <v>0</v>
      </c>
      <c r="D8" s="1739" t="str">
        <f>VLOOKUP(B8,chitiet!A:E,5,0)&amp;" tại các vị trí: "&amp;IFERROR(HLOOKUP(B8,$3:$8,$I$1+1,0),0)</f>
        <v>Bộ chằng xuống đơn cho trụ 10,5m: CX10-B tại các vị trí: 0</v>
      </c>
      <c r="E8" s="1741">
        <f>SUMIF(ChiTietDuToan!C:C,'5Neo'!B8,ChiTietDuToan!I:I)</f>
        <v>0</v>
      </c>
      <c r="F8" s="1741">
        <f t="shared" si="0"/>
        <v>0</v>
      </c>
      <c r="G8" s="1741" t="str">
        <f>VLOOKUP($D$1,Solieu!B:C,2,0)</f>
        <v>22, 26</v>
      </c>
      <c r="H8" s="1738"/>
      <c r="I8" s="1516" t="str">
        <f t="shared" si="1"/>
        <v/>
      </c>
      <c r="J8" s="1073"/>
    </row>
    <row r="9" spans="2:17" ht="33.6" hidden="1">
      <c r="B9" s="1874" t="s">
        <v>844</v>
      </c>
      <c r="C9" s="1737">
        <f>SUM($I$4:I9)</f>
        <v>0</v>
      </c>
      <c r="D9" s="1739" t="str">
        <f>VLOOKUP(B9,chitiet!A:E,5,0)&amp;" tại các vị trí: "&amp;IFERROR(HLOOKUP(B9,$3:$8,$I$1+1,0),0)</f>
        <v>Bộ chằng lệch đơn cho trụ 10,5m: CL10-B tại các vị trí: 0</v>
      </c>
      <c r="E9" s="1741">
        <f>SUMIF(ChiTietDuToan!C:C,'5Neo'!B9,ChiTietDuToan!I:I)</f>
        <v>0</v>
      </c>
      <c r="F9" s="1741">
        <f t="shared" si="0"/>
        <v>0</v>
      </c>
      <c r="G9" s="1741" t="str">
        <f>VLOOKUP($D$1,Solieu!B:C,2,0)</f>
        <v>22, 26</v>
      </c>
      <c r="H9" s="1738"/>
      <c r="I9" s="1516" t="str">
        <f t="shared" si="1"/>
        <v/>
      </c>
      <c r="J9" s="1073"/>
    </row>
    <row r="10" spans="2:17" ht="33.6" hidden="1">
      <c r="B10" s="1874" t="s">
        <v>845</v>
      </c>
      <c r="C10" s="1737">
        <f>SUM($I$4:I10)</f>
        <v>0</v>
      </c>
      <c r="D10" s="1739" t="str">
        <f>VLOOKUP(B10,chitiet!A:E,5,0)&amp;" tại các vị trí: "&amp;IFERROR(HLOOKUP(B10,$3:$8,$I$1+1,0),0)</f>
        <v>Bộ chằng xuống kép cho trụ 10,5m: CXX10-B tại các vị trí: 0</v>
      </c>
      <c r="E10" s="1741">
        <f>SUMIF(ChiTietDuToan!C:C,'5Neo'!B10,ChiTietDuToan!I:I)</f>
        <v>0</v>
      </c>
      <c r="F10" s="1741">
        <f t="shared" si="0"/>
        <v>0</v>
      </c>
      <c r="G10" s="1741" t="str">
        <f>VLOOKUP($D$1,Solieu!B:C,2,0)</f>
        <v>22, 26</v>
      </c>
      <c r="H10" s="1738"/>
      <c r="I10" s="1516" t="str">
        <f t="shared" si="1"/>
        <v/>
      </c>
      <c r="J10" s="1073"/>
    </row>
    <row r="11" spans="2:17" ht="33.6" hidden="1">
      <c r="B11" s="1874" t="s">
        <v>1303</v>
      </c>
      <c r="C11" s="1737">
        <f>SUM($I$4:I11)</f>
        <v>0</v>
      </c>
      <c r="D11" s="1739" t="str">
        <f>VLOOKUP(B11,chitiet!A:E,5,0)&amp;" tại các vị trí: "&amp;IFERROR(HLOOKUP(B11,$3:$8,$I$1+1,0),0)</f>
        <v>Tháo bộ chằng xuống đơn cho trụ 12m: CX12-B tại các vị trí: 0</v>
      </c>
      <c r="E11" s="1741">
        <f>SUMIF(ChiTietDuToan!C:C,'5Neo'!B11,ChiTietDuToan!I:I)</f>
        <v>0</v>
      </c>
      <c r="F11" s="1741">
        <f t="shared" si="0"/>
        <v>0</v>
      </c>
      <c r="G11" s="1741" t="str">
        <f>VLOOKUP($D$1,Solieu!B:C,2,0)</f>
        <v>22, 26</v>
      </c>
      <c r="H11" s="1738"/>
      <c r="I11" s="1516" t="str">
        <f t="shared" si="1"/>
        <v/>
      </c>
      <c r="J11" s="1073"/>
    </row>
    <row r="12" spans="2:17" ht="31.95" customHeight="1">
      <c r="B12" s="1874" t="s">
        <v>668</v>
      </c>
      <c r="C12" s="1737">
        <f>SUM($I$4:I12)</f>
        <v>1</v>
      </c>
      <c r="D12" s="1739" t="str">
        <f>VLOOKUP(B12,chitiet!A:E,5,0)&amp;" tại các vị trí: "&amp;IFERROR(HLOOKUP(B12,$3:$8,$I$1+1,0),0)</f>
        <v>Bộ chằng xuống đơn cho trụ 12m: CX12-B tại các vị trí: 145, 153</v>
      </c>
      <c r="E12" s="1741">
        <f>SUMIF(ChiTietDuToan!C:C,'5Neo'!B12,ChiTietDuToan!I:I)</f>
        <v>7</v>
      </c>
      <c r="F12" s="1741">
        <f t="shared" si="0"/>
        <v>2</v>
      </c>
      <c r="G12" s="1741" t="str">
        <f>VLOOKUP($D$1,Solieu!B:C,2,0)</f>
        <v>22, 26</v>
      </c>
      <c r="H12" s="1738"/>
      <c r="I12" s="1516">
        <f t="shared" si="1"/>
        <v>1</v>
      </c>
      <c r="J12" s="1073"/>
    </row>
    <row r="13" spans="2:17" ht="33.6" hidden="1">
      <c r="B13" s="1874" t="s">
        <v>196</v>
      </c>
      <c r="C13" s="1737">
        <f>SUM($I$4:I13)</f>
        <v>1</v>
      </c>
      <c r="D13" s="1739" t="str">
        <f>VLOOKUP(B13,chitiet!A:E,5,0)&amp;" tại các vị trí: "&amp;IFERROR(HLOOKUP(B13,$3:$8,$I$1+1,0),0)</f>
        <v>Tháo bộ chằng lệch đơn cho trụ 12m: CL12-B tại các vị trí: 0</v>
      </c>
      <c r="E13" s="1741">
        <f>SUMIF(ChiTietDuToan!C:C,'5Neo'!B13,ChiTietDuToan!I:I)</f>
        <v>0</v>
      </c>
      <c r="F13" s="1741">
        <f t="shared" si="0"/>
        <v>0</v>
      </c>
      <c r="G13" s="1741" t="str">
        <f>VLOOKUP($D$1,Solieu!B:C,2,0)</f>
        <v>22, 26</v>
      </c>
      <c r="H13" s="1738"/>
      <c r="I13" s="1516" t="str">
        <f t="shared" si="1"/>
        <v/>
      </c>
      <c r="J13" s="1073"/>
    </row>
    <row r="14" spans="2:17" ht="31.95" customHeight="1">
      <c r="B14" s="1874" t="s">
        <v>669</v>
      </c>
      <c r="C14" s="1737">
        <f>SUM($I$4:I14)</f>
        <v>2</v>
      </c>
      <c r="D14" s="1739" t="str">
        <f>VLOOKUP(B14,chitiet!A:E,5,0)&amp;" tại các vị trí: "&amp;IFERROR(HLOOKUP(B14,$3:$8,$I$1+1,0),0)</f>
        <v>Bộ chằng lệch đơn cho trụ 12m: CL12-B tại các vị trí: 167</v>
      </c>
      <c r="E14" s="1741">
        <f>SUMIF(ChiTietDuToan!C:C,'5Neo'!B14,ChiTietDuToan!I:I)</f>
        <v>3</v>
      </c>
      <c r="F14" s="1741">
        <f t="shared" si="0"/>
        <v>1</v>
      </c>
      <c r="G14" s="1741" t="str">
        <f>VLOOKUP($D$1,Solieu!B:C,2,0)</f>
        <v>22, 26</v>
      </c>
      <c r="H14" s="1738"/>
      <c r="I14" s="1516">
        <f t="shared" si="1"/>
        <v>1</v>
      </c>
      <c r="J14" s="1073"/>
    </row>
    <row r="15" spans="2:17" ht="33.6" hidden="1">
      <c r="B15" s="1874" t="s">
        <v>670</v>
      </c>
      <c r="C15" s="1737">
        <f>SUM($I$4:I15)</f>
        <v>2</v>
      </c>
      <c r="D15" s="1739" t="str">
        <f>VLOOKUP(B15,chitiet!A:E,5,0)&amp;" tại các vị trí: "&amp;IFERROR(HLOOKUP(B15,$3:$8,$I$1+1,0),0)</f>
        <v>Bộ chằng xuống kép cho trụ 12m: CXX12-B tại các vị trí: 0</v>
      </c>
      <c r="E15" s="1741">
        <f>SUMIF(ChiTietDuToan!C:C,'5Neo'!B15,ChiTietDuToan!I:I)</f>
        <v>0</v>
      </c>
      <c r="F15" s="1741">
        <f t="shared" si="0"/>
        <v>0</v>
      </c>
      <c r="G15" s="1741" t="str">
        <f>VLOOKUP($D$1,Solieu!B:C,2,0)</f>
        <v>22, 26</v>
      </c>
      <c r="H15" s="1738"/>
      <c r="I15" s="1516" t="str">
        <f t="shared" si="1"/>
        <v/>
      </c>
      <c r="J15" s="1073"/>
    </row>
    <row r="16" spans="2:17" ht="31.95" customHeight="1">
      <c r="B16" s="1874" t="s">
        <v>671</v>
      </c>
      <c r="C16" s="1737">
        <f>SUM($I$4:I16)</f>
        <v>3</v>
      </c>
      <c r="D16" s="1739" t="str">
        <f>VLOOKUP(B16,chitiet!A:E,5,0)&amp;" tại các vị trí: "&amp;IFERROR(HLOOKUP(B16,$3:$8,$I$1+1,0),0)</f>
        <v>Bộ chằng xuống đơn cho trụ 14m: CX14-B tại các vị trí: 150</v>
      </c>
      <c r="E16" s="1741">
        <f>SUMIF(ChiTietDuToan!C:C,'5Neo'!B16,ChiTietDuToan!I:I)</f>
        <v>2</v>
      </c>
      <c r="F16" s="1741">
        <f t="shared" si="0"/>
        <v>2</v>
      </c>
      <c r="G16" s="1741" t="str">
        <f>VLOOKUP($D$1,Solieu!B:C,2,0)</f>
        <v>22, 26</v>
      </c>
      <c r="H16" s="1738"/>
      <c r="I16" s="1516">
        <f t="shared" si="1"/>
        <v>1</v>
      </c>
    </row>
    <row r="17" spans="2:9" ht="33.6" hidden="1">
      <c r="B17" s="1874" t="s">
        <v>929</v>
      </c>
      <c r="C17" s="1737">
        <f>SUM($I$4:I17)</f>
        <v>3</v>
      </c>
      <c r="D17" s="1739" t="str">
        <f>VLOOKUP(B17,chitiet!A:E,5,0)&amp;" tại các vị trí: "&amp;IFERROR(HLOOKUP(B17,$3:$8,$I$1+1,0),0)</f>
        <v>Bộ chằng lệch đơn cho trụ 14m: CL14-B tại các vị trí: 0</v>
      </c>
      <c r="E17" s="1741">
        <f>SUMIF(ChiTietDuToan!C:C,'5Neo'!B17,ChiTietDuToan!I:I)</f>
        <v>0</v>
      </c>
      <c r="F17" s="1741">
        <f t="shared" si="0"/>
        <v>0</v>
      </c>
      <c r="G17" s="1741" t="str">
        <f>VLOOKUP($D$1,Solieu!B:C,2,0)</f>
        <v>22, 26</v>
      </c>
      <c r="H17" s="1738"/>
      <c r="I17" s="1516" t="str">
        <f t="shared" si="1"/>
        <v/>
      </c>
    </row>
    <row r="18" spans="2:9" ht="31.95" customHeight="1">
      <c r="B18" s="1874" t="s">
        <v>930</v>
      </c>
      <c r="C18" s="1737">
        <f>SUM($I$4:I18)</f>
        <v>4</v>
      </c>
      <c r="D18" s="1739" t="str">
        <f>VLOOKUP(B18,chitiet!A:E,5,0)&amp;" tại các vị trí: "&amp;IFERROR(HLOOKUP(B18,$3:$8,$I$1+1,0),0)</f>
        <v>Bộ chằng xuống kép cho trụ 14m: CXX14-B tại các vị trí: 171</v>
      </c>
      <c r="E18" s="1741">
        <f>SUMIF(ChiTietDuToan!C:C,'5Neo'!B18,ChiTietDuToan!I:I)</f>
        <v>2</v>
      </c>
      <c r="F18" s="1741">
        <f t="shared" si="0"/>
        <v>2</v>
      </c>
      <c r="G18" s="1741" t="str">
        <f>VLOOKUP($D$1,Solieu!B:C,2,0)</f>
        <v>22, 26</v>
      </c>
      <c r="H18" s="1738"/>
      <c r="I18" s="1516">
        <f t="shared" si="1"/>
        <v>1</v>
      </c>
    </row>
    <row r="19" spans="2:9" ht="31.95" customHeight="1">
      <c r="B19" s="1874" t="s">
        <v>757</v>
      </c>
      <c r="C19" s="1737">
        <f>SUM($I$4:I19)</f>
        <v>5</v>
      </c>
      <c r="D19" s="1739" t="str">
        <f>VLOOKUP(B19,chitiet!A:E,5,0)&amp;" tại các vị trí: "&amp;IFERROR(HLOOKUP(B19,$3:$8,$I$1+1,0),0)</f>
        <v xml:space="preserve">Bộ chằng vượt đơn: CK-B tại các vị trí: </v>
      </c>
      <c r="E19" s="1741">
        <f>SUMIF(ChiTietDuToan!C:C,'5Neo'!B19,ChiTietDuToan!I:I)</f>
        <v>1</v>
      </c>
      <c r="F19" s="1741">
        <f t="shared" si="0"/>
        <v>0</v>
      </c>
      <c r="G19" s="1741" t="str">
        <f>VLOOKUP($D$1,Solieu!B:C,2,0)</f>
        <v>22, 26</v>
      </c>
      <c r="H19" s="1738"/>
      <c r="I19" s="1516">
        <f t="shared" si="1"/>
        <v>1</v>
      </c>
    </row>
    <row r="20" spans="2:9" hidden="1">
      <c r="B20" s="1874" t="s">
        <v>756</v>
      </c>
      <c r="C20" s="1737">
        <f>SUM($I$4:I20)</f>
        <v>5</v>
      </c>
      <c r="D20" s="1739" t="str">
        <f>VLOOKUP(B20,chitiet!A:E,5,0)&amp;" tại các vị trí: "&amp;IFERROR(HLOOKUP(B20,$3:$8,$I$1+1,0),0)</f>
        <v>Bộ chằng vượt kép: CKK-B tại các vị trí: 0</v>
      </c>
      <c r="E20" s="1741">
        <f>SUMIF(ChiTietDuToan!C:C,'5Neo'!B20,ChiTietDuToan!I:I)</f>
        <v>0</v>
      </c>
      <c r="F20" s="1741">
        <f t="shared" si="0"/>
        <v>0</v>
      </c>
      <c r="G20" s="1741" t="str">
        <f>VLOOKUP($D$1,Solieu!B:C,2,0)</f>
        <v>22, 26</v>
      </c>
      <c r="H20" s="1738"/>
      <c r="I20" s="1516" t="str">
        <f t="shared" si="1"/>
        <v/>
      </c>
    </row>
    <row r="21" spans="2:9" ht="33.6" hidden="1">
      <c r="B21" s="1874" t="s">
        <v>346</v>
      </c>
      <c r="C21" s="1737">
        <f>SUM($I$4:I21)</f>
        <v>5</v>
      </c>
      <c r="D21" s="1739" t="str">
        <f>VLOOKUP(B21,chitiet!A:E,5,0)&amp;" tại các vị trí: "&amp;IFERROR(HLOOKUP(B21,$3:$8,$I$1+1,0),0)</f>
        <v>Bộ chằng xuống đơn cho trụ 10,5m: CX10-C tại các vị trí: 0</v>
      </c>
      <c r="E21" s="1741">
        <f>SUMIF(ChiTietDuToan!C:C,'5Neo'!B21,ChiTietDuToan!I:I)</f>
        <v>0</v>
      </c>
      <c r="F21" s="1741">
        <f t="shared" si="0"/>
        <v>0</v>
      </c>
      <c r="G21" s="1741" t="str">
        <f>VLOOKUP($D$1,Solieu!B:C,2,0)</f>
        <v>22, 26</v>
      </c>
      <c r="H21" s="1738"/>
      <c r="I21" s="1516" t="str">
        <f t="shared" si="1"/>
        <v/>
      </c>
    </row>
    <row r="22" spans="2:9" ht="33.6" hidden="1">
      <c r="B22" s="1874" t="s">
        <v>1114</v>
      </c>
      <c r="C22" s="1737">
        <f>SUM($I$4:I22)</f>
        <v>5</v>
      </c>
      <c r="D22" s="1739" t="str">
        <f>VLOOKUP(B22,chitiet!A:E,5,0)&amp;" tại các vị trí: "&amp;IFERROR(HLOOKUP(B22,$3:$8,$I$1+1,0),0)</f>
        <v>Bộ chằng lệch đơn cho trụ 10,5m: CL10-C tại các vị trí: 0</v>
      </c>
      <c r="E22" s="1741">
        <f>SUMIF(ChiTietDuToan!C:C,'5Neo'!B22,ChiTietDuToan!I:I)</f>
        <v>0</v>
      </c>
      <c r="F22" s="1741">
        <f t="shared" si="0"/>
        <v>0</v>
      </c>
      <c r="G22" s="1741" t="str">
        <f>VLOOKUP($D$1,Solieu!B:C,2,0)</f>
        <v>22, 26</v>
      </c>
      <c r="H22" s="1738"/>
      <c r="I22" s="1516" t="str">
        <f t="shared" si="1"/>
        <v/>
      </c>
    </row>
    <row r="23" spans="2:9" ht="33.6" hidden="1">
      <c r="B23" s="1874" t="s">
        <v>1115</v>
      </c>
      <c r="C23" s="1737">
        <f>SUM($I$4:I23)</f>
        <v>5</v>
      </c>
      <c r="D23" s="1739" t="str">
        <f>VLOOKUP(B23,chitiet!A:E,5,0)&amp;" tại các vị trí: "&amp;IFERROR(HLOOKUP(B23,$3:$8,$I$1+1,0),0)</f>
        <v>Bộ chằng xuống kép cho trụ 10,5m: CXX10-C tại các vị trí: 0</v>
      </c>
      <c r="E23" s="1741">
        <f>SUMIF(ChiTietDuToan!C:C,'5Neo'!B23,ChiTietDuToan!I:I)</f>
        <v>0</v>
      </c>
      <c r="F23" s="1741">
        <f t="shared" si="0"/>
        <v>0</v>
      </c>
      <c r="G23" s="1741" t="str">
        <f>VLOOKUP($D$1,Solieu!B:C,2,0)</f>
        <v>22, 26</v>
      </c>
      <c r="H23" s="1738"/>
      <c r="I23" s="1516" t="str">
        <f t="shared" si="1"/>
        <v/>
      </c>
    </row>
    <row r="24" spans="2:9" ht="33.6" hidden="1">
      <c r="B24" s="1874" t="s">
        <v>1116</v>
      </c>
      <c r="C24" s="1737">
        <f>SUM($I$4:I24)</f>
        <v>5</v>
      </c>
      <c r="D24" s="1739" t="str">
        <f>VLOOKUP(B24,chitiet!A:E,5,0)&amp;" tại các vị trí: "&amp;IFERROR(HLOOKUP(B24,$3:$8,$I$1+1,0),0)</f>
        <v>Bộ chằng xuống đơn cho trụ 12m: CX12-C tại các vị trí: 0</v>
      </c>
      <c r="E24" s="1741">
        <f>SUMIF(ChiTietDuToan!C:C,'5Neo'!B24,ChiTietDuToan!I:I)</f>
        <v>0</v>
      </c>
      <c r="F24" s="1741">
        <f t="shared" si="0"/>
        <v>0</v>
      </c>
      <c r="G24" s="1741" t="str">
        <f>VLOOKUP($D$1,Solieu!B:C,2,0)</f>
        <v>22, 26</v>
      </c>
      <c r="H24" s="1738"/>
      <c r="I24" s="1516" t="str">
        <f t="shared" si="1"/>
        <v/>
      </c>
    </row>
    <row r="25" spans="2:9" ht="33.6" hidden="1">
      <c r="B25" s="1874" t="s">
        <v>1117</v>
      </c>
      <c r="C25" s="1737">
        <f>SUM($I$4:I25)</f>
        <v>5</v>
      </c>
      <c r="D25" s="1739" t="str">
        <f>VLOOKUP(B25,chitiet!A:E,5,0)&amp;" tại các vị trí: "&amp;IFERROR(HLOOKUP(B25,$3:$8,$I$1+1,0),0)</f>
        <v>Bộ chằng lệch đơn cho trụ 12m: CL12-C tại các vị trí: 0</v>
      </c>
      <c r="E25" s="1741">
        <f>SUMIF(ChiTietDuToan!C:C,'5Neo'!B25,ChiTietDuToan!I:I)</f>
        <v>0</v>
      </c>
      <c r="F25" s="1741">
        <f t="shared" si="0"/>
        <v>0</v>
      </c>
      <c r="G25" s="1741" t="str">
        <f>VLOOKUP($D$1,Solieu!B:C,2,0)</f>
        <v>22, 26</v>
      </c>
      <c r="H25" s="1738"/>
      <c r="I25" s="1516" t="str">
        <f t="shared" si="1"/>
        <v/>
      </c>
    </row>
    <row r="26" spans="2:9" ht="33.6" hidden="1">
      <c r="B26" s="1874" t="s">
        <v>1118</v>
      </c>
      <c r="C26" s="1737">
        <f>SUM($I$4:I26)</f>
        <v>5</v>
      </c>
      <c r="D26" s="1739" t="str">
        <f>VLOOKUP(B26,chitiet!A:E,5,0)&amp;" tại các vị trí: "&amp;IFERROR(HLOOKUP(B26,$3:$8,$I$1+1,0),0)</f>
        <v>Bộ chằng xuống kép cho trụ 12m: CXX12-C tại các vị trí: 0</v>
      </c>
      <c r="E26" s="1741">
        <f>SUMIF(ChiTietDuToan!C:C,'5Neo'!B26,ChiTietDuToan!I:I)</f>
        <v>0</v>
      </c>
      <c r="F26" s="1741">
        <f t="shared" si="0"/>
        <v>0</v>
      </c>
      <c r="G26" s="1741" t="str">
        <f>VLOOKUP($D$1,Solieu!B:C,2,0)</f>
        <v>22, 26</v>
      </c>
      <c r="H26" s="1738"/>
      <c r="I26" s="1516" t="str">
        <f t="shared" si="1"/>
        <v/>
      </c>
    </row>
    <row r="27" spans="2:9" ht="33.6" hidden="1">
      <c r="B27" s="1874" t="s">
        <v>1862</v>
      </c>
      <c r="C27" s="1737">
        <f>SUM($I$4:I27)</f>
        <v>5</v>
      </c>
      <c r="D27" s="1739" t="str">
        <f>VLOOKUP(B27,chitiet!A:E,5,0)&amp;" tại các vị trí: "&amp;IFERROR(HLOOKUP(B27,$3:$8,$I$1+1,0),0)</f>
        <v>Bộ chằng xuống đơn cho trụ 14m: CX14-C tại các vị trí: 0</v>
      </c>
      <c r="E27" s="1741">
        <f>SUMIF(ChiTietDuToan!C:C,'5Neo'!B27,ChiTietDuToan!I:I)</f>
        <v>0</v>
      </c>
      <c r="F27" s="1741">
        <f t="shared" si="0"/>
        <v>0</v>
      </c>
      <c r="G27" s="1741" t="str">
        <f>VLOOKUP($D$1,Solieu!B:C,2,0)</f>
        <v>22, 26</v>
      </c>
      <c r="H27" s="1738"/>
      <c r="I27" s="1516" t="str">
        <f t="shared" si="1"/>
        <v/>
      </c>
    </row>
    <row r="28" spans="2:9" ht="33.6" hidden="1">
      <c r="B28" s="1874" t="s">
        <v>340</v>
      </c>
      <c r="C28" s="1737">
        <f>SUM($I$4:I28)</f>
        <v>5</v>
      </c>
      <c r="D28" s="1739" t="str">
        <f>VLOOKUP(B28,chitiet!A:E,5,0)&amp;" tại các vị trí: "&amp;IFERROR(HLOOKUP(B28,$3:$8,$I$1+1,0),0)</f>
        <v>Bộ chằng lệch đơn cho trụ 14m: CL14-C tại các vị trí: 0</v>
      </c>
      <c r="E28" s="1741">
        <f>SUMIF(ChiTietDuToan!C:C,'5Neo'!B28,ChiTietDuToan!I:I)</f>
        <v>0</v>
      </c>
      <c r="F28" s="1741">
        <f t="shared" si="0"/>
        <v>0</v>
      </c>
      <c r="G28" s="1741" t="str">
        <f>VLOOKUP($D$1,Solieu!B:C,2,0)</f>
        <v>22, 26</v>
      </c>
      <c r="H28" s="1738"/>
      <c r="I28" s="1516" t="str">
        <f t="shared" si="1"/>
        <v/>
      </c>
    </row>
    <row r="29" spans="2:9" ht="33.6" hidden="1">
      <c r="B29" s="1874" t="s">
        <v>1273</v>
      </c>
      <c r="C29" s="1737">
        <f>SUM($I$4:I29)</f>
        <v>5</v>
      </c>
      <c r="D29" s="1739" t="str">
        <f>VLOOKUP(B29,chitiet!A:E,5,0)&amp;" tại các vị trí: "&amp;IFERROR(HLOOKUP(B29,$3:$8,$I$1+1,0),0)</f>
        <v>Bộ chằng xuống kép cho trụ 14m: CXX14-C tại các vị trí: 0</v>
      </c>
      <c r="E29" s="1741">
        <f>SUMIF(ChiTietDuToan!C:C,'5Neo'!B29,ChiTietDuToan!I:I)</f>
        <v>0</v>
      </c>
      <c r="F29" s="1741">
        <f t="shared" si="0"/>
        <v>0</v>
      </c>
      <c r="G29" s="1741" t="str">
        <f>VLOOKUP($D$1,Solieu!B:C,2,0)</f>
        <v>22, 26</v>
      </c>
      <c r="H29" s="1738"/>
      <c r="I29" s="1516" t="str">
        <f t="shared" si="1"/>
        <v/>
      </c>
    </row>
    <row r="30" spans="2:9" ht="33.6" hidden="1">
      <c r="B30" s="1874" t="s">
        <v>820</v>
      </c>
      <c r="C30" s="1737">
        <f>SUM($I$4:I30)</f>
        <v>5</v>
      </c>
      <c r="D30" s="1739" t="str">
        <f>VLOOKUP(B30,chitiet!A:E,5,0)&amp;" tại các vị trí: "&amp;IFERROR(HLOOKUP(B30,$3:$8,$I$1+1,0),0)</f>
        <v>Bộ chằng xuống đơn cho trụ 20m: CX20-C tại các vị trí: 0</v>
      </c>
      <c r="E30" s="1741">
        <f>SUMIF(ChiTietDuToan!C:C,'5Neo'!B30,ChiTietDuToan!I:I)</f>
        <v>0</v>
      </c>
      <c r="F30" s="1741">
        <f t="shared" si="0"/>
        <v>0</v>
      </c>
      <c r="G30" s="1741" t="str">
        <f>VLOOKUP($D$1,Solieu!B:C,2,0)</f>
        <v>22, 26</v>
      </c>
      <c r="H30" s="1738"/>
      <c r="I30" s="1516" t="str">
        <f t="shared" si="1"/>
        <v/>
      </c>
    </row>
    <row r="31" spans="2:9" hidden="1">
      <c r="B31" s="1874" t="s">
        <v>1119</v>
      </c>
      <c r="C31" s="1737">
        <f>SUM($I$4:I31)</f>
        <v>5</v>
      </c>
      <c r="D31" s="1739" t="str">
        <f>VLOOKUP(B31,chitiet!A:E,5,0)&amp;" tại các vị trí: "&amp;IFERROR(HLOOKUP(B31,$3:$8,$I$1+1,0),0)</f>
        <v>Bộ chằng vượt đơn: CK-C tại các vị trí: 0</v>
      </c>
      <c r="E31" s="1741">
        <f>SUMIF(ChiTietDuToan!C:C,'5Neo'!B31,ChiTietDuToan!I:I)</f>
        <v>0</v>
      </c>
      <c r="F31" s="1741">
        <f t="shared" si="0"/>
        <v>0</v>
      </c>
      <c r="G31" s="1741" t="str">
        <f>VLOOKUP($D$1,Solieu!B:C,2,0)</f>
        <v>22, 26</v>
      </c>
      <c r="H31" s="1738"/>
      <c r="I31" s="1516" t="str">
        <f t="shared" si="1"/>
        <v/>
      </c>
    </row>
    <row r="32" spans="2:9" hidden="1">
      <c r="B32" s="1874" t="s">
        <v>1120</v>
      </c>
      <c r="C32" s="1737">
        <f>SUM($I$4:I32)</f>
        <v>5</v>
      </c>
      <c r="D32" s="1739" t="str">
        <f>VLOOKUP(B32,chitiet!A:E,5,0)&amp;" tại các vị trí: "&amp;IFERROR(HLOOKUP(B32,$3:$8,$I$1+1,0),0)</f>
        <v>Bộ chằng vượt kép: CKK-C tại các vị trí: 0</v>
      </c>
      <c r="E32" s="1741">
        <f>SUMIF(ChiTietDuToan!C:C,'5Neo'!B32,ChiTietDuToan!I:I)</f>
        <v>0</v>
      </c>
      <c r="F32" s="1741">
        <f t="shared" si="0"/>
        <v>0</v>
      </c>
      <c r="G32" s="1741" t="str">
        <f>VLOOKUP($D$1,Solieu!B:C,2,0)</f>
        <v>22, 26</v>
      </c>
      <c r="H32" s="1738"/>
      <c r="I32" s="1516" t="str">
        <f t="shared" si="1"/>
        <v/>
      </c>
    </row>
    <row r="33" spans="3:9" ht="26.25" customHeight="1">
      <c r="C33" s="1737"/>
      <c r="D33" s="1735" t="s">
        <v>4426</v>
      </c>
      <c r="E33" s="1742">
        <f>SUM(E4:E32)</f>
        <v>15</v>
      </c>
      <c r="F33" s="1742">
        <f>SUM(F4:F32)</f>
        <v>7</v>
      </c>
      <c r="G33" s="1737"/>
      <c r="H33" s="1738"/>
      <c r="I33" s="1516">
        <v>1</v>
      </c>
    </row>
  </sheetData>
  <autoFilter ref="I3:I33">
    <filterColumn colId="0">
      <customFilters>
        <customFilter operator="notEqual" val=" "/>
      </customFilters>
    </filterColumn>
  </autoFilter>
  <conditionalFormatting sqref="B1:B1048576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90"/>
  <sheetViews>
    <sheetView topLeftCell="A28" workbookViewId="0">
      <selection activeCell="B43" sqref="B43"/>
    </sheetView>
  </sheetViews>
  <sheetFormatPr defaultColWidth="8.90625" defaultRowHeight="16.8"/>
  <cols>
    <col min="1" max="1" width="8.90625" style="1516"/>
    <col min="2" max="2" width="17.36328125" style="1875" bestFit="1" customWidth="1"/>
    <col min="3" max="3" width="5.08984375" style="1516" customWidth="1"/>
    <col min="4" max="4" width="36.54296875" style="1516" customWidth="1"/>
    <col min="5" max="7" width="6" style="1516" customWidth="1"/>
    <col min="8" max="8" width="11.90625" style="1516" customWidth="1"/>
    <col min="9" max="9" width="9" style="1516" customWidth="1"/>
    <col min="10" max="10" width="8.90625" style="1516"/>
    <col min="11" max="11" width="8.90625" style="1778"/>
    <col min="12" max="22" width="8.90625" style="1516"/>
    <col min="23" max="23" width="10.90625" style="1516" customWidth="1"/>
    <col min="24" max="16384" width="8.90625" style="1516"/>
  </cols>
  <sheetData>
    <row r="1" spans="2:23">
      <c r="D1" s="1750" t="s">
        <v>4747</v>
      </c>
      <c r="J1" s="1516">
        <v>2</v>
      </c>
    </row>
    <row r="2" spans="2:23">
      <c r="D2" s="1750"/>
      <c r="M2" s="1516">
        <f>HLOOKUP(M3,'bkt-DuToan'!1:2,2,0)</f>
        <v>5</v>
      </c>
      <c r="N2" s="1516">
        <f>HLOOKUP(N3,'bkt-DuToan'!1:2,2,0)</f>
        <v>10</v>
      </c>
      <c r="O2" s="1516">
        <f>HLOOKUP(O3,'bkt-DuToan'!1:2,2,0)</f>
        <v>151</v>
      </c>
      <c r="P2" s="1516">
        <f>HLOOKUP(P3,'bkt-DuToan'!1:2,2,0)</f>
        <v>8</v>
      </c>
      <c r="Q2" s="1516">
        <f>HLOOKUP(Q3,'bkt-DuToan'!1:2,2,0)</f>
        <v>591</v>
      </c>
      <c r="R2" s="1516">
        <f>HLOOKUP(R3,'bkt-DuToan'!1:2,2,0)</f>
        <v>93</v>
      </c>
      <c r="S2" s="1516">
        <f>HLOOKUP(S3,'bkt-DuToan'!1:2,2,0)</f>
        <v>0</v>
      </c>
      <c r="T2" s="1516">
        <f>HLOOKUP(T3,'bkt-DuToan'!1:2,2,0)</f>
        <v>19</v>
      </c>
      <c r="U2" s="1516">
        <f>HLOOKUP(U3,'bkt-DuToan'!1:2,2,0)</f>
        <v>96</v>
      </c>
      <c r="V2" s="1516">
        <f>HLOOKUP(V3,'bkt-DuToan'!1:2,2,0)</f>
        <v>29</v>
      </c>
      <c r="W2" s="1516">
        <f>HLOOKUP(W3,'bkt-DuToan'!1:2,2,0)</f>
        <v>163</v>
      </c>
    </row>
    <row r="3" spans="2:23" ht="31.2">
      <c r="C3" s="1878" t="s">
        <v>1761</v>
      </c>
      <c r="D3" s="1878" t="s">
        <v>4390</v>
      </c>
      <c r="E3" s="1878" t="s">
        <v>4391</v>
      </c>
      <c r="F3" s="1878" t="s">
        <v>4392</v>
      </c>
      <c r="G3" s="1878" t="s">
        <v>4392</v>
      </c>
      <c r="H3" s="1878" t="s">
        <v>4393</v>
      </c>
      <c r="I3" s="1878" t="s">
        <v>4394</v>
      </c>
      <c r="J3" s="1740" t="s">
        <v>515</v>
      </c>
      <c r="M3" s="1516" t="s">
        <v>2358</v>
      </c>
      <c r="N3" s="1516" t="s">
        <v>536</v>
      </c>
      <c r="O3" s="1516" t="s">
        <v>2356</v>
      </c>
      <c r="P3" s="1516" t="s">
        <v>2181</v>
      </c>
      <c r="Q3" s="1516" t="s">
        <v>2568</v>
      </c>
      <c r="R3" s="1516" t="s">
        <v>2579</v>
      </c>
      <c r="S3" s="1516" t="s">
        <v>4177</v>
      </c>
      <c r="T3" s="1516" t="s">
        <v>5129</v>
      </c>
      <c r="U3" s="1516" t="s">
        <v>5130</v>
      </c>
      <c r="V3" s="1516" t="s">
        <v>5131</v>
      </c>
      <c r="W3" s="1516" t="s">
        <v>3886</v>
      </c>
    </row>
    <row r="4" spans="2:23" ht="33.6">
      <c r="B4" s="1875" t="s">
        <v>4529</v>
      </c>
      <c r="C4" s="1737">
        <f>SUM($J$4:J4)</f>
        <v>0</v>
      </c>
      <c r="D4" s="1739" t="str">
        <f>VLOOKUP(B4,DG!A:C,3,0)&amp;" tại các vị trí: "</f>
        <v xml:space="preserve">Xà composite 110x800x5 dài 2,4m tại các vị trí: </v>
      </c>
      <c r="E4" s="1741" t="str">
        <f>VLOOKUP(B4,DG!A:D,4,0)</f>
        <v>cái</v>
      </c>
      <c r="F4" s="1741">
        <f>SUMIF(ChiTietDuToan!C:C,'6PK'!B4,ChiTietDuToan!I:I)</f>
        <v>0</v>
      </c>
      <c r="G4" s="1741">
        <f>IFERROR(HLOOKUP(B4,'6PK'!$3:$11,'6PK'!$J$1,0),0)</f>
        <v>0</v>
      </c>
      <c r="H4" s="1741" t="str">
        <f>VLOOKUP($D$1,Solieu!B:C,2,0)</f>
        <v>002, 003</v>
      </c>
      <c r="I4" s="1735" t="s">
        <v>4373</v>
      </c>
      <c r="J4" s="1516" t="str">
        <f>IF(F4&gt;0,1,"")</f>
        <v/>
      </c>
      <c r="K4" s="1779" t="s">
        <v>4747</v>
      </c>
      <c r="L4" s="2387">
        <v>43744</v>
      </c>
      <c r="M4" s="1516">
        <f>SUMIF('bkt-DuToan'!$DB:$DB,1,'bkt-DuToan'!AB:AB)</f>
        <v>3</v>
      </c>
      <c r="N4" s="1516">
        <f>SUMIF('bkt-DuToan'!$DB:$DB,1,'bkt-DuToan'!AC:AC)</f>
        <v>7</v>
      </c>
      <c r="O4" s="1516">
        <f>SUMIF('bkt-DuToan'!$DB:$DB,1,'bkt-DuToan'!AD:AD)</f>
        <v>85</v>
      </c>
      <c r="P4" s="1516">
        <f>SUMIF('bkt-DuToan'!$DB:$DB,1,'bkt-DuToan'!AE:AE)</f>
        <v>4</v>
      </c>
      <c r="Q4" s="1516">
        <f>SUMIF('bkt-DuToan'!$DB:$DB,1,'bkt-DuToan'!AF:AF)</f>
        <v>333</v>
      </c>
      <c r="R4" s="1516">
        <f>SUMIF('bkt-DuToan'!$DB:$DB,1,'bkt-DuToan'!AG:AG)</f>
        <v>63</v>
      </c>
      <c r="S4" s="1516">
        <f>SUMIF('bkt-DuToan'!$DB:$DB,1,'bkt-DuToan'!AH:AH)</f>
        <v>0</v>
      </c>
      <c r="T4" s="1516">
        <f>SUMIF('bkt-DuToan'!$DB:$DB,1,'bkt-DuToan'!AI:AI)</f>
        <v>8</v>
      </c>
      <c r="U4" s="1516">
        <f>SUMIF('bkt-DuToan'!$DB:$DB,1,'bkt-DuToan'!AJ:AJ)</f>
        <v>57</v>
      </c>
      <c r="V4" s="1516">
        <f>SUMIF('bkt-DuToan'!$DB:$DB,1,'bkt-DuToan'!AK:AK)</f>
        <v>16</v>
      </c>
      <c r="W4" s="1516">
        <f>SUMIF('bkt-DuToan'!$DB:$DB,1,'bkt-DuToan'!AL:AL)</f>
        <v>92</v>
      </c>
    </row>
    <row r="5" spans="2:23">
      <c r="B5" s="1875" t="s">
        <v>4704</v>
      </c>
      <c r="C5" s="1737">
        <f>SUM($J$4:J5)</f>
        <v>0</v>
      </c>
      <c r="D5" s="1739" t="str">
        <f>VLOOKUP(B5,DG!A:C,3,0)</f>
        <v>Xà composite 110x800x5 dài 2,6m</v>
      </c>
      <c r="E5" s="1741" t="str">
        <f>VLOOKUP(B5,DG!A:D,4,0)</f>
        <v>cái</v>
      </c>
      <c r="F5" s="1741">
        <f>SUMIF(ChiTietDuToan!C:C,'6PK'!B5,ChiTietDuToan!I:I)</f>
        <v>0</v>
      </c>
      <c r="G5" s="1741">
        <f>IFERROR(HLOOKUP(B5,'6PK'!$3:$11,'6PK'!$J$1,0),0)</f>
        <v>0</v>
      </c>
      <c r="H5" s="1741" t="str">
        <f>VLOOKUP($D$1,Solieu!B:C,2,0)</f>
        <v>002, 003</v>
      </c>
      <c r="I5" s="1735" t="s">
        <v>4373</v>
      </c>
      <c r="J5" s="1516" t="str">
        <f t="shared" ref="J5:J62" si="0">IF(F5&gt;0,1,"")</f>
        <v/>
      </c>
      <c r="K5" s="1779" t="s">
        <v>4747</v>
      </c>
    </row>
    <row r="6" spans="2:23">
      <c r="B6" s="1875" t="s">
        <v>363</v>
      </c>
      <c r="C6" s="1737">
        <f>SUM($J$4:J6)</f>
        <v>0</v>
      </c>
      <c r="D6" s="1739" t="str">
        <f>VLOOKUP(B6,DG!A:C,3,0)</f>
        <v>Xà composite 110x800x5</v>
      </c>
      <c r="E6" s="1741" t="str">
        <f>VLOOKUP(B6,DG!A:D,4,0)</f>
        <v>m</v>
      </c>
      <c r="F6" s="1741">
        <f>SUMIF(ChiTietDuToan!C:C,'6PK'!B6,ChiTietDuToan!I:I)</f>
        <v>0</v>
      </c>
      <c r="G6" s="1741">
        <f>IFERROR(HLOOKUP(B6,'6PK'!$3:$11,'6PK'!$J$1,0),0)</f>
        <v>0</v>
      </c>
      <c r="H6" s="1741" t="str">
        <f>VLOOKUP($D$1,Solieu!B:C,2,0)</f>
        <v>002, 003</v>
      </c>
      <c r="I6" s="1735" t="s">
        <v>4373</v>
      </c>
      <c r="J6" s="1516" t="str">
        <f t="shared" si="0"/>
        <v/>
      </c>
      <c r="K6" s="1779" t="s">
        <v>4747</v>
      </c>
      <c r="L6" s="2387">
        <v>43751</v>
      </c>
      <c r="M6" s="1516">
        <f>SUMIF('bkt-DuToan'!$DC:$DC,1,'bkt-DuToan'!AB:AB)</f>
        <v>2</v>
      </c>
      <c r="N6" s="1516">
        <f>SUMIF('bkt-DuToan'!$DC:$DC,1,'bkt-DuToan'!AC:AC)</f>
        <v>3</v>
      </c>
      <c r="O6" s="1516">
        <f>SUMIF('bkt-DuToan'!$DC:$DC,1,'bkt-DuToan'!AD:AD)</f>
        <v>66</v>
      </c>
      <c r="P6" s="1516">
        <f>SUMIF('bkt-DuToan'!$DC:$DC,1,'bkt-DuToan'!AE:AE)</f>
        <v>4</v>
      </c>
      <c r="Q6" s="1516">
        <f>SUMIF('bkt-DuToan'!$DC:$DC,1,'bkt-DuToan'!AF:AF)</f>
        <v>258</v>
      </c>
      <c r="R6" s="1516">
        <f>SUMIF('bkt-DuToan'!$DC:$DC,1,'bkt-DuToan'!AG:AG)</f>
        <v>30</v>
      </c>
      <c r="S6" s="1516">
        <f>SUMIF('bkt-DuToan'!$DC:$DC,1,'bkt-DuToan'!AH:AH)</f>
        <v>0</v>
      </c>
      <c r="T6" s="1516">
        <f>SUMIF('bkt-DuToan'!$DC:$DC,1,'bkt-DuToan'!AI:AI)</f>
        <v>11</v>
      </c>
      <c r="U6" s="1516">
        <f>SUMIF('bkt-DuToan'!$DC:$DC,1,'bkt-DuToan'!AJ:AJ)</f>
        <v>39</v>
      </c>
      <c r="V6" s="1516">
        <f>SUMIF('bkt-DuToan'!$DC:$DC,1,'bkt-DuToan'!AK:AK)</f>
        <v>13</v>
      </c>
      <c r="W6" s="1516">
        <f>SUMIF('bkt-DuToan'!$DC:$DC,1,'bkt-DuToan'!AL:AL)</f>
        <v>71</v>
      </c>
    </row>
    <row r="7" spans="2:23">
      <c r="B7" s="1875" t="s">
        <v>1033</v>
      </c>
      <c r="C7" s="1737">
        <f>SUM($J$4:J7)</f>
        <v>0</v>
      </c>
      <c r="D7" s="1739" t="str">
        <f>VLOOKUP(B7,DG!A:C,3,0)</f>
        <v>Xà kẹp TU, TI U50x32x4 350</v>
      </c>
      <c r="E7" s="1741" t="str">
        <f>VLOOKUP(B7,DG!A:D,4,0)</f>
        <v>Bộ</v>
      </c>
      <c r="F7" s="1741">
        <f>SUMIF(ChiTietDuToan!C:C,'6PK'!B7,ChiTietDuToan!I:I)</f>
        <v>0</v>
      </c>
      <c r="G7" s="1741">
        <f>IFERROR(HLOOKUP(B7,'6PK'!$3:$11,'6PK'!$J$1,0),0)</f>
        <v>0</v>
      </c>
      <c r="H7" s="1741" t="str">
        <f>VLOOKUP($D$1,Solieu!B:C,2,0)</f>
        <v>002, 003</v>
      </c>
      <c r="I7" s="1735" t="s">
        <v>4373</v>
      </c>
      <c r="J7" s="1516" t="str">
        <f t="shared" si="0"/>
        <v/>
      </c>
      <c r="K7" s="1779" t="s">
        <v>4747</v>
      </c>
    </row>
    <row r="8" spans="2:23" ht="22.5" customHeight="1">
      <c r="B8" s="1877" t="s">
        <v>4792</v>
      </c>
      <c r="C8" s="1737">
        <f>SUM($J$4:J8)</f>
        <v>0</v>
      </c>
      <c r="D8" s="1739" t="str">
        <f>VLOOKUP(B8,DG!A:C,3,0)</f>
        <v>Đà composite 0,8m + Thanh chống đà 720</v>
      </c>
      <c r="E8" s="1741" t="str">
        <f>VLOOKUP(B8,DG!A:D,4,0)</f>
        <v>cái</v>
      </c>
      <c r="F8" s="1741">
        <f>SUMIF(ChiTietDuToan!C:C,'6PK'!B8,ChiTietDuToan!I:I)</f>
        <v>0</v>
      </c>
      <c r="G8" s="1741">
        <f>IFERROR(HLOOKUP(B8,'6PK'!$3:$11,'6PK'!$J$1,0),0)</f>
        <v>0</v>
      </c>
      <c r="H8" s="1741" t="str">
        <f>VLOOKUP($D$1,Solieu!B:C,2,0)</f>
        <v>002, 003</v>
      </c>
      <c r="I8" s="1735" t="s">
        <v>4373</v>
      </c>
      <c r="J8" s="1516" t="str">
        <f t="shared" si="0"/>
        <v/>
      </c>
      <c r="K8" s="1779" t="s">
        <v>4747</v>
      </c>
    </row>
    <row r="9" spans="2:23" ht="22.5" customHeight="1">
      <c r="B9" s="1877" t="s">
        <v>4840</v>
      </c>
      <c r="C9" s="1737">
        <f>SUM($J$4:J9)</f>
        <v>0</v>
      </c>
      <c r="D9" s="1739" t="str">
        <f>VLOOKUP(B9,DG!A:C,3,0)</f>
        <v>Đà composite 0,8m</v>
      </c>
      <c r="E9" s="1741" t="str">
        <f>VLOOKUP(B9,DG!A:D,4,0)</f>
        <v>cái</v>
      </c>
      <c r="F9" s="1741">
        <f>SUMIF(ChiTietDuToan!C:C,'6PK'!B9,ChiTietDuToan!I:I)</f>
        <v>0</v>
      </c>
      <c r="G9" s="1741">
        <f>IFERROR(HLOOKUP(B9,'6PK'!$3:$11,'6PK'!$J$1,0),0)</f>
        <v>0</v>
      </c>
      <c r="H9" s="1741" t="str">
        <f>VLOOKUP($D$1,Solieu!B:C,2,0)</f>
        <v>002, 003</v>
      </c>
      <c r="I9" s="1735" t="s">
        <v>4373</v>
      </c>
      <c r="J9" s="1516" t="str">
        <f>IF(F9&gt;0,1,"")</f>
        <v/>
      </c>
      <c r="K9" s="1779" t="s">
        <v>4747</v>
      </c>
    </row>
    <row r="10" spans="2:23" ht="22.5" customHeight="1">
      <c r="B10" s="1877" t="s">
        <v>4842</v>
      </c>
      <c r="C10" s="1737">
        <f>SUM($J$4:J10)</f>
        <v>0</v>
      </c>
      <c r="D10" s="1739" t="str">
        <f>VLOOKUP(B10,DG!A:C,3,0)</f>
        <v>Thanh chống đà 720</v>
      </c>
      <c r="E10" s="1741" t="str">
        <f>VLOOKUP(B10,DG!A:D,4,0)</f>
        <v>cái</v>
      </c>
      <c r="F10" s="1741">
        <f>SUMIF(ChiTietDuToan!C:C,'6PK'!B10,ChiTietDuToan!I:I)</f>
        <v>0</v>
      </c>
      <c r="G10" s="1741">
        <f>IFERROR(HLOOKUP(B10,'6PK'!$3:$11,'6PK'!$J$1,0),0)</f>
        <v>0</v>
      </c>
      <c r="H10" s="1741" t="str">
        <f>VLOOKUP($D$1,Solieu!B:C,2,0)</f>
        <v>002, 003</v>
      </c>
      <c r="I10" s="1735" t="s">
        <v>4373</v>
      </c>
      <c r="J10" s="1516" t="str">
        <f>IF(F10&gt;0,1,"")</f>
        <v/>
      </c>
      <c r="K10" s="1779" t="s">
        <v>4747</v>
      </c>
    </row>
    <row r="11" spans="2:23">
      <c r="B11" s="1876"/>
      <c r="C11" s="1737">
        <f>SUM($J$4:J11)</f>
        <v>0</v>
      </c>
      <c r="D11" s="1739" t="e">
        <f>VLOOKUP(B11,DG!A:C,3,0)</f>
        <v>#N/A</v>
      </c>
      <c r="E11" s="1741" t="e">
        <f>VLOOKUP(B11,DG!A:D,4,0)</f>
        <v>#N/A</v>
      </c>
      <c r="F11" s="1741">
        <f>SUMIF(ChiTietDuToan!C:C,'6PK'!B11,ChiTietDuToan!I:I)</f>
        <v>0</v>
      </c>
      <c r="G11" s="1741">
        <f>IFERROR(HLOOKUP(B11,'6PK'!$3:$11,'6PK'!$J$1,0),0)</f>
        <v>0</v>
      </c>
      <c r="H11" s="1741" t="str">
        <f>VLOOKUP($D$1,Solieu!B:C,2,0)</f>
        <v>002, 003</v>
      </c>
      <c r="I11" s="1735" t="s">
        <v>4373</v>
      </c>
      <c r="J11" s="1516" t="str">
        <f t="shared" si="0"/>
        <v/>
      </c>
      <c r="K11" s="1779" t="s">
        <v>4747</v>
      </c>
    </row>
    <row r="12" spans="2:23">
      <c r="B12" s="1876" t="s">
        <v>2372</v>
      </c>
      <c r="C12" s="1737">
        <f>SUM($J$4:J12)</f>
        <v>0</v>
      </c>
      <c r="D12" s="1739" t="str">
        <f>VLOOKUP(B12,DG!A:C,3,0)</f>
        <v>Bộ xà đơn L75x75x8 dài 1,66m:  X-1,66Đ</v>
      </c>
      <c r="E12" s="1741" t="str">
        <f>VLOOKUP(B12,DG!A:D,4,0)</f>
        <v>Bộ</v>
      </c>
      <c r="F12" s="1741">
        <f>SUMIF(ChiTietDuToan!C:C,'6PK'!B12,ChiTietDuToan!I:I)</f>
        <v>0</v>
      </c>
      <c r="G12" s="1741">
        <f>IFERROR(HLOOKUP(B12,'6PK'!$3:$11,'6PK'!$J$1,0),0)</f>
        <v>0</v>
      </c>
      <c r="H12" s="1741" t="str">
        <f>VLOOKUP($D$1,Solieu!B:C,2,0)</f>
        <v>002, 003</v>
      </c>
      <c r="I12" s="1735" t="s">
        <v>4373</v>
      </c>
      <c r="J12" s="1516" t="str">
        <f t="shared" si="0"/>
        <v/>
      </c>
      <c r="K12" s="1779" t="s">
        <v>4747</v>
      </c>
    </row>
    <row r="13" spans="2:23">
      <c r="B13" s="1875" t="s">
        <v>1324</v>
      </c>
      <c r="C13" s="1737">
        <f>SUM($J$4:J13)</f>
        <v>0</v>
      </c>
      <c r="D13" s="1739" t="str">
        <f>VLOOKUP(B13,DG!A:C,3,0)</f>
        <v>Bộ xà kép L75x75x8 dài 1,66m:  X-1,66K</v>
      </c>
      <c r="E13" s="1741" t="str">
        <f>VLOOKUP(B13,DG!A:D,4,0)</f>
        <v>Bộ</v>
      </c>
      <c r="F13" s="1741">
        <f>SUMIF(ChiTietDuToan!C:C,'6PK'!B13,ChiTietDuToan!I:I)</f>
        <v>0</v>
      </c>
      <c r="G13" s="1741">
        <f>IFERROR(HLOOKUP(B13,'6PK'!$3:$11,'6PK'!$J$1,0),0)</f>
        <v>0</v>
      </c>
      <c r="H13" s="1741" t="str">
        <f>VLOOKUP($D$1,Solieu!B:C,2,0)</f>
        <v>002, 003</v>
      </c>
      <c r="I13" s="1735" t="s">
        <v>4373</v>
      </c>
      <c r="J13" s="1516" t="str">
        <f t="shared" si="0"/>
        <v/>
      </c>
      <c r="K13" s="1779" t="s">
        <v>4747</v>
      </c>
    </row>
    <row r="14" spans="2:23" ht="33.6">
      <c r="B14" s="1875" t="s">
        <v>2358</v>
      </c>
      <c r="C14" s="1737">
        <f>SUM($J$4:J14)</f>
        <v>0</v>
      </c>
      <c r="D14" s="1739" t="str">
        <f>VLOOKUP(B14,DG!A:C,3,0)</f>
        <v>Bộ xà kép L75x75x8 dài 2.2m: X-22K-Đ - C810 (lắp trụ đơn)</v>
      </c>
      <c r="E14" s="1741" t="str">
        <f>VLOOKUP(B14,DG!A:D,4,0)</f>
        <v>Bộ</v>
      </c>
      <c r="F14" s="1741">
        <f>SUMIF(ChiTietDuToan!C:C,'6PK'!B14,ChiTietDuToan!I:I)</f>
        <v>0</v>
      </c>
      <c r="G14" s="1741">
        <f>IFERROR(HLOOKUP(B14,'6PK'!$3:$11,'6PK'!$J$1,0),0)</f>
        <v>3</v>
      </c>
      <c r="H14" s="1741" t="str">
        <f>VLOOKUP($D$1,Solieu!B:C,2,0)</f>
        <v>002, 003</v>
      </c>
      <c r="I14" s="1735" t="s">
        <v>4373</v>
      </c>
      <c r="J14" s="1516" t="str">
        <f t="shared" si="0"/>
        <v/>
      </c>
      <c r="K14" s="1779" t="s">
        <v>4747</v>
      </c>
    </row>
    <row r="15" spans="2:23">
      <c r="B15" s="1875" t="s">
        <v>2354</v>
      </c>
      <c r="C15" s="1737">
        <f>SUM($J$4:J15)</f>
        <v>0</v>
      </c>
      <c r="D15" s="1739" t="str">
        <f>VLOOKUP(B15,DG!A:C,3,0)</f>
        <v>Bộ xà đơn L75x75x8 dài 2m:  X-20Đ</v>
      </c>
      <c r="E15" s="1741" t="str">
        <f>VLOOKUP(B15,DG!A:D,4,0)</f>
        <v>Bộ</v>
      </c>
      <c r="F15" s="1741">
        <f>SUMIF(ChiTietDuToan!C:C,'6PK'!B15,ChiTietDuToan!I:I)</f>
        <v>0</v>
      </c>
      <c r="G15" s="1741">
        <f>IFERROR(HLOOKUP(B15,'6PK'!$3:$11,'6PK'!$J$1,0),0)</f>
        <v>0</v>
      </c>
      <c r="H15" s="1741" t="str">
        <f>VLOOKUP($D$1,Solieu!B:C,2,0)</f>
        <v>002, 003</v>
      </c>
      <c r="I15" s="1735" t="s">
        <v>4373</v>
      </c>
      <c r="J15" s="1516" t="str">
        <f t="shared" si="0"/>
        <v/>
      </c>
      <c r="K15" s="1779" t="s">
        <v>4747</v>
      </c>
    </row>
    <row r="16" spans="2:23">
      <c r="B16" s="1875" t="s">
        <v>926</v>
      </c>
      <c r="C16" s="1737">
        <f>SUM($J$4:J16)</f>
        <v>0</v>
      </c>
      <c r="D16" s="1739" t="str">
        <f>VLOOKUP(B16,DG!A:C,3,0)</f>
        <v xml:space="preserve">Bộ xà kép L75x75x8 dài 2m: X-20K </v>
      </c>
      <c r="E16" s="1741" t="str">
        <f>VLOOKUP(B16,DG!A:D,4,0)</f>
        <v>Bộ</v>
      </c>
      <c r="F16" s="1741">
        <f>SUMIF(ChiTietDuToan!C:C,'6PK'!B16,ChiTietDuToan!I:I)</f>
        <v>0</v>
      </c>
      <c r="G16" s="1741">
        <f>IFERROR(HLOOKUP(B16,'6PK'!$3:$11,'6PK'!$J$1,0),0)</f>
        <v>0</v>
      </c>
      <c r="H16" s="1741" t="str">
        <f>VLOOKUP($D$1,Solieu!B:C,2,0)</f>
        <v>002, 003</v>
      </c>
      <c r="I16" s="1735" t="s">
        <v>4373</v>
      </c>
      <c r="J16" s="1516" t="str">
        <f t="shared" si="0"/>
        <v/>
      </c>
      <c r="K16" s="1779" t="s">
        <v>4747</v>
      </c>
    </row>
    <row r="17" spans="2:11" ht="33.6">
      <c r="B17" s="1875" t="s">
        <v>2357</v>
      </c>
      <c r="C17" s="1737">
        <f>SUM($J$4:J17)</f>
        <v>0</v>
      </c>
      <c r="D17" s="1739" t="str">
        <f>VLOOKUP(B17,DG!A:C,3,0)</f>
        <v>Bộ xà đơn L75x75x8 dài 2.2m: X-22Đ - C810</v>
      </c>
      <c r="E17" s="1741" t="str">
        <f>VLOOKUP(B17,DG!A:D,4,0)</f>
        <v>Bộ</v>
      </c>
      <c r="F17" s="1741">
        <f>SUMIF(ChiTietDuToan!C:C,'6PK'!B17,ChiTietDuToan!I:I)</f>
        <v>0</v>
      </c>
      <c r="G17" s="1741">
        <f>IFERROR(HLOOKUP(B17,'6PK'!$3:$11,'6PK'!$J$1,0),0)</f>
        <v>0</v>
      </c>
      <c r="H17" s="1741" t="str">
        <f>VLOOKUP($D$1,Solieu!B:C,2,0)</f>
        <v>002, 003</v>
      </c>
      <c r="I17" s="1735" t="s">
        <v>4373</v>
      </c>
      <c r="J17" s="1516" t="str">
        <f t="shared" si="0"/>
        <v/>
      </c>
      <c r="K17" s="1779" t="s">
        <v>4747</v>
      </c>
    </row>
    <row r="18" spans="2:11" ht="33.6">
      <c r="B18" s="1875" t="s">
        <v>2373</v>
      </c>
      <c r="C18" s="1737">
        <f>SUM($J$4:J18)</f>
        <v>0</v>
      </c>
      <c r="D18" s="1739" t="str">
        <f>VLOOKUP(B18,DG!A:C,3,0)</f>
        <v>Bộ xà đơn L75x75x8 dài 2.2m: X-22Đ - C920</v>
      </c>
      <c r="E18" s="1741" t="str">
        <f>VLOOKUP(B18,DG!A:D,4,0)</f>
        <v>Bộ</v>
      </c>
      <c r="F18" s="1741">
        <f>SUMIF(ChiTietDuToan!C:C,'6PK'!B18,ChiTietDuToan!I:I)</f>
        <v>0</v>
      </c>
      <c r="G18" s="1741">
        <f>IFERROR(HLOOKUP(B18,'6PK'!$3:$11,'6PK'!$J$1,0),0)</f>
        <v>0</v>
      </c>
      <c r="H18" s="1741" t="str">
        <f>VLOOKUP($D$1,Solieu!B:C,2,0)</f>
        <v>002, 003</v>
      </c>
      <c r="I18" s="1735" t="s">
        <v>4373</v>
      </c>
      <c r="J18" s="1516" t="str">
        <f t="shared" si="0"/>
        <v/>
      </c>
    </row>
    <row r="19" spans="2:11" ht="33.6">
      <c r="B19" s="1875" t="s">
        <v>1112</v>
      </c>
      <c r="C19" s="1737">
        <f>SUM($J$4:J19)</f>
        <v>0</v>
      </c>
      <c r="D19" s="1739" t="str">
        <f>VLOOKUP(B19,DG!A:C,3,0)</f>
        <v xml:space="preserve">Tháo và lắp bộ xà kép L75x75x8 dài 2.1m: X-21K </v>
      </c>
      <c r="E19" s="1741" t="str">
        <f>VLOOKUP(B19,DG!A:D,4,0)</f>
        <v>Bộ</v>
      </c>
      <c r="F19" s="1741">
        <f>SUMIF(ChiTietDuToan!C:C,'6PK'!B19,ChiTietDuToan!I:I)</f>
        <v>0</v>
      </c>
      <c r="G19" s="1741">
        <f>IFERROR(HLOOKUP(B19,'6PK'!$3:$11,'6PK'!$J$1,0),0)</f>
        <v>0</v>
      </c>
      <c r="H19" s="1741" t="str">
        <f>VLOOKUP($D$1,Solieu!B:C,2,0)</f>
        <v>002, 003</v>
      </c>
      <c r="I19" s="1735" t="s">
        <v>4373</v>
      </c>
      <c r="J19" s="1516" t="str">
        <f t="shared" si="0"/>
        <v/>
      </c>
    </row>
    <row r="20" spans="2:11" ht="33.6">
      <c r="B20" s="1875" t="s">
        <v>536</v>
      </c>
      <c r="C20" s="1737">
        <f>SUM($J$4:J20)</f>
        <v>0</v>
      </c>
      <c r="D20" s="1739" t="str">
        <f>VLOOKUP(B20,DG!A:C,3,0)</f>
        <v>Bộ xà kép L75x75x8 dài 2.2m: X-22K-K - C810 (lắp theo hướng trụ ghép)</v>
      </c>
      <c r="E20" s="1741" t="str">
        <f>VLOOKUP(B20,DG!A:D,4,0)</f>
        <v>Bộ</v>
      </c>
      <c r="F20" s="1741">
        <f>SUMIF(ChiTietDuToan!C:C,'6PK'!B20,ChiTietDuToan!I:I)</f>
        <v>0</v>
      </c>
      <c r="G20" s="1741">
        <f>IFERROR(HLOOKUP(B20,'6PK'!$3:$11,'6PK'!$J$1,0),0)</f>
        <v>7</v>
      </c>
      <c r="H20" s="1741" t="str">
        <f>VLOOKUP($D$1,Solieu!B:C,2,0)</f>
        <v>002, 003</v>
      </c>
      <c r="I20" s="1735" t="s">
        <v>4373</v>
      </c>
      <c r="J20" s="1516" t="str">
        <f t="shared" si="0"/>
        <v/>
      </c>
    </row>
    <row r="21" spans="2:11" ht="33.6">
      <c r="B21" s="1875" t="s">
        <v>1142</v>
      </c>
      <c r="C21" s="1737">
        <f>SUM($J$4:J21)</f>
        <v>0</v>
      </c>
      <c r="D21" s="1739" t="str">
        <f>VLOOKUP(B21,DG!A:C,3,0)</f>
        <v>Bộ xà kép L75x75x8 dài 2.2m: X-22K - C920</v>
      </c>
      <c r="E21" s="1741" t="str">
        <f>VLOOKUP(B21,DG!A:D,4,0)</f>
        <v>Bộ</v>
      </c>
      <c r="F21" s="1741">
        <f>SUMIF(ChiTietDuToan!C:C,'6PK'!B21,ChiTietDuToan!I:I)</f>
        <v>0</v>
      </c>
      <c r="G21" s="1741">
        <f>IFERROR(HLOOKUP(B21,'6PK'!$3:$11,'6PK'!$J$1,0),0)</f>
        <v>0</v>
      </c>
      <c r="H21" s="1741" t="str">
        <f>VLOOKUP($D$1,Solieu!B:C,2,0)</f>
        <v>002, 003</v>
      </c>
      <c r="I21" s="1735" t="s">
        <v>4373</v>
      </c>
      <c r="J21" s="1516" t="str">
        <f t="shared" si="0"/>
        <v/>
      </c>
    </row>
    <row r="22" spans="2:11">
      <c r="B22" s="1875" t="s">
        <v>2359</v>
      </c>
      <c r="C22" s="1737">
        <f>SUM($J$4:J22)</f>
        <v>0</v>
      </c>
      <c r="D22" s="1739" t="str">
        <f>VLOOKUP(B22,DG!A:C,3,0)</f>
        <v xml:space="preserve">Bộ xà đơn L75x75x8 dài 2.4m: X-24Đ </v>
      </c>
      <c r="E22" s="1741" t="str">
        <f>VLOOKUP(B22,DG!A:D,4,0)</f>
        <v>Bộ</v>
      </c>
      <c r="F22" s="1741">
        <f>SUMIF(ChiTietDuToan!C:C,'6PK'!B22,ChiTietDuToan!I:I)</f>
        <v>0</v>
      </c>
      <c r="G22" s="1741">
        <f>IFERROR(HLOOKUP(B22,'6PK'!$3:$11,'6PK'!$J$1,0),0)</f>
        <v>0</v>
      </c>
      <c r="H22" s="1741" t="str">
        <f>VLOOKUP($D$1,Solieu!B:C,2,0)</f>
        <v>002, 003</v>
      </c>
      <c r="I22" s="1735" t="s">
        <v>4373</v>
      </c>
      <c r="J22" s="1516" t="str">
        <f t="shared" si="0"/>
        <v/>
      </c>
    </row>
    <row r="23" spans="2:11">
      <c r="B23" s="1875" t="s">
        <v>927</v>
      </c>
      <c r="C23" s="1737">
        <f>SUM($J$4:J23)</f>
        <v>0</v>
      </c>
      <c r="D23" s="1739" t="str">
        <f>VLOOKUP(B23,DG!A:C,3,0)</f>
        <v xml:space="preserve">Bộ xà kép L75x75x8 dài 2.4m: X-24K </v>
      </c>
      <c r="E23" s="1741" t="str">
        <f>VLOOKUP(B23,DG!A:D,4,0)</f>
        <v>Bộ</v>
      </c>
      <c r="F23" s="1741">
        <f>SUMIF(ChiTietDuToan!C:C,'6PK'!B23,ChiTietDuToan!I:I)</f>
        <v>0</v>
      </c>
      <c r="G23" s="1741">
        <f>IFERROR(HLOOKUP(B23,'6PK'!$3:$11,'6PK'!$J$1,0),0)</f>
        <v>0</v>
      </c>
      <c r="H23" s="1741" t="str">
        <f>VLOOKUP($D$1,Solieu!B:C,2,0)</f>
        <v>002, 003</v>
      </c>
      <c r="I23" s="1735" t="s">
        <v>4373</v>
      </c>
      <c r="J23" s="1516" t="str">
        <f t="shared" si="0"/>
        <v/>
      </c>
    </row>
    <row r="24" spans="2:11" ht="33.6">
      <c r="B24" s="1875" t="s">
        <v>721</v>
      </c>
      <c r="C24" s="1737">
        <f>SUM($J$4:J24)</f>
        <v>0</v>
      </c>
      <c r="D24" s="1739" t="str">
        <f>VLOOKUP(B24,DG!A:C,3,0)</f>
        <v xml:space="preserve">Tháo và lắp bộ xà kép L75x75x8 dài 2.6m: X-26K_trụ PI </v>
      </c>
      <c r="E24" s="1741" t="str">
        <f>VLOOKUP(B24,DG!A:D,4,0)</f>
        <v>Bộ</v>
      </c>
      <c r="F24" s="1741">
        <f>SUMIF(ChiTietDuToan!C:C,'6PK'!B24,ChiTietDuToan!I:I)</f>
        <v>0</v>
      </c>
      <c r="G24" s="1741">
        <f>IFERROR(HLOOKUP(B24,'6PK'!$3:$11,'6PK'!$J$1,0),0)</f>
        <v>0</v>
      </c>
      <c r="H24" s="1741" t="str">
        <f>VLOOKUP($D$1,Solieu!B:C,2,0)</f>
        <v>002, 003</v>
      </c>
      <c r="I24" s="1735" t="s">
        <v>4373</v>
      </c>
      <c r="J24" s="1516" t="str">
        <f t="shared" si="0"/>
        <v/>
      </c>
    </row>
    <row r="25" spans="2:11">
      <c r="B25" s="1875" t="s">
        <v>2360</v>
      </c>
      <c r="C25" s="1737">
        <f>SUM($J$4:J25)</f>
        <v>0</v>
      </c>
      <c r="D25" s="1739" t="str">
        <f>VLOOKUP(B25,DG!A:C,3,0)</f>
        <v>Bộ xà lệch đơn L75x75x8 dài 0,8m: X-8ĐL</v>
      </c>
      <c r="E25" s="1741" t="str">
        <f>VLOOKUP(B25,DG!A:D,4,0)</f>
        <v>Bộ</v>
      </c>
      <c r="F25" s="1741">
        <f>SUMIF(ChiTietDuToan!C:C,'6PK'!B25,ChiTietDuToan!I:I)</f>
        <v>0</v>
      </c>
      <c r="G25" s="1741">
        <f>IFERROR(HLOOKUP(B25,'6PK'!$3:$11,'6PK'!$J$1,0),0)</f>
        <v>0</v>
      </c>
      <c r="H25" s="1741" t="str">
        <f>VLOOKUP($D$1,Solieu!B:C,2,0)</f>
        <v>002, 003</v>
      </c>
      <c r="I25" s="1735" t="s">
        <v>4373</v>
      </c>
      <c r="J25" s="1516" t="str">
        <f t="shared" si="0"/>
        <v/>
      </c>
    </row>
    <row r="26" spans="2:11">
      <c r="B26" s="1875" t="s">
        <v>345</v>
      </c>
      <c r="C26" s="1737">
        <f>SUM($J$4:J26)</f>
        <v>0</v>
      </c>
      <c r="D26" s="1739" t="str">
        <f>VLOOKUP(B26,DG!A:C,3,0)</f>
        <v>Bộ xà lệch kép L75x75x8 dài 0,8m: X-8KL</v>
      </c>
      <c r="E26" s="1741" t="str">
        <f>VLOOKUP(B26,DG!A:D,4,0)</f>
        <v>Bộ</v>
      </c>
      <c r="F26" s="1741">
        <f>SUMIF(ChiTietDuToan!C:C,'6PK'!B26,ChiTietDuToan!I:I)</f>
        <v>0</v>
      </c>
      <c r="G26" s="1741">
        <f>IFERROR(HLOOKUP(B26,'6PK'!$3:$11,'6PK'!$J$1,0),0)</f>
        <v>0</v>
      </c>
      <c r="H26" s="1741" t="str">
        <f>VLOOKUP($D$1,Solieu!B:C,2,0)</f>
        <v>002, 003</v>
      </c>
      <c r="I26" s="1735" t="s">
        <v>4373</v>
      </c>
      <c r="J26" s="1516" t="str">
        <f t="shared" si="0"/>
        <v/>
      </c>
    </row>
    <row r="27" spans="2:11" ht="33.6">
      <c r="B27" s="1875" t="s">
        <v>2355</v>
      </c>
      <c r="C27" s="1737">
        <f>SUM($J$4:J27)</f>
        <v>0</v>
      </c>
      <c r="D27" s="1739" t="str">
        <f>VLOOKUP(B27,DG!A:C,3,0)</f>
        <v>Bộ xà lệch đơn L75x75x8 dài 2,1m: X-21ĐL</v>
      </c>
      <c r="E27" s="1741" t="str">
        <f>VLOOKUP(B27,DG!A:D,4,0)</f>
        <v>Bộ</v>
      </c>
      <c r="F27" s="1741">
        <f>SUMIF(ChiTietDuToan!C:C,'6PK'!B27,ChiTietDuToan!I:I)</f>
        <v>0</v>
      </c>
      <c r="G27" s="1741">
        <f>IFERROR(HLOOKUP(B27,'6PK'!$3:$11,'6PK'!$J$1,0),0)</f>
        <v>0</v>
      </c>
      <c r="H27" s="1741" t="str">
        <f>VLOOKUP($D$1,Solieu!B:C,2,0)</f>
        <v>002, 003</v>
      </c>
      <c r="I27" s="1735" t="s">
        <v>4373</v>
      </c>
      <c r="J27" s="1516" t="str">
        <f t="shared" si="0"/>
        <v/>
      </c>
    </row>
    <row r="28" spans="2:11" ht="33.6">
      <c r="B28" s="1875" t="s">
        <v>910</v>
      </c>
      <c r="C28" s="1737">
        <f>SUM($J$4:J28)</f>
        <v>0</v>
      </c>
      <c r="D28" s="1739" t="str">
        <f>VLOOKUP(B28,DG!A:C,3,0)</f>
        <v>Bộ xà lệch kép L75x75x8 dài 2,1m: X-21KL</v>
      </c>
      <c r="E28" s="1741" t="str">
        <f>VLOOKUP(B28,DG!A:D,4,0)</f>
        <v>Bộ</v>
      </c>
      <c r="F28" s="1741">
        <f>SUMIF(ChiTietDuToan!C:C,'6PK'!B28,ChiTietDuToan!I:I)</f>
        <v>0</v>
      </c>
      <c r="G28" s="1741">
        <f>IFERROR(HLOOKUP(B28,'6PK'!$3:$11,'6PK'!$J$1,0),0)</f>
        <v>0</v>
      </c>
      <c r="H28" s="1741" t="str">
        <f>VLOOKUP($D$1,Solieu!B:C,2,0)</f>
        <v>002, 003</v>
      </c>
      <c r="I28" s="1735" t="s">
        <v>4373</v>
      </c>
      <c r="J28" s="1516" t="str">
        <f t="shared" si="0"/>
        <v/>
      </c>
    </row>
    <row r="29" spans="2:11" ht="33.6">
      <c r="B29" s="1875" t="s">
        <v>2356</v>
      </c>
      <c r="C29" s="1737">
        <f>SUM($J$4:J29)</f>
        <v>1</v>
      </c>
      <c r="D29" s="1739" t="str">
        <f>VLOOKUP(B29,DG!A:C,3,0)</f>
        <v>Bộ xà lệch đơn L75x75x8 dài 2m: X-20ĐL2/3</v>
      </c>
      <c r="E29" s="1741" t="str">
        <f>VLOOKUP(B29,DG!A:D,4,0)</f>
        <v>Bộ</v>
      </c>
      <c r="F29" s="1741">
        <f>SUMIF(ChiTietDuToan!C:C,'6PK'!B29,ChiTietDuToan!I:I)</f>
        <v>151</v>
      </c>
      <c r="G29" s="1741">
        <f>IFERROR(HLOOKUP(B29,'6PK'!$3:$11,'6PK'!$J$1,0),0)</f>
        <v>85</v>
      </c>
      <c r="H29" s="1741" t="str">
        <f>VLOOKUP($D$1,Solieu!B:C,2,0)</f>
        <v>002, 003</v>
      </c>
      <c r="I29" s="1735" t="s">
        <v>4373</v>
      </c>
      <c r="J29" s="1516">
        <f t="shared" si="0"/>
        <v>1</v>
      </c>
    </row>
    <row r="30" spans="2:11" ht="33.6">
      <c r="B30" s="1875" t="s">
        <v>2181</v>
      </c>
      <c r="C30" s="1737">
        <f>SUM($J$4:J30)</f>
        <v>2</v>
      </c>
      <c r="D30" s="1739" t="str">
        <f>VLOOKUP(B30,DG!A:C,3,0)</f>
        <v>Bộ xà lệch kép L75x75x8 dài 2m: X-20KL2/3</v>
      </c>
      <c r="E30" s="1741" t="str">
        <f>VLOOKUP(B30,DG!A:D,4,0)</f>
        <v>Bộ</v>
      </c>
      <c r="F30" s="1741">
        <f>SUMIF(ChiTietDuToan!C:C,'6PK'!B30,ChiTietDuToan!I:I)</f>
        <v>8</v>
      </c>
      <c r="G30" s="1741">
        <f>IFERROR(HLOOKUP(B30,'6PK'!$3:$11,'6PK'!$J$1,0),0)</f>
        <v>4</v>
      </c>
      <c r="H30" s="1741" t="str">
        <f>VLOOKUP($D$1,Solieu!B:C,2,0)</f>
        <v>002, 003</v>
      </c>
      <c r="I30" s="1735" t="s">
        <v>4373</v>
      </c>
      <c r="J30" s="1516">
        <f t="shared" si="0"/>
        <v>1</v>
      </c>
    </row>
    <row r="31" spans="2:11">
      <c r="B31" s="1875" t="s">
        <v>2361</v>
      </c>
      <c r="C31" s="1737">
        <f>SUM($J$4:J31)</f>
        <v>2</v>
      </c>
      <c r="D31" s="1739" t="str">
        <f>VLOOKUP(B31,DG!A:C,3,0)</f>
        <v>Bộ xà đơn 2400 trụ Pi tim 1400: X-24ĐP</v>
      </c>
      <c r="E31" s="1741" t="str">
        <f>VLOOKUP(B31,DG!A:D,4,0)</f>
        <v>Bộ</v>
      </c>
      <c r="F31" s="1741">
        <f>SUMIF(ChiTietDuToan!C:C,'6PK'!B31,ChiTietDuToan!I:I)</f>
        <v>0</v>
      </c>
      <c r="G31" s="1741">
        <f>IFERROR(HLOOKUP(B31,'6PK'!$3:$11,'6PK'!$J$1,0),0)</f>
        <v>0</v>
      </c>
      <c r="H31" s="1741" t="str">
        <f>VLOOKUP($D$1,Solieu!B:C,2,0)</f>
        <v>002, 003</v>
      </c>
      <c r="I31" s="1735" t="s">
        <v>4373</v>
      </c>
      <c r="J31" s="1516" t="str">
        <f t="shared" si="0"/>
        <v/>
      </c>
    </row>
    <row r="32" spans="2:11">
      <c r="B32" s="1875" t="s">
        <v>214</v>
      </c>
      <c r="C32" s="1737">
        <f>SUM($J$4:J32)</f>
        <v>2</v>
      </c>
      <c r="D32" s="1739" t="str">
        <f>VLOOKUP(B32,DG!A:C,3,0)</f>
        <v>Bộ xà kép 2400 trụ Pi tim 1400: X-24KP</v>
      </c>
      <c r="E32" s="1741" t="str">
        <f>VLOOKUP(B32,DG!A:D,4,0)</f>
        <v>Bộ</v>
      </c>
      <c r="F32" s="1741">
        <f>SUMIF(ChiTietDuToan!C:C,'6PK'!B32,ChiTietDuToan!I:I)</f>
        <v>0</v>
      </c>
      <c r="G32" s="1741">
        <f>IFERROR(HLOOKUP(B32,'6PK'!$3:$11,'6PK'!$J$1,0),0)</f>
        <v>0</v>
      </c>
      <c r="H32" s="1741" t="str">
        <f>VLOOKUP($D$1,Solieu!B:C,2,0)</f>
        <v>002, 003</v>
      </c>
      <c r="I32" s="1735" t="s">
        <v>4373</v>
      </c>
      <c r="J32" s="1516" t="str">
        <f t="shared" si="0"/>
        <v/>
      </c>
    </row>
    <row r="33" spans="2:10">
      <c r="B33" s="1875" t="s">
        <v>2374</v>
      </c>
      <c r="C33" s="1737">
        <f>SUM($J$4:J33)</f>
        <v>2</v>
      </c>
      <c r="D33" s="1739" t="str">
        <f>VLOOKUP(B33,DG!A:C,3,0)</f>
        <v>Bộ xà đơn 2600 trụ Pi tim 2400: X-26ĐP</v>
      </c>
      <c r="E33" s="1741" t="str">
        <f>VLOOKUP(B33,DG!A:D,4,0)</f>
        <v>Bộ</v>
      </c>
      <c r="F33" s="1741">
        <f>SUMIF(ChiTietDuToan!C:C,'6PK'!B33,ChiTietDuToan!I:I)</f>
        <v>0</v>
      </c>
      <c r="G33" s="1741">
        <f>IFERROR(HLOOKUP(B33,'6PK'!$3:$11,'6PK'!$J$1,0),0)</f>
        <v>0</v>
      </c>
      <c r="H33" s="1741" t="str">
        <f>VLOOKUP($D$1,Solieu!B:C,2,0)</f>
        <v>002, 003</v>
      </c>
      <c r="I33" s="1735" t="s">
        <v>4373</v>
      </c>
      <c r="J33" s="1516" t="str">
        <f t="shared" si="0"/>
        <v/>
      </c>
    </row>
    <row r="34" spans="2:10">
      <c r="B34" s="1875" t="s">
        <v>1553</v>
      </c>
      <c r="C34" s="1737">
        <f>SUM($J$4:J34)</f>
        <v>2</v>
      </c>
      <c r="D34" s="1739" t="str">
        <f>VLOOKUP(B34,DG!A:C,3,0)</f>
        <v>Bộ xà kép 2600 trụ Pi tim 2400: X-26KP</v>
      </c>
      <c r="E34" s="1741" t="str">
        <f>VLOOKUP(B34,DG!A:D,4,0)</f>
        <v>Bộ</v>
      </c>
      <c r="F34" s="1741">
        <f>SUMIF(ChiTietDuToan!C:C,'6PK'!B34,ChiTietDuToan!I:I)</f>
        <v>0</v>
      </c>
      <c r="G34" s="1741">
        <f>IFERROR(HLOOKUP(B34,'6PK'!$3:$11,'6PK'!$J$1,0),0)</f>
        <v>0</v>
      </c>
      <c r="H34" s="1741" t="str">
        <f>VLOOKUP($D$1,Solieu!B:C,2,0)</f>
        <v>002, 003</v>
      </c>
      <c r="I34" s="1735" t="s">
        <v>4373</v>
      </c>
      <c r="J34" s="1516" t="str">
        <f t="shared" si="0"/>
        <v/>
      </c>
    </row>
    <row r="35" spans="2:10">
      <c r="B35" s="1875" t="s">
        <v>1626</v>
      </c>
      <c r="C35" s="1737">
        <f>SUM($J$4:J35)</f>
        <v>2</v>
      </c>
      <c r="D35" s="1739" t="str">
        <f>VLOOKUP(B35,DG!A:C,3,0)</f>
        <v>Bộ xà kép 2800 trụ Pi tim 1400: X-28KP</v>
      </c>
      <c r="E35" s="1741" t="str">
        <f>VLOOKUP(B35,DG!A:D,4,0)</f>
        <v>Bộ</v>
      </c>
      <c r="F35" s="1741">
        <f>SUMIF(ChiTietDuToan!C:C,'6PK'!B35,ChiTietDuToan!I:I)</f>
        <v>0</v>
      </c>
      <c r="G35" s="1741">
        <f>IFERROR(HLOOKUP(B35,'6PK'!$3:$11,'6PK'!$J$1,0),0)</f>
        <v>0</v>
      </c>
      <c r="H35" s="1741" t="str">
        <f>VLOOKUP($D$1,Solieu!B:C,2,0)</f>
        <v>002, 003</v>
      </c>
      <c r="I35" s="1735" t="s">
        <v>4373</v>
      </c>
      <c r="J35" s="1516" t="str">
        <f t="shared" si="0"/>
        <v/>
      </c>
    </row>
    <row r="36" spans="2:10">
      <c r="B36" s="1875" t="s">
        <v>105</v>
      </c>
      <c r="C36" s="1737">
        <f>SUM($J$4:J36)</f>
        <v>2</v>
      </c>
      <c r="D36" s="1739" t="str">
        <f>VLOOKUP(B36,DG!A:C,3,0)</f>
        <v>Bộ xà kép 3000 trụ Pi tim 1400: X-30KP</v>
      </c>
      <c r="E36" s="1741" t="str">
        <f>VLOOKUP(B36,DG!A:D,4,0)</f>
        <v>Bộ</v>
      </c>
      <c r="F36" s="1741">
        <f>SUMIF(ChiTietDuToan!C:C,'6PK'!B36,ChiTietDuToan!I:I)</f>
        <v>0</v>
      </c>
      <c r="G36" s="1741">
        <f>IFERROR(HLOOKUP(B36,'6PK'!$3:$11,'6PK'!$J$1,0),0)</f>
        <v>0</v>
      </c>
      <c r="H36" s="1741" t="str">
        <f>VLOOKUP($D$1,Solieu!B:C,2,0)</f>
        <v>002, 003</v>
      </c>
      <c r="I36" s="1735" t="s">
        <v>4373</v>
      </c>
      <c r="J36" s="1516" t="str">
        <f t="shared" si="0"/>
        <v/>
      </c>
    </row>
    <row r="37" spans="2:10">
      <c r="B37" s="1875" t="s">
        <v>2362</v>
      </c>
      <c r="C37" s="1737">
        <f>SUM($J$4:J37)</f>
        <v>2</v>
      </c>
      <c r="D37" s="1739" t="str">
        <f>VLOOKUP(B37,DG!A:C,3,0)</f>
        <v>Bộ xà đỡ đơn L75x75x8 dài 3,8m: X-38Đ</v>
      </c>
      <c r="E37" s="1741" t="str">
        <f>VLOOKUP(B37,DG!A:D,4,0)</f>
        <v>Bộ</v>
      </c>
      <c r="F37" s="1741">
        <f>SUMIF(ChiTietDuToan!C:C,'6PK'!B37,ChiTietDuToan!I:I)</f>
        <v>0</v>
      </c>
      <c r="G37" s="1741">
        <f>IFERROR(HLOOKUP(B37,'6PK'!$3:$11,'6PK'!$J$1,0),0)</f>
        <v>0</v>
      </c>
      <c r="H37" s="1741" t="str">
        <f>VLOOKUP($D$1,Solieu!B:C,2,0)</f>
        <v>002, 003</v>
      </c>
      <c r="I37" s="1735" t="s">
        <v>4373</v>
      </c>
      <c r="J37" s="1516" t="str">
        <f t="shared" si="0"/>
        <v/>
      </c>
    </row>
    <row r="38" spans="2:10">
      <c r="B38" s="1875" t="s">
        <v>815</v>
      </c>
      <c r="C38" s="1737">
        <f>SUM($J$4:J38)</f>
        <v>2</v>
      </c>
      <c r="D38" s="1739" t="str">
        <f>VLOOKUP(B38,DG!A:C,3,0)</f>
        <v>Bộ xà kép 4200 trụ Pi tim 1700: X-42KP</v>
      </c>
      <c r="E38" s="1741" t="str">
        <f>VLOOKUP(B38,DG!A:D,4,0)</f>
        <v>Bộ</v>
      </c>
      <c r="F38" s="1741">
        <f>SUMIF(ChiTietDuToan!C:C,'6PK'!B38,ChiTietDuToan!I:I)</f>
        <v>0</v>
      </c>
      <c r="G38" s="1741">
        <f>IFERROR(HLOOKUP(B38,'6PK'!$3:$11,'6PK'!$J$1,0),0)</f>
        <v>0</v>
      </c>
      <c r="H38" s="1741" t="str">
        <f>VLOOKUP($D$1,Solieu!B:C,2,0)</f>
        <v>002, 003</v>
      </c>
      <c r="I38" s="1735" t="s">
        <v>4373</v>
      </c>
      <c r="J38" s="1516" t="str">
        <f t="shared" si="0"/>
        <v/>
      </c>
    </row>
    <row r="39" spans="2:10">
      <c r="B39" s="1875" t="s">
        <v>1921</v>
      </c>
      <c r="C39" s="1737">
        <f>SUM($J$4:J39)</f>
        <v>2</v>
      </c>
      <c r="D39" s="1739" t="str">
        <f>VLOOKUP(B39,DG!A:C,3,0)</f>
        <v>Bộ xà kép 2400 trụ Pi tim 500: X-24KP500</v>
      </c>
      <c r="E39" s="1741" t="str">
        <f>VLOOKUP(B39,DG!A:D,4,0)</f>
        <v>Bộ</v>
      </c>
      <c r="F39" s="1741">
        <f>SUMIF(ChiTietDuToan!C:C,'6PK'!B39,ChiTietDuToan!I:I)</f>
        <v>0</v>
      </c>
      <c r="G39" s="1741">
        <f>IFERROR(HLOOKUP(B39,'6PK'!$3:$11,'6PK'!$J$1,0),0)</f>
        <v>0</v>
      </c>
      <c r="H39" s="1741" t="str">
        <f>VLOOKUP($D$1,Solieu!B:C,2,0)</f>
        <v>002, 003</v>
      </c>
      <c r="I39" s="1735" t="s">
        <v>4373</v>
      </c>
      <c r="J39" s="1516" t="str">
        <f t="shared" si="0"/>
        <v/>
      </c>
    </row>
    <row r="40" spans="2:10" ht="21" customHeight="1">
      <c r="B40" s="1875" t="s">
        <v>814</v>
      </c>
      <c r="C40" s="1737">
        <f>SUM($J$4:J40)</f>
        <v>2</v>
      </c>
      <c r="D40" s="1739" t="str">
        <f>VLOOKUP(B40,DG!A:C,3,0)</f>
        <v>Bộ thanh giằng trụ Pi tim 1400: G-20KP</v>
      </c>
      <c r="E40" s="1741" t="str">
        <f>VLOOKUP(B40,DG!A:D,4,0)</f>
        <v>Bộ</v>
      </c>
      <c r="F40" s="1741">
        <f>SUMIF(ChiTietDuToan!C:C,'6PK'!B40,ChiTietDuToan!I:I)</f>
        <v>0</v>
      </c>
      <c r="G40" s="1741">
        <f>IFERROR(HLOOKUP(B40,'6PK'!$3:$11,'6PK'!$J$1,0),0)</f>
        <v>0</v>
      </c>
      <c r="H40" s="1741" t="str">
        <f>VLOOKUP($D$1,Solieu!B:C,2,0)</f>
        <v>002, 003</v>
      </c>
      <c r="I40" s="1735" t="s">
        <v>4373</v>
      </c>
      <c r="J40" s="1516" t="str">
        <f t="shared" si="0"/>
        <v/>
      </c>
    </row>
    <row r="41" spans="2:10">
      <c r="B41" s="1875" t="s">
        <v>813</v>
      </c>
      <c r="C41" s="1737">
        <f>SUM($J$4:J41)</f>
        <v>2</v>
      </c>
      <c r="D41" s="1739" t="str">
        <f>VLOOKUP(B41,DG!A:C,3,0)</f>
        <v>Bộ thanh giằng trụ Pi tim 1700: G-23KP</v>
      </c>
      <c r="E41" s="1741" t="str">
        <f>VLOOKUP(B41,DG!A:D,4,0)</f>
        <v>Bộ</v>
      </c>
      <c r="F41" s="1741">
        <f>SUMIF(ChiTietDuToan!C:C,'6PK'!B41,ChiTietDuToan!I:I)</f>
        <v>0</v>
      </c>
      <c r="G41" s="1741">
        <f>IFERROR(HLOOKUP(B41,'6PK'!$3:$11,'6PK'!$J$1,0),0)</f>
        <v>0</v>
      </c>
      <c r="H41" s="1741" t="str">
        <f>VLOOKUP($D$1,Solieu!B:C,2,0)</f>
        <v>002, 003</v>
      </c>
      <c r="I41" s="1735" t="s">
        <v>4373</v>
      </c>
      <c r="J41" s="1516" t="str">
        <f t="shared" si="0"/>
        <v/>
      </c>
    </row>
    <row r="42" spans="2:10">
      <c r="B42" s="1875" t="s">
        <v>1618</v>
      </c>
      <c r="C42" s="1737">
        <f>SUM($J$4:J42)</f>
        <v>2</v>
      </c>
      <c r="D42" s="1739" t="str">
        <f>VLOOKUP(B42,DG!A:C,3,0)</f>
        <v>Bộ thanh giằng trụ Pi tim 500: G-720</v>
      </c>
      <c r="E42" s="1741" t="str">
        <f>VLOOKUP(B42,DG!A:D,4,0)</f>
        <v>Bộ</v>
      </c>
      <c r="F42" s="1741">
        <f>SUMIF(ChiTietDuToan!C:C,'6PK'!B42,ChiTietDuToan!I:I)</f>
        <v>0</v>
      </c>
      <c r="G42" s="1741">
        <f>IFERROR(HLOOKUP(B42,'6PK'!$3:$11,'6PK'!$J$1,0),0)</f>
        <v>0</v>
      </c>
      <c r="H42" s="1741" t="str">
        <f>VLOOKUP($D$1,Solieu!B:C,2,0)</f>
        <v>002, 003</v>
      </c>
      <c r="I42" s="1735" t="s">
        <v>4373</v>
      </c>
      <c r="J42" s="1516" t="str">
        <f t="shared" si="0"/>
        <v/>
      </c>
    </row>
    <row r="43" spans="2:10">
      <c r="B43" s="1875" t="s">
        <v>2563</v>
      </c>
      <c r="C43" s="1737">
        <f>SUM($J$4:J43)</f>
        <v>3</v>
      </c>
      <c r="D43" s="1739" t="str">
        <f>VLOOKUP(B43,DG!A:C,3,0)</f>
        <v>Bộ Uclevis đỡ dây trung hòa: Đth-U</v>
      </c>
      <c r="E43" s="1741" t="str">
        <f>VLOOKUP(B43,DG!A:D,4,0)</f>
        <v>bộ</v>
      </c>
      <c r="F43" s="1741">
        <f>SUMIF(ChiTietDuToan!C:C,'6PK'!B43,ChiTietDuToan!I:I)</f>
        <v>163</v>
      </c>
      <c r="G43" s="1741">
        <f>IFERROR(HLOOKUP(B43,'6PK'!$3:$11,'6PK'!$J$1,0),0)</f>
        <v>0</v>
      </c>
      <c r="H43" s="1741" t="str">
        <f>VLOOKUP($D$1,Solieu!B:C,2,0)</f>
        <v>002, 003</v>
      </c>
      <c r="I43" s="1735" t="s">
        <v>4373</v>
      </c>
      <c r="J43" s="1516">
        <f t="shared" si="0"/>
        <v>1</v>
      </c>
    </row>
    <row r="44" spans="2:10" ht="33.6">
      <c r="B44" s="1875" t="s">
        <v>1673</v>
      </c>
      <c r="C44" s="1737">
        <f>SUM($J$4:J44)</f>
        <v>3</v>
      </c>
      <c r="D44" s="1739" t="str">
        <f>VLOOKUP(B44,DG!A:C,3,0)</f>
        <v>Bộ Uclevis néo dây trung hòa vào trụ: Nth-U</v>
      </c>
      <c r="E44" s="1741" t="str">
        <f>VLOOKUP(B44,DG!A:D,4,0)</f>
        <v>bộ</v>
      </c>
      <c r="F44" s="1741">
        <f>SUMIF(ChiTietDuToan!C:C,'6PK'!B44,ChiTietDuToan!I:I)</f>
        <v>0</v>
      </c>
      <c r="G44" s="1741">
        <f>IFERROR(HLOOKUP(B44,'6PK'!$3:$11,'6PK'!$J$1,0),0)</f>
        <v>0</v>
      </c>
      <c r="H44" s="1741" t="str">
        <f>VLOOKUP($D$1,Solieu!B:C,2,0)</f>
        <v>002, 003</v>
      </c>
      <c r="I44" s="1735" t="s">
        <v>4373</v>
      </c>
      <c r="J44" s="1516" t="str">
        <f t="shared" si="0"/>
        <v/>
      </c>
    </row>
    <row r="45" spans="2:10">
      <c r="B45" s="1875" t="s">
        <v>1674</v>
      </c>
      <c r="C45" s="1737">
        <f>SUM($J$4:J45)</f>
        <v>4</v>
      </c>
      <c r="D45" s="1739" t="str">
        <f>VLOOKUP(B45,DG!A:C,3,0)</f>
        <v>Bộ khóa néo dây trung hòa vào trụ: Nth-T</v>
      </c>
      <c r="E45" s="1741" t="str">
        <f>VLOOKUP(B45,DG!A:D,4,0)</f>
        <v>bộ</v>
      </c>
      <c r="F45" s="1741">
        <f>SUMIF(ChiTietDuToan!C:C,'6PK'!B45,ChiTietDuToan!I:I)</f>
        <v>29</v>
      </c>
      <c r="G45" s="1741">
        <f>IFERROR(HLOOKUP(B45,'6PK'!$3:$11,'6PK'!$J$1,0),0)</f>
        <v>0</v>
      </c>
      <c r="H45" s="1741" t="str">
        <f>VLOOKUP($D$1,Solieu!B:C,2,0)</f>
        <v>002, 003</v>
      </c>
      <c r="I45" s="1735" t="s">
        <v>4373</v>
      </c>
      <c r="J45" s="1516">
        <f t="shared" si="0"/>
        <v>1</v>
      </c>
    </row>
    <row r="46" spans="2:10">
      <c r="B46" s="1875" t="s">
        <v>2222</v>
      </c>
      <c r="C46" s="1737">
        <f>SUM($J$4:J46)</f>
        <v>4</v>
      </c>
      <c r="D46" s="1739" t="str">
        <f>VLOOKUP(B46,DG!A:C,3,0)</f>
        <v>Bộ khóa néo dây trung hòa vào xà: Nth-X</v>
      </c>
      <c r="E46" s="1741" t="str">
        <f>VLOOKUP(B46,DG!A:D,4,0)</f>
        <v>bộ</v>
      </c>
      <c r="F46" s="1741">
        <f>SUMIF(ChiTietDuToan!C:C,'6PK'!B46,ChiTietDuToan!I:I)</f>
        <v>0</v>
      </c>
      <c r="G46" s="1741">
        <f>IFERROR(HLOOKUP(B46,'6PK'!$3:$11,'6PK'!$J$1,0),0)</f>
        <v>0</v>
      </c>
      <c r="H46" s="1741" t="str">
        <f>VLOOKUP($D$1,Solieu!B:C,2,0)</f>
        <v>002, 003</v>
      </c>
      <c r="I46" s="1735" t="s">
        <v>4373</v>
      </c>
      <c r="J46" s="1516" t="str">
        <f t="shared" si="0"/>
        <v/>
      </c>
    </row>
    <row r="47" spans="2:10">
      <c r="B47" s="1875" t="s">
        <v>2568</v>
      </c>
      <c r="C47" s="1737">
        <f>SUM($J$4:J47)</f>
        <v>5</v>
      </c>
      <c r="D47" s="1739" t="str">
        <f>VLOOKUP(B47,DG!A:C,3,0)</f>
        <v>Bộ cách điện đứng+ty sứ : SĐU</v>
      </c>
      <c r="E47" s="1741" t="str">
        <f>VLOOKUP(B47,DG!A:D,4,0)</f>
        <v>bộ</v>
      </c>
      <c r="F47" s="1741">
        <f>SUMIF(ChiTietDuToan!C:C,'6PK'!B47,ChiTietDuToan!I:I)</f>
        <v>591</v>
      </c>
      <c r="G47" s="1741">
        <f>IFERROR(HLOOKUP(B47,'6PK'!$3:$11,'6PK'!$J$1,0),0)</f>
        <v>333</v>
      </c>
      <c r="H47" s="1741" t="str">
        <f>VLOOKUP($D$1,Solieu!B:C,2,0)</f>
        <v>002, 003</v>
      </c>
      <c r="I47" s="1735" t="s">
        <v>4373</v>
      </c>
      <c r="J47" s="1516">
        <f t="shared" si="0"/>
        <v>1</v>
      </c>
    </row>
    <row r="48" spans="2:10">
      <c r="B48" s="1875" t="s">
        <v>2570</v>
      </c>
      <c r="C48" s="1737">
        <f>SUM($J$4:J48)</f>
        <v>5</v>
      </c>
      <c r="D48" s="1739" t="str">
        <f>VLOOKUP(B48,DG!A:C,3,0)</f>
        <v>Bộ cách điện đỉnh+ty sứ đơn : SĐI</v>
      </c>
      <c r="E48" s="1741" t="str">
        <f>VLOOKUP(B48,DG!A:D,4,0)</f>
        <v>bộ</v>
      </c>
      <c r="F48" s="1741">
        <f>SUMIF(ChiTietDuToan!C:C,'6PK'!B48,ChiTietDuToan!I:I)</f>
        <v>0</v>
      </c>
      <c r="G48" s="1741">
        <f>IFERROR(HLOOKUP(B48,'6PK'!$3:$11,'6PK'!$J$1,0),0)</f>
        <v>0</v>
      </c>
      <c r="H48" s="1741" t="str">
        <f>VLOOKUP($D$1,Solieu!B:C,2,0)</f>
        <v>002, 003</v>
      </c>
      <c r="I48" s="1735" t="s">
        <v>4373</v>
      </c>
      <c r="J48" s="1516" t="str">
        <f t="shared" si="0"/>
        <v/>
      </c>
    </row>
    <row r="49" spans="2:10">
      <c r="B49" s="1875" t="s">
        <v>2572</v>
      </c>
      <c r="C49" s="1737">
        <f>SUM($J$4:J49)</f>
        <v>5</v>
      </c>
      <c r="D49" s="1739" t="str">
        <f>VLOOKUP(B49,DG!A:C,3,0)</f>
        <v>Bộ cách điện đỉnh góc + ty sứ đơn : SĐG</v>
      </c>
      <c r="E49" s="1741" t="str">
        <f>VLOOKUP(B49,DG!A:D,4,0)</f>
        <v>bộ</v>
      </c>
      <c r="F49" s="1741">
        <f>SUMIF(ChiTietDuToan!C:C,'6PK'!B49,ChiTietDuToan!I:I)</f>
        <v>0</v>
      </c>
      <c r="G49" s="1741">
        <f>IFERROR(HLOOKUP(B49,'6PK'!$3:$11,'6PK'!$J$1,0),0)</f>
        <v>0</v>
      </c>
      <c r="H49" s="1741" t="str">
        <f>VLOOKUP($D$1,Solieu!B:C,2,0)</f>
        <v>002, 003</v>
      </c>
      <c r="I49" s="1735" t="s">
        <v>4373</v>
      </c>
      <c r="J49" s="1516" t="str">
        <f t="shared" si="0"/>
        <v/>
      </c>
    </row>
    <row r="50" spans="2:10" ht="33.6">
      <c r="B50" s="1875" t="s">
        <v>2574</v>
      </c>
      <c r="C50" s="1737">
        <f>SUM($J$4:J50)</f>
        <v>5</v>
      </c>
      <c r="D50" s="1739" t="str">
        <f>VLOOKUP(B50,DG!A:C,3,0)</f>
        <v>Chuỗi sứ treo 2bát 25kV lắp vào trụ : CĐT 2BAT-T</v>
      </c>
      <c r="E50" s="1741" t="str">
        <f>VLOOKUP(B50,DG!A:D,4,0)</f>
        <v>bộ</v>
      </c>
      <c r="F50" s="1741">
        <f>SUMIF(ChiTietDuToan!C:C,'6PK'!B50,ChiTietDuToan!I:I)</f>
        <v>0</v>
      </c>
      <c r="G50" s="1741">
        <f>IFERROR(HLOOKUP(B50,'6PK'!$3:$11,'6PK'!$J$1,0),0)</f>
        <v>0</v>
      </c>
      <c r="H50" s="1741" t="str">
        <f>VLOOKUP($D$1,Solieu!B:C,2,0)</f>
        <v>002, 003</v>
      </c>
      <c r="I50" s="1735" t="s">
        <v>4373</v>
      </c>
      <c r="J50" s="1516" t="str">
        <f t="shared" si="0"/>
        <v/>
      </c>
    </row>
    <row r="51" spans="2:10" ht="33.6">
      <c r="B51" s="1875" t="s">
        <v>2577</v>
      </c>
      <c r="C51" s="1737">
        <f>SUM($J$4:J51)</f>
        <v>5</v>
      </c>
      <c r="D51" s="1739" t="str">
        <f>VLOOKUP(B51,DG!A:C,3,0)</f>
        <v>Chuỗi sứ treo 2bát 24kV lắp vào xà : CĐT 2BAT-X</v>
      </c>
      <c r="E51" s="1741" t="str">
        <f>VLOOKUP(B51,DG!A:D,4,0)</f>
        <v>bộ</v>
      </c>
      <c r="F51" s="1741">
        <f>SUMIF(ChiTietDuToan!C:C,'6PK'!B51,ChiTietDuToan!I:I)</f>
        <v>0</v>
      </c>
      <c r="G51" s="1741">
        <f>IFERROR(HLOOKUP(B51,'6PK'!$3:$11,'6PK'!$J$1,0),0)</f>
        <v>0</v>
      </c>
      <c r="H51" s="1741" t="str">
        <f>VLOOKUP($D$1,Solieu!B:C,2,0)</f>
        <v>002, 003</v>
      </c>
      <c r="I51" s="1735" t="s">
        <v>4373</v>
      </c>
      <c r="J51" s="1516" t="str">
        <f t="shared" si="0"/>
        <v/>
      </c>
    </row>
    <row r="52" spans="2:10" ht="33.6">
      <c r="B52" s="1875" t="s">
        <v>2579</v>
      </c>
      <c r="C52" s="1737">
        <f>SUM($J$4:J52)</f>
        <v>5</v>
      </c>
      <c r="D52" s="1739" t="str">
        <f>VLOOKUP(B52,DG!A:C,3,0)</f>
        <v>Chuỗi sứ treo Polymer 25kV lắp vào xà : CĐT ply-X</v>
      </c>
      <c r="E52" s="1741" t="str">
        <f>VLOOKUP(B52,DG!A:D,4,0)</f>
        <v>bộ</v>
      </c>
      <c r="F52" s="1741">
        <f>SUMIF(ChiTietDuToan!C:C,'6PK'!B52,ChiTietDuToan!I:I)</f>
        <v>0</v>
      </c>
      <c r="G52" s="1741">
        <f>IFERROR(HLOOKUP(B52,'6PK'!$3:$11,'6PK'!$J$1,0),0)</f>
        <v>63</v>
      </c>
      <c r="H52" s="1741" t="str">
        <f>VLOOKUP($D$1,Solieu!B:C,2,0)</f>
        <v>002, 003</v>
      </c>
      <c r="I52" s="1735" t="s">
        <v>4373</v>
      </c>
      <c r="J52" s="1516" t="str">
        <f t="shared" si="0"/>
        <v/>
      </c>
    </row>
    <row r="53" spans="2:10" ht="33.6">
      <c r="B53" s="1875" t="s">
        <v>2593</v>
      </c>
      <c r="C53" s="1737">
        <f>SUM($J$4:J53)</f>
        <v>5</v>
      </c>
      <c r="D53" s="1739" t="str">
        <f>VLOOKUP(B53,DG!A:C,3,0)</f>
        <v>Chuỗi sứ treo Polymer 25kV lắp vào xà : CĐT 2BAT-X</v>
      </c>
      <c r="E53" s="1741" t="str">
        <f>VLOOKUP(B53,DG!A:D,4,0)</f>
        <v>bộ</v>
      </c>
      <c r="F53" s="1741">
        <f>SUMIF(ChiTietDuToan!C:C,'6PK'!B53,ChiTietDuToan!I:I)</f>
        <v>0</v>
      </c>
      <c r="G53" s="1741">
        <f>IFERROR(HLOOKUP(B53,'6PK'!$3:$11,'6PK'!$J$1,0),0)</f>
        <v>0</v>
      </c>
      <c r="H53" s="1741" t="str">
        <f>VLOOKUP($D$1,Solieu!B:C,2,0)</f>
        <v>002, 003</v>
      </c>
      <c r="I53" s="1735" t="s">
        <v>4373</v>
      </c>
      <c r="J53" s="1516" t="str">
        <f t="shared" si="0"/>
        <v/>
      </c>
    </row>
    <row r="54" spans="2:10" ht="33.6">
      <c r="B54" s="1875" t="s">
        <v>2598</v>
      </c>
      <c r="C54" s="1737">
        <f>SUM($J$4:J54)</f>
        <v>5</v>
      </c>
      <c r="D54" s="1739" t="str">
        <f>VLOOKUP(B54,DG!A:C,3,0)</f>
        <v>Bộ Uclevis đỡ dây trung hòa trụ ghép: Đth-U-g (trụ ghép)</v>
      </c>
      <c r="E54" s="1741" t="str">
        <f>VLOOKUP(B54,DG!A:D,4,0)</f>
        <v>bộ</v>
      </c>
      <c r="F54" s="1741">
        <f>SUMIF(ChiTietDuToan!C:C,'6PK'!B54,ChiTietDuToan!I:I)</f>
        <v>0</v>
      </c>
      <c r="G54" s="1741">
        <f>IFERROR(HLOOKUP(B54,'6PK'!$3:$11,'6PK'!$J$1,0),0)</f>
        <v>0</v>
      </c>
      <c r="H54" s="1741" t="str">
        <f>VLOOKUP($D$1,Solieu!B:C,2,0)</f>
        <v>002, 003</v>
      </c>
      <c r="I54" s="1735" t="s">
        <v>4373</v>
      </c>
      <c r="J54" s="1516" t="str">
        <f t="shared" si="0"/>
        <v/>
      </c>
    </row>
    <row r="55" spans="2:10">
      <c r="B55" s="1875" t="s">
        <v>2600</v>
      </c>
      <c r="C55" s="1737">
        <f>SUM($J$4:J55)</f>
        <v>5</v>
      </c>
      <c r="D55" s="1739" t="str">
        <f>VLOOKUP(B55,DG!A:C,3,0)</f>
        <v>Bộ Uclevis đỡ dây trung hòa vào xà: Đth-X</v>
      </c>
      <c r="E55" s="1741" t="str">
        <f>VLOOKUP(B55,DG!A:D,4,0)</f>
        <v>bộ</v>
      </c>
      <c r="F55" s="1741">
        <f>SUMIF(ChiTietDuToan!C:C,'6PK'!B55,ChiTietDuToan!I:I)</f>
        <v>0</v>
      </c>
      <c r="G55" s="1741">
        <f>IFERROR(HLOOKUP(B55,'6PK'!$3:$11,'6PK'!$J$1,0),0)</f>
        <v>0</v>
      </c>
      <c r="H55" s="1741" t="str">
        <f>VLOOKUP($D$1,Solieu!B:C,2,0)</f>
        <v>002, 003</v>
      </c>
      <c r="I55" s="1735" t="s">
        <v>4373</v>
      </c>
      <c r="J55" s="1516" t="str">
        <f t="shared" si="0"/>
        <v/>
      </c>
    </row>
    <row r="56" spans="2:10">
      <c r="B56" s="1875" t="s">
        <v>537</v>
      </c>
      <c r="C56" s="1737">
        <f>SUM($J$4:J56)</f>
        <v>5</v>
      </c>
      <c r="D56" s="1739" t="str">
        <f>VLOOKUP(B56,DG!A:C,3,0)</f>
        <v>Bộ khóa néo dây trung hòa vào trụ: Nth-T-g</v>
      </c>
      <c r="E56" s="1741" t="str">
        <f>VLOOKUP(B56,DG!A:D,4,0)</f>
        <v>bộ</v>
      </c>
      <c r="F56" s="1741">
        <f>SUMIF(ChiTietDuToan!C:C,'6PK'!B56,ChiTietDuToan!I:I)</f>
        <v>0</v>
      </c>
      <c r="G56" s="1741">
        <f>IFERROR(HLOOKUP(B56,'6PK'!$3:$11,'6PK'!$J$1,0),0)</f>
        <v>0</v>
      </c>
      <c r="H56" s="1741" t="str">
        <f>VLOOKUP($D$1,Solieu!B:C,2,0)</f>
        <v>002, 003</v>
      </c>
      <c r="I56" s="1735" t="s">
        <v>4373</v>
      </c>
      <c r="J56" s="1516" t="str">
        <f t="shared" si="0"/>
        <v/>
      </c>
    </row>
    <row r="57" spans="2:10" ht="33.6">
      <c r="B57" s="1875" t="s">
        <v>2606</v>
      </c>
      <c r="C57" s="1737">
        <f>SUM($J$4:J57)</f>
        <v>6</v>
      </c>
      <c r="D57" s="1739" t="str">
        <f>VLOOKUP(B57,DG!A:C,3,0)</f>
        <v>Chuỗi sứ treo Polymer 25kV lắp vào xà : CĐT ply-X</v>
      </c>
      <c r="E57" s="1741" t="str">
        <f>VLOOKUP(B57,DG!A:D,4,0)</f>
        <v>bộ</v>
      </c>
      <c r="F57" s="1741">
        <f>SUMIF(ChiTietDuToan!C:C,'6PK'!B57,ChiTietDuToan!I:I)</f>
        <v>93</v>
      </c>
      <c r="G57" s="1741">
        <f>IFERROR(HLOOKUP(B57,'6PK'!$3:$11,'6PK'!$J$1,0),0)</f>
        <v>0</v>
      </c>
      <c r="H57" s="1741" t="str">
        <f>VLOOKUP($D$1,Solieu!B:C,2,0)</f>
        <v>002, 003</v>
      </c>
      <c r="I57" s="1735" t="s">
        <v>4373</v>
      </c>
      <c r="J57" s="1516">
        <f t="shared" si="0"/>
        <v>1</v>
      </c>
    </row>
    <row r="58" spans="2:10" ht="33.6">
      <c r="B58" s="1875" t="s">
        <v>2607</v>
      </c>
      <c r="C58" s="1737">
        <f>SUM($J$4:J58)</f>
        <v>6</v>
      </c>
      <c r="D58" s="1739" t="str">
        <f>VLOOKUP(B58,DG!A:C,3,0)</f>
        <v>Chuỗi sứ treo Polymer 25kV lắp vào trụ: CĐT ply-T</v>
      </c>
      <c r="E58" s="1741" t="str">
        <f>VLOOKUP(B58,DG!A:D,4,0)</f>
        <v>bộ</v>
      </c>
      <c r="F58" s="1741">
        <f>SUMIF(ChiTietDuToan!C:C,'6PK'!B58,ChiTietDuToan!I:I)</f>
        <v>0</v>
      </c>
      <c r="G58" s="1741">
        <f>IFERROR(HLOOKUP(B58,'6PK'!$3:$11,'6PK'!$J$1,0),0)</f>
        <v>0</v>
      </c>
      <c r="H58" s="1741" t="str">
        <f>VLOOKUP($D$1,Solieu!B:C,2,0)</f>
        <v>002, 003</v>
      </c>
      <c r="I58" s="1735" t="s">
        <v>4373</v>
      </c>
      <c r="J58" s="1516" t="str">
        <f t="shared" si="0"/>
        <v/>
      </c>
    </row>
    <row r="59" spans="2:10">
      <c r="B59" s="1875" t="s">
        <v>1188</v>
      </c>
      <c r="C59" s="1737">
        <f>SUM($J$4:J59)</f>
        <v>6</v>
      </c>
      <c r="D59" s="1739" t="str">
        <f>VLOOKUP(B59,DG!A:C,3,0)</f>
        <v>Kẹp treo cáp ABC4x120mm2</v>
      </c>
      <c r="E59" s="1741" t="str">
        <f>VLOOKUP(B59,DG!A:D,4,0)</f>
        <v>cái</v>
      </c>
      <c r="F59" s="1741">
        <f>SUMIF(ChiTietDuToan!C:C,'6PK'!B59,ChiTietDuToan!I:I)</f>
        <v>0</v>
      </c>
      <c r="G59" s="1741">
        <f>IFERROR(HLOOKUP(B59,'6PK'!$3:$11,'6PK'!$J$1,0),0)</f>
        <v>0</v>
      </c>
      <c r="H59" s="1741" t="str">
        <f>VLOOKUP($D$1,Solieu!B:C,2,0)</f>
        <v>002, 003</v>
      </c>
      <c r="I59" s="1735" t="s">
        <v>4373</v>
      </c>
      <c r="J59" s="1516" t="str">
        <f t="shared" si="0"/>
        <v/>
      </c>
    </row>
    <row r="60" spans="2:10">
      <c r="B60" s="1875" t="s">
        <v>1189</v>
      </c>
      <c r="C60" s="1737">
        <f>SUM($J$4:J60)</f>
        <v>6</v>
      </c>
      <c r="D60" s="1739" t="str">
        <f>VLOOKUP(B60,DG!A:C,3,0)</f>
        <v>Kẹp treo cáp ABC3x95mm2</v>
      </c>
      <c r="E60" s="1741" t="str">
        <f>VLOOKUP(B60,DG!A:D,4,0)</f>
        <v>cái</v>
      </c>
      <c r="F60" s="1741">
        <f>SUMIF(ChiTietDuToan!C:C,'6PK'!B60,ChiTietDuToan!I:I)</f>
        <v>0</v>
      </c>
      <c r="G60" s="1741">
        <f>IFERROR(HLOOKUP(B60,'6PK'!$3:$11,'6PK'!$J$1,0),0)</f>
        <v>0</v>
      </c>
      <c r="H60" s="1741" t="str">
        <f>VLOOKUP($D$1,Solieu!B:C,2,0)</f>
        <v>002, 003</v>
      </c>
      <c r="I60" s="1735" t="s">
        <v>4373</v>
      </c>
      <c r="J60" s="1516" t="str">
        <f t="shared" si="0"/>
        <v/>
      </c>
    </row>
    <row r="61" spans="2:10">
      <c r="B61" s="1875" t="s">
        <v>1745</v>
      </c>
      <c r="C61" s="1737">
        <f>SUM($J$4:J61)</f>
        <v>6</v>
      </c>
      <c r="D61" s="1739" t="str">
        <f>VLOOKUP(B61,DG!A:C,3,0)</f>
        <v>Kẹp treo cáp ABC4x70mm2</v>
      </c>
      <c r="E61" s="1741" t="str">
        <f>VLOOKUP(B61,DG!A:D,4,0)</f>
        <v>cái</v>
      </c>
      <c r="F61" s="1741">
        <f>SUMIF(ChiTietDuToan!C:C,'6PK'!B61,ChiTietDuToan!I:I)</f>
        <v>0</v>
      </c>
      <c r="G61" s="1741">
        <f>IFERROR(HLOOKUP(B61,'6PK'!$3:$11,'6PK'!$J$1,0),0)</f>
        <v>0</v>
      </c>
      <c r="H61" s="1741" t="str">
        <f>VLOOKUP($D$1,Solieu!B:C,2,0)</f>
        <v>002, 003</v>
      </c>
      <c r="I61" s="1735" t="s">
        <v>4373</v>
      </c>
      <c r="J61" s="1516" t="str">
        <f t="shared" si="0"/>
        <v/>
      </c>
    </row>
    <row r="62" spans="2:10">
      <c r="B62" s="1875" t="s">
        <v>1746</v>
      </c>
      <c r="C62" s="1737">
        <f>SUM($J$4:J62)</f>
        <v>6</v>
      </c>
      <c r="D62" s="1739" t="str">
        <f>VLOOKUP(B62,DG!A:C,3,0)</f>
        <v>Kẹp treo cáp ABC4x50mm2</v>
      </c>
      <c r="E62" s="1741" t="str">
        <f>VLOOKUP(B62,DG!A:D,4,0)</f>
        <v>cái</v>
      </c>
      <c r="F62" s="1741">
        <f>SUMIF(ChiTietDuToan!C:C,'6PK'!B62,ChiTietDuToan!I:I)</f>
        <v>0</v>
      </c>
      <c r="G62" s="1741">
        <f>IFERROR(HLOOKUP(B62,'6PK'!$3:$11,'6PK'!$J$1,0),0)</f>
        <v>0</v>
      </c>
      <c r="H62" s="1741" t="str">
        <f>VLOOKUP($D$1,Solieu!B:C,2,0)</f>
        <v>002, 003</v>
      </c>
      <c r="I62" s="1735" t="s">
        <v>4373</v>
      </c>
      <c r="J62" s="1516" t="str">
        <f t="shared" si="0"/>
        <v/>
      </c>
    </row>
    <row r="63" spans="2:10">
      <c r="B63" s="1875" t="s">
        <v>1787</v>
      </c>
      <c r="C63" s="1737">
        <f>SUM($J$4:J63)</f>
        <v>6</v>
      </c>
      <c r="D63" s="1739" t="str">
        <f>VLOOKUP(B63,DG!A:C,3,0)</f>
        <v>Móc treo chữ A</v>
      </c>
      <c r="E63" s="1741" t="str">
        <f>VLOOKUP(B63,DG!A:D,4,0)</f>
        <v>cái</v>
      </c>
      <c r="F63" s="1741">
        <f>SUMIF(ChiTietDuToan!C:C,'6PK'!B63,ChiTietDuToan!I:I)</f>
        <v>0</v>
      </c>
      <c r="G63" s="1741">
        <f>IFERROR(HLOOKUP(B63,'6PK'!$3:$11,'6PK'!$J$1,0),0)</f>
        <v>0</v>
      </c>
      <c r="H63" s="1741" t="str">
        <f>VLOOKUP($D$1,Solieu!B:C,2,0)</f>
        <v>002, 003</v>
      </c>
      <c r="I63" s="1735" t="s">
        <v>4373</v>
      </c>
      <c r="J63" s="1516" t="str">
        <f>IF(F63&gt;0,1,"")</f>
        <v/>
      </c>
    </row>
    <row r="64" spans="2:10">
      <c r="B64" s="1875" t="s">
        <v>2281</v>
      </c>
      <c r="C64" s="1737">
        <f>SUM($J$4:J64)</f>
        <v>6</v>
      </c>
      <c r="D64" s="1739" t="str">
        <f>VLOOKUP(B64,DG!A:C,3,0)</f>
        <v>Kẹp ngừng cáp ABC4x150mm2</v>
      </c>
      <c r="E64" s="1741" t="str">
        <f>VLOOKUP(B64,DG!A:D,4,0)</f>
        <v>cái</v>
      </c>
      <c r="F64" s="1741">
        <f>SUMIF(ChiTietDuToan!C:C,'6PK'!B64,ChiTietDuToan!I:I)</f>
        <v>0</v>
      </c>
      <c r="G64" s="1741">
        <f>IFERROR(HLOOKUP(B64,'6PK'!$3:$11,'6PK'!$J$1,0),0)</f>
        <v>0</v>
      </c>
      <c r="H64" s="1741" t="str">
        <f>VLOOKUP($D$1,Solieu!B:C,2,0)</f>
        <v>002, 003</v>
      </c>
      <c r="I64" s="1735" t="s">
        <v>4373</v>
      </c>
      <c r="J64" s="1516" t="str">
        <f>IF(F64&gt;0,1,"")</f>
        <v/>
      </c>
    </row>
    <row r="65" spans="2:10">
      <c r="B65" s="1875" t="s">
        <v>1462</v>
      </c>
      <c r="C65" s="1737">
        <f>SUM($J$4:J65)</f>
        <v>6</v>
      </c>
      <c r="D65" s="1739" t="str">
        <f>VLOOKUP(B65,DG!A:C,3,0)</f>
        <v>Kẹp ngừng cáp ABC3x95mm2</v>
      </c>
      <c r="E65" s="1741" t="str">
        <f>VLOOKUP(B65,DG!A:D,4,0)</f>
        <v>cái</v>
      </c>
      <c r="F65" s="1741">
        <f>SUMIF(ChiTietDuToan!C:C,'6PK'!B65,ChiTietDuToan!I:I)</f>
        <v>0</v>
      </c>
      <c r="G65" s="1741">
        <f>IFERROR(HLOOKUP(B65,'6PK'!$3:$11,'6PK'!$J$1,0),0)</f>
        <v>0</v>
      </c>
      <c r="H65" s="1741" t="str">
        <f>VLOOKUP($D$1,Solieu!B:C,2,0)</f>
        <v>002, 003</v>
      </c>
      <c r="I65" s="1735" t="s">
        <v>4373</v>
      </c>
      <c r="J65" s="1516" t="str">
        <f>IF(F65&gt;0,1,"")</f>
        <v/>
      </c>
    </row>
    <row r="66" spans="2:10">
      <c r="B66" s="1875" t="s">
        <v>2320</v>
      </c>
      <c r="C66" s="1737">
        <f>SUM($J$4:J66)</f>
        <v>6</v>
      </c>
      <c r="D66" s="1739" t="str">
        <f>VLOOKUP(B66,DG!A:C,3,0)</f>
        <v>Kẹp ngừng cáp ABC4x70mm2</v>
      </c>
      <c r="E66" s="1741" t="str">
        <f>VLOOKUP(B66,DG!A:D,4,0)</f>
        <v>cái</v>
      </c>
      <c r="F66" s="1741">
        <f>SUMIF(ChiTietDuToan!C:C,'6PK'!B66,ChiTietDuToan!I:I)</f>
        <v>0</v>
      </c>
      <c r="G66" s="1741">
        <f>IFERROR(HLOOKUP(B66,'6PK'!$3:$11,'6PK'!$J$1,0),0)</f>
        <v>0</v>
      </c>
      <c r="H66" s="1741" t="str">
        <f>VLOOKUP($D$1,Solieu!B:C,2,0)</f>
        <v>002, 003</v>
      </c>
      <c r="I66" s="1735" t="s">
        <v>4373</v>
      </c>
      <c r="J66" s="1516" t="str">
        <f>IF(F66&gt;0,1,"")</f>
        <v/>
      </c>
    </row>
    <row r="67" spans="2:10">
      <c r="B67" s="1875" t="s">
        <v>4482</v>
      </c>
      <c r="C67" s="1737">
        <f>SUM($J$4:J67)</f>
        <v>6</v>
      </c>
      <c r="D67" s="1739" t="str">
        <f>VLOOKUP(B67,DG!A:C,3,0)</f>
        <v>Bộ tiếp địa cố định</v>
      </c>
      <c r="E67" s="1741" t="str">
        <f>VLOOKUP(B67,DG!A:D,4,0)</f>
        <v>bộ</v>
      </c>
      <c r="F67" s="1741">
        <f>SUMIF(ChiTietDuToan!C:C,'6PK'!B67,ChiTietDuToan!I:I)</f>
        <v>0</v>
      </c>
      <c r="G67" s="1741">
        <f>IFERROR(HLOOKUP(B67,'6PK'!$3:$11,'6PK'!$J$1,0),0)</f>
        <v>0</v>
      </c>
      <c r="H67" s="1741" t="str">
        <f>VLOOKUP($D$1,Solieu!B:C,2,0)</f>
        <v>002, 003</v>
      </c>
      <c r="I67" s="1735" t="s">
        <v>4373</v>
      </c>
      <c r="J67" s="1516" t="str">
        <f t="shared" ref="J67:J83" si="1">IF(F67&gt;0,1,"")</f>
        <v/>
      </c>
    </row>
    <row r="68" spans="2:10">
      <c r="B68" s="1959" t="s">
        <v>1483</v>
      </c>
      <c r="C68" s="1737">
        <f>SUM($J$4:J68)</f>
        <v>6</v>
      </c>
      <c r="D68" s="1739" t="str">
        <f>VLOOKUP(B68,DG!A:C,3,0)</f>
        <v>Rack 4 sứ + sứ ống chỉ</v>
      </c>
      <c r="E68" s="1741" t="str">
        <f>VLOOKUP(B68,DG!A:D,4,0)</f>
        <v>bộ</v>
      </c>
      <c r="F68" s="1741">
        <f>SUMIF(ChiTietDuToan!C:C,'6PK'!B68,ChiTietDuToan!I:I)</f>
        <v>0</v>
      </c>
      <c r="G68" s="1741">
        <f>IFERROR(HLOOKUP(B68,'6PK'!$3:$11,'6PK'!$J$1,0),0)</f>
        <v>0</v>
      </c>
      <c r="H68" s="1741" t="str">
        <f>VLOOKUP($D$1,Solieu!B:C,2,0)</f>
        <v>002, 003</v>
      </c>
      <c r="I68" s="1735" t="s">
        <v>4373</v>
      </c>
      <c r="J68" s="1516" t="str">
        <f t="shared" si="1"/>
        <v/>
      </c>
    </row>
    <row r="69" spans="2:10">
      <c r="B69" s="1875" t="s">
        <v>1187</v>
      </c>
      <c r="C69" s="1737">
        <f>SUM($J$4:J69)</f>
        <v>6</v>
      </c>
      <c r="D69" s="1739" t="str">
        <f>VLOOKUP(B69,DG!A:C,3,0)</f>
        <v>Hộp phân phối (hộp rỗng)</v>
      </c>
      <c r="E69" s="1741" t="str">
        <f>VLOOKUP(B69,DG!A:D,4,0)</f>
        <v>cái</v>
      </c>
      <c r="F69" s="1741">
        <f>SUMIF(ChiTietDuToan!C:C,'6PK'!B69,ChiTietDuToan!I:I)</f>
        <v>0</v>
      </c>
      <c r="G69" s="1741">
        <f>IFERROR(HLOOKUP(B69,'6PK'!$3:$11,'6PK'!$J$1,0),0)</f>
        <v>0</v>
      </c>
      <c r="H69" s="1741" t="str">
        <f>VLOOKUP($D$1,Solieu!B:C,2,0)</f>
        <v>002, 003</v>
      </c>
      <c r="I69" s="1735" t="s">
        <v>4373</v>
      </c>
      <c r="J69" s="1516" t="str">
        <f t="shared" si="1"/>
        <v/>
      </c>
    </row>
    <row r="70" spans="2:10">
      <c r="B70" s="1875" t="s">
        <v>4252</v>
      </c>
      <c r="C70" s="1737">
        <f>SUM($J$4:J70)</f>
        <v>6</v>
      </c>
      <c r="D70" s="1739" t="str">
        <f>VLOOKUP(B70,DG!A:C,3,0)</f>
        <v>Hộp CB phân đoạn</v>
      </c>
      <c r="E70" s="1741" t="str">
        <f>VLOOKUP(B70,DG!A:D,4,0)</f>
        <v>hộp</v>
      </c>
      <c r="F70" s="1741">
        <f>SUMIF(ChiTietDuToan!C:C,'6PK'!B70,ChiTietDuToan!I:I)</f>
        <v>0</v>
      </c>
      <c r="G70" s="1741">
        <f>IFERROR(HLOOKUP(B70,'6PK'!$3:$11,'6PK'!$J$1,0),0)</f>
        <v>0</v>
      </c>
      <c r="H70" s="1741" t="str">
        <f>VLOOKUP($D$1,Solieu!B:C,2,0)</f>
        <v>002, 003</v>
      </c>
      <c r="I70" s="1735" t="s">
        <v>4373</v>
      </c>
      <c r="J70" s="1516" t="str">
        <f t="shared" si="1"/>
        <v/>
      </c>
    </row>
    <row r="71" spans="2:10">
      <c r="C71" s="1737">
        <f>SUM($J$4:J71)</f>
        <v>6</v>
      </c>
      <c r="D71" s="1739" t="e">
        <f>VLOOKUP(B71,DG!A:C,3,0)</f>
        <v>#N/A</v>
      </c>
      <c r="E71" s="1741" t="e">
        <f>VLOOKUP(B71,DG!A:D,4,0)</f>
        <v>#N/A</v>
      </c>
      <c r="F71" s="1741">
        <f>SUMIF(ChiTietDuToan!C:C,'6PK'!B71,ChiTietDuToan!I:I)</f>
        <v>0</v>
      </c>
      <c r="G71" s="1741">
        <f>IFERROR(HLOOKUP(B71,'6PK'!$3:$11,'6PK'!$J$1,0),0)</f>
        <v>0</v>
      </c>
      <c r="H71" s="1741" t="str">
        <f>VLOOKUP($D$1,Solieu!B:C,2,0)</f>
        <v>002, 003</v>
      </c>
      <c r="I71" s="1735" t="s">
        <v>4373</v>
      </c>
      <c r="J71" s="1516" t="str">
        <f t="shared" si="1"/>
        <v/>
      </c>
    </row>
    <row r="72" spans="2:10">
      <c r="C72" s="1737">
        <f>SUM($J$4:J72)</f>
        <v>6</v>
      </c>
      <c r="D72" s="1739" t="e">
        <f>VLOOKUP(B72,DG!A:C,3,0)</f>
        <v>#N/A</v>
      </c>
      <c r="E72" s="1741" t="e">
        <f>VLOOKUP(B72,DG!A:D,4,0)</f>
        <v>#N/A</v>
      </c>
      <c r="F72" s="1741">
        <f>SUMIF(ChiTietDuToan!C:C,'6PK'!B72,ChiTietDuToan!I:I)</f>
        <v>0</v>
      </c>
      <c r="G72" s="1741">
        <f>IFERROR(HLOOKUP(B72,'6PK'!$3:$11,'6PK'!$J$1,0),0)</f>
        <v>0</v>
      </c>
      <c r="H72" s="1741" t="str">
        <f>VLOOKUP($D$1,Solieu!B:C,2,0)</f>
        <v>002, 003</v>
      </c>
      <c r="I72" s="1735" t="s">
        <v>4373</v>
      </c>
      <c r="J72" s="1516" t="str">
        <f t="shared" si="1"/>
        <v/>
      </c>
    </row>
    <row r="73" spans="2:10">
      <c r="C73" s="1737">
        <f>SUM($J$4:J73)</f>
        <v>6</v>
      </c>
      <c r="D73" s="1739" t="e">
        <f>VLOOKUP(B73,DG!A:C,3,0)</f>
        <v>#N/A</v>
      </c>
      <c r="E73" s="1741" t="e">
        <f>VLOOKUP(B73,DG!A:D,4,0)</f>
        <v>#N/A</v>
      </c>
      <c r="F73" s="1741">
        <f>SUMIF(ChiTietDuToan!C:C,'6PK'!B73,ChiTietDuToan!I:I)</f>
        <v>0</v>
      </c>
      <c r="G73" s="1741">
        <f>IFERROR(HLOOKUP(B73,'6PK'!$3:$11,'6PK'!$J$1,0),0)</f>
        <v>0</v>
      </c>
      <c r="H73" s="1741" t="str">
        <f>VLOOKUP($D$1,Solieu!B:C,2,0)</f>
        <v>002, 003</v>
      </c>
      <c r="I73" s="1735" t="s">
        <v>4373</v>
      </c>
      <c r="J73" s="1516" t="str">
        <f t="shared" si="1"/>
        <v/>
      </c>
    </row>
    <row r="74" spans="2:10">
      <c r="C74" s="1737">
        <f>SUM($J$4:J74)</f>
        <v>6</v>
      </c>
      <c r="D74" s="1739" t="e">
        <f>VLOOKUP(B74,DG!A:C,3,0)</f>
        <v>#N/A</v>
      </c>
      <c r="E74" s="1741" t="e">
        <f>VLOOKUP(B74,DG!A:D,4,0)</f>
        <v>#N/A</v>
      </c>
      <c r="F74" s="1741">
        <f>SUMIF(ChiTietDuToan!C:C,'6PK'!B74,ChiTietDuToan!I:I)</f>
        <v>0</v>
      </c>
      <c r="G74" s="1741">
        <f>IFERROR(HLOOKUP(B74,'6PK'!$3:$11,'6PK'!$J$1,0),0)</f>
        <v>0</v>
      </c>
      <c r="H74" s="1741" t="str">
        <f>VLOOKUP($D$1,Solieu!B:C,2,0)</f>
        <v>002, 003</v>
      </c>
      <c r="I74" s="1735" t="s">
        <v>4373</v>
      </c>
      <c r="J74" s="1516" t="str">
        <f t="shared" si="1"/>
        <v/>
      </c>
    </row>
    <row r="75" spans="2:10">
      <c r="C75" s="1737">
        <f>SUM($J$4:J75)</f>
        <v>6</v>
      </c>
      <c r="D75" s="1739" t="e">
        <f>VLOOKUP(B75,DG!A:C,3,0)</f>
        <v>#N/A</v>
      </c>
      <c r="E75" s="1741" t="e">
        <f>VLOOKUP(B75,DG!A:D,4,0)</f>
        <v>#N/A</v>
      </c>
      <c r="F75" s="1741">
        <f>SUMIF(ChiTietDuToan!C:C,'6PK'!B75,ChiTietDuToan!I:I)</f>
        <v>0</v>
      </c>
      <c r="G75" s="1741">
        <f>IFERROR(HLOOKUP(B75,'6PK'!$3:$11,'6PK'!$J$1,0),0)</f>
        <v>0</v>
      </c>
      <c r="H75" s="1741" t="str">
        <f>VLOOKUP($D$1,Solieu!B:C,2,0)</f>
        <v>002, 003</v>
      </c>
      <c r="I75" s="1735" t="s">
        <v>4373</v>
      </c>
      <c r="J75" s="1516" t="str">
        <f t="shared" si="1"/>
        <v/>
      </c>
    </row>
    <row r="76" spans="2:10">
      <c r="C76" s="1737">
        <f>SUM($J$4:J76)</f>
        <v>6</v>
      </c>
      <c r="D76" s="1739" t="e">
        <f>VLOOKUP(B76,DG!A:C,3,0)</f>
        <v>#N/A</v>
      </c>
      <c r="E76" s="1741" t="e">
        <f>VLOOKUP(B76,DG!A:D,4,0)</f>
        <v>#N/A</v>
      </c>
      <c r="F76" s="1741">
        <f>SUMIF(ChiTietDuToan!C:C,'6PK'!B76,ChiTietDuToan!I:I)</f>
        <v>0</v>
      </c>
      <c r="G76" s="1741">
        <f>IFERROR(HLOOKUP(B76,'6PK'!$3:$11,'6PK'!$J$1,0),0)</f>
        <v>0</v>
      </c>
      <c r="H76" s="1741" t="str">
        <f>VLOOKUP($D$1,Solieu!B:C,2,0)</f>
        <v>002, 003</v>
      </c>
      <c r="I76" s="1735" t="s">
        <v>4373</v>
      </c>
      <c r="J76" s="1516" t="str">
        <f t="shared" si="1"/>
        <v/>
      </c>
    </row>
    <row r="77" spans="2:10">
      <c r="C77" s="1737">
        <f>SUM($J$4:J77)</f>
        <v>6</v>
      </c>
      <c r="D77" s="1739" t="e">
        <f>VLOOKUP(B77,DG!A:C,3,0)</f>
        <v>#N/A</v>
      </c>
      <c r="E77" s="1741" t="e">
        <f>VLOOKUP(B77,DG!A:D,4,0)</f>
        <v>#N/A</v>
      </c>
      <c r="F77" s="1741">
        <f>SUMIF(ChiTietDuToan!C:C,'6PK'!B77,ChiTietDuToan!I:I)</f>
        <v>0</v>
      </c>
      <c r="G77" s="1741">
        <f>IFERROR(HLOOKUP(B77,'6PK'!$3:$11,'6PK'!$J$1,0),0)</f>
        <v>0</v>
      </c>
      <c r="H77" s="1741" t="str">
        <f>VLOOKUP($D$1,Solieu!B:C,2,0)</f>
        <v>002, 003</v>
      </c>
      <c r="I77" s="1735" t="s">
        <v>4373</v>
      </c>
      <c r="J77" s="1516" t="str">
        <f t="shared" si="1"/>
        <v/>
      </c>
    </row>
    <row r="78" spans="2:10">
      <c r="C78" s="1737">
        <f>SUM($J$4:J78)</f>
        <v>6</v>
      </c>
      <c r="D78" s="1739" t="e">
        <f>VLOOKUP(B78,DG!A:C,3,0)</f>
        <v>#N/A</v>
      </c>
      <c r="E78" s="1741" t="e">
        <f>VLOOKUP(B78,DG!A:D,4,0)</f>
        <v>#N/A</v>
      </c>
      <c r="F78" s="1741">
        <f>SUMIF(ChiTietDuToan!C:C,'6PK'!B78,ChiTietDuToan!I:I)</f>
        <v>0</v>
      </c>
      <c r="G78" s="1741">
        <f>IFERROR(HLOOKUP(B78,'6PK'!$3:$11,'6PK'!$J$1,0),0)</f>
        <v>0</v>
      </c>
      <c r="H78" s="1741" t="str">
        <f>VLOOKUP($D$1,Solieu!B:C,2,0)</f>
        <v>002, 003</v>
      </c>
      <c r="I78" s="1735" t="s">
        <v>4373</v>
      </c>
      <c r="J78" s="1516" t="str">
        <f t="shared" si="1"/>
        <v/>
      </c>
    </row>
    <row r="79" spans="2:10">
      <c r="C79" s="1737">
        <f>SUM($J$4:J79)</f>
        <v>6</v>
      </c>
      <c r="D79" s="1739" t="e">
        <f>VLOOKUP(B79,DG!A:C,3,0)</f>
        <v>#N/A</v>
      </c>
      <c r="E79" s="1741" t="e">
        <f>VLOOKUP(B79,DG!A:D,4,0)</f>
        <v>#N/A</v>
      </c>
      <c r="F79" s="1741">
        <f>SUMIF(ChiTietDuToan!C:C,'6PK'!B79,ChiTietDuToan!I:I)</f>
        <v>0</v>
      </c>
      <c r="G79" s="1741">
        <f>IFERROR(HLOOKUP(B79,'6PK'!$3:$11,'6PK'!$J$1,0),0)</f>
        <v>0</v>
      </c>
      <c r="H79" s="1741" t="str">
        <f>VLOOKUP($D$1,Solieu!B:C,2,0)</f>
        <v>002, 003</v>
      </c>
      <c r="I79" s="1735" t="s">
        <v>4373</v>
      </c>
      <c r="J79" s="1516" t="str">
        <f t="shared" si="1"/>
        <v/>
      </c>
    </row>
    <row r="80" spans="2:10">
      <c r="C80" s="1737">
        <f>SUM($J$4:J80)</f>
        <v>6</v>
      </c>
      <c r="D80" s="1739" t="e">
        <f>VLOOKUP(B80,DG!A:C,3,0)</f>
        <v>#N/A</v>
      </c>
      <c r="E80" s="1741" t="e">
        <f>VLOOKUP(B80,DG!A:D,4,0)</f>
        <v>#N/A</v>
      </c>
      <c r="F80" s="1741">
        <f>SUMIF(ChiTietDuToan!C:C,'6PK'!B80,ChiTietDuToan!I:I)</f>
        <v>0</v>
      </c>
      <c r="G80" s="1741">
        <f>IFERROR(HLOOKUP(B80,'6PK'!$3:$11,'6PK'!$J$1,0),0)</f>
        <v>0</v>
      </c>
      <c r="H80" s="1741" t="str">
        <f>VLOOKUP($D$1,Solieu!B:C,2,0)</f>
        <v>002, 003</v>
      </c>
      <c r="I80" s="1735" t="s">
        <v>4373</v>
      </c>
      <c r="J80" s="1516" t="str">
        <f t="shared" si="1"/>
        <v/>
      </c>
    </row>
    <row r="81" spans="2:10">
      <c r="C81" s="1737">
        <f>SUM($J$4:J81)</f>
        <v>6</v>
      </c>
      <c r="D81" s="1739" t="e">
        <f>VLOOKUP(B81,DG!A:C,3,0)</f>
        <v>#N/A</v>
      </c>
      <c r="E81" s="1741" t="e">
        <f>VLOOKUP(B81,DG!A:D,4,0)</f>
        <v>#N/A</v>
      </c>
      <c r="F81" s="1741">
        <f>SUMIF(ChiTietDuToan!C:C,'6PK'!B81,ChiTietDuToan!I:I)</f>
        <v>0</v>
      </c>
      <c r="G81" s="1741">
        <f>IFERROR(HLOOKUP(B81,'6PK'!$3:$11,'6PK'!$J$1,0),0)</f>
        <v>0</v>
      </c>
      <c r="H81" s="1741" t="str">
        <f>VLOOKUP($D$1,Solieu!B:C,2,0)</f>
        <v>002, 003</v>
      </c>
      <c r="I81" s="1735" t="s">
        <v>4373</v>
      </c>
      <c r="J81" s="1516" t="str">
        <f t="shared" si="1"/>
        <v/>
      </c>
    </row>
    <row r="82" spans="2:10">
      <c r="C82" s="1737">
        <f>SUM($J$4:J82)</f>
        <v>6</v>
      </c>
      <c r="D82" s="1739" t="e">
        <f>VLOOKUP(B82,DG!A:C,3,0)</f>
        <v>#N/A</v>
      </c>
      <c r="E82" s="1741" t="e">
        <f>VLOOKUP(B82,DG!A:D,4,0)</f>
        <v>#N/A</v>
      </c>
      <c r="F82" s="1741">
        <f>SUMIF(ChiTietDuToan!C:C,'6PK'!B82,ChiTietDuToan!I:I)</f>
        <v>0</v>
      </c>
      <c r="G82" s="1741">
        <f>IFERROR(HLOOKUP(B82,'6PK'!$3:$11,'6PK'!$J$1,0),0)</f>
        <v>0</v>
      </c>
      <c r="H82" s="1741" t="str">
        <f>VLOOKUP($D$1,Solieu!B:C,2,0)</f>
        <v>002, 003</v>
      </c>
      <c r="I82" s="1735" t="s">
        <v>4373</v>
      </c>
      <c r="J82" s="1516" t="str">
        <f t="shared" si="1"/>
        <v/>
      </c>
    </row>
    <row r="83" spans="2:10">
      <c r="C83" s="1737">
        <f>SUM($J$4:J83)</f>
        <v>6</v>
      </c>
      <c r="D83" s="1739" t="e">
        <f>VLOOKUP(B83,DG!A:C,3,0)</f>
        <v>#N/A</v>
      </c>
      <c r="E83" s="1741" t="e">
        <f>VLOOKUP(B83,DG!A:D,4,0)</f>
        <v>#N/A</v>
      </c>
      <c r="F83" s="1741">
        <f>SUMIF(ChiTietDuToan!C:C,'6PK'!B83,ChiTietDuToan!I:I)</f>
        <v>0</v>
      </c>
      <c r="G83" s="1741">
        <f>IFERROR(HLOOKUP(B83,'6PK'!$3:$11,'6PK'!$J$1,0),0)</f>
        <v>0</v>
      </c>
      <c r="H83" s="1741" t="str">
        <f>VLOOKUP($D$1,Solieu!B:C,2,0)</f>
        <v>002, 003</v>
      </c>
      <c r="I83" s="1735" t="s">
        <v>4373</v>
      </c>
      <c r="J83" s="1516" t="str">
        <f t="shared" si="1"/>
        <v/>
      </c>
    </row>
    <row r="84" spans="2:10">
      <c r="C84" s="1737">
        <f>SUM($J$4:J84)</f>
        <v>6</v>
      </c>
      <c r="D84" s="1739" t="e">
        <f>VLOOKUP(B84,DG!A:C,3,0)</f>
        <v>#N/A</v>
      </c>
      <c r="E84" s="1741" t="e">
        <f>VLOOKUP(B84,DG!A:D,4,0)</f>
        <v>#N/A</v>
      </c>
      <c r="F84" s="1741">
        <f>SUMIF(ChiTietDuToan!C:C,'6PK'!B84,ChiTietDuToan!I:I)</f>
        <v>0</v>
      </c>
      <c r="G84" s="1741">
        <f>IFERROR(HLOOKUP(B84,'6PK'!$3:$11,'6PK'!$J$1,0),0)</f>
        <v>0</v>
      </c>
      <c r="H84" s="1741" t="str">
        <f>VLOOKUP($D$1,Solieu!B:C,2,0)</f>
        <v>002, 003</v>
      </c>
      <c r="I84" s="1735" t="s">
        <v>4373</v>
      </c>
      <c r="J84" s="1516" t="str">
        <f>IF(F84&gt;0,1,"")</f>
        <v/>
      </c>
    </row>
    <row r="90" spans="2:10">
      <c r="B90" s="1877"/>
    </row>
  </sheetData>
  <autoFilter ref="J3:J84"/>
  <conditionalFormatting sqref="B88:B98 B108:B1048576 B1:B3 B11:B66 B84">
    <cfRule type="duplicateValues" dxfId="4" priority="5"/>
  </conditionalFormatting>
  <conditionalFormatting sqref="B6:B8">
    <cfRule type="duplicateValues" dxfId="3" priority="4"/>
  </conditionalFormatting>
  <conditionalFormatting sqref="B9">
    <cfRule type="duplicateValues" dxfId="2" priority="3"/>
  </conditionalFormatting>
  <conditionalFormatting sqref="B10">
    <cfRule type="duplicateValues" dxfId="1" priority="2"/>
  </conditionalFormatting>
  <conditionalFormatting sqref="B67 B69:B83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J15"/>
  <sheetViews>
    <sheetView workbookViewId="0">
      <selection activeCell="H5" sqref="C5:H5"/>
    </sheetView>
  </sheetViews>
  <sheetFormatPr defaultColWidth="8.90625" defaultRowHeight="16.8"/>
  <cols>
    <col min="1" max="1" width="8.90625" style="1516"/>
    <col min="2" max="2" width="14.453125" style="1516" customWidth="1"/>
    <col min="3" max="3" width="5.36328125" style="1516" customWidth="1"/>
    <col min="4" max="4" width="26.1796875" style="1516" customWidth="1"/>
    <col min="5" max="5" width="15.54296875" style="1516" customWidth="1"/>
    <col min="6" max="7" width="8.08984375" style="1516" customWidth="1"/>
    <col min="8" max="8" width="5.90625" style="1516" customWidth="1"/>
    <col min="9" max="16384" width="8.90625" style="1516"/>
  </cols>
  <sheetData>
    <row r="3" spans="3:10">
      <c r="C3" s="2646" t="s">
        <v>1761</v>
      </c>
      <c r="D3" s="1773" t="s">
        <v>4748</v>
      </c>
      <c r="E3" s="2647" t="s">
        <v>4395</v>
      </c>
      <c r="F3" s="2648" t="s">
        <v>4750</v>
      </c>
      <c r="G3" s="2648"/>
      <c r="H3" s="2649" t="s">
        <v>4307</v>
      </c>
      <c r="I3" s="1764" t="s">
        <v>515</v>
      </c>
    </row>
    <row r="4" spans="3:10">
      <c r="C4" s="2646"/>
      <c r="D4" s="1774" t="s">
        <v>4749</v>
      </c>
      <c r="E4" s="2647"/>
      <c r="F4" s="1772" t="s">
        <v>4396</v>
      </c>
      <c r="G4" s="1772" t="s">
        <v>4308</v>
      </c>
      <c r="H4" s="2650"/>
      <c r="I4" s="1516">
        <f>IF(OR(E4&gt;0,F4&gt;0),1,"")</f>
        <v>1</v>
      </c>
      <c r="J4" s="1073"/>
    </row>
    <row r="5" spans="3:10" ht="50.4">
      <c r="C5" s="1769">
        <v>1</v>
      </c>
      <c r="D5" s="1775" t="str">
        <f>WORD!AC2</f>
        <v>Từ trụ 215 đến trụ 215/14 - Loại cột BTLT 8,5m- F200 DƯL.</v>
      </c>
      <c r="E5" s="1771" t="str">
        <f>WORD!AA4</f>
        <v>ABC 4x95mm2</v>
      </c>
      <c r="F5" s="1771">
        <f>WORD!AA5</f>
        <v>549</v>
      </c>
      <c r="G5" s="1771">
        <f>F5</f>
        <v>549</v>
      </c>
      <c r="H5" s="1770"/>
      <c r="I5" s="1516">
        <f t="shared" ref="I5:I15" si="0">IF(OR(E5&gt;0,F5&gt;0),1,"")</f>
        <v>1</v>
      </c>
      <c r="J5" s="1073"/>
    </row>
    <row r="6" spans="3:10" hidden="1">
      <c r="C6" s="1769">
        <v>2</v>
      </c>
      <c r="D6" s="1771"/>
      <c r="E6" s="1771"/>
      <c r="F6" s="1771"/>
      <c r="G6" s="1771"/>
      <c r="H6" s="1770"/>
      <c r="I6" s="1516" t="str">
        <f t="shared" si="0"/>
        <v/>
      </c>
      <c r="J6" s="1073"/>
    </row>
    <row r="7" spans="3:10" hidden="1">
      <c r="C7" s="1760">
        <v>4</v>
      </c>
      <c r="D7" s="1761" t="e">
        <f>VLOOKUP(B7,chitiet!A:E,5,0)</f>
        <v>#N/A</v>
      </c>
      <c r="E7" s="1762">
        <f>SUMIF(chitiet!A:A,'7day'!B7,chitiet!H:H)</f>
        <v>0</v>
      </c>
      <c r="F7" s="1762">
        <f>SUMIF(chitiet!A:A,'7day'!B7,chitiet!P:P)</f>
        <v>0</v>
      </c>
      <c r="G7" s="1762" t="e">
        <f>VLOOKUP(J7,Solieu!B:C,2,0)</f>
        <v>#N/A</v>
      </c>
      <c r="H7" s="1763"/>
      <c r="I7" s="1516" t="str">
        <f t="shared" si="0"/>
        <v/>
      </c>
      <c r="J7" s="1073"/>
    </row>
    <row r="8" spans="3:10" hidden="1">
      <c r="C8" s="1737">
        <v>5</v>
      </c>
      <c r="D8" s="1739" t="e">
        <f>VLOOKUP(B8,chitiet!A:E,5,0)</f>
        <v>#N/A</v>
      </c>
      <c r="E8" s="1741">
        <f>SUMIF(chitiet!A:A,'7day'!B8,chitiet!H:H)</f>
        <v>0</v>
      </c>
      <c r="F8" s="1741">
        <f>SUMIF(chitiet!A:A,'7day'!B8,chitiet!P:P)</f>
        <v>0</v>
      </c>
      <c r="G8" s="1741" t="e">
        <f>VLOOKUP(J8,Solieu!B:C,2,0)</f>
        <v>#N/A</v>
      </c>
      <c r="H8" s="1738"/>
      <c r="I8" s="1516" t="str">
        <f t="shared" si="0"/>
        <v/>
      </c>
      <c r="J8" s="1073"/>
    </row>
    <row r="9" spans="3:10" hidden="1">
      <c r="C9" s="1737">
        <v>6</v>
      </c>
      <c r="D9" s="1739" t="e">
        <f>VLOOKUP(B9,chitiet!A:E,5,0)</f>
        <v>#N/A</v>
      </c>
      <c r="E9" s="1741">
        <f>SUMIF(chitiet!A:A,'7day'!B9,chitiet!H:H)</f>
        <v>0</v>
      </c>
      <c r="F9" s="1741">
        <f>SUMIF(chitiet!A:A,'7day'!B9,chitiet!P:P)</f>
        <v>0</v>
      </c>
      <c r="G9" s="1741" t="e">
        <f>VLOOKUP(J9,Solieu!B:C,2,0)</f>
        <v>#N/A</v>
      </c>
      <c r="H9" s="1738"/>
      <c r="I9" s="1516" t="str">
        <f t="shared" si="0"/>
        <v/>
      </c>
      <c r="J9" s="1073"/>
    </row>
    <row r="10" spans="3:10" hidden="1">
      <c r="C10" s="1737">
        <v>7</v>
      </c>
      <c r="D10" s="1739" t="e">
        <f>VLOOKUP(B10,chitiet!A:E,5,0)</f>
        <v>#N/A</v>
      </c>
      <c r="E10" s="1741">
        <f>SUMIF(chitiet!A:A,'7day'!B10,chitiet!H:H)</f>
        <v>0</v>
      </c>
      <c r="F10" s="1741">
        <f>SUMIF(chitiet!A:A,'7day'!B10,chitiet!P:P)</f>
        <v>0</v>
      </c>
      <c r="G10" s="1741" t="e">
        <f>VLOOKUP(J10,Solieu!B:C,2,0)</f>
        <v>#N/A</v>
      </c>
      <c r="H10" s="1738"/>
      <c r="I10" s="1516" t="str">
        <f t="shared" si="0"/>
        <v/>
      </c>
      <c r="J10" s="1073"/>
    </row>
    <row r="11" spans="3:10" hidden="1">
      <c r="C11" s="1737">
        <v>8</v>
      </c>
      <c r="D11" s="1739" t="e">
        <f>VLOOKUP(B11,chitiet!A:E,5,0)</f>
        <v>#N/A</v>
      </c>
      <c r="E11" s="1741">
        <f>SUMIF(chitiet!A:A,'7day'!B11,chitiet!H:H)</f>
        <v>0</v>
      </c>
      <c r="F11" s="1741">
        <f>SUMIF(chitiet!A:A,'7day'!B11,chitiet!P:P)</f>
        <v>0</v>
      </c>
      <c r="G11" s="1741" t="e">
        <f>VLOOKUP(J11,Solieu!B:C,2,0)</f>
        <v>#N/A</v>
      </c>
      <c r="H11" s="1738"/>
      <c r="I11" s="1516" t="str">
        <f t="shared" si="0"/>
        <v/>
      </c>
      <c r="J11" s="1073"/>
    </row>
    <row r="12" spans="3:10" hidden="1">
      <c r="C12" s="1737">
        <v>9</v>
      </c>
      <c r="D12" s="1739" t="e">
        <f>VLOOKUP(B12,chitiet!A:E,5,0)</f>
        <v>#N/A</v>
      </c>
      <c r="E12" s="1741">
        <f>SUMIF(chitiet!A:A,'7day'!B12,chitiet!H:H)</f>
        <v>0</v>
      </c>
      <c r="F12" s="1741">
        <f>SUMIF(chitiet!A:A,'7day'!B12,chitiet!P:P)</f>
        <v>0</v>
      </c>
      <c r="G12" s="1741" t="e">
        <f>VLOOKUP(J12,Solieu!B:C,2,0)</f>
        <v>#N/A</v>
      </c>
      <c r="H12" s="1738"/>
      <c r="I12" s="1516" t="str">
        <f t="shared" si="0"/>
        <v/>
      </c>
      <c r="J12" s="1073"/>
    </row>
    <row r="13" spans="3:10" hidden="1">
      <c r="C13" s="1737">
        <v>10</v>
      </c>
      <c r="D13" s="1739" t="e">
        <f>VLOOKUP(B13,chitiet!A:E,5,0)</f>
        <v>#N/A</v>
      </c>
      <c r="E13" s="1741">
        <f>SUMIF(chitiet!A:A,'7day'!B13,chitiet!H:H)</f>
        <v>0</v>
      </c>
      <c r="F13" s="1741">
        <f>SUMIF(chitiet!A:A,'7day'!B13,chitiet!P:P)</f>
        <v>0</v>
      </c>
      <c r="G13" s="1741" t="e">
        <f>VLOOKUP(J13,Solieu!B:C,2,0)</f>
        <v>#N/A</v>
      </c>
      <c r="H13" s="1738"/>
      <c r="I13" s="1516" t="str">
        <f t="shared" si="0"/>
        <v/>
      </c>
      <c r="J13" s="1073"/>
    </row>
    <row r="14" spans="3:10" hidden="1">
      <c r="C14" s="1737">
        <v>11</v>
      </c>
      <c r="D14" s="1739" t="e">
        <f>VLOOKUP(B14,chitiet!A:E,5,0)</f>
        <v>#N/A</v>
      </c>
      <c r="E14" s="1741">
        <f>SUMIF(chitiet!A:A,'7day'!B14,chitiet!H:H)</f>
        <v>0</v>
      </c>
      <c r="F14" s="1741">
        <f>SUMIF(chitiet!A:A,'7day'!B14,chitiet!P:P)</f>
        <v>0</v>
      </c>
      <c r="G14" s="1741" t="e">
        <f>VLOOKUP(J14,Solieu!B:C,2,0)</f>
        <v>#N/A</v>
      </c>
      <c r="H14" s="1738"/>
      <c r="I14" s="1516" t="str">
        <f t="shared" si="0"/>
        <v/>
      </c>
      <c r="J14" s="1073"/>
    </row>
    <row r="15" spans="3:10" hidden="1">
      <c r="C15" s="1765">
        <v>12</v>
      </c>
      <c r="D15" s="1766" t="e">
        <f>VLOOKUP(B15,chitiet!A:E,5,0)</f>
        <v>#N/A</v>
      </c>
      <c r="E15" s="1767">
        <f>SUMIF(chitiet!A:A,'7day'!B15,chitiet!H:H)</f>
        <v>0</v>
      </c>
      <c r="F15" s="1767">
        <f>SUMIF(chitiet!A:A,'7day'!B15,chitiet!P:P)</f>
        <v>0</v>
      </c>
      <c r="G15" s="1767" t="e">
        <f>VLOOKUP(J15,Solieu!B:C,2,0)</f>
        <v>#N/A</v>
      </c>
      <c r="H15" s="1768"/>
      <c r="I15" s="1516" t="str">
        <f t="shared" si="0"/>
        <v/>
      </c>
      <c r="J15" s="1073"/>
    </row>
  </sheetData>
  <autoFilter ref="I3:I15">
    <filterColumn colId="0">
      <customFilters>
        <customFilter operator="notEqual" val=" "/>
      </customFilters>
    </filterColumn>
  </autoFilter>
  <mergeCells count="4">
    <mergeCell ref="C3:C4"/>
    <mergeCell ref="E3:E4"/>
    <mergeCell ref="F3:G3"/>
    <mergeCell ref="H3:H4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B2" sqref="B2"/>
    </sheetView>
  </sheetViews>
  <sheetFormatPr defaultColWidth="8.90625" defaultRowHeight="16.8"/>
  <cols>
    <col min="1" max="1" width="8.90625" style="2179"/>
    <col min="2" max="2" width="10.1796875" style="2179" bestFit="1" customWidth="1"/>
    <col min="3" max="3" width="6.1796875" style="2179" customWidth="1"/>
    <col min="4" max="4" width="30.453125" style="1743" customWidth="1"/>
    <col min="5" max="5" width="6.81640625" style="1152" customWidth="1"/>
    <col min="6" max="6" width="6.36328125" style="1152" customWidth="1"/>
    <col min="7" max="7" width="16.1796875" style="1152" customWidth="1"/>
    <col min="8" max="8" width="9.08984375" style="2179" customWidth="1"/>
    <col min="9" max="9" width="5.81640625" style="1743" customWidth="1"/>
    <col min="10" max="16384" width="8.90625" style="2179"/>
  </cols>
  <sheetData>
    <row r="1" spans="2:12" ht="37.5" customHeight="1">
      <c r="C1" s="2175" t="s">
        <v>1761</v>
      </c>
      <c r="D1" s="2175" t="s">
        <v>4891</v>
      </c>
      <c r="E1" s="2176" t="s">
        <v>4892</v>
      </c>
      <c r="F1" s="2176" t="s">
        <v>4425</v>
      </c>
      <c r="G1" s="2176" t="s">
        <v>4894</v>
      </c>
      <c r="H1" s="2175" t="s">
        <v>4307</v>
      </c>
      <c r="I1" s="1743" t="s">
        <v>4893</v>
      </c>
    </row>
    <row r="2" spans="2:12" ht="21.75" customHeight="1">
      <c r="B2" s="2177" t="str">
        <f>Solieu!G2</f>
        <v>T12540</v>
      </c>
      <c r="C2" s="2180">
        <f>SUM($I$2:I2)</f>
        <v>1</v>
      </c>
      <c r="D2" s="2151" t="str">
        <f>VLOOKUP(B2,DG!A:D,3,0)</f>
        <v>Trụ BTLT 12m F540 dự ứng lực (k=2)</v>
      </c>
      <c r="E2" s="2178" t="str">
        <f>VLOOKUP(B2,DG!A:D,4,0)</f>
        <v>trụ</v>
      </c>
      <c r="F2" s="2178">
        <f>SUMIF('NT-VT'!A:A,'8TB'!B2,'NT-VT'!E:E)</f>
        <v>96</v>
      </c>
      <c r="G2" s="2178" t="str">
        <f>VLOOKUP(B2,Solieu!G:L,6,0)</f>
        <v/>
      </c>
      <c r="H2" s="2151"/>
      <c r="I2" s="1743">
        <f>IF(F2&gt;0,1,0)</f>
        <v>1</v>
      </c>
    </row>
    <row r="3" spans="2:12" ht="21.75" customHeight="1">
      <c r="B3" s="2177" t="str">
        <f>Solieu!G3</f>
        <v>T14</v>
      </c>
      <c r="C3" s="2180">
        <f>SUM($I$2:I3)</f>
        <v>2</v>
      </c>
      <c r="D3" s="2151" t="str">
        <f>VLOOKUP(B3,DG!A:D,3,0)</f>
        <v>Trụ BTLT 14m F650 dự ứng lực</v>
      </c>
      <c r="E3" s="2178" t="str">
        <f>VLOOKUP(B3,DG!A:D,4,0)</f>
        <v>trụ</v>
      </c>
      <c r="F3" s="2178">
        <f>SUMIF('NT-VT'!A:A,'8TB'!B3,'NT-VT'!E:E)</f>
        <v>15</v>
      </c>
      <c r="G3" s="2178" t="str">
        <f>VLOOKUP(B3,Solieu!G:L,6,0)</f>
        <v/>
      </c>
      <c r="H3" s="2151"/>
      <c r="I3" s="1743">
        <f t="shared" ref="I3:I12" si="0">IF(F3&gt;0,1,0)</f>
        <v>1</v>
      </c>
    </row>
    <row r="4" spans="2:12" ht="21.75" customHeight="1">
      <c r="B4" s="2177" t="str">
        <f>Solieu!G4</f>
        <v>SD</v>
      </c>
      <c r="C4" s="2180">
        <f>SUM($I$2:I4)</f>
        <v>3</v>
      </c>
      <c r="D4" s="2151" t="str">
        <f>VLOOKUP(B4,DG!A:D,3,0)</f>
        <v xml:space="preserve">Sứ đứng 24KV </v>
      </c>
      <c r="E4" s="2178" t="str">
        <f>VLOOKUP(B4,DG!A:D,4,0)</f>
        <v>cái</v>
      </c>
      <c r="F4" s="2178">
        <f>SUMIF('NT-VT'!A:A,'8TB'!B4,'NT-VT'!E:E)</f>
        <v>591</v>
      </c>
      <c r="G4" s="2178" t="str">
        <f>VLOOKUP(B4,Solieu!G:L,6,0)</f>
        <v>19/4021/TN2-10</v>
      </c>
      <c r="H4" s="2151"/>
      <c r="I4" s="1743">
        <f t="shared" si="0"/>
        <v>1</v>
      </c>
      <c r="J4" s="2181"/>
      <c r="K4" s="2181"/>
      <c r="L4" s="2181"/>
    </row>
    <row r="5" spans="2:12" ht="21.75" customHeight="1">
      <c r="B5" s="2177" t="str">
        <f>Solieu!G5</f>
        <v>Stply</v>
      </c>
      <c r="C5" s="2180">
        <f>SUM($I$2:I5)</f>
        <v>4</v>
      </c>
      <c r="D5" s="2151" t="str">
        <f>VLOOKUP(B5,DG!A:D,3,0)</f>
        <v>Sứ treo polymer</v>
      </c>
      <c r="E5" s="2178" t="str">
        <f>VLOOKUP(B5,DG!A:D,4,0)</f>
        <v>chuỗi</v>
      </c>
      <c r="F5" s="2178">
        <f>SUMIF('NT-VT'!A:A,'8TB'!B5,'NT-VT'!E:E)</f>
        <v>93</v>
      </c>
      <c r="G5" s="2178">
        <f>VLOOKUP(B5,Solieu!G:L,6,0)</f>
        <v>0</v>
      </c>
      <c r="H5" s="2151"/>
      <c r="I5" s="1743">
        <f t="shared" si="0"/>
        <v>1</v>
      </c>
    </row>
    <row r="6" spans="2:12" ht="21.75" customHeight="1">
      <c r="B6" s="2177" t="str">
        <f>Solieu!G6</f>
        <v>LTD6</v>
      </c>
      <c r="C6" s="2180">
        <f>SUM($I$2:I6)</f>
        <v>5</v>
      </c>
      <c r="D6" s="2151" t="str">
        <f>VLOOKUP(B6,DG!A:D,3,0)</f>
        <v>LTD 1P 24KV - 600A</v>
      </c>
      <c r="E6" s="2178" t="str">
        <f>VLOOKUP(B6,DG!A:D,4,0)</f>
        <v>cái</v>
      </c>
      <c r="F6" s="2178">
        <f>SUMIF('NT-VT'!A:A,'8TB'!B6,'NT-VT'!E:E)</f>
        <v>6</v>
      </c>
      <c r="G6" s="2178" t="str">
        <f>VLOOKUP(B6,Solieu!G:L,6,0)</f>
        <v>06006/BB-WVN</v>
      </c>
      <c r="H6" s="2151"/>
      <c r="I6" s="1743">
        <f t="shared" si="0"/>
        <v>1</v>
      </c>
    </row>
    <row r="7" spans="2:12" ht="21.75" customHeight="1">
      <c r="B7" s="2177" t="str">
        <f>Solieu!G7</f>
        <v>XLPE150</v>
      </c>
      <c r="C7" s="2180">
        <f>SUM($I$2:I7)</f>
        <v>6</v>
      </c>
      <c r="D7" s="2151" t="str">
        <f>VLOOKUP(B7,DG!A:D,3,0)</f>
        <v>Cáp 24KV C/XLPE/PVC 150mm2</v>
      </c>
      <c r="E7" s="2178" t="str">
        <f>VLOOKUP(B7,DG!A:D,4,0)</f>
        <v>mét</v>
      </c>
      <c r="F7" s="2178">
        <f>SUMIF('NT-VT'!A:A,'8TB'!B7,'NT-VT'!E:E)</f>
        <v>24</v>
      </c>
      <c r="G7" s="2178">
        <f>VLOOKUP(B7,Solieu!G:L,6,0)</f>
        <v>0</v>
      </c>
      <c r="H7" s="2151"/>
      <c r="I7" s="1743">
        <f t="shared" si="0"/>
        <v>1</v>
      </c>
    </row>
    <row r="8" spans="2:12" ht="21.75" customHeight="1">
      <c r="B8" s="2177" t="str">
        <f>Solieu!G8</f>
        <v>XLPE25</v>
      </c>
      <c r="C8" s="2180">
        <f>SUM($I$2:I8)</f>
        <v>7</v>
      </c>
      <c r="D8" s="2151" t="str">
        <f>VLOOKUP(B8,DG!A:D,3,0)</f>
        <v>Cáp 24KV C/XLPE/PVC 25mm2</v>
      </c>
      <c r="E8" s="2178" t="str">
        <f>VLOOKUP(B8,DG!A:D,4,0)</f>
        <v>mét</v>
      </c>
      <c r="F8" s="2178">
        <f>SUMIF('NT-VT'!A:A,'8TB'!B8,'NT-VT'!E:E)</f>
        <v>59</v>
      </c>
      <c r="G8" s="2178">
        <f>VLOOKUP(B8,Solieu!G:L,6,0)</f>
        <v>0</v>
      </c>
      <c r="H8" s="2151"/>
      <c r="I8" s="1743">
        <f t="shared" si="0"/>
        <v>1</v>
      </c>
    </row>
    <row r="9" spans="2:12" ht="21.75" customHeight="1">
      <c r="B9" s="2177" t="str">
        <f>Solieu!G9</f>
        <v>m25</v>
      </c>
      <c r="C9" s="2180">
        <f>SUM($I$2:I9)</f>
        <v>8</v>
      </c>
      <c r="D9" s="2151" t="str">
        <f>VLOOKUP(B9,DG!A:D,3,0)</f>
        <v>Cáp đồng trần M25mm2</v>
      </c>
      <c r="E9" s="2178" t="str">
        <f>VLOOKUP(B9,DG!A:D,4,0)</f>
        <v>kg</v>
      </c>
      <c r="F9" s="2178">
        <f>SUMIF('NT-VT'!A:A,'8TB'!B9,'NT-VT'!E:E)</f>
        <v>60.510000000000005</v>
      </c>
      <c r="G9" s="2178" t="str">
        <f>VLOOKUP(B9,Solieu!G:L,6,0)</f>
        <v/>
      </c>
      <c r="H9" s="2151"/>
      <c r="I9" s="1743">
        <f t="shared" si="0"/>
        <v>1</v>
      </c>
    </row>
    <row r="10" spans="2:12" ht="21.75" customHeight="1">
      <c r="B10" s="2177" t="str">
        <f>Solieu!G10</f>
        <v>AC120</v>
      </c>
      <c r="C10" s="2180">
        <f>SUM($I$2:I10)</f>
        <v>9</v>
      </c>
      <c r="D10" s="2151" t="str">
        <f>VLOOKUP(B10,DG!A:D,3,0)</f>
        <v>Cáp nhôm lõi thép AC-120/19</v>
      </c>
      <c r="E10" s="2178" t="str">
        <f>VLOOKUP(B10,DG!A:D,4,0)</f>
        <v>kg</v>
      </c>
      <c r="F10" s="2178">
        <f>SUMIF('NT-VT'!A:A,'8TB'!B10,'NT-VT'!E:E)</f>
        <v>2985.1980000000008</v>
      </c>
      <c r="G10" s="2178" t="str">
        <f>VLOOKUP(B10,Solieu!G:L,6,0)</f>
        <v/>
      </c>
      <c r="H10" s="2151"/>
      <c r="I10" s="1743">
        <f t="shared" si="0"/>
        <v>1</v>
      </c>
    </row>
    <row r="11" spans="2:12" ht="21.75" customHeight="1">
      <c r="B11" s="2177" t="str">
        <f>Solieu!G11</f>
        <v>XLPE185A</v>
      </c>
      <c r="C11" s="2180">
        <f>SUM($I$2:I11)</f>
        <v>10</v>
      </c>
      <c r="D11" s="2151" t="str">
        <f>VLOOKUP(B11,DG!A:D,3,0)</f>
        <v>Cáp 24KV A/XLPE/PVC 185mm2</v>
      </c>
      <c r="E11" s="2178" t="str">
        <f>VLOOKUP(B11,DG!A:D,4,0)</f>
        <v>mét</v>
      </c>
      <c r="F11" s="2178">
        <f>SUMIF('NT-VT'!A:A,'8TB'!B11,'NT-VT'!E:E)</f>
        <v>19014.000000000007</v>
      </c>
      <c r="G11" s="2178" t="str">
        <f>VLOOKUP(B11,Solieu!G:L,6,0)</f>
        <v/>
      </c>
      <c r="H11" s="2151"/>
      <c r="I11" s="1743">
        <f t="shared" si="0"/>
        <v>1</v>
      </c>
    </row>
    <row r="12" spans="2:12" ht="21.75" customHeight="1">
      <c r="B12" s="2177" t="str">
        <f>Solieu!G12</f>
        <v>C3/8</v>
      </c>
      <c r="C12" s="2180">
        <f>SUM($I$2:I12)</f>
        <v>11</v>
      </c>
      <c r="D12" s="2151" t="str">
        <f>VLOOKUP(B12,DG!A:D,3,0)</f>
        <v>Cáp thép 3/8"</v>
      </c>
      <c r="E12" s="2178" t="str">
        <f>VLOOKUP(B12,DG!A:D,4,0)</f>
        <v>kg</v>
      </c>
      <c r="F12" s="2178">
        <f>SUMIF('NT-VT'!A:A,'8TB'!B12,'NT-VT'!E:E)</f>
        <v>30</v>
      </c>
      <c r="G12" s="2178" t="str">
        <f>VLOOKUP(B12,Solieu!G:L,6,0)</f>
        <v/>
      </c>
      <c r="H12" s="2151"/>
      <c r="I12" s="1743">
        <f t="shared" si="0"/>
        <v>1</v>
      </c>
    </row>
    <row r="13" spans="2:12" ht="21.75" customHeight="1">
      <c r="B13" s="2177" t="str">
        <f>Solieu!G13</f>
        <v>C5/8</v>
      </c>
      <c r="C13" s="2180">
        <f>SUM($I$2:I13)</f>
        <v>11</v>
      </c>
      <c r="D13" s="2151" t="str">
        <f>VLOOKUP(B13,DG!A:D,3,0)</f>
        <v>Cáp thép 5/8"</v>
      </c>
      <c r="E13" s="2178" t="str">
        <f>VLOOKUP(B13,DG!A:D,4,0)</f>
        <v>kg</v>
      </c>
      <c r="F13" s="2178">
        <f>SUMIF('NT-VT'!A:A,'8TB'!B13,'NT-VT'!E:E)</f>
        <v>248</v>
      </c>
      <c r="G13" s="2178" t="str">
        <f>VLOOKUP(B13,Solieu!G:L,6,0)</f>
        <v/>
      </c>
      <c r="H13" s="2151"/>
    </row>
    <row r="14" spans="2:12" ht="21.75" customHeight="1">
      <c r="B14" s="2177" t="str">
        <f>Solieu!G74</f>
        <v>DINH</v>
      </c>
      <c r="C14" s="2180">
        <f>SUM($I$2:I14)</f>
        <v>11</v>
      </c>
      <c r="D14" s="2151" t="str">
        <f>VLOOKUP(B14,DG!A:D,3,0)</f>
        <v>Đinh các loại</v>
      </c>
      <c r="E14" s="2178" t="str">
        <f>VLOOKUP(B14,DG!A:D,4,0)</f>
        <v>kg</v>
      </c>
      <c r="F14" s="2178">
        <f>SUMIF('NT-VT'!A:A,'8TB'!B14,'NT-VT'!E:E)</f>
        <v>6.75</v>
      </c>
      <c r="G14" s="2178">
        <f>VLOOKUP(B14,Solieu!G:L,6,0)</f>
        <v>0</v>
      </c>
      <c r="H14" s="2151"/>
    </row>
    <row r="15" spans="2:12" ht="21.75" customHeight="1">
      <c r="B15" s="2177" t="str">
        <f>Solieu!G15</f>
        <v>B16250</v>
      </c>
      <c r="C15" s="2180">
        <f>SUM($I$2:I15)</f>
        <v>11</v>
      </c>
      <c r="D15" s="2151" t="str">
        <f>VLOOKUP(B15,DG!A:D,3,0)</f>
        <v>Boulon 16x250+ 2 long đền vuông D18-50x50x3/Zn</v>
      </c>
      <c r="E15" s="2178" t="str">
        <f>VLOOKUP(B15,DG!A:D,4,0)</f>
        <v>bộ</v>
      </c>
      <c r="F15" s="2178">
        <f>SUMIF('NT-VT'!A:A,'8TB'!B15,'NT-VT'!E:E)</f>
        <v>302</v>
      </c>
      <c r="G15" s="2178" t="str">
        <f>VLOOKUP(B15,Solieu!G:L,6,0)</f>
        <v/>
      </c>
      <c r="H15" s="2151"/>
    </row>
    <row r="16" spans="2:12" ht="21.75" customHeight="1">
      <c r="B16" s="2177" t="str">
        <f>Solieu!G16</f>
        <v>B16300</v>
      </c>
      <c r="C16" s="2180">
        <f>SUM($I$2:I16)</f>
        <v>11</v>
      </c>
      <c r="D16" s="2151" t="str">
        <f>VLOOKUP(B16,DG!A:D,3,0)</f>
        <v>Boulon 16x300+ 2 long đền vuông D18-50x50x3/Zn</v>
      </c>
      <c r="E16" s="2178" t="str">
        <f>VLOOKUP(B16,DG!A:D,4,0)</f>
        <v>bộ</v>
      </c>
      <c r="F16" s="2178">
        <f>SUMIF('NT-VT'!A:A,'8TB'!B16,'NT-VT'!E:E)</f>
        <v>231</v>
      </c>
      <c r="G16" s="2178" t="str">
        <f>VLOOKUP(B16,Solieu!G:L,6,0)</f>
        <v>KT3-03645ACK9/2</v>
      </c>
      <c r="H16" s="2151"/>
    </row>
    <row r="17" spans="2:10">
      <c r="B17" s="2177" t="str">
        <f>Solieu!G17</f>
        <v>B16300v</v>
      </c>
      <c r="C17" s="2180">
        <f>SUM($I$2:I17)</f>
        <v>11</v>
      </c>
      <c r="D17" s="2151" t="str">
        <f>VLOOKUP(B17,DG!A:D,3,0)</f>
        <v>Boulon 16x300VRS+ 4 long đền vuông D18-50x50x3/Zn</v>
      </c>
      <c r="E17" s="2178" t="str">
        <f>VLOOKUP(B17,DG!A:D,4,0)</f>
        <v>bộ</v>
      </c>
      <c r="F17" s="2178">
        <f>SUMIF('NT-VT'!A:A,'8TB'!B17,'NT-VT'!E:E)</f>
        <v>44</v>
      </c>
      <c r="G17" s="2178" t="str">
        <f>VLOOKUP(B17,Solieu!G:L,6,0)</f>
        <v/>
      </c>
      <c r="H17" s="2151"/>
    </row>
    <row r="18" spans="2:10">
      <c r="B18" s="2177" t="str">
        <f>Solieu!G18</f>
        <v>B1650</v>
      </c>
      <c r="C18" s="2180">
        <f>SUM($I$2:I18)</f>
        <v>11</v>
      </c>
      <c r="D18" s="2151" t="str">
        <f>VLOOKUP(B18,DG!A:D,3,0)</f>
        <v>Boulon 16x50+ 2 long đền vuông D18-50x50x3/Zn</v>
      </c>
      <c r="E18" s="2178" t="str">
        <f>VLOOKUP(B18,DG!A:D,4,0)</f>
        <v>bộ</v>
      </c>
      <c r="F18" s="2178">
        <f>SUMIF('NT-VT'!A:A,'8TB'!B18,'NT-VT'!E:E)</f>
        <v>227</v>
      </c>
      <c r="G18" s="2178" t="str">
        <f>VLOOKUP(B18,Solieu!G:L,6,0)</f>
        <v/>
      </c>
      <c r="H18" s="2151"/>
      <c r="J18" s="1743"/>
    </row>
    <row r="19" spans="2:10">
      <c r="B19" s="2177" t="str">
        <f>Solieu!G19</f>
        <v>B16500</v>
      </c>
      <c r="C19" s="2180">
        <f>SUM($I$2:I19)</f>
        <v>11</v>
      </c>
      <c r="D19" s="2151" t="str">
        <f>VLOOKUP(B19,DG!A:D,3,0)</f>
        <v>Boulon 16x500+ 2 long đền vuông D18-50x50x3/Zn</v>
      </c>
      <c r="E19" s="2178" t="str">
        <f>VLOOKUP(B19,DG!A:D,4,0)</f>
        <v>bộ</v>
      </c>
      <c r="F19" s="2178">
        <f>SUMIF('NT-VT'!A:A,'8TB'!B19,'NT-VT'!E:E)</f>
        <v>20</v>
      </c>
      <c r="G19" s="2178">
        <f>VLOOKUP(B19,Solieu!G:L,6,0)</f>
        <v>0</v>
      </c>
      <c r="H19" s="2151"/>
    </row>
    <row r="20" spans="2:10">
      <c r="B20" s="2177" t="str">
        <f>Solieu!G20</f>
        <v>B16500V</v>
      </c>
      <c r="C20" s="2180">
        <f>SUM($I$2:I20)</f>
        <v>11</v>
      </c>
      <c r="D20" s="2151" t="str">
        <f>VLOOKUP(B20,DG!A:D,3,0)</f>
        <v>Boulon 16x500VRS+ 4 long đền vuông D18-50x50x3/Zn</v>
      </c>
      <c r="E20" s="2178" t="str">
        <f>VLOOKUP(B20,DG!A:D,4,0)</f>
        <v>bộ</v>
      </c>
      <c r="F20" s="2178">
        <f>SUMIF('NT-VT'!A:A,'8TB'!B20,'NT-VT'!E:E)</f>
        <v>0</v>
      </c>
      <c r="G20" s="2178">
        <f>VLOOKUP(B20,Solieu!G:L,6,0)</f>
        <v>0</v>
      </c>
      <c r="H20" s="2151"/>
    </row>
    <row r="21" spans="2:10">
      <c r="B21" s="2177" t="str">
        <f>Solieu!G21</f>
        <v>B16550V</v>
      </c>
      <c r="C21" s="2180">
        <f>SUM($I$2:I21)</f>
        <v>11</v>
      </c>
      <c r="D21" s="2151" t="str">
        <f>VLOOKUP(B21,DG!A:D,3,0)</f>
        <v>Boulon 16x550VRS+ 4 long đền vuông D18-50x50x3/Zn</v>
      </c>
      <c r="E21" s="2178" t="str">
        <f>VLOOKUP(B21,DG!A:D,4,0)</f>
        <v>bộ</v>
      </c>
      <c r="F21" s="2178">
        <f>SUMIF('NT-VT'!A:A,'8TB'!B21,'NT-VT'!E:E)</f>
        <v>50</v>
      </c>
      <c r="G21" s="2178">
        <f>VLOOKUP(B21,Solieu!G:L,6,0)</f>
        <v>0</v>
      </c>
      <c r="H21" s="2151"/>
    </row>
    <row r="22" spans="2:10">
      <c r="B22" s="2177" t="str">
        <f>Solieu!G22</f>
        <v>B16650V</v>
      </c>
      <c r="C22" s="2180">
        <f>SUM($I$2:I22)</f>
        <v>11</v>
      </c>
      <c r="D22" s="2151" t="str">
        <f>VLOOKUP(B22,DG!A:D,3,0)</f>
        <v>Boulon 16x650VRS+ 4 long đền vuông D18-50x50x3/Zn</v>
      </c>
      <c r="E22" s="2178" t="str">
        <f>VLOOKUP(B22,DG!A:D,4,0)</f>
        <v>bộ</v>
      </c>
      <c r="F22" s="2178">
        <f>SUMIF('NT-VT'!A:A,'8TB'!B22,'NT-VT'!E:E)</f>
        <v>10</v>
      </c>
      <c r="G22" s="2178">
        <f>VLOOKUP(B22,Solieu!G:L,6,0)</f>
        <v>0</v>
      </c>
      <c r="H22" s="2151"/>
    </row>
    <row r="23" spans="2:10">
      <c r="B23" s="2177" t="str">
        <f>Solieu!G23</f>
        <v>B16750V</v>
      </c>
      <c r="C23" s="2180">
        <f>SUM($I$2:I23)</f>
        <v>11</v>
      </c>
      <c r="D23" s="2151" t="str">
        <f>VLOOKUP(B23,DG!A:D,3,0)</f>
        <v>Boulon 16x750VRS+ 4 long đền vuông D18-50x50x3/Zn</v>
      </c>
      <c r="E23" s="2178" t="str">
        <f>VLOOKUP(B23,DG!A:D,4,0)</f>
        <v>bộ</v>
      </c>
      <c r="F23" s="2178">
        <f>SUMIF('NT-VT'!A:A,'8TB'!B23,'NT-VT'!E:E)</f>
        <v>10</v>
      </c>
      <c r="G23" s="2178">
        <f>VLOOKUP(B23,Solieu!G:L,6,0)</f>
        <v>0</v>
      </c>
      <c r="H23" s="2151"/>
      <c r="J23" s="1743"/>
    </row>
    <row r="24" spans="2:10">
      <c r="B24" s="2177" t="str">
        <f>Solieu!G24</f>
        <v>b22650</v>
      </c>
      <c r="C24" s="2180">
        <f>SUM($I$2:I24)</f>
        <v>11</v>
      </c>
      <c r="D24" s="2151" t="str">
        <f>VLOOKUP(B24,DG!A:D,3,0)</f>
        <v>Boulon 22x650+ 2 long đền vuông D24-50x50x3/Zn</v>
      </c>
      <c r="E24" s="2178" t="str">
        <f>VLOOKUP(B24,DG!A:D,4,0)</f>
        <v>bộ</v>
      </c>
      <c r="F24" s="2178">
        <f>SUMIF('NT-VT'!A:A,'8TB'!B24,'NT-VT'!E:E)</f>
        <v>55</v>
      </c>
      <c r="G24" s="2178">
        <f>VLOOKUP(B24,Solieu!G:L,6,0)</f>
        <v>0</v>
      </c>
      <c r="H24" s="2151"/>
    </row>
    <row r="25" spans="2:10">
      <c r="B25" s="2177"/>
      <c r="C25" s="2180">
        <f>SUM($I$2:I25)</f>
        <v>11</v>
      </c>
      <c r="D25" s="2151" t="e">
        <f>VLOOKUP(B25,DG!A:D,3,0)</f>
        <v>#N/A</v>
      </c>
      <c r="E25" s="2178" t="e">
        <f>VLOOKUP(B25,DG!A:D,4,0)</f>
        <v>#N/A</v>
      </c>
      <c r="F25" s="2178">
        <f>SUMIF('NT-VT'!A:A,'8TB'!B25,'NT-VT'!E:E)</f>
        <v>0</v>
      </c>
      <c r="G25" s="2178" t="e">
        <f>VLOOKUP(B25,Solieu!G:L,6,0)</f>
        <v>#N/A</v>
      </c>
      <c r="H25" s="2151"/>
    </row>
    <row r="26" spans="2:10">
      <c r="B26" s="2177"/>
      <c r="C26" s="2180">
        <f>SUM($I$2:I26)</f>
        <v>11</v>
      </c>
      <c r="D26" s="2151" t="e">
        <f>VLOOKUP(B26,DG!A:D,3,0)</f>
        <v>#N/A</v>
      </c>
      <c r="E26" s="2178" t="e">
        <f>VLOOKUP(B26,DG!A:D,4,0)</f>
        <v>#N/A</v>
      </c>
      <c r="F26" s="2178">
        <f>SUMIF('NT-VT'!A:A,'8TB'!B26,'NT-VT'!E:E)</f>
        <v>0</v>
      </c>
      <c r="G26" s="2178" t="e">
        <f>VLOOKUP(B26,Solieu!G:L,6,0)</f>
        <v>#N/A</v>
      </c>
      <c r="H26" s="1776"/>
    </row>
    <row r="27" spans="2:10">
      <c r="B27" s="2177"/>
      <c r="C27" s="2180">
        <f>SUM($I$2:I27)</f>
        <v>11</v>
      </c>
      <c r="D27" s="2151" t="e">
        <f>VLOOKUP(B27,DG!A:D,3,0)</f>
        <v>#N/A</v>
      </c>
      <c r="E27" s="2178" t="e">
        <f>VLOOKUP(B27,DG!A:D,4,0)</f>
        <v>#N/A</v>
      </c>
      <c r="F27" s="2178">
        <f>SUMIF('NT-VT'!A:A,'8TB'!B27,'NT-VT'!E:E)</f>
        <v>0</v>
      </c>
      <c r="G27" s="2178" t="e">
        <f>VLOOKUP(B27,Solieu!G:L,6,0)</f>
        <v>#N/A</v>
      </c>
      <c r="H27" s="1776"/>
      <c r="J27" s="1743"/>
    </row>
    <row r="28" spans="2:10">
      <c r="B28" s="2177"/>
      <c r="C28" s="2180">
        <f>SUM($I$2:I28)</f>
        <v>11</v>
      </c>
      <c r="D28" s="2151" t="e">
        <f>VLOOKUP(B28,DG!A:D,3,0)</f>
        <v>#N/A</v>
      </c>
      <c r="E28" s="2178" t="e">
        <f>VLOOKUP(B28,DG!A:D,4,0)</f>
        <v>#N/A</v>
      </c>
      <c r="F28" s="2178">
        <f>SUMIF('NT-VT'!A:A,'8TB'!B28,'NT-VT'!E:E)</f>
        <v>0</v>
      </c>
      <c r="G28" s="2178" t="e">
        <f>VLOOKUP(B28,Solieu!G:L,6,0)</f>
        <v>#N/A</v>
      </c>
      <c r="H28" s="1776"/>
      <c r="J28" s="2009"/>
    </row>
    <row r="29" spans="2:10">
      <c r="B29" s="2177"/>
      <c r="C29" s="2180">
        <f>SUM($I$2:I29)</f>
        <v>11</v>
      </c>
      <c r="D29" s="2151" t="e">
        <f>VLOOKUP(B29,DG!A:D,3,0)</f>
        <v>#N/A</v>
      </c>
      <c r="E29" s="2178" t="e">
        <f>VLOOKUP(B29,DG!A:D,4,0)</f>
        <v>#N/A</v>
      </c>
      <c r="F29" s="2178">
        <f>SUMIF('NT-VT'!A:A,'8TB'!B29,'NT-VT'!E:E)</f>
        <v>0</v>
      </c>
      <c r="G29" s="2178" t="e">
        <f>VLOOKUP(B29,Solieu!G:L,6,0)</f>
        <v>#N/A</v>
      </c>
      <c r="H29" s="1776"/>
      <c r="J29" s="2009"/>
    </row>
    <row r="30" spans="2:10">
      <c r="C30" s="1743"/>
      <c r="E30" s="1812"/>
      <c r="F30" s="1812"/>
      <c r="G30" s="2178" t="e">
        <f>VLOOKUP(B30,Solieu!G:L,6,0)</f>
        <v>#N/A</v>
      </c>
      <c r="H30" s="1743"/>
    </row>
    <row r="31" spans="2:10">
      <c r="G31" s="2178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90625" defaultRowHeight="16.8"/>
  <cols>
    <col min="1" max="1" width="8.90625" style="1750"/>
    <col min="2" max="2" width="14.453125" style="1522" customWidth="1"/>
    <col min="3" max="3" width="5.36328125" style="1750" customWidth="1"/>
    <col min="4" max="4" width="43.453125" style="1750" customWidth="1"/>
    <col min="5" max="5" width="11.54296875" style="1750" customWidth="1"/>
    <col min="6" max="6" width="9.54296875" style="1750" customWidth="1"/>
    <col min="7" max="7" width="10.54296875" style="1750" customWidth="1"/>
    <col min="8" max="8" width="11.54296875" style="1750" customWidth="1"/>
    <col min="9" max="16384" width="8.90625" style="1750"/>
  </cols>
  <sheetData>
    <row r="3" spans="1:10">
      <c r="G3" s="1750" t="s">
        <v>2009</v>
      </c>
    </row>
    <row r="4" spans="1:10">
      <c r="D4" s="2651" t="str">
        <f>"- Tiếp địa TBA tại vị trí trụ số:"&amp;F4&amp;"."</f>
        <v>- Tiếp địa TBA tại vị trí trụ số:015/002.</v>
      </c>
      <c r="E4" s="2651"/>
      <c r="F4" s="1750" t="s">
        <v>4890</v>
      </c>
    </row>
    <row r="5" spans="1:10">
      <c r="D5" s="2651" t="str">
        <f>"- Tiếp địa lặp lại đường dây trung thế tại vị trí trụ số: "&amp;F5&amp;"."</f>
        <v>- Tiếp địa lặp lại đường dây trung thế tại vị trí trụ số: 015.</v>
      </c>
      <c r="E5" s="2651"/>
      <c r="F5" s="2148" t="s">
        <v>4883</v>
      </c>
    </row>
    <row r="6" spans="1:10">
      <c r="D6" s="2651" t="str">
        <f>"- Tiếp địa lặp lại đường dây hạ thế tại vị trí trụ số: "&amp;F6&amp;"."</f>
        <v>- Tiếp địa lặp lại đường dây hạ thế tại vị trí trụ số: .</v>
      </c>
      <c r="E6" s="2651"/>
      <c r="G6" s="1750" t="s">
        <v>515</v>
      </c>
    </row>
    <row r="8" spans="1:10" ht="33.6">
      <c r="C8" s="1735" t="s">
        <v>1761</v>
      </c>
      <c r="D8" s="1735" t="s">
        <v>4390</v>
      </c>
      <c r="E8" s="1735" t="s">
        <v>4393</v>
      </c>
      <c r="F8" s="1735" t="s">
        <v>4394</v>
      </c>
      <c r="G8" s="1764" t="s">
        <v>2009</v>
      </c>
    </row>
    <row r="9" spans="1:10" ht="33.6" hidden="1">
      <c r="C9" s="1765">
        <v>1</v>
      </c>
      <c r="D9" s="2183" t="str">
        <f>"Lắp đặt hệ thống lưới tiếp địa TBA "&amp;G9&amp;" xây dựng mới (01 hệ thống)."</f>
        <v>Lắp đặt hệ thống lưới tiếp địa TBA 0 xây dựng mới (01 hệ thống).</v>
      </c>
      <c r="E9" s="2157"/>
      <c r="F9" s="2064"/>
      <c r="G9" s="1750">
        <v>0</v>
      </c>
      <c r="H9" s="1749" t="s">
        <v>4751</v>
      </c>
    </row>
    <row r="10" spans="1:10" hidden="1">
      <c r="A10" s="1522" t="s">
        <v>1063</v>
      </c>
      <c r="C10" s="1810"/>
      <c r="D10" s="2147" t="e">
        <f>"       "&amp;VLOOKUP(B10,DG!A:C,3,0)&amp;": "&amp;TEXT(G10,"00")&amp;H10&amp;"."&amp;I10</f>
        <v>#N/A</v>
      </c>
      <c r="E10" s="2160"/>
      <c r="F10" s="1810"/>
      <c r="G10" s="2182">
        <f>SUMIF(CT_tram!B:B,'9TD'!B10,CT_tram!G:G)</f>
        <v>0</v>
      </c>
      <c r="H10" s="1750" t="e">
        <f>VLOOKUP(B10,DG!A:D,4,0)</f>
        <v>#N/A</v>
      </c>
      <c r="I10" s="1750" t="s">
        <v>4898</v>
      </c>
      <c r="J10" s="1750">
        <f>G10*2.02</f>
        <v>0</v>
      </c>
    </row>
    <row r="11" spans="1:10" hidden="1">
      <c r="A11" s="1522" t="s">
        <v>1560</v>
      </c>
      <c r="C11" s="1810"/>
      <c r="D11" s="2147" t="e">
        <f>"       "&amp;VLOOKUP(B11,DG!A:C,3,0)&amp;": "&amp;TEXT(G11,"00")&amp;H11&amp;"."</f>
        <v>#N/A</v>
      </c>
      <c r="E11" s="2160" t="str">
        <f>VLOOKUP(H9,Solieu!B:C,2,0)</f>
        <v>02</v>
      </c>
      <c r="F11" s="2157" t="s">
        <v>4373</v>
      </c>
      <c r="G11" s="2182">
        <f>SUMIF(CT_tram!B:B,'9TD'!B11,CT_tram!G:G)</f>
        <v>0</v>
      </c>
      <c r="H11" s="1750" t="s">
        <v>2341</v>
      </c>
    </row>
    <row r="12" spans="1:10" hidden="1">
      <c r="A12" s="1522"/>
      <c r="C12" s="1810"/>
      <c r="D12" s="2147" t="s">
        <v>4895</v>
      </c>
      <c r="E12" s="1810"/>
      <c r="F12" s="1810"/>
      <c r="G12" s="2182">
        <f>SUMIF(CT_tram!B:B,'9TD'!B12,CT_tram!G:G)</f>
        <v>0</v>
      </c>
      <c r="H12" s="1750" t="e">
        <f>VLOOKUP(B12,DG!A:D,4,0)</f>
        <v>#N/A</v>
      </c>
    </row>
    <row r="13" spans="1:10" hidden="1">
      <c r="A13" s="1522"/>
      <c r="C13" s="1760"/>
      <c r="D13" s="2006" t="s">
        <v>4896</v>
      </c>
      <c r="E13" s="1760"/>
      <c r="F13" s="2160"/>
      <c r="G13" s="2182">
        <f>SUMIF(CT_tram!B:B,'9TD'!B13,CT_tram!G:G)</f>
        <v>0</v>
      </c>
      <c r="H13" s="1750" t="e">
        <f>VLOOKUP(B13,DG!A:D,4,0)</f>
        <v>#N/A</v>
      </c>
    </row>
    <row r="14" spans="1:10" ht="33.6" hidden="1">
      <c r="A14" s="1522"/>
      <c r="C14" s="2160">
        <v>2</v>
      </c>
      <c r="D14" s="2184" t="s">
        <v>4398</v>
      </c>
      <c r="E14" s="2192"/>
      <c r="F14" s="2159"/>
      <c r="G14" s="2194">
        <f>SUMIF(CT_tram!B:B,'9TD'!B14,CT_tram!G:G)</f>
        <v>0</v>
      </c>
    </row>
    <row r="15" spans="1:10" hidden="1">
      <c r="A15" s="2185" t="s">
        <v>103</v>
      </c>
      <c r="B15" s="2185"/>
      <c r="C15" s="2160"/>
      <c r="D15" s="2147" t="e">
        <f ca="1">"       "&amp;VLOOKUP(B15,DG!A:C,3,0)&amp;": "&amp;TEXT(G15,"00")&amp;H15&amp;"."</f>
        <v>#N/A</v>
      </c>
      <c r="E15" s="2193" t="str">
        <f>VLOOKUP(H9,Solieu!B:C,2,0)</f>
        <v>02</v>
      </c>
      <c r="F15" s="2161" t="s">
        <v>4373</v>
      </c>
      <c r="G15" s="2194">
        <f ca="1">SUMIF(chitiet!B:B,'9TD'!B15,chitiet!P:P)</f>
        <v>0</v>
      </c>
      <c r="H15" s="1750" t="e">
        <f>VLOOKUP(B15,DG!A:D,4,0)</f>
        <v>#N/A</v>
      </c>
    </row>
    <row r="16" spans="1:10" hidden="1">
      <c r="A16" s="2185" t="s">
        <v>1560</v>
      </c>
      <c r="B16" s="2185"/>
      <c r="C16" s="2160"/>
      <c r="D16" s="2147" t="e">
        <f ca="1">"       "&amp;VLOOKUP(B16,DG!A:C,3,0)&amp;": "&amp;TEXT(G16,"00")&amp;H16&amp;"."</f>
        <v>#N/A</v>
      </c>
      <c r="E16" s="2193"/>
      <c r="F16" s="2160"/>
      <c r="G16" s="2194">
        <f ca="1">SUMIF(chitiet!B:B,'9TD'!B16,chitiet!P:P)</f>
        <v>0</v>
      </c>
      <c r="H16" s="1750" t="e">
        <f>VLOOKUP(B16,DG!A:D,4,0)</f>
        <v>#N/A</v>
      </c>
    </row>
    <row r="17" spans="1:8" hidden="1">
      <c r="A17" s="2185" t="s">
        <v>534</v>
      </c>
      <c r="B17" s="2185"/>
      <c r="C17" s="1760"/>
      <c r="D17" s="2147" t="e">
        <f ca="1">"       "&amp;VLOOKUP(B17,DG!A:C,3,0)&amp;": "&amp;TEXT(G17,"00")&amp;H17&amp;"."</f>
        <v>#N/A</v>
      </c>
      <c r="E17" s="2193"/>
      <c r="F17" s="2160"/>
      <c r="G17" s="2194">
        <f ca="1">SUMIF(chitiet!B:B,'9TD'!B17,chitiet!P:P)</f>
        <v>0</v>
      </c>
      <c r="H17" s="1750" t="e">
        <f>VLOOKUP(B17,DG!A:D,4,0)</f>
        <v>#N/A</v>
      </c>
    </row>
    <row r="18" spans="1:8" ht="33.6">
      <c r="C18" s="2159"/>
      <c r="D18" s="2195" t="s">
        <v>4897</v>
      </c>
      <c r="E18" s="2192"/>
      <c r="F18" s="2159"/>
      <c r="G18" s="2194">
        <f>ppht!BQ342</f>
        <v>0</v>
      </c>
    </row>
    <row r="19" spans="1:8">
      <c r="B19" s="2267"/>
      <c r="C19" s="2187"/>
      <c r="D19" s="2196" t="str">
        <f>"Số lượng bộ tiếp địa: "&amp;TEXT(G19,"00")&amp;H19</f>
        <v>Số lượng bộ tiếp địa: 00 bộ</v>
      </c>
      <c r="E19" s="2193" t="str">
        <f>VLOOKUP(H9,Solieu!B:C,2,0)</f>
        <v>02</v>
      </c>
      <c r="F19" s="2161" t="s">
        <v>4373</v>
      </c>
      <c r="G19" s="2194">
        <f>ppht!BQ342</f>
        <v>0</v>
      </c>
      <c r="H19" s="1750" t="s">
        <v>4872</v>
      </c>
    </row>
    <row r="20" spans="1:8">
      <c r="B20" s="1959" t="s">
        <v>103</v>
      </c>
      <c r="C20" s="2187"/>
      <c r="D20" s="2196" t="str">
        <f ca="1">chitiet!E582&amp;"/bộ ("&amp;ROUND(G20,1)&amp;H20&amp;")"</f>
        <v>Cáp đồng trần M25mm2 : 9m/bộ (0kg)</v>
      </c>
      <c r="E20" s="2197"/>
      <c r="F20" s="2190"/>
      <c r="G20" s="2194">
        <f ca="1">SUMIF(chitiet!B:B,'9TD'!B20,chitiet!P:P)</f>
        <v>0</v>
      </c>
      <c r="H20" s="1750" t="s">
        <v>2310</v>
      </c>
    </row>
    <row r="21" spans="1:8">
      <c r="B21" s="1522" t="s">
        <v>1560</v>
      </c>
      <c r="C21" s="2188"/>
      <c r="D21" s="2196" t="str">
        <f ca="1">chitiet!E583&amp;": "&amp;ROUND(G21,1)&amp;" "&amp;H21</f>
        <v>Cọc tiếp đất Ø 16- 2,4m + kẹp cọc: 0 cọc.</v>
      </c>
      <c r="E21" s="2198"/>
      <c r="F21" s="2191"/>
      <c r="G21" s="2194">
        <f ca="1">SUMIF(chitiet!B:B,'9TD'!B21,chitiet!P:P)</f>
        <v>0</v>
      </c>
      <c r="H21" s="1750" t="s">
        <v>4824</v>
      </c>
    </row>
    <row r="25" spans="1:8">
      <c r="B25" s="2185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13" workbookViewId="0">
      <selection activeCell="A32" sqref="A32"/>
    </sheetView>
  </sheetViews>
  <sheetFormatPr defaultColWidth="8.90625" defaultRowHeight="16.8"/>
  <cols>
    <col min="1" max="2" width="8.90625" style="1516"/>
    <col min="3" max="3" width="6.1796875" style="1516" customWidth="1"/>
    <col min="4" max="4" width="39.6328125" style="1743" customWidth="1"/>
    <col min="5" max="5" width="11.08984375" style="1516" customWidth="1"/>
    <col min="6" max="6" width="8.90625" style="1516"/>
    <col min="7" max="7" width="13.36328125" style="1516" customWidth="1"/>
    <col min="8" max="8" width="11.90625" style="1743" customWidth="1"/>
    <col min="9" max="16384" width="8.90625" style="1516"/>
  </cols>
  <sheetData>
    <row r="6" spans="2:8" ht="33.6">
      <c r="C6" s="2158" t="s">
        <v>1761</v>
      </c>
      <c r="D6" s="2158" t="s">
        <v>4390</v>
      </c>
      <c r="E6" s="2158" t="s">
        <v>4393</v>
      </c>
      <c r="F6" s="2158" t="s">
        <v>4394</v>
      </c>
    </row>
    <row r="7" spans="2:8" ht="31.2">
      <c r="C7" s="2152">
        <v>1</v>
      </c>
      <c r="D7" s="2154" t="s">
        <v>4399</v>
      </c>
      <c r="E7" s="2186" t="str">
        <f>VLOOKUP("Trụ",Solieu!B:C,2,0)</f>
        <v>18</v>
      </c>
      <c r="F7" s="2189" t="s">
        <v>4373</v>
      </c>
    </row>
    <row r="8" spans="2:8">
      <c r="B8" s="171" t="str">
        <f>"FCO100-"&amp;22</f>
        <v>FCO100-22</v>
      </c>
      <c r="C8" s="2153"/>
      <c r="D8" s="2149" t="str">
        <f>VLOOKUP(B8,DG!A:C,3,0)&amp;": "&amp;G8&amp;VLOOKUP(B8,DG!A:D,4,0)</f>
        <v>FCO 24kV - 100A: 00cái</v>
      </c>
      <c r="E8" s="2187"/>
      <c r="F8" s="2190"/>
      <c r="G8" s="1516" t="str">
        <f>TEXT(SUMIF(chitiet!B:B,'10DN'!B8,chitiet!P:P),"00")</f>
        <v>00</v>
      </c>
    </row>
    <row r="9" spans="2:8">
      <c r="B9" s="1966" t="s">
        <v>383</v>
      </c>
      <c r="C9" s="2153"/>
      <c r="D9" s="2149" t="str">
        <f>VLOOKUP(B9,DG!A:C,3,0)&amp;": "&amp;G9&amp;VLOOKUP(B9,DG!A:D,4,0)</f>
        <v>Chụp đầu cực FCO (bộ 2 cái): 00bộ</v>
      </c>
      <c r="E9" s="2187"/>
      <c r="F9" s="2190"/>
      <c r="G9" s="1516" t="str">
        <f>TEXT(SUMIF(chitiet!B:B,'10DN'!B9,chitiet!P:P),"00")</f>
        <v>00</v>
      </c>
    </row>
    <row r="10" spans="2:8">
      <c r="B10" s="1516" t="s">
        <v>922</v>
      </c>
      <c r="C10" s="2153"/>
      <c r="D10" s="2149" t="str">
        <f ca="1">VLOOKUP(B10,DG!A:C,3,0)&amp;": "&amp;G10&amp;VLOOKUP(B10,DG!A:D,4,0)</f>
        <v>Kẹp ép WR cỡ dây 50mm2: 00cái</v>
      </c>
      <c r="E10" s="2187"/>
      <c r="F10" s="2190"/>
      <c r="G10" s="1516" t="str">
        <f ca="1">TEXT(SUMIF(chitiet!B:B,'10DN'!B10,chitiet!P:P),"00")</f>
        <v>00</v>
      </c>
    </row>
    <row r="11" spans="2:8">
      <c r="B11" s="1959" t="s">
        <v>4726</v>
      </c>
      <c r="C11" s="2153"/>
      <c r="D11" s="2149" t="str">
        <f>VLOOKUP(B11,DG!A:C,3,0)&amp;": "&amp;G11&amp;VLOOKUP(B11,DG!A:D,4,0)</f>
        <v>Kẹp quai 2/0 + chụp cách điện: 00bộ</v>
      </c>
      <c r="E11" s="2187"/>
      <c r="F11" s="2190"/>
      <c r="G11" s="1516" t="str">
        <f>TEXT(SUMIF(chitiet!B:B,'10DN'!B11,chitiet!P:P),"00")</f>
        <v>00</v>
      </c>
      <c r="H11" s="1753"/>
    </row>
    <row r="12" spans="2:8">
      <c r="B12" s="1516" t="s">
        <v>1529</v>
      </c>
      <c r="C12" s="2153"/>
      <c r="D12" s="2149" t="str">
        <f>VLOOKUP(B12,DG!A:C,3,0)&amp;": "&amp;G12&amp;VLOOKUP(B12,DG!A:D,4,0)</f>
        <v>Kẹp hotline 2/0: 00cái</v>
      </c>
      <c r="E12" s="2187"/>
      <c r="F12" s="2190"/>
      <c r="G12" s="1516" t="str">
        <f>TEXT(SUMIF(chitiet!B:B,'10DN'!B12,chitiet!P:P),"00")</f>
        <v>00</v>
      </c>
    </row>
    <row r="13" spans="2:8">
      <c r="B13" s="1516" t="s">
        <v>704</v>
      </c>
      <c r="C13" s="2153"/>
      <c r="D13" s="2149" t="str">
        <f>VLOOKUP(B13,DG!A:C,3,0)&amp;": "&amp;G13&amp;VLOOKUP(B13,DG!A:D,4,0)</f>
        <v>Cáp 24KV C/XLPE/PVC 25mm2: 00mét</v>
      </c>
      <c r="E13" s="2187"/>
      <c r="F13" s="2190"/>
      <c r="G13" s="1516" t="str">
        <f>TEXT(SUMIF(chitiet!B:B,'10DN'!B13,chitiet!P:P),"00")</f>
        <v>00</v>
      </c>
    </row>
    <row r="14" spans="2:8">
      <c r="C14" s="2153"/>
      <c r="D14" s="2149" t="e">
        <f ca="1">VLOOKUP(B14,DG!A:C,3,0)&amp;": "&amp;G14&amp;VLOOKUP(B14,DG!A:D,4,0)</f>
        <v>#N/A</v>
      </c>
      <c r="E14" s="2187"/>
      <c r="F14" s="2190"/>
      <c r="G14" s="1516" t="str">
        <f ca="1">TEXT(SUMIF(chitiet!B:B,'10DN'!B14,chitiet!P:P),"00")</f>
        <v>00</v>
      </c>
    </row>
    <row r="15" spans="2:8">
      <c r="C15" s="2199"/>
      <c r="D15" s="2149" t="e">
        <f ca="1">VLOOKUP(B15,DG!A:C,3,0)&amp;": "&amp;G15&amp;VLOOKUP(B15,DG!A:D,4,0)</f>
        <v>#N/A</v>
      </c>
      <c r="E15" s="2188"/>
      <c r="F15" s="2190"/>
      <c r="G15" s="1516" t="str">
        <f ca="1">TEXT(SUMIF(chitiet!B:B,'10DN'!B15,chitiet!P:P),"00")</f>
        <v>00</v>
      </c>
    </row>
    <row r="16" spans="2:8" ht="21.75" customHeight="1">
      <c r="B16" s="1959"/>
      <c r="C16" s="2152"/>
      <c r="D16" s="2154" t="s">
        <v>4873</v>
      </c>
      <c r="E16" s="2159" t="str">
        <f>VLOOKUP("Trụ",Solieu!B:C,2,0)</f>
        <v>18</v>
      </c>
      <c r="F16" s="2189" t="s">
        <v>4373</v>
      </c>
      <c r="G16" s="1516">
        <f>SUM(G17:G19)</f>
        <v>0</v>
      </c>
    </row>
    <row r="17" spans="2:7">
      <c r="B17" s="1959" t="s">
        <v>36</v>
      </c>
      <c r="C17" s="2153"/>
      <c r="D17" s="2149" t="str">
        <f>VLOOKUP(B17,DG!A:C,3,0)&amp;": "&amp;TEXT(G17,"00")&amp;" "&amp;VLOOKUP(B17,DG!A:D,4,0)</f>
        <v>Kẹp ép WR cỡ dây 95mm2: 00 cái</v>
      </c>
      <c r="E17" s="2160"/>
      <c r="F17" s="2190"/>
      <c r="G17" s="1516">
        <f>SUMIF(chitiet!B:B,'10DN'!B17,chitiet!P:P)</f>
        <v>0</v>
      </c>
    </row>
    <row r="18" spans="2:7">
      <c r="B18" s="1959" t="s">
        <v>4927</v>
      </c>
      <c r="C18" s="2153"/>
      <c r="D18" s="2149" t="str">
        <f>VLOOKUP(B18,DG!A:C,3,0)&amp;": "&amp;TEXT(G18,"00")&amp;" "&amp;VLOOKUP(B18,DG!A:D,4,0)</f>
        <v>Đầu cosse ép Cu-Al 95mm2: 00 cái</v>
      </c>
      <c r="E18" s="2160"/>
      <c r="F18" s="2190"/>
      <c r="G18" s="1516">
        <f>SUMIF(chitiet!B:B,'10DN'!B18,chitiet!P:P)</f>
        <v>0</v>
      </c>
    </row>
    <row r="19" spans="2:7">
      <c r="B19" s="2150" t="s">
        <v>4252</v>
      </c>
      <c r="C19" s="2153"/>
      <c r="D19" s="2149" t="str">
        <f>VLOOKUP(B19,DG!A:C,3,0)&amp;": "&amp;TEXT(G19,"00")&amp;" "&amp;VLOOKUP(B19,DG!A:D,4,0)</f>
        <v>Hộp CB phân đoạn: 00 hộp</v>
      </c>
      <c r="E19" s="2160"/>
      <c r="F19" s="2191"/>
      <c r="G19" s="1516">
        <f>SUMIF(chitiet!B:B,'10DN'!B19,chitiet!P:P)</f>
        <v>0</v>
      </c>
    </row>
    <row r="20" spans="2:7" ht="37.5" customHeight="1">
      <c r="B20" s="1516" t="s">
        <v>4928</v>
      </c>
      <c r="C20" s="902"/>
      <c r="D20" s="2149" t="str">
        <f>VLOOKUP(B20,DG!A:C,3,0)&amp;": "&amp;TEXT(G20,"00")&amp;" "&amp;VLOOKUP(B20,DG!A:D,4,0)</f>
        <v>MCCB 3 cực 125A: 00 cái</v>
      </c>
      <c r="E20" s="902"/>
      <c r="F20" s="902"/>
      <c r="G20" s="1516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H56"/>
  <sheetViews>
    <sheetView zoomScaleNormal="100" workbookViewId="0">
      <selection activeCell="E12" sqref="E12"/>
    </sheetView>
  </sheetViews>
  <sheetFormatPr defaultColWidth="8.90625" defaultRowHeight="14.4"/>
  <cols>
    <col min="1" max="1" width="8.90625" style="989"/>
    <col min="2" max="2" width="8.90625" style="935"/>
    <col min="3" max="3" width="30.6328125" style="949" customWidth="1"/>
    <col min="4" max="4" width="7.36328125" style="935" customWidth="1"/>
    <col min="5" max="5" width="7.453125" style="935" customWidth="1"/>
    <col min="6" max="6" width="8.36328125" style="935" customWidth="1"/>
    <col min="7" max="7" width="10.453125" style="935" customWidth="1"/>
    <col min="8" max="8" width="8.90625" style="1811"/>
    <col min="9" max="16384" width="8.90625" style="935"/>
  </cols>
  <sheetData>
    <row r="1" spans="1:8" ht="30" customHeight="1">
      <c r="B1" s="952" t="s">
        <v>4400</v>
      </c>
      <c r="C1" s="1023"/>
      <c r="D1" s="952"/>
      <c r="E1" s="952"/>
      <c r="F1" s="952"/>
      <c r="G1" s="952"/>
    </row>
    <row r="2" spans="1:8" ht="24" customHeight="1">
      <c r="B2" s="2652" t="s">
        <v>1761</v>
      </c>
      <c r="C2" s="2653" t="s">
        <v>4305</v>
      </c>
      <c r="D2" s="2654" t="s">
        <v>2671</v>
      </c>
      <c r="E2" s="2655" t="s">
        <v>4306</v>
      </c>
      <c r="F2" s="2655"/>
      <c r="G2" s="2655" t="s">
        <v>4307</v>
      </c>
      <c r="H2" s="1811" t="s">
        <v>4759</v>
      </c>
    </row>
    <row r="3" spans="1:8" ht="23.25" customHeight="1">
      <c r="A3" s="1024" t="s">
        <v>4358</v>
      </c>
      <c r="B3" s="2652"/>
      <c r="C3" s="2653"/>
      <c r="D3" s="2653"/>
      <c r="E3" s="965" t="s">
        <v>4396</v>
      </c>
      <c r="F3" s="965" t="s">
        <v>4308</v>
      </c>
      <c r="G3" s="2655"/>
      <c r="H3" s="1811" t="s">
        <v>4760</v>
      </c>
    </row>
    <row r="4" spans="1:8" ht="33.75" customHeight="1">
      <c r="B4" s="1025">
        <v>1</v>
      </c>
      <c r="C4" s="972" t="str">
        <f>KTCT!C35</f>
        <v>Móng M8</v>
      </c>
      <c r="D4" s="968" t="str">
        <f>KTCT!D35</f>
        <v>Móng</v>
      </c>
      <c r="E4" s="968">
        <f ca="1">KTCT!E35</f>
        <v>0</v>
      </c>
      <c r="F4" s="968">
        <f ca="1">KTCT!F35</f>
        <v>0</v>
      </c>
      <c r="G4" s="1027"/>
    </row>
    <row r="5" spans="1:8" ht="35.1" customHeight="1">
      <c r="B5" s="1025">
        <f>B4+1</f>
        <v>2</v>
      </c>
      <c r="C5" s="972" t="str">
        <f>KTCT!C36</f>
        <v>Móng bê tông trụ đôi 8,5m</v>
      </c>
      <c r="D5" s="968" t="str">
        <f>KTCT!D36</f>
        <v>Móng</v>
      </c>
      <c r="E5" s="968">
        <f ca="1">KTCT!E36</f>
        <v>0</v>
      </c>
      <c r="F5" s="968">
        <f ca="1">KTCT!F36</f>
        <v>0</v>
      </c>
      <c r="G5" s="1027"/>
    </row>
    <row r="6" spans="1:8" ht="35.1" customHeight="1">
      <c r="B6" s="1025">
        <f t="shared" ref="B6:B48" si="0">B5+1</f>
        <v>3</v>
      </c>
      <c r="C6" s="972" t="str">
        <f>KTCT!C37</f>
        <v>Tiếp địa lặp lại trụ 8.5m cáp ABC</v>
      </c>
      <c r="D6" s="968" t="str">
        <f>KTCT!D37</f>
        <v>Bộ</v>
      </c>
      <c r="E6" s="968">
        <f ca="1">KTCT!E37</f>
        <v>0</v>
      </c>
      <c r="F6" s="968">
        <f ca="1">KTCT!F37</f>
        <v>0</v>
      </c>
      <c r="G6" s="1027"/>
    </row>
    <row r="7" spans="1:8" ht="35.1" customHeight="1">
      <c r="B7" s="1025">
        <f t="shared" si="0"/>
        <v>4</v>
      </c>
      <c r="C7" s="972" t="str">
        <f>KTCT!C38</f>
        <v>Trụ bê tông ly tâm 8.4m</v>
      </c>
      <c r="D7" s="968" t="str">
        <f>KTCT!D38</f>
        <v>Trụ</v>
      </c>
      <c r="E7" s="968">
        <f ca="1">KTCT!E38</f>
        <v>0</v>
      </c>
      <c r="F7" s="968">
        <f ca="1">KTCT!F38</f>
        <v>0</v>
      </c>
      <c r="G7" s="1027"/>
    </row>
    <row r="8" spans="1:8" ht="35.1" customHeight="1">
      <c r="B8" s="1025">
        <f t="shared" si="0"/>
        <v>5</v>
      </c>
      <c r="C8" s="972" t="str">
        <f>KTCT!C39</f>
        <v>Cáp nhôm ABC 4x95mm2</v>
      </c>
      <c r="D8" s="968" t="str">
        <f>KTCT!D39</f>
        <v>mét</v>
      </c>
      <c r="E8" s="968">
        <f ca="1">KTCT!E39</f>
        <v>0</v>
      </c>
      <c r="F8" s="968">
        <f ca="1">KTCT!F39</f>
        <v>0</v>
      </c>
      <c r="G8" s="1027"/>
    </row>
    <row r="9" spans="1:8" ht="35.1" customHeight="1">
      <c r="B9" s="1025">
        <f t="shared" si="0"/>
        <v>6</v>
      </c>
      <c r="C9" s="972" t="str">
        <f>KTCT!C40</f>
        <v>Cáp đồng bọc CV25</v>
      </c>
      <c r="D9" s="968" t="str">
        <f>KTCT!D40</f>
        <v>mét</v>
      </c>
      <c r="E9" s="968">
        <f ca="1">KTCT!E40</f>
        <v>0</v>
      </c>
      <c r="F9" s="968">
        <f ca="1">KTCT!F40</f>
        <v>0</v>
      </c>
      <c r="G9" s="1027"/>
    </row>
    <row r="10" spans="1:8" ht="35.1" customHeight="1">
      <c r="B10" s="1025">
        <f t="shared" si="0"/>
        <v>7</v>
      </c>
      <c r="C10" s="972" t="str">
        <f>KTCT!C41</f>
        <v>MCCB 3 cực 125A</v>
      </c>
      <c r="D10" s="968" t="str">
        <f>KTCT!D41</f>
        <v>cái</v>
      </c>
      <c r="E10" s="968">
        <f ca="1">KTCT!E41</f>
        <v>0</v>
      </c>
      <c r="F10" s="968">
        <f ca="1">KTCT!F41</f>
        <v>0</v>
      </c>
      <c r="G10" s="1027"/>
    </row>
    <row r="11" spans="1:8" ht="35.1" customHeight="1">
      <c r="B11" s="1025">
        <f t="shared" si="0"/>
        <v>8</v>
      </c>
      <c r="C11" s="972" t="str">
        <f>KTCT!C42</f>
        <v>Hộp CB phân đoạn</v>
      </c>
      <c r="D11" s="968" t="str">
        <f>KTCT!D42</f>
        <v>hộp</v>
      </c>
      <c r="E11" s="968">
        <f ca="1">KTCT!E42</f>
        <v>0</v>
      </c>
      <c r="F11" s="968">
        <f ca="1">KTCT!F42</f>
        <v>0</v>
      </c>
      <c r="G11" s="1027"/>
    </row>
    <row r="12" spans="1:8" ht="35.1" customHeight="1">
      <c r="A12" s="973"/>
      <c r="B12" s="1025">
        <f t="shared" si="0"/>
        <v>9</v>
      </c>
      <c r="C12" s="972">
        <f>KTCT!C43</f>
        <v>0</v>
      </c>
      <c r="D12" s="968" t="e">
        <f>KTCT!D43</f>
        <v>#N/A</v>
      </c>
      <c r="E12" s="968">
        <f ca="1">KTCT!E43</f>
        <v>0</v>
      </c>
      <c r="F12" s="968">
        <f ca="1">KTCT!F43</f>
        <v>4321.0049999999983</v>
      </c>
      <c r="G12" s="1027"/>
    </row>
    <row r="13" spans="1:8" ht="35.1" customHeight="1">
      <c r="B13" s="1025">
        <f t="shared" si="0"/>
        <v>10</v>
      </c>
      <c r="C13" s="972">
        <f>KTCT!C44</f>
        <v>0</v>
      </c>
      <c r="D13" s="968" t="e">
        <f>KTCT!D44</f>
        <v>#N/A</v>
      </c>
      <c r="E13" s="968">
        <f ca="1">KTCT!E44</f>
        <v>0</v>
      </c>
      <c r="F13" s="968">
        <f ca="1">KTCT!F44</f>
        <v>4321.0049999999983</v>
      </c>
      <c r="G13" s="1027"/>
    </row>
    <row r="14" spans="1:8" ht="35.1" customHeight="1">
      <c r="B14" s="1025">
        <f t="shared" si="0"/>
        <v>11</v>
      </c>
      <c r="C14" s="972">
        <f>KTCT!C45</f>
        <v>0</v>
      </c>
      <c r="D14" s="968" t="e">
        <f>KTCT!D45</f>
        <v>#N/A</v>
      </c>
      <c r="E14" s="968">
        <f ca="1">KTCT!E45</f>
        <v>0</v>
      </c>
      <c r="F14" s="968">
        <f ca="1">KTCT!F45</f>
        <v>4321.0049999999983</v>
      </c>
      <c r="G14" s="1027"/>
    </row>
    <row r="15" spans="1:8" ht="35.1" customHeight="1">
      <c r="B15" s="1025">
        <f t="shared" si="0"/>
        <v>12</v>
      </c>
      <c r="C15" s="972">
        <f>KTCT!C46</f>
        <v>0</v>
      </c>
      <c r="D15" s="968" t="e">
        <f>KTCT!D46</f>
        <v>#N/A</v>
      </c>
      <c r="E15" s="968">
        <f ca="1">KTCT!E46</f>
        <v>0</v>
      </c>
      <c r="F15" s="968">
        <f ca="1">KTCT!F46</f>
        <v>4321.0049999999983</v>
      </c>
      <c r="G15" s="1027"/>
    </row>
    <row r="16" spans="1:8" ht="35.1" customHeight="1">
      <c r="B16" s="1025">
        <f t="shared" si="0"/>
        <v>13</v>
      </c>
      <c r="C16" s="972">
        <f>KTCT!C47</f>
        <v>0</v>
      </c>
      <c r="D16" s="968" t="e">
        <f>KTCT!D47</f>
        <v>#N/A</v>
      </c>
      <c r="E16" s="968">
        <f ca="1">KTCT!E47</f>
        <v>0</v>
      </c>
      <c r="F16" s="968">
        <f ca="1">KTCT!F47</f>
        <v>4321.0049999999983</v>
      </c>
      <c r="G16" s="1027"/>
    </row>
    <row r="17" spans="1:7" ht="35.1" customHeight="1">
      <c r="B17" s="1025">
        <f t="shared" si="0"/>
        <v>14</v>
      </c>
      <c r="C17" s="972">
        <f>KTCT!C48</f>
        <v>0</v>
      </c>
      <c r="D17" s="968" t="e">
        <f>KTCT!D48</f>
        <v>#N/A</v>
      </c>
      <c r="E17" s="968">
        <f ca="1">KTCT!E48</f>
        <v>0</v>
      </c>
      <c r="F17" s="968">
        <f ca="1">KTCT!F48</f>
        <v>4321.0049999999983</v>
      </c>
      <c r="G17" s="1027"/>
    </row>
    <row r="18" spans="1:7" ht="35.1" customHeight="1">
      <c r="B18" s="1025">
        <f t="shared" si="0"/>
        <v>15</v>
      </c>
      <c r="C18" s="972">
        <f>KTCT!C49</f>
        <v>0</v>
      </c>
      <c r="D18" s="968" t="e">
        <f>KTCT!D49</f>
        <v>#N/A</v>
      </c>
      <c r="E18" s="1855">
        <f ca="1">KTCT!E49</f>
        <v>0</v>
      </c>
      <c r="F18" s="1855">
        <f ca="1">KTCT!F49</f>
        <v>4321.0049999999983</v>
      </c>
      <c r="G18" s="1027"/>
    </row>
    <row r="19" spans="1:7" ht="35.1" hidden="1" customHeight="1">
      <c r="B19" s="1025">
        <f t="shared" si="0"/>
        <v>16</v>
      </c>
      <c r="C19" s="972">
        <f>KTCT!C50</f>
        <v>0</v>
      </c>
      <c r="D19" s="968" t="e">
        <f>KTCT!D50</f>
        <v>#N/A</v>
      </c>
      <c r="E19" s="968">
        <f ca="1">KTCT!E50</f>
        <v>0</v>
      </c>
      <c r="F19" s="1814">
        <f ca="1">KTCT!F50</f>
        <v>4321.0049999999983</v>
      </c>
      <c r="G19" s="1027"/>
    </row>
    <row r="20" spans="1:7" ht="35.1" hidden="1" customHeight="1">
      <c r="B20" s="1025">
        <f t="shared" si="0"/>
        <v>17</v>
      </c>
      <c r="C20" s="972">
        <f>KTCT!C51</f>
        <v>0</v>
      </c>
      <c r="D20" s="968" t="e">
        <f>KTCT!D51</f>
        <v>#N/A</v>
      </c>
      <c r="E20" s="968">
        <f ca="1">KTCT!E51</f>
        <v>0</v>
      </c>
      <c r="F20" s="968">
        <f ca="1">KTCT!F51</f>
        <v>4321.0049999999983</v>
      </c>
      <c r="G20" s="1027"/>
    </row>
    <row r="21" spans="1:7" ht="35.1" hidden="1" customHeight="1">
      <c r="B21" s="1025">
        <f t="shared" si="0"/>
        <v>18</v>
      </c>
      <c r="C21" s="972">
        <f>KTCT!C52</f>
        <v>0</v>
      </c>
      <c r="D21" s="968" t="e">
        <f>KTCT!D52</f>
        <v>#N/A</v>
      </c>
      <c r="E21" s="968">
        <f ca="1">KTCT!E52</f>
        <v>0</v>
      </c>
      <c r="F21" s="968">
        <f ca="1">KTCT!F52</f>
        <v>4321.0049999999983</v>
      </c>
      <c r="G21" s="1027"/>
    </row>
    <row r="22" spans="1:7" ht="35.1" hidden="1" customHeight="1">
      <c r="B22" s="1025">
        <f t="shared" si="0"/>
        <v>19</v>
      </c>
      <c r="C22" s="972">
        <f>KTCT!C53</f>
        <v>0</v>
      </c>
      <c r="D22" s="968" t="e">
        <f>KTCT!D53</f>
        <v>#N/A</v>
      </c>
      <c r="E22" s="968">
        <f ca="1">KTCT!E53</f>
        <v>0</v>
      </c>
      <c r="F22" s="968">
        <f ca="1">KTCT!F53</f>
        <v>4321.0049999999983</v>
      </c>
      <c r="G22" s="1027"/>
    </row>
    <row r="23" spans="1:7" ht="35.1" customHeight="1">
      <c r="B23" s="1025">
        <f t="shared" si="0"/>
        <v>20</v>
      </c>
      <c r="C23" s="972" t="str">
        <f>KTCT!C61</f>
        <v>Máy biến áp 22/0,4kV- 250kVA</v>
      </c>
      <c r="D23" s="968" t="str">
        <f>KTCT!D61</f>
        <v>máy</v>
      </c>
      <c r="E23" s="968">
        <f>KTCT!E61</f>
        <v>0</v>
      </c>
      <c r="F23" s="968">
        <f>KTCT!F61</f>
        <v>0</v>
      </c>
      <c r="G23" s="1027"/>
    </row>
    <row r="24" spans="1:7" ht="35.1" customHeight="1">
      <c r="B24" s="1025">
        <f t="shared" si="0"/>
        <v>21</v>
      </c>
      <c r="C24" s="972" t="str">
        <f>KTCT!C62</f>
        <v>LA 18kV 10kA</v>
      </c>
      <c r="D24" s="968" t="str">
        <f>KTCT!D62</f>
        <v>cái</v>
      </c>
      <c r="E24" s="968">
        <f>KTCT!E62</f>
        <v>0</v>
      </c>
      <c r="F24" s="968">
        <f>KTCT!F62</f>
        <v>0</v>
      </c>
      <c r="G24" s="1027"/>
    </row>
    <row r="25" spans="1:7" ht="35.1" customHeight="1">
      <c r="B25" s="1025">
        <f t="shared" si="0"/>
        <v>22</v>
      </c>
      <c r="C25" s="1259" t="str">
        <f>KTCT!C63</f>
        <v>MCCB 3 cực 690V - 400A - 50KA</v>
      </c>
      <c r="D25" s="968" t="str">
        <f>KTCT!D63</f>
        <v>cái</v>
      </c>
      <c r="E25" s="968">
        <f>KTCT!E63</f>
        <v>0</v>
      </c>
      <c r="F25" s="968">
        <f>KTCT!F63</f>
        <v>0</v>
      </c>
      <c r="G25" s="1027"/>
    </row>
    <row r="26" spans="1:7" ht="33.75" customHeight="1">
      <c r="B26" s="1025">
        <f t="shared" si="0"/>
        <v>23</v>
      </c>
      <c r="C26" s="1259" t="str">
        <f>KTCT!C64</f>
        <v>Tủ tụ bù hạ thế 100kVAr</v>
      </c>
      <c r="D26" s="1121" t="str">
        <f>KTCT!D64</f>
        <v>tủ</v>
      </c>
      <c r="E26" s="968">
        <f>KTCT!E64</f>
        <v>0</v>
      </c>
      <c r="F26" s="968">
        <f>KTCT!F64</f>
        <v>0</v>
      </c>
      <c r="G26" s="1027"/>
    </row>
    <row r="27" spans="1:7" ht="33.75" customHeight="1">
      <c r="B27" s="1025">
        <f t="shared" si="0"/>
        <v>24</v>
      </c>
      <c r="C27" s="1259" t="str">
        <f>KTCT!C65</f>
        <v>Đà đặt MBA</v>
      </c>
      <c r="D27" s="1121" t="str">
        <f>KTCT!D65</f>
        <v>Bộ</v>
      </c>
      <c r="E27" s="968">
        <f>KTCT!E65</f>
        <v>0</v>
      </c>
      <c r="F27" s="968">
        <f>KTCT!F65</f>
        <v>0</v>
      </c>
      <c r="G27" s="1027"/>
    </row>
    <row r="28" spans="1:7" ht="33.75" customHeight="1">
      <c r="B28" s="1025">
        <f t="shared" si="0"/>
        <v>25</v>
      </c>
      <c r="C28" s="972">
        <f>KTCT!C66</f>
        <v>0</v>
      </c>
      <c r="D28" s="1121">
        <f>KTCT!D66</f>
        <v>0</v>
      </c>
      <c r="E28" s="968">
        <f>KTCT!E66</f>
        <v>0</v>
      </c>
      <c r="F28" s="968">
        <f>KTCT!F66</f>
        <v>0</v>
      </c>
      <c r="G28" s="1027"/>
    </row>
    <row r="29" spans="1:7" ht="33.75" customHeight="1">
      <c r="A29" s="935"/>
      <c r="B29" s="1025">
        <f t="shared" si="0"/>
        <v>26</v>
      </c>
      <c r="C29" s="1259">
        <f>KTCT!C67</f>
        <v>0</v>
      </c>
      <c r="D29" s="968">
        <f>KTCT!D67</f>
        <v>0</v>
      </c>
      <c r="E29" s="968">
        <f>KTCT!E67</f>
        <v>0</v>
      </c>
      <c r="F29" s="968">
        <f>KTCT!F67</f>
        <v>0</v>
      </c>
      <c r="G29" s="1027"/>
    </row>
    <row r="30" spans="1:7" ht="33.75" customHeight="1">
      <c r="A30" s="935"/>
      <c r="B30" s="1025">
        <f t="shared" si="0"/>
        <v>27</v>
      </c>
      <c r="C30" s="1259" t="str">
        <f>KTCT!C68</f>
        <v>Bộ tiếp địa Trạm biến áp</v>
      </c>
      <c r="D30" s="1121" t="str">
        <f>KTCT!D68</f>
        <v>Bộ</v>
      </c>
      <c r="E30" s="968">
        <f>KTCT!E68</f>
        <v>0</v>
      </c>
      <c r="F30" s="968">
        <f>KTCT!F68</f>
        <v>0</v>
      </c>
      <c r="G30" s="1027"/>
    </row>
    <row r="31" spans="1:7" ht="33.75" customHeight="1">
      <c r="B31" s="1025">
        <f t="shared" si="0"/>
        <v>28</v>
      </c>
      <c r="C31" s="1026">
        <f>KTCT!C69</f>
        <v>0</v>
      </c>
      <c r="D31" s="1121">
        <f>KTCT!D69</f>
        <v>0</v>
      </c>
      <c r="E31" s="968">
        <f>KTCT!E69</f>
        <v>0</v>
      </c>
      <c r="F31" s="968">
        <f>KTCT!F69</f>
        <v>0</v>
      </c>
      <c r="G31" s="1027"/>
    </row>
    <row r="32" spans="1:7" ht="33.75" customHeight="1">
      <c r="B32" s="1025">
        <f t="shared" si="0"/>
        <v>29</v>
      </c>
      <c r="C32" s="1026" t="str">
        <f>KTCT!C70</f>
        <v>Cáp 24KV C/XLPE/PVC 25mm2</v>
      </c>
      <c r="D32" s="1121" t="str">
        <f>KTCT!D70</f>
        <v>mét</v>
      </c>
      <c r="E32" s="968">
        <f>KTCT!E70</f>
        <v>0</v>
      </c>
      <c r="F32" s="968">
        <f>KTCT!F70</f>
        <v>0</v>
      </c>
      <c r="G32" s="1027"/>
    </row>
    <row r="33" spans="1:8" ht="33.75" customHeight="1">
      <c r="A33" s="935"/>
      <c r="B33" s="1025">
        <f t="shared" si="0"/>
        <v>30</v>
      </c>
      <c r="C33" s="1026">
        <f>KTCT!C71</f>
        <v>0</v>
      </c>
      <c r="D33" s="968">
        <f>KTCT!D71</f>
        <v>0</v>
      </c>
      <c r="E33" s="968">
        <f>KTCT!E71</f>
        <v>0</v>
      </c>
      <c r="F33" s="968">
        <f>KTCT!F71</f>
        <v>0</v>
      </c>
      <c r="G33" s="1027"/>
      <c r="H33" s="989">
        <f t="shared" ref="H33:H48" si="1">IF(ISERROR(F33),0,1)</f>
        <v>1</v>
      </c>
    </row>
    <row r="34" spans="1:8" ht="33.75" customHeight="1">
      <c r="A34" s="935"/>
      <c r="B34" s="1025">
        <f t="shared" si="0"/>
        <v>31</v>
      </c>
      <c r="C34" s="1026">
        <f>KTCT!C72</f>
        <v>0</v>
      </c>
      <c r="D34" s="968">
        <f>KTCT!D72</f>
        <v>0</v>
      </c>
      <c r="E34" s="968">
        <f>KTCT!E72</f>
        <v>0</v>
      </c>
      <c r="F34" s="968">
        <f>KTCT!F72</f>
        <v>0</v>
      </c>
      <c r="G34" s="1027"/>
      <c r="H34" s="989">
        <f t="shared" si="1"/>
        <v>1</v>
      </c>
    </row>
    <row r="35" spans="1:8" ht="33.75" hidden="1" customHeight="1">
      <c r="A35" s="935"/>
      <c r="B35" s="1025">
        <f t="shared" si="0"/>
        <v>32</v>
      </c>
      <c r="C35" s="1026">
        <f>KTCT!C73</f>
        <v>0</v>
      </c>
      <c r="D35" s="968">
        <f>KTCT!D73</f>
        <v>0</v>
      </c>
      <c r="E35" s="968">
        <f>KTCT!E73</f>
        <v>0</v>
      </c>
      <c r="F35" s="968">
        <f>KTCT!F73</f>
        <v>0</v>
      </c>
      <c r="G35" s="1027"/>
      <c r="H35" s="989">
        <f t="shared" si="1"/>
        <v>1</v>
      </c>
    </row>
    <row r="36" spans="1:8" ht="33.75" hidden="1" customHeight="1">
      <c r="A36" s="935"/>
      <c r="B36" s="1025">
        <f t="shared" si="0"/>
        <v>33</v>
      </c>
      <c r="C36" s="1026">
        <f>KTCT!C74</f>
        <v>0</v>
      </c>
      <c r="D36" s="968">
        <f>KTCT!D74</f>
        <v>0</v>
      </c>
      <c r="E36" s="968">
        <f>KTCT!E74</f>
        <v>0</v>
      </c>
      <c r="F36" s="968">
        <f>KTCT!F74</f>
        <v>0</v>
      </c>
      <c r="G36" s="1027"/>
      <c r="H36" s="989">
        <f t="shared" si="1"/>
        <v>1</v>
      </c>
    </row>
    <row r="37" spans="1:8" ht="33.75" hidden="1" customHeight="1">
      <c r="A37" s="935"/>
      <c r="B37" s="1025">
        <f t="shared" si="0"/>
        <v>34</v>
      </c>
      <c r="C37" s="1026"/>
      <c r="D37" s="968"/>
      <c r="E37" s="968"/>
      <c r="F37" s="968"/>
      <c r="G37" s="1027"/>
      <c r="H37" s="989">
        <f t="shared" si="1"/>
        <v>1</v>
      </c>
    </row>
    <row r="38" spans="1:8" ht="33.75" hidden="1" customHeight="1">
      <c r="A38" s="935"/>
      <c r="B38" s="1025">
        <f t="shared" si="0"/>
        <v>35</v>
      </c>
      <c r="C38" s="1026"/>
      <c r="D38" s="968"/>
      <c r="E38" s="968"/>
      <c r="F38" s="968"/>
      <c r="G38" s="1027"/>
      <c r="H38" s="989">
        <f t="shared" si="1"/>
        <v>1</v>
      </c>
    </row>
    <row r="39" spans="1:8" ht="33.75" hidden="1" customHeight="1">
      <c r="A39" s="935"/>
      <c r="B39" s="1025">
        <f t="shared" si="0"/>
        <v>36</v>
      </c>
      <c r="C39" s="1026"/>
      <c r="D39" s="968"/>
      <c r="E39" s="968"/>
      <c r="F39" s="968"/>
      <c r="G39" s="1027"/>
      <c r="H39" s="989">
        <f t="shared" si="1"/>
        <v>1</v>
      </c>
    </row>
    <row r="40" spans="1:8" ht="33.75" hidden="1" customHeight="1">
      <c r="A40" s="935"/>
      <c r="B40" s="1025">
        <f t="shared" si="0"/>
        <v>37</v>
      </c>
      <c r="C40" s="1026"/>
      <c r="D40" s="968"/>
      <c r="E40" s="968"/>
      <c r="F40" s="968"/>
      <c r="G40" s="1027"/>
      <c r="H40" s="989">
        <f t="shared" si="1"/>
        <v>1</v>
      </c>
    </row>
    <row r="41" spans="1:8" ht="33.75" hidden="1" customHeight="1">
      <c r="A41" s="935"/>
      <c r="B41" s="1025">
        <f t="shared" si="0"/>
        <v>38</v>
      </c>
      <c r="C41" s="1026"/>
      <c r="D41" s="968"/>
      <c r="E41" s="968"/>
      <c r="F41" s="968"/>
      <c r="G41" s="1027"/>
      <c r="H41" s="989">
        <f t="shared" si="1"/>
        <v>1</v>
      </c>
    </row>
    <row r="42" spans="1:8" ht="33.75" hidden="1" customHeight="1">
      <c r="A42" s="935"/>
      <c r="B42" s="1025">
        <f t="shared" si="0"/>
        <v>39</v>
      </c>
      <c r="C42" s="1026"/>
      <c r="D42" s="968"/>
      <c r="E42" s="968"/>
      <c r="F42" s="968"/>
      <c r="G42" s="1027"/>
      <c r="H42" s="989">
        <f t="shared" si="1"/>
        <v>1</v>
      </c>
    </row>
    <row r="43" spans="1:8" ht="33.75" hidden="1" customHeight="1">
      <c r="A43" s="935"/>
      <c r="B43" s="1025">
        <f t="shared" si="0"/>
        <v>40</v>
      </c>
      <c r="C43" s="1026"/>
      <c r="D43" s="968"/>
      <c r="E43" s="968"/>
      <c r="F43" s="968"/>
      <c r="G43" s="1027"/>
      <c r="H43" s="989">
        <f t="shared" si="1"/>
        <v>1</v>
      </c>
    </row>
    <row r="44" spans="1:8" ht="33.75" hidden="1" customHeight="1">
      <c r="A44" s="935"/>
      <c r="B44" s="1025">
        <f t="shared" si="0"/>
        <v>41</v>
      </c>
      <c r="C44" s="1026"/>
      <c r="D44" s="968"/>
      <c r="E44" s="968"/>
      <c r="F44" s="968"/>
      <c r="G44" s="1027"/>
      <c r="H44" s="989">
        <f t="shared" si="1"/>
        <v>1</v>
      </c>
    </row>
    <row r="45" spans="1:8" ht="33.75" hidden="1" customHeight="1">
      <c r="A45" s="935"/>
      <c r="B45" s="1025">
        <f t="shared" si="0"/>
        <v>42</v>
      </c>
      <c r="C45" s="1026"/>
      <c r="D45" s="968"/>
      <c r="E45" s="968"/>
      <c r="F45" s="968"/>
      <c r="G45" s="1027"/>
      <c r="H45" s="989">
        <f t="shared" si="1"/>
        <v>1</v>
      </c>
    </row>
    <row r="46" spans="1:8" ht="33.75" hidden="1" customHeight="1">
      <c r="A46" s="935"/>
      <c r="B46" s="1025">
        <f t="shared" si="0"/>
        <v>43</v>
      </c>
      <c r="C46" s="1026"/>
      <c r="D46" s="968"/>
      <c r="E46" s="968"/>
      <c r="F46" s="968"/>
      <c r="G46" s="1027"/>
      <c r="H46" s="989">
        <f t="shared" si="1"/>
        <v>1</v>
      </c>
    </row>
    <row r="47" spans="1:8" ht="33.75" hidden="1" customHeight="1">
      <c r="A47" s="935"/>
      <c r="B47" s="1025">
        <f t="shared" si="0"/>
        <v>44</v>
      </c>
      <c r="C47" s="1026"/>
      <c r="D47" s="968"/>
      <c r="E47" s="968"/>
      <c r="F47" s="968"/>
      <c r="G47" s="1027"/>
      <c r="H47" s="989">
        <f t="shared" si="1"/>
        <v>1</v>
      </c>
    </row>
    <row r="48" spans="1:8" ht="33.75" hidden="1" customHeight="1">
      <c r="A48" s="935"/>
      <c r="B48" s="1025">
        <f t="shared" si="0"/>
        <v>45</v>
      </c>
      <c r="C48" s="1026"/>
      <c r="D48" s="968"/>
      <c r="E48" s="968"/>
      <c r="F48" s="968"/>
      <c r="G48" s="1027"/>
      <c r="H48" s="989">
        <f t="shared" si="1"/>
        <v>1</v>
      </c>
    </row>
    <row r="50" spans="3:7" ht="16.8">
      <c r="C50" s="935"/>
      <c r="G50" s="1028" t="str">
        <f ca="1">"Xuân Lộc, ngày ……. tháng ……. năm "&amp;TEXT(TODAY(),"YYYY")</f>
        <v>Xuân Lộc, ngày ……. tháng ……. năm 2019</v>
      </c>
    </row>
    <row r="51" spans="3:7" ht="17.399999999999999">
      <c r="F51" s="1029" t="s">
        <v>4401</v>
      </c>
    </row>
    <row r="52" spans="3:7" ht="17.399999999999999">
      <c r="F52" s="987"/>
    </row>
    <row r="53" spans="3:7" ht="17.399999999999999">
      <c r="F53" s="987"/>
    </row>
    <row r="54" spans="3:7" ht="17.399999999999999">
      <c r="F54" s="987"/>
    </row>
    <row r="55" spans="3:7" ht="17.399999999999999">
      <c r="F55" s="987"/>
    </row>
    <row r="56" spans="3:7" ht="17.399999999999999">
      <c r="F56" s="987" t="str">
        <f>WORD!F2</f>
        <v>Hoàng Như Hoàn</v>
      </c>
    </row>
  </sheetData>
  <autoFilter ref="B3:H48">
    <filterColumn colId="1">
      <filters>
        <filter val="Bộ cách điện đứng+ty sứ : SĐU"/>
        <filter val="Bộ chằng xuống đơn cho trụ 12m: CX12-B"/>
        <filter val="Bộ khóa néo dây trung hòa vào trụ: Nth-T"/>
        <filter val="Bộ móng neo xòe cho chằng xuống: NXX"/>
        <filter val="Bộ tiếp địa Trạm biến áp"/>
        <filter val="Bộ xà composite 2,4m bắt FCO"/>
        <filter val="Bộ xà đơn L75x75x8 dài 2.2m: X-22Đ - C810"/>
        <filter val="Bộ xà kép L75x75x8 dài 2.2m: X-22K-Đ - C810 (lắp trụ đơn)"/>
        <filter val="Cáp 24KV C/XLPE/PVC 25mm2"/>
        <filter val="Cáp đồng bọc CV120"/>
        <filter val="Cáp đồng bọc CV185"/>
        <filter val="Chuỗi sứ treo Polymer 25kV lắp vào xà : CĐT ply-X"/>
        <filter val="Đà đặt MBA"/>
        <filter val="LA 18kV 10kA"/>
        <filter val="Máy biến áp 22/0,4kV- 250kVA"/>
        <filter val="MCCB 3 cực 690V - 400A - 50KA"/>
        <filter val="Móng bê tông trụ đơn 12m"/>
        <filter val="Phần dây, sứ và phụ kiện"/>
        <filter val="Phần trụ"/>
        <filter val="Phần trung thế 3 pha xây dựng mới"/>
        <filter val="Phần xà, néo"/>
        <filter val="Tiếp địa lặp lại trụ 12m"/>
        <filter val="Trụ bê tông ly tâm 12m trồng thủ công+cơ giới"/>
        <filter val="Tủ MCCB 3 pha dày 2mm sơn tĩnh điện"/>
        <filter val="Tủ tụ bù hạ thế 100kVAr"/>
        <filter val="Xà đơn L75x75x8x2600 (0 ốp) đở thùng CB"/>
        <filter val="Xà đơn L75x75x8x2600 (3 ốp) bắt LA, đỡ sứ"/>
      </filters>
    </filterColumn>
  </autoFilter>
  <mergeCells count="5">
    <mergeCell ref="B2:B3"/>
    <mergeCell ref="C2:C3"/>
    <mergeCell ref="D2:D3"/>
    <mergeCell ref="E2:F2"/>
    <mergeCell ref="G2:G3"/>
  </mergeCells>
  <pageMargins left="1.1417322834645669" right="0.35433070866141736" top="0.74803149606299213" bottom="0.74803149606299213" header="0.31496062992125984" footer="0.31496062992125984"/>
  <pageSetup paperSize="9" orientation="portrait" blackAndWhite="1" r:id="rId1"/>
  <headerFooter>
    <oddFooter>&amp;RTrang.........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C148" sqref="C148"/>
    </sheetView>
  </sheetViews>
  <sheetFormatPr defaultRowHeight="16.8" outlineLevelRow="1"/>
  <cols>
    <col min="1" max="1" width="4.36328125" customWidth="1"/>
    <col min="2" max="2" width="12.1796875" style="1813" customWidth="1"/>
    <col min="3" max="3" width="48.54296875" style="1812" customWidth="1"/>
    <col min="4" max="4" width="7.81640625" customWidth="1"/>
    <col min="5" max="5" width="8.1796875" customWidth="1"/>
    <col min="6" max="6" width="10.453125" customWidth="1"/>
    <col min="7" max="7" width="50.08984375" style="1851" customWidth="1"/>
  </cols>
  <sheetData>
    <row r="1" spans="2:7" s="1516" customFormat="1" hidden="1" outlineLevel="1">
      <c r="B1" s="1516" t="s">
        <v>4370</v>
      </c>
      <c r="C1" s="1851"/>
      <c r="G1" s="1851"/>
    </row>
    <row r="2" spans="2:7" s="1516" customFormat="1" hidden="1" outlineLevel="1">
      <c r="B2" s="1813"/>
      <c r="C2" s="1873" t="s">
        <v>4255</v>
      </c>
      <c r="G2" s="1851"/>
    </row>
    <row r="3" spans="2:7" s="1516" customFormat="1" hidden="1" outlineLevel="1">
      <c r="B3" s="1813"/>
      <c r="C3" s="1873" t="s">
        <v>4256</v>
      </c>
      <c r="G3" s="1851"/>
    </row>
    <row r="4" spans="2:7" s="1516" customFormat="1" hidden="1" outlineLevel="1">
      <c r="B4" s="1813"/>
      <c r="C4" s="1873" t="s">
        <v>4257</v>
      </c>
      <c r="G4" s="1851"/>
    </row>
    <row r="5" spans="2:7" s="1516" customFormat="1" hidden="1" outlineLevel="1">
      <c r="B5" s="1813"/>
      <c r="C5" s="1873" t="s">
        <v>4258</v>
      </c>
      <c r="G5" s="1851"/>
    </row>
    <row r="6" spans="2:7" s="1516" customFormat="1" hidden="1" outlineLevel="1">
      <c r="B6" s="1813"/>
      <c r="C6" s="1873" t="s">
        <v>4259</v>
      </c>
      <c r="G6" s="1851"/>
    </row>
    <row r="7" spans="2:7" s="1516" customFormat="1" hidden="1" outlineLevel="1">
      <c r="B7" s="1813">
        <v>43039</v>
      </c>
      <c r="C7" s="1873" t="s">
        <v>4260</v>
      </c>
      <c r="G7" s="1851"/>
    </row>
    <row r="8" spans="2:7" s="1516" customFormat="1" hidden="1" outlineLevel="1">
      <c r="B8" s="1813">
        <v>43026</v>
      </c>
      <c r="C8" s="1873" t="s">
        <v>4261</v>
      </c>
      <c r="G8" s="1851"/>
    </row>
    <row r="9" spans="2:7" s="1516" customFormat="1" hidden="1" outlineLevel="1">
      <c r="B9" s="1813"/>
      <c r="C9" s="1873" t="s">
        <v>4262</v>
      </c>
      <c r="G9" s="1851"/>
    </row>
    <row r="10" spans="2:7" s="1516" customFormat="1" hidden="1" outlineLevel="1">
      <c r="B10" s="1813">
        <v>43028</v>
      </c>
      <c r="C10" s="1873" t="s">
        <v>4263</v>
      </c>
      <c r="G10" s="1851"/>
    </row>
    <row r="11" spans="2:7" s="1516" customFormat="1" hidden="1" outlineLevel="1">
      <c r="B11" s="1813"/>
      <c r="C11" s="1873" t="s">
        <v>4264</v>
      </c>
      <c r="G11" s="1851"/>
    </row>
    <row r="12" spans="2:7" s="1516" customFormat="1" hidden="1" outlineLevel="1">
      <c r="B12" s="1813"/>
      <c r="C12" s="1873" t="s">
        <v>4265</v>
      </c>
      <c r="G12" s="1851"/>
    </row>
    <row r="13" spans="2:7" s="1516" customFormat="1" hidden="1" outlineLevel="1">
      <c r="B13" s="1813"/>
      <c r="C13" s="1873" t="s">
        <v>4266</v>
      </c>
      <c r="G13" s="1851"/>
    </row>
    <row r="14" spans="2:7" s="1516" customFormat="1" hidden="1" outlineLevel="1">
      <c r="B14" s="1813"/>
      <c r="C14" s="1873" t="s">
        <v>4267</v>
      </c>
      <c r="G14" s="1851"/>
    </row>
    <row r="15" spans="2:7" s="1516" customFormat="1" hidden="1" outlineLevel="1">
      <c r="B15" s="1813"/>
      <c r="C15" s="1873" t="s">
        <v>4268</v>
      </c>
      <c r="G15" s="1851"/>
    </row>
    <row r="16" spans="2:7" s="1516" customFormat="1" hidden="1" outlineLevel="1">
      <c r="B16" s="1813"/>
      <c r="C16" s="1873" t="s">
        <v>4269</v>
      </c>
      <c r="G16" s="1851"/>
    </row>
    <row r="17" spans="2:7" s="1516" customFormat="1" hidden="1" outlineLevel="1">
      <c r="B17" s="1813"/>
      <c r="C17" s="1873" t="s">
        <v>4270</v>
      </c>
      <c r="G17" s="1851"/>
    </row>
    <row r="18" spans="2:7" s="1516" customFormat="1" hidden="1" outlineLevel="1">
      <c r="B18" s="1813"/>
      <c r="C18" s="1873" t="s">
        <v>4271</v>
      </c>
      <c r="G18" s="1851"/>
    </row>
    <row r="19" spans="2:7" s="1516" customFormat="1" hidden="1" outlineLevel="1">
      <c r="B19" s="1813"/>
      <c r="C19" s="1873" t="s">
        <v>4272</v>
      </c>
      <c r="G19" s="1851"/>
    </row>
    <row r="20" spans="2:7" s="1516" customFormat="1" hidden="1" outlineLevel="1">
      <c r="B20" s="1813"/>
      <c r="C20" s="1812"/>
      <c r="G20" s="1851"/>
    </row>
    <row r="21" spans="2:7" s="1516" customFormat="1" hidden="1" outlineLevel="1">
      <c r="B21" s="1813"/>
      <c r="C21" s="1812"/>
      <c r="G21" s="1851"/>
    </row>
    <row r="22" spans="2:7" hidden="1" outlineLevel="1"/>
    <row r="23" spans="2:7" collapsed="1">
      <c r="B23" s="1879" t="s">
        <v>4370</v>
      </c>
      <c r="C23" s="1880" t="s">
        <v>4763</v>
      </c>
      <c r="D23" s="1881" t="s">
        <v>1444</v>
      </c>
      <c r="E23" s="1882"/>
    </row>
    <row r="24" spans="2:7">
      <c r="B24" s="1883">
        <f>B8</f>
        <v>43026</v>
      </c>
      <c r="C24" s="1884" t="s">
        <v>4761</v>
      </c>
      <c r="D24" s="1885" t="s">
        <v>515</v>
      </c>
      <c r="E24" s="1886"/>
    </row>
    <row r="25" spans="2:7">
      <c r="B25" s="1883"/>
      <c r="C25" s="1884" t="s">
        <v>4762</v>
      </c>
      <c r="D25" s="1885" t="s">
        <v>515</v>
      </c>
      <c r="E25" s="1886"/>
    </row>
    <row r="26" spans="2:7">
      <c r="B26" s="1883"/>
      <c r="C26" s="1884" t="s">
        <v>4764</v>
      </c>
      <c r="D26" s="1885" t="s">
        <v>515</v>
      </c>
      <c r="E26" s="1886"/>
    </row>
    <row r="27" spans="2:7" hidden="1">
      <c r="B27" s="1883"/>
      <c r="C27" s="1887" t="e">
        <f>'2Mong'!D4&amp;": "&amp;D27&amp;" móng"</f>
        <v>#N/A</v>
      </c>
      <c r="D27" s="1888">
        <f>'2Mong'!F4</f>
        <v>0</v>
      </c>
      <c r="E27" s="1886"/>
    </row>
    <row r="28" spans="2:7" hidden="1">
      <c r="B28" s="1883"/>
      <c r="C28" s="1887" t="e">
        <f>'2Mong'!D5&amp;": "&amp;D28&amp;" móng"</f>
        <v>#N/A</v>
      </c>
      <c r="D28" s="1888">
        <f>'2Mong'!F5</f>
        <v>0</v>
      </c>
      <c r="E28" s="1886"/>
    </row>
    <row r="29" spans="2:7" hidden="1">
      <c r="B29" s="1883"/>
      <c r="C29" s="1887" t="e">
        <f>'2Mong'!D6&amp;": "&amp;D29&amp;" móng"</f>
        <v>#N/A</v>
      </c>
      <c r="D29" s="1888">
        <f>'2Mong'!F6</f>
        <v>0</v>
      </c>
      <c r="E29" s="1886"/>
    </row>
    <row r="30" spans="2:7" hidden="1">
      <c r="B30" s="1883"/>
      <c r="C30" s="1887" t="e">
        <f>'2Mong'!D7&amp;": "&amp;D30&amp;" móng"</f>
        <v>#N/A</v>
      </c>
      <c r="D30" s="1888">
        <f>'2Mong'!F7</f>
        <v>0</v>
      </c>
      <c r="E30" s="1886"/>
    </row>
    <row r="31" spans="2:7" hidden="1">
      <c r="B31" s="1883"/>
      <c r="C31" s="1887" t="e">
        <f>'2Mong'!D8&amp;": "&amp;D31&amp;" móng"</f>
        <v>#N/A</v>
      </c>
      <c r="D31" s="1888">
        <f>'2Mong'!F8</f>
        <v>0</v>
      </c>
      <c r="E31" s="1886"/>
    </row>
    <row r="32" spans="2:7" hidden="1">
      <c r="B32" s="1883"/>
      <c r="C32" s="1887" t="e">
        <f>'2Mong'!D9&amp;": "&amp;D32&amp;" móng"</f>
        <v>#N/A</v>
      </c>
      <c r="D32" s="1888">
        <f>'2Mong'!F9</f>
        <v>0</v>
      </c>
      <c r="E32" s="1886"/>
    </row>
    <row r="33" spans="2:5">
      <c r="B33" s="1883"/>
      <c r="C33" s="1887" t="e">
        <f>'2Mong'!D10&amp;": "&amp;D33&amp;" móng"</f>
        <v>#N/A</v>
      </c>
      <c r="D33" s="1888">
        <f>'2Mong'!F10</f>
        <v>0</v>
      </c>
      <c r="E33" s="1886"/>
    </row>
    <row r="34" spans="2:5" hidden="1">
      <c r="B34" s="1883"/>
      <c r="C34" s="1887" t="e">
        <f>'2Mong'!D11&amp;": "&amp;D34&amp;" móng"</f>
        <v>#N/A</v>
      </c>
      <c r="D34" s="1888">
        <f>'2Mong'!F11</f>
        <v>0</v>
      </c>
      <c r="E34" s="1886"/>
    </row>
    <row r="35" spans="2:5" hidden="1">
      <c r="B35" s="1883"/>
      <c r="C35" s="1887" t="e">
        <f>'2Mong'!D12&amp;": "&amp;D35&amp;" móng"</f>
        <v>#N/A</v>
      </c>
      <c r="D35" s="1888">
        <f>'2Mong'!F12</f>
        <v>0</v>
      </c>
      <c r="E35" s="1886"/>
    </row>
    <row r="36" spans="2:5" hidden="1">
      <c r="B36" s="1883"/>
      <c r="C36" s="1887" t="e">
        <f>'2Mong'!D13&amp;": "&amp;D36&amp;" móng"</f>
        <v>#N/A</v>
      </c>
      <c r="D36" s="1888">
        <f>'2Mong'!F13</f>
        <v>0</v>
      </c>
      <c r="E36" s="1886"/>
    </row>
    <row r="37" spans="2:5" hidden="1">
      <c r="B37" s="1883"/>
      <c r="C37" s="1887" t="e">
        <f>'2Mong'!D14&amp;": "&amp;D37&amp;" móng"</f>
        <v>#N/A</v>
      </c>
      <c r="D37" s="1888">
        <f>'2Mong'!F14</f>
        <v>0</v>
      </c>
      <c r="E37" s="1886"/>
    </row>
    <row r="38" spans="2:5" hidden="1">
      <c r="B38" s="1883"/>
      <c r="C38" s="1887" t="e">
        <f>'2Mong'!D15&amp;": "&amp;D38&amp;" móng"</f>
        <v>#N/A</v>
      </c>
      <c r="D38" s="1888">
        <f>'2Mong'!F15</f>
        <v>0</v>
      </c>
      <c r="E38" s="1886"/>
    </row>
    <row r="39" spans="2:5" hidden="1">
      <c r="B39" s="1883"/>
      <c r="C39" s="1887" t="e">
        <f>'2Mong'!D16&amp;": "&amp;D39&amp;" móng"</f>
        <v>#N/A</v>
      </c>
      <c r="D39" s="1888">
        <f>'2Mong'!F16</f>
        <v>0</v>
      </c>
      <c r="E39" s="1886"/>
    </row>
    <row r="40" spans="2:5" hidden="1">
      <c r="B40" s="1883"/>
      <c r="C40" s="1887" t="e">
        <f>'2Mong'!D17&amp;": "&amp;D40&amp;" móng"</f>
        <v>#N/A</v>
      </c>
      <c r="D40" s="1888">
        <f>'2Mong'!F17</f>
        <v>0</v>
      </c>
      <c r="E40" s="1886"/>
    </row>
    <row r="41" spans="2:5" hidden="1">
      <c r="B41" s="1883"/>
      <c r="C41" s="1887" t="e">
        <f>'2Mong'!D18&amp;": "&amp;D41&amp;" móng"</f>
        <v>#N/A</v>
      </c>
      <c r="D41" s="1888">
        <f>'2Mong'!F18</f>
        <v>0</v>
      </c>
      <c r="E41" s="1886"/>
    </row>
    <row r="42" spans="2:5">
      <c r="B42" s="1883"/>
      <c r="C42" s="1887" t="e">
        <f>'2Mong'!D19&amp;": "&amp;D42&amp;" móng"</f>
        <v>#N/A</v>
      </c>
      <c r="D42" s="1888">
        <f>'2Mong'!F19</f>
        <v>0</v>
      </c>
      <c r="E42" s="1886"/>
    </row>
    <row r="43" spans="2:5" hidden="1">
      <c r="B43" s="1883"/>
      <c r="C43" s="1887" t="e">
        <f>'2Mong'!D20&amp;": "&amp;D43&amp;" móng"</f>
        <v>#N/A</v>
      </c>
      <c r="D43" s="1888">
        <f>'2Mong'!F20</f>
        <v>0</v>
      </c>
      <c r="E43" s="1886"/>
    </row>
    <row r="44" spans="2:5" hidden="1">
      <c r="B44" s="1883"/>
      <c r="C44" s="1887" t="e">
        <f>'2Mong'!D21&amp;": "&amp;D44&amp;" móng"</f>
        <v>#N/A</v>
      </c>
      <c r="D44" s="1888">
        <f>'2Mong'!F21</f>
        <v>0</v>
      </c>
      <c r="E44" s="1886"/>
    </row>
    <row r="45" spans="2:5" hidden="1">
      <c r="B45" s="1883"/>
      <c r="C45" s="1887" t="e">
        <f>'2Mong'!D22&amp;": "&amp;D45&amp;" móng"</f>
        <v>#N/A</v>
      </c>
      <c r="D45" s="1888">
        <f>'2Mong'!F22</f>
        <v>0</v>
      </c>
      <c r="E45" s="1886"/>
    </row>
    <row r="46" spans="2:5" hidden="1">
      <c r="B46" s="1883"/>
      <c r="C46" s="1887" t="e">
        <f>'2Mong'!D23&amp;": "&amp;D46&amp;" móng"</f>
        <v>#N/A</v>
      </c>
      <c r="D46" s="1888">
        <f>'2Mong'!F23</f>
        <v>0</v>
      </c>
      <c r="E46" s="1886"/>
    </row>
    <row r="47" spans="2:5" hidden="1">
      <c r="B47" s="1883"/>
      <c r="C47" s="1887" t="e">
        <f>'2Mong'!D24&amp;": "&amp;D47&amp;" móng"</f>
        <v>#N/A</v>
      </c>
      <c r="D47" s="1888">
        <f>'2Mong'!F24</f>
        <v>0</v>
      </c>
      <c r="E47" s="1886"/>
    </row>
    <row r="48" spans="2:5" hidden="1">
      <c r="B48" s="1883"/>
      <c r="C48" s="1887" t="e">
        <f>'2Mong'!D25&amp;": "&amp;D48&amp;" móng"</f>
        <v>#N/A</v>
      </c>
      <c r="D48" s="1888">
        <f>'2Mong'!F25</f>
        <v>0</v>
      </c>
      <c r="E48" s="1886"/>
    </row>
    <row r="49" spans="2:7" hidden="1">
      <c r="B49" s="1883"/>
      <c r="C49" s="1887" t="e">
        <f>'2Mong'!D26&amp;": "&amp;D49&amp;" móng"</f>
        <v>#N/A</v>
      </c>
      <c r="D49" s="1888">
        <f>'2Mong'!F26</f>
        <v>0</v>
      </c>
      <c r="E49" s="1886"/>
    </row>
    <row r="50" spans="2:7" hidden="1">
      <c r="B50" s="1883"/>
      <c r="C50" s="1887" t="e">
        <f>'2Mong'!D27&amp;": "&amp;D50&amp;" móng"</f>
        <v>#N/A</v>
      </c>
      <c r="D50" s="1888">
        <f>'2Mong'!F27</f>
        <v>0</v>
      </c>
      <c r="E50" s="1886"/>
    </row>
    <row r="51" spans="2:7" hidden="1">
      <c r="B51" s="1883"/>
      <c r="C51" s="1887" t="e">
        <f>'2Mong'!D28&amp;": "&amp;D51&amp;" móng"</f>
        <v>#N/A</v>
      </c>
      <c r="D51" s="1888">
        <f>'2Mong'!F28</f>
        <v>0</v>
      </c>
      <c r="E51" s="1886"/>
    </row>
    <row r="52" spans="2:7" ht="50.4" hidden="1">
      <c r="B52" s="1883"/>
      <c r="C52" s="1887" t="str">
        <f>'2Mong'!D29&amp;": "&amp;D52&amp;" móng"</f>
        <v>Đào móng trụ Móng trụ bê tông 12m M12 tại các vị trí: 140A, 141A, 143A, 144A, 145B, 146A, 150A, 151A, 152A, 154A, 159A, 162A, 163A, 168A: 14 móng</v>
      </c>
      <c r="D52" s="1888">
        <f>'2Mong'!F29</f>
        <v>14</v>
      </c>
      <c r="E52" s="1886"/>
    </row>
    <row r="53" spans="2:7" ht="67.2" hidden="1">
      <c r="B53" s="1883"/>
      <c r="C53" s="1887" t="str">
        <f>'2Mong'!D30&amp;": "&amp;D53&amp;" móng"</f>
        <v>Đào móng trụ Móng trụ bê tông 12m có đà cản M12a tại các vị trí: 137A, 138A, 139B, 147A, 148A, 149A, 153A, 155A, 156A, 158A, 160A, 165A, 167A, 169A, 170A, 172A, 173A: 17 móng</v>
      </c>
      <c r="D53" s="1888">
        <f>'2Mong'!F30</f>
        <v>17</v>
      </c>
      <c r="E53" s="1886"/>
    </row>
    <row r="54" spans="2:7" hidden="1">
      <c r="B54" s="1883"/>
      <c r="C54" s="1887" t="e">
        <f>'2Mong'!D31&amp;": "&amp;D54&amp;" móng"</f>
        <v>#N/A</v>
      </c>
      <c r="D54" s="1888">
        <f>'2Mong'!F31</f>
        <v>0</v>
      </c>
      <c r="E54" s="1886"/>
    </row>
    <row r="55" spans="2:7" hidden="1">
      <c r="B55" s="1883"/>
      <c r="C55" s="1887" t="e">
        <f>'2Mong'!D32&amp;": "&amp;D55&amp;" móng"</f>
        <v>#N/A</v>
      </c>
      <c r="D55" s="1888">
        <f>'2Mong'!F32</f>
        <v>0</v>
      </c>
      <c r="E55" s="1886"/>
    </row>
    <row r="56" spans="2:7" hidden="1">
      <c r="B56" s="1883"/>
      <c r="C56" s="1887" t="e">
        <f>'2Mong'!D33&amp;": "&amp;D56&amp;" móng"</f>
        <v>#N/A</v>
      </c>
      <c r="D56" s="1888">
        <f>'2Mong'!F33</f>
        <v>0</v>
      </c>
      <c r="E56" s="1886"/>
    </row>
    <row r="57" spans="2:7" hidden="1">
      <c r="B57" s="1883"/>
      <c r="C57" s="1887" t="e">
        <f>'2Mong'!D34&amp;": "&amp;D57&amp;" móng"</f>
        <v>#N/A</v>
      </c>
      <c r="D57" s="1888">
        <f>'2Mong'!F34</f>
        <v>0</v>
      </c>
      <c r="E57" s="1886"/>
    </row>
    <row r="58" spans="2:7" hidden="1">
      <c r="B58" s="1883"/>
      <c r="C58" s="1887" t="e">
        <f>'2Mong'!D35&amp;": "&amp;D58&amp;" móng"</f>
        <v>#N/A</v>
      </c>
      <c r="D58" s="1888">
        <f>'2Mong'!F35</f>
        <v>0</v>
      </c>
      <c r="E58" s="1886"/>
    </row>
    <row r="59" spans="2:7" hidden="1">
      <c r="B59" s="1883"/>
      <c r="C59" s="1887" t="e">
        <f>'2Mong'!D36&amp;": "&amp;D59&amp;" móng"</f>
        <v>#N/A</v>
      </c>
      <c r="D59" s="1888">
        <f>'2Mong'!F36</f>
        <v>0</v>
      </c>
      <c r="E59" s="1886"/>
    </row>
    <row r="60" spans="2:7" hidden="1">
      <c r="B60" s="1883"/>
      <c r="C60" s="1887" t="e">
        <f>'2Mong'!D37&amp;": "&amp;D60&amp;" móng"</f>
        <v>#N/A</v>
      </c>
      <c r="D60" s="1888">
        <f>'2Mong'!F37</f>
        <v>0</v>
      </c>
      <c r="E60" s="1886"/>
    </row>
    <row r="61" spans="2:7" hidden="1">
      <c r="B61" s="1883"/>
      <c r="C61" s="1887" t="e">
        <f>'2Mong'!D38&amp;": "&amp;D61&amp;" móng"</f>
        <v>#N/A</v>
      </c>
      <c r="D61" s="1888">
        <f>'2Mong'!F38</f>
        <v>0</v>
      </c>
      <c r="E61" s="1886"/>
    </row>
    <row r="62" spans="2:7" hidden="1">
      <c r="B62" s="1883"/>
      <c r="C62" s="1887" t="e">
        <f>'2Mong'!D39&amp;": "&amp;D62&amp;" móng"</f>
        <v>#N/A</v>
      </c>
      <c r="D62" s="1888">
        <f>'2Mong'!F39</f>
        <v>0</v>
      </c>
      <c r="E62" s="1886"/>
    </row>
    <row r="63" spans="2:7" s="1516" customFormat="1" hidden="1">
      <c r="B63" s="1883"/>
      <c r="C63" s="1887" t="e">
        <f>'2Mong'!D40&amp;": "&amp;D63&amp;" móng"</f>
        <v>#N/A</v>
      </c>
      <c r="D63" s="1888">
        <f>'2Mong'!F40</f>
        <v>0</v>
      </c>
      <c r="E63" s="1886"/>
      <c r="G63" s="1851"/>
    </row>
    <row r="64" spans="2:7" s="1516" customFormat="1" hidden="1">
      <c r="B64" s="1883"/>
      <c r="C64" s="1887" t="e">
        <f>'2Mong'!D41&amp;": "&amp;D64&amp;" móng"</f>
        <v>#N/A</v>
      </c>
      <c r="D64" s="1888">
        <f>'2Mong'!F41</f>
        <v>0</v>
      </c>
      <c r="E64" s="1886"/>
      <c r="G64" s="1851"/>
    </row>
    <row r="65" spans="2:7" s="1516" customFormat="1" ht="33.6" hidden="1">
      <c r="B65" s="1883"/>
      <c r="C65" s="1887" t="str">
        <f>'2Mong'!D42&amp;": "&amp;D65&amp;" móng"</f>
        <v>Đào móng trụ Móng bê tông trụ đôi 12m tại các vị trí: 142A, 157A, 164A: 3 móng</v>
      </c>
      <c r="D65" s="1888">
        <f>'2Mong'!F42</f>
        <v>3</v>
      </c>
      <c r="E65" s="1886"/>
      <c r="G65" s="1851"/>
    </row>
    <row r="66" spans="2:7" s="1516" customFormat="1" hidden="1">
      <c r="B66" s="1883"/>
      <c r="C66" s="1887" t="e">
        <f>'2Mong'!D43&amp;": "&amp;D66&amp;" móng"</f>
        <v>#N/A</v>
      </c>
      <c r="D66" s="1888">
        <f>'2Mong'!F43</f>
        <v>0</v>
      </c>
      <c r="E66" s="1886"/>
      <c r="G66" s="1851"/>
    </row>
    <row r="67" spans="2:7" s="1516" customFormat="1" hidden="1">
      <c r="B67" s="1883"/>
      <c r="C67" s="1887" t="e">
        <f>'2Mong'!D44&amp;": "&amp;D67&amp;" móng"</f>
        <v>#N/A</v>
      </c>
      <c r="D67" s="1888">
        <f>'2Mong'!F44</f>
        <v>0</v>
      </c>
      <c r="E67" s="1886"/>
      <c r="G67" s="1851"/>
    </row>
    <row r="68" spans="2:7" s="1516" customFormat="1" hidden="1">
      <c r="B68" s="1883"/>
      <c r="C68" s="1887" t="e">
        <f>'2Mong'!D45&amp;": "&amp;D68&amp;" móng"</f>
        <v>#N/A</v>
      </c>
      <c r="D68" s="1888">
        <f>'2Mong'!F45</f>
        <v>0</v>
      </c>
      <c r="E68" s="1886"/>
      <c r="G68" s="1851"/>
    </row>
    <row r="69" spans="2:7" s="1516" customFormat="1" ht="33.6" hidden="1">
      <c r="B69" s="1883"/>
      <c r="C69" s="1887" t="str">
        <f>'2Mong'!D46&amp;": "&amp;D69&amp;" móng"</f>
        <v>Đào móng trụ Móng bê tông trụ 14m M14a tại các vị trí: 147, 148, 150, 161, 164, 169, 171, 171A, 172: 9 móng</v>
      </c>
      <c r="D69" s="1888">
        <f>'2Mong'!F46</f>
        <v>9</v>
      </c>
      <c r="E69" s="1886"/>
      <c r="G69" s="1851"/>
    </row>
    <row r="70" spans="2:7" s="1516" customFormat="1" hidden="1">
      <c r="B70" s="1883"/>
      <c r="C70" s="1887" t="e">
        <f>'2Mong'!D47&amp;": "&amp;D70&amp;" móng"</f>
        <v>#N/A</v>
      </c>
      <c r="D70" s="1888">
        <f>'2Mong'!F47</f>
        <v>0</v>
      </c>
      <c r="E70" s="1886"/>
      <c r="G70" s="1851"/>
    </row>
    <row r="71" spans="2:7" s="1516" customFormat="1" hidden="1">
      <c r="B71" s="1883"/>
      <c r="C71" s="1887" t="e">
        <f>'2Mong'!D48&amp;": "&amp;D71&amp;" móng"</f>
        <v>#N/A</v>
      </c>
      <c r="D71" s="1888">
        <f>'2Mong'!F48</f>
        <v>0</v>
      </c>
      <c r="E71" s="1886"/>
      <c r="G71" s="1851"/>
    </row>
    <row r="72" spans="2:7" s="1516" customFormat="1" hidden="1">
      <c r="B72" s="1883"/>
      <c r="C72" s="1887" t="e">
        <f>'2Mong'!D49&amp;": "&amp;D72&amp;" móng"</f>
        <v>#N/A</v>
      </c>
      <c r="D72" s="1888">
        <f>'2Mong'!F49</f>
        <v>0</v>
      </c>
      <c r="E72" s="1886"/>
      <c r="G72" s="1851"/>
    </row>
    <row r="73" spans="2:7" s="1516" customFormat="1" hidden="1">
      <c r="B73" s="1883"/>
      <c r="C73" s="1887" t="e">
        <f>'2Mong'!D50&amp;": "&amp;D73&amp;" móng"</f>
        <v>#N/A</v>
      </c>
      <c r="D73" s="1888">
        <f>'2Mong'!F50</f>
        <v>0</v>
      </c>
      <c r="E73" s="1886"/>
      <c r="G73" s="1851"/>
    </row>
    <row r="74" spans="2:7" s="1516" customFormat="1" hidden="1">
      <c r="B74" s="1883"/>
      <c r="C74" s="1887" t="e">
        <f>'2Mong'!D51&amp;": "&amp;D74&amp;" móng"</f>
        <v>#N/A</v>
      </c>
      <c r="D74" s="1888">
        <f>'2Mong'!F51</f>
        <v>0</v>
      </c>
      <c r="E74" s="1886"/>
      <c r="G74" s="1851"/>
    </row>
    <row r="75" spans="2:7" s="1516" customFormat="1" hidden="1">
      <c r="B75" s="1883"/>
      <c r="C75" s="1887" t="e">
        <f>'2Mong'!D52&amp;": "&amp;D75&amp;" móng"</f>
        <v>#N/A</v>
      </c>
      <c r="D75" s="1888">
        <f>'2Mong'!F52</f>
        <v>0</v>
      </c>
      <c r="E75" s="1886"/>
      <c r="G75" s="1851"/>
    </row>
    <row r="76" spans="2:7" s="1516" customFormat="1" hidden="1">
      <c r="B76" s="1883"/>
      <c r="C76" s="1887" t="e">
        <f>'2Mong'!D53&amp;": "&amp;D76&amp;" móng"</f>
        <v>#N/A</v>
      </c>
      <c r="D76" s="1888">
        <f>'2Mong'!F53</f>
        <v>0</v>
      </c>
      <c r="E76" s="1886"/>
      <c r="G76" s="1851"/>
    </row>
    <row r="77" spans="2:7" s="1516" customFormat="1" hidden="1">
      <c r="B77" s="1883"/>
      <c r="C77" s="1887" t="e">
        <f>'2Mong'!D54&amp;": "&amp;D77&amp;" móng"</f>
        <v>#N/A</v>
      </c>
      <c r="D77" s="1888">
        <f>'2Mong'!F54</f>
        <v>0</v>
      </c>
      <c r="E77" s="1886"/>
      <c r="G77" s="1851"/>
    </row>
    <row r="78" spans="2:7" s="1516" customFormat="1" hidden="1">
      <c r="B78" s="1883"/>
      <c r="C78" s="1887" t="e">
        <f>'2Mong'!D55&amp;": "&amp;D78&amp;" móng"</f>
        <v>#N/A</v>
      </c>
      <c r="D78" s="1888">
        <f>'2Mong'!F55</f>
        <v>0</v>
      </c>
      <c r="E78" s="1886"/>
      <c r="G78" s="1851"/>
    </row>
    <row r="79" spans="2:7" s="1516" customFormat="1" hidden="1">
      <c r="B79" s="1883"/>
      <c r="C79" s="1887" t="e">
        <f>'2Mong'!D56&amp;": "&amp;D79&amp;" móng"</f>
        <v>#N/A</v>
      </c>
      <c r="D79" s="1888">
        <f>'2Mong'!F56</f>
        <v>0</v>
      </c>
      <c r="E79" s="1886"/>
      <c r="G79" s="1851"/>
    </row>
    <row r="80" spans="2:7" s="1516" customFormat="1" hidden="1">
      <c r="B80" s="1883"/>
      <c r="C80" s="1887" t="e">
        <f>'2Mong'!D57&amp;": "&amp;D80&amp;" móng"</f>
        <v>#N/A</v>
      </c>
      <c r="D80" s="1888">
        <f>'2Mong'!F57</f>
        <v>0</v>
      </c>
      <c r="E80" s="1886"/>
      <c r="G80" s="1851"/>
    </row>
    <row r="81" spans="2:7" s="1516" customFormat="1" hidden="1">
      <c r="B81" s="1883"/>
      <c r="C81" s="1887" t="e">
        <f>'2Mong'!D58&amp;": "&amp;D81&amp;" móng"</f>
        <v>#N/A</v>
      </c>
      <c r="D81" s="1888">
        <f>'2Mong'!F58</f>
        <v>0</v>
      </c>
      <c r="E81" s="1886"/>
      <c r="G81" s="1851"/>
    </row>
    <row r="82" spans="2:7" s="1516" customFormat="1" hidden="1">
      <c r="B82" s="1883"/>
      <c r="C82" s="1887" t="e">
        <f>'2Mong'!D59&amp;": "&amp;D82&amp;" móng"</f>
        <v>#N/A</v>
      </c>
      <c r="D82" s="1888">
        <f>'2Mong'!F59</f>
        <v>0</v>
      </c>
      <c r="E82" s="1886"/>
      <c r="G82" s="1851"/>
    </row>
    <row r="83" spans="2:7" s="1516" customFormat="1" ht="33.6">
      <c r="B83" s="1883"/>
      <c r="C83" s="1887" t="str">
        <f>'2Mong'!D60&amp;": "&amp;D83&amp;" móng"</f>
        <v>Đào móng trụ Bộ móng neo xòe cho chằng xuống: NXX tại các vị trí: 171: 2 móng</v>
      </c>
      <c r="D83" s="1888">
        <f>'2Mong'!F60</f>
        <v>2</v>
      </c>
      <c r="E83" s="1886"/>
      <c r="G83" s="1851"/>
    </row>
    <row r="84" spans="2:7" s="1516" customFormat="1">
      <c r="B84" s="1883"/>
      <c r="C84" s="1887" t="e">
        <f>'2Mong'!D61&amp;": "&amp;D84&amp;" móng"</f>
        <v>#N/A</v>
      </c>
      <c r="D84" s="1888">
        <f>'2Mong'!F61</f>
        <v>0</v>
      </c>
      <c r="E84" s="1886"/>
      <c r="G84" s="1851"/>
    </row>
    <row r="85" spans="2:7" s="1516" customFormat="1" hidden="1">
      <c r="B85" s="1883"/>
      <c r="C85" s="1887" t="e">
        <f>'2Mong'!D62&amp;": "&amp;D85&amp;" móng"</f>
        <v>#N/A</v>
      </c>
      <c r="D85" s="1888">
        <f>'2Mong'!F62</f>
        <v>0</v>
      </c>
      <c r="E85" s="1886"/>
      <c r="G85" s="1851"/>
    </row>
    <row r="86" spans="2:7" s="1516" customFormat="1" hidden="1">
      <c r="B86" s="1883"/>
      <c r="C86" s="1887" t="e">
        <f>'2Mong'!D63&amp;": "&amp;D86&amp;" móng"</f>
        <v>#N/A</v>
      </c>
      <c r="D86" s="1888">
        <f>'2Mong'!F63</f>
        <v>0</v>
      </c>
      <c r="E86" s="1886"/>
      <c r="G86" s="1851"/>
    </row>
    <row r="87" spans="2:7" s="1516" customFormat="1" hidden="1">
      <c r="B87" s="1883"/>
      <c r="C87" s="1887" t="e">
        <f>'2Mong'!D64&amp;": "&amp;D87&amp;" móng"</f>
        <v>#N/A</v>
      </c>
      <c r="D87" s="1888">
        <f>'2Mong'!F64</f>
        <v>0</v>
      </c>
      <c r="E87" s="1886"/>
      <c r="G87" s="1851"/>
    </row>
    <row r="88" spans="2:7" s="1516" customFormat="1" hidden="1">
      <c r="B88" s="1883"/>
      <c r="C88" s="1887" t="e">
        <f>'2Mong'!D65&amp;": "&amp;D88&amp;" móng"</f>
        <v>#N/A</v>
      </c>
      <c r="D88" s="1888">
        <f>'2Mong'!F65</f>
        <v>0</v>
      </c>
      <c r="E88" s="1886"/>
      <c r="G88" s="1851"/>
    </row>
    <row r="89" spans="2:7" s="1516" customFormat="1" hidden="1">
      <c r="B89" s="1883"/>
      <c r="C89" s="1887" t="e">
        <f>'2Mong'!D66&amp;": "&amp;D89&amp;" móng"</f>
        <v>#N/A</v>
      </c>
      <c r="D89" s="1888">
        <f>'2Mong'!F66</f>
        <v>0</v>
      </c>
      <c r="E89" s="1886"/>
      <c r="G89" s="1851"/>
    </row>
    <row r="90" spans="2:7" s="1516" customFormat="1" hidden="1">
      <c r="B90" s="1883"/>
      <c r="C90" s="1887" t="e">
        <f>'2Mong'!D67&amp;": "&amp;D90&amp;" móng"</f>
        <v>#N/A</v>
      </c>
      <c r="D90" s="1888">
        <f>'2Mong'!F67</f>
        <v>0</v>
      </c>
      <c r="E90" s="1886"/>
      <c r="G90" s="1851"/>
    </row>
    <row r="91" spans="2:7" s="1516" customFormat="1" hidden="1">
      <c r="B91" s="1883"/>
      <c r="C91" s="1887" t="e">
        <f>'2Mong'!D68&amp;": "&amp;D91&amp;" móng"</f>
        <v>#N/A</v>
      </c>
      <c r="D91" s="1888">
        <f>'2Mong'!F68</f>
        <v>0</v>
      </c>
      <c r="E91" s="1886"/>
      <c r="G91" s="1851"/>
    </row>
    <row r="92" spans="2:7" s="1516" customFormat="1" hidden="1">
      <c r="B92" s="1883"/>
      <c r="C92" s="1887" t="e">
        <f>'2Mong'!D69&amp;": "&amp;D92&amp;" móng"</f>
        <v>#N/A</v>
      </c>
      <c r="D92" s="1888">
        <f>'2Mong'!F69</f>
        <v>0</v>
      </c>
      <c r="E92" s="1886"/>
      <c r="G92" s="1851"/>
    </row>
    <row r="93" spans="2:7" ht="33.6">
      <c r="B93" s="1883"/>
      <c r="C93" s="1884" t="s">
        <v>4806</v>
      </c>
      <c r="D93" s="1885" t="s">
        <v>515</v>
      </c>
      <c r="E93" s="1886"/>
    </row>
    <row r="94" spans="2:7" ht="22.5" customHeight="1">
      <c r="B94" s="1883"/>
      <c r="C94" s="1884" t="s">
        <v>4811</v>
      </c>
      <c r="D94" s="1885" t="s">
        <v>515</v>
      </c>
      <c r="E94" s="1886"/>
    </row>
    <row r="95" spans="2:7" ht="30.75" customHeight="1">
      <c r="B95" s="1883">
        <f>B24</f>
        <v>43026</v>
      </c>
      <c r="C95" s="1884" t="str">
        <f>"Dựng trụ "&amp;WORD!$AB$2</f>
        <v>Dựng trụ BTLT 8,5m- F200 DƯL</v>
      </c>
      <c r="D95" s="1885">
        <f>SUM(D96:D108)</f>
        <v>0</v>
      </c>
      <c r="E95" s="1886"/>
    </row>
    <row r="96" spans="2:7" hidden="1">
      <c r="B96" s="1883"/>
      <c r="C96" s="1887" t="e">
        <f>'3Tru'!D4&amp;": "&amp;D96&amp;" trụ"</f>
        <v>#N/A</v>
      </c>
      <c r="D96" s="1888">
        <f>'3Tru'!F4</f>
        <v>0</v>
      </c>
      <c r="E96" s="1886"/>
    </row>
    <row r="97" spans="2:7" hidden="1">
      <c r="B97" s="1883"/>
      <c r="C97" s="1887" t="e">
        <f>'3Tru'!D5&amp;": "&amp;D97&amp;" móng"</f>
        <v>#N/A</v>
      </c>
      <c r="D97" s="1888">
        <f>'3Tru'!F5</f>
        <v>0</v>
      </c>
      <c r="E97" s="1886"/>
    </row>
    <row r="98" spans="2:7">
      <c r="B98" s="1883"/>
      <c r="C98" s="1887" t="e">
        <f>'3Tru'!D6&amp;": "&amp;D98&amp;" móng"</f>
        <v>#N/A</v>
      </c>
      <c r="D98" s="1888">
        <f>'3Tru'!F6</f>
        <v>0</v>
      </c>
      <c r="E98" s="1886"/>
    </row>
    <row r="99" spans="2:7" hidden="1">
      <c r="B99" s="1883"/>
      <c r="C99" s="1887" t="e">
        <f>'3Tru'!D7&amp;": "&amp;D99&amp;" móng"</f>
        <v>#N/A</v>
      </c>
      <c r="D99" s="1888">
        <f>'3Tru'!F7</f>
        <v>0</v>
      </c>
      <c r="E99" s="1886"/>
    </row>
    <row r="100" spans="2:7" hidden="1">
      <c r="B100" s="1883"/>
      <c r="C100" s="1887" t="e">
        <f>'3Tru'!D8&amp;": "&amp;D100&amp;" móng"</f>
        <v>#N/A</v>
      </c>
      <c r="D100" s="1888">
        <f>'3Tru'!F8</f>
        <v>0</v>
      </c>
      <c r="E100" s="1886"/>
    </row>
    <row r="101" spans="2:7" hidden="1">
      <c r="B101" s="1883"/>
      <c r="C101" s="1887" t="e">
        <f>'3Tru'!D9&amp;": "&amp;D101&amp;" móng"</f>
        <v>#N/A</v>
      </c>
      <c r="D101" s="1888">
        <f>'3Tru'!F9</f>
        <v>0</v>
      </c>
      <c r="E101" s="1886"/>
    </row>
    <row r="102" spans="2:7">
      <c r="B102" s="1883"/>
      <c r="C102" s="1887" t="e">
        <f>'3Tru'!D10&amp;": "&amp;D102&amp;" móng"</f>
        <v>#N/A</v>
      </c>
      <c r="D102" s="1888">
        <f>'3Tru'!F10</f>
        <v>0</v>
      </c>
      <c r="E102" s="1886"/>
    </row>
    <row r="103" spans="2:7" hidden="1">
      <c r="B103" s="1883"/>
      <c r="C103" s="1887" t="e">
        <f>'3Tru'!D11&amp;": "&amp;D103&amp;" móng"</f>
        <v>#N/A</v>
      </c>
      <c r="D103" s="1888">
        <f>'3Tru'!F11</f>
        <v>0</v>
      </c>
      <c r="E103" s="1886"/>
    </row>
    <row r="104" spans="2:7" hidden="1">
      <c r="B104" s="1883"/>
      <c r="C104" s="1887" t="e">
        <f>'3Tru'!D12&amp;": "&amp;D104&amp;" móng"</f>
        <v>#N/A</v>
      </c>
      <c r="D104" s="1888">
        <f>'3Tru'!F12</f>
        <v>0</v>
      </c>
      <c r="E104" s="1886"/>
    </row>
    <row r="105" spans="2:7" hidden="1">
      <c r="B105" s="1883"/>
      <c r="C105" s="1887" t="e">
        <f>'3Tru'!D13&amp;": "&amp;D105&amp;" móng"</f>
        <v>#N/A</v>
      </c>
      <c r="D105" s="1888">
        <f>'3Tru'!F13</f>
        <v>0</v>
      </c>
      <c r="E105" s="1886"/>
    </row>
    <row r="106" spans="2:7" hidden="1">
      <c r="B106" s="1883"/>
      <c r="C106" s="1887" t="e">
        <f>'3Tru'!D14&amp;": "&amp;D106&amp;" móng"</f>
        <v>#N/A</v>
      </c>
      <c r="D106" s="1888">
        <f>'3Tru'!F14</f>
        <v>0</v>
      </c>
      <c r="E106" s="1886"/>
    </row>
    <row r="107" spans="2:7" hidden="1">
      <c r="B107" s="1883"/>
      <c r="C107" s="1887" t="e">
        <f>'3Tru'!D15&amp;": "&amp;D107&amp;" móng"</f>
        <v>#N/A</v>
      </c>
      <c r="D107" s="1888">
        <f>'3Tru'!F15</f>
        <v>0</v>
      </c>
      <c r="E107" s="1886"/>
    </row>
    <row r="108" spans="2:7" s="1516" customFormat="1" hidden="1">
      <c r="B108" s="1883"/>
      <c r="C108" s="1887" t="e">
        <f>'3Tru'!D16&amp;": "&amp;D108&amp;" móng"</f>
        <v>#N/A</v>
      </c>
      <c r="D108" s="1888">
        <f>'3Tru'!F16</f>
        <v>0</v>
      </c>
      <c r="E108" s="1886"/>
      <c r="G108" s="1851"/>
    </row>
    <row r="109" spans="2:7" ht="36.75" hidden="1" customHeight="1">
      <c r="B109" s="1883">
        <f>B95+1</f>
        <v>43027</v>
      </c>
      <c r="C109" s="1884" t="s">
        <v>4766</v>
      </c>
      <c r="D109" s="1885">
        <f ca="1">SUM(D110:D117)</f>
        <v>6</v>
      </c>
      <c r="E109" s="1886"/>
    </row>
    <row r="110" spans="2:7" hidden="1">
      <c r="B110" s="1883"/>
      <c r="C110" s="1887" t="e">
        <f>'4BT'!D4&amp;": "&amp;D110&amp;" móng"</f>
        <v>#N/A</v>
      </c>
      <c r="D110" s="1888">
        <f>'4BT'!F4</f>
        <v>0</v>
      </c>
      <c r="E110" s="1886"/>
    </row>
    <row r="111" spans="2:7" hidden="1">
      <c r="B111" s="1883"/>
      <c r="C111" s="1887" t="e">
        <f ca="1">'4BT'!D5&amp;": "&amp;D111&amp;" móng"</f>
        <v>#N/A</v>
      </c>
      <c r="D111" s="1888">
        <f ca="1">'4BT'!F5</f>
        <v>0</v>
      </c>
      <c r="E111" s="1886"/>
    </row>
    <row r="112" spans="2:7" hidden="1">
      <c r="B112" s="1883"/>
      <c r="C112" s="1887" t="e">
        <f>'4BT'!D6&amp;": "&amp;D112&amp;" móng"</f>
        <v>#N/A</v>
      </c>
      <c r="D112" s="1888">
        <f>'4BT'!F6</f>
        <v>0</v>
      </c>
      <c r="E112" s="1886"/>
    </row>
    <row r="113" spans="2:5" hidden="1">
      <c r="B113" s="1883"/>
      <c r="C113" s="1887" t="e">
        <f>'4BT'!D7&amp;": "&amp;D113&amp;" móng"</f>
        <v>#N/A</v>
      </c>
      <c r="D113" s="1888">
        <f>'4BT'!F7</f>
        <v>0</v>
      </c>
      <c r="E113" s="1886"/>
    </row>
    <row r="114" spans="2:5" ht="33.6" hidden="1">
      <c r="B114" s="1883"/>
      <c r="C114" s="1887" t="str">
        <f>'4BT'!D8&amp;": "&amp;D114&amp;" móng"</f>
        <v>Móng bê tông trụ đôi 12m tại vị trí: 142A, 157A, 164A: 3 móng</v>
      </c>
      <c r="D114" s="1888">
        <f>'4BT'!F8</f>
        <v>3</v>
      </c>
      <c r="E114" s="1886"/>
    </row>
    <row r="115" spans="2:5" hidden="1">
      <c r="B115" s="1883"/>
      <c r="C115" s="1887" t="e">
        <f>'4BT'!D9&amp;": "&amp;D115&amp;" móng"</f>
        <v>#N/A</v>
      </c>
      <c r="D115" s="1888">
        <f>'4BT'!F9</f>
        <v>0</v>
      </c>
      <c r="E115" s="1886"/>
    </row>
    <row r="116" spans="2:5" hidden="1">
      <c r="B116" s="1883"/>
      <c r="C116" s="1887" t="e">
        <f>'4BT'!D10&amp;": "&amp;D116&amp;" móng"</f>
        <v>#N/A</v>
      </c>
      <c r="D116" s="1888">
        <f>'4BT'!F10</f>
        <v>0</v>
      </c>
      <c r="E116" s="1886"/>
    </row>
    <row r="117" spans="2:5" hidden="1">
      <c r="B117" s="1883"/>
      <c r="C117" s="1887" t="str">
        <f ca="1">'4BT'!D11&amp;": "&amp;D117&amp;" móng"</f>
        <v>Tổng cộng:: 3 móng</v>
      </c>
      <c r="D117" s="1888">
        <f ca="1">'4BT'!F11</f>
        <v>3</v>
      </c>
      <c r="E117" s="1886"/>
    </row>
    <row r="118" spans="2:5" ht="33.75" customHeight="1">
      <c r="B118" s="1883">
        <f>B109</f>
        <v>43027</v>
      </c>
      <c r="C118" s="1884" t="s">
        <v>4765</v>
      </c>
      <c r="D118" s="1885">
        <f>SUM(D119:D147)</f>
        <v>7</v>
      </c>
      <c r="E118" s="1886"/>
    </row>
    <row r="119" spans="2:5" ht="33.6" hidden="1">
      <c r="B119" s="1883"/>
      <c r="C119" s="1887" t="str">
        <f>'5Neo'!D4&amp;": "&amp;D119&amp;" bộ"</f>
        <v>Bộ CODE lắp néo trung hòa: CODE th-Þ240 tại các vị trí: 0: 0 bộ</v>
      </c>
      <c r="D119" s="1888">
        <f>'5Neo'!F4</f>
        <v>0</v>
      </c>
      <c r="E119" s="1886"/>
    </row>
    <row r="120" spans="2:5" ht="33.6">
      <c r="B120" s="1883"/>
      <c r="C120" s="1887" t="str">
        <f>'5Neo'!D5&amp;": "&amp;D120&amp;" bộ"</f>
        <v>Bộ chằng xuống đơn cho trụ hạ thế: CX.ht tại các vị trí: 0: 0 bộ</v>
      </c>
      <c r="D120" s="1888">
        <f>'5Neo'!F5</f>
        <v>0</v>
      </c>
      <c r="E120" s="1886"/>
    </row>
    <row r="121" spans="2:5" ht="33.6" hidden="1">
      <c r="B121" s="1883"/>
      <c r="C121" s="1887" t="str">
        <f>'5Neo'!D6&amp;": "&amp;D121&amp;" bộ"</f>
        <v>Tháo bộ chằng lệch đơn cho trụ hạ thế: CL.ht tại các vị trí: 0: 0 bộ</v>
      </c>
      <c r="D121" s="1888">
        <f>'5Neo'!F6</f>
        <v>0</v>
      </c>
      <c r="E121" s="1886"/>
    </row>
    <row r="122" spans="2:5" ht="33.6">
      <c r="B122" s="1883"/>
      <c r="C122" s="1887" t="str">
        <f>'5Neo'!D7&amp;": "&amp;D122&amp;" bộ"</f>
        <v>Bộ chằng lệch đơn cho trụ hạ thế: CL.ht tại các vị trí: 0: 0 bộ</v>
      </c>
      <c r="D122" s="1888">
        <f>'5Neo'!F7</f>
        <v>0</v>
      </c>
      <c r="E122" s="1886"/>
    </row>
    <row r="123" spans="2:5" ht="33.6" hidden="1">
      <c r="B123" s="1883"/>
      <c r="C123" s="1887" t="str">
        <f>'5Neo'!D8&amp;": "&amp;D123&amp;" bộ"</f>
        <v>Bộ chằng xuống đơn cho trụ 10,5m: CX10-B tại các vị trí: 0: 0 bộ</v>
      </c>
      <c r="D123" s="1888">
        <f>'5Neo'!F8</f>
        <v>0</v>
      </c>
      <c r="E123" s="1886"/>
    </row>
    <row r="124" spans="2:5" ht="33.6" hidden="1">
      <c r="B124" s="1883"/>
      <c r="C124" s="1887" t="str">
        <f>'5Neo'!D9&amp;": "&amp;D124&amp;" bộ"</f>
        <v>Bộ chằng lệch đơn cho trụ 10,5m: CL10-B tại các vị trí: 0: 0 bộ</v>
      </c>
      <c r="D124" s="1888">
        <f>'5Neo'!F9</f>
        <v>0</v>
      </c>
      <c r="E124" s="1886"/>
    </row>
    <row r="125" spans="2:5" ht="33.6" hidden="1">
      <c r="B125" s="1883"/>
      <c r="C125" s="1887" t="str">
        <f>'5Neo'!D10&amp;": "&amp;D125&amp;" bộ"</f>
        <v>Bộ chằng xuống kép cho trụ 10,5m: CXX10-B tại các vị trí: 0: 0 bộ</v>
      </c>
      <c r="D125" s="1888">
        <f>'5Neo'!F10</f>
        <v>0</v>
      </c>
      <c r="E125" s="1886"/>
    </row>
    <row r="126" spans="2:5" ht="33.6" hidden="1">
      <c r="B126" s="1883"/>
      <c r="C126" s="1887" t="str">
        <f>'5Neo'!D11&amp;": "&amp;D126&amp;" bộ"</f>
        <v>Tháo bộ chằng xuống đơn cho trụ 12m: CX12-B tại các vị trí: 0: 0 bộ</v>
      </c>
      <c r="D126" s="1888">
        <f>'5Neo'!F11</f>
        <v>0</v>
      </c>
      <c r="E126" s="1886"/>
    </row>
    <row r="127" spans="2:5" ht="33.6" hidden="1">
      <c r="B127" s="1883"/>
      <c r="C127" s="1887" t="str">
        <f>'5Neo'!D12&amp;": "&amp;D127&amp;" bộ"</f>
        <v>Bộ chằng xuống đơn cho trụ 12m: CX12-B tại các vị trí: 145, 153: 2 bộ</v>
      </c>
      <c r="D127" s="1888">
        <f>'5Neo'!F12</f>
        <v>2</v>
      </c>
      <c r="E127" s="1886"/>
    </row>
    <row r="128" spans="2:5" ht="33.6" hidden="1">
      <c r="B128" s="1883"/>
      <c r="C128" s="1887" t="str">
        <f>'5Neo'!D13&amp;": "&amp;D128&amp;" bộ"</f>
        <v>Tháo bộ chằng lệch đơn cho trụ 12m: CL12-B tại các vị trí: 0: 0 bộ</v>
      </c>
      <c r="D128" s="1888">
        <f>'5Neo'!F13</f>
        <v>0</v>
      </c>
      <c r="E128" s="1886"/>
    </row>
    <row r="129" spans="2:7" ht="33.6" hidden="1">
      <c r="B129" s="1883"/>
      <c r="C129" s="1887" t="str">
        <f>'5Neo'!D14&amp;": "&amp;D129&amp;" bộ"</f>
        <v>Bộ chằng lệch đơn cho trụ 12m: CL12-B tại các vị trí: 167: 1 bộ</v>
      </c>
      <c r="D129" s="1888">
        <f>'5Neo'!F14</f>
        <v>1</v>
      </c>
      <c r="E129" s="1886"/>
    </row>
    <row r="130" spans="2:7" ht="33.6" hidden="1">
      <c r="B130" s="1883"/>
      <c r="C130" s="1887" t="str">
        <f>'5Neo'!D15&amp;": "&amp;D130&amp;" bộ"</f>
        <v>Bộ chằng xuống kép cho trụ 12m: CXX12-B tại các vị trí: 0: 0 bộ</v>
      </c>
      <c r="D130" s="1888">
        <f>'5Neo'!F15</f>
        <v>0</v>
      </c>
      <c r="E130" s="1886"/>
    </row>
    <row r="131" spans="2:7" s="1516" customFormat="1" ht="33.6" hidden="1">
      <c r="B131" s="1883"/>
      <c r="C131" s="1887" t="str">
        <f>'5Neo'!D16&amp;": "&amp;D131&amp;" bộ"</f>
        <v>Bộ chằng xuống đơn cho trụ 14m: CX14-B tại các vị trí: 150: 2 bộ</v>
      </c>
      <c r="D131" s="1888">
        <f>'5Neo'!F16</f>
        <v>2</v>
      </c>
      <c r="E131" s="1886"/>
      <c r="G131" s="1851"/>
    </row>
    <row r="132" spans="2:7" s="1516" customFormat="1" ht="33.6" hidden="1">
      <c r="B132" s="1883"/>
      <c r="C132" s="1887" t="str">
        <f>'5Neo'!D17&amp;": "&amp;D132&amp;" bộ"</f>
        <v>Bộ chằng lệch đơn cho trụ 14m: CL14-B tại các vị trí: 0: 0 bộ</v>
      </c>
      <c r="D132" s="1888">
        <f>'5Neo'!F17</f>
        <v>0</v>
      </c>
      <c r="E132" s="1886"/>
      <c r="G132" s="1851"/>
    </row>
    <row r="133" spans="2:7" s="1516" customFormat="1" ht="33.6" hidden="1">
      <c r="B133" s="1883"/>
      <c r="C133" s="1887" t="str">
        <f>'5Neo'!D18&amp;": "&amp;D133&amp;" bộ"</f>
        <v>Bộ chằng xuống kép cho trụ 14m: CXX14-B tại các vị trí: 171: 2 bộ</v>
      </c>
      <c r="D133" s="1888">
        <f>'5Neo'!F18</f>
        <v>2</v>
      </c>
      <c r="E133" s="1886"/>
      <c r="G133" s="1851"/>
    </row>
    <row r="134" spans="2:7" s="1516" customFormat="1" hidden="1">
      <c r="B134" s="1883"/>
      <c r="C134" s="1887" t="str">
        <f>'5Neo'!D19&amp;": "&amp;D134&amp;" bộ"</f>
        <v>Bộ chằng vượt đơn: CK-B tại các vị trí: : 0 bộ</v>
      </c>
      <c r="D134" s="1888">
        <f>'5Neo'!F19</f>
        <v>0</v>
      </c>
      <c r="E134" s="1886"/>
      <c r="G134" s="1851"/>
    </row>
    <row r="135" spans="2:7" s="1516" customFormat="1" hidden="1">
      <c r="B135" s="1883"/>
      <c r="C135" s="1887" t="str">
        <f>'5Neo'!D20&amp;": "&amp;D135&amp;" bộ"</f>
        <v>Bộ chằng vượt kép: CKK-B tại các vị trí: 0: 0 bộ</v>
      </c>
      <c r="D135" s="1888">
        <f>'5Neo'!F20</f>
        <v>0</v>
      </c>
      <c r="E135" s="1886"/>
      <c r="G135" s="1851"/>
    </row>
    <row r="136" spans="2:7" s="1516" customFormat="1" ht="33.6" hidden="1">
      <c r="B136" s="1883"/>
      <c r="C136" s="1887" t="str">
        <f>'5Neo'!D21&amp;": "&amp;D136&amp;" bộ"</f>
        <v>Bộ chằng xuống đơn cho trụ 10,5m: CX10-C tại các vị trí: 0: 0 bộ</v>
      </c>
      <c r="D136" s="1888">
        <f>'5Neo'!F21</f>
        <v>0</v>
      </c>
      <c r="E136" s="1886"/>
      <c r="G136" s="1851"/>
    </row>
    <row r="137" spans="2:7" s="1516" customFormat="1" ht="33.6" hidden="1">
      <c r="B137" s="1883"/>
      <c r="C137" s="1887" t="str">
        <f>'5Neo'!D22&amp;": "&amp;D137&amp;" bộ"</f>
        <v>Bộ chằng lệch đơn cho trụ 10,5m: CL10-C tại các vị trí: 0: 0 bộ</v>
      </c>
      <c r="D137" s="1888">
        <f>'5Neo'!F22</f>
        <v>0</v>
      </c>
      <c r="E137" s="1886"/>
      <c r="G137" s="1851"/>
    </row>
    <row r="138" spans="2:7" s="1516" customFormat="1" ht="33.6" hidden="1">
      <c r="B138" s="1883"/>
      <c r="C138" s="1887" t="str">
        <f>'5Neo'!D23&amp;": "&amp;D138&amp;" bộ"</f>
        <v>Bộ chằng xuống kép cho trụ 10,5m: CXX10-C tại các vị trí: 0: 0 bộ</v>
      </c>
      <c r="D138" s="1888">
        <f>'5Neo'!F23</f>
        <v>0</v>
      </c>
      <c r="E138" s="1886"/>
      <c r="G138" s="1851"/>
    </row>
    <row r="139" spans="2:7" s="1516" customFormat="1" ht="33.6" hidden="1">
      <c r="B139" s="1883"/>
      <c r="C139" s="1887" t="str">
        <f>'5Neo'!D24&amp;": "&amp;D139&amp;" bộ"</f>
        <v>Bộ chằng xuống đơn cho trụ 12m: CX12-C tại các vị trí: 0: 0 bộ</v>
      </c>
      <c r="D139" s="1888">
        <f>'5Neo'!F24</f>
        <v>0</v>
      </c>
      <c r="E139" s="1886"/>
      <c r="G139" s="1851"/>
    </row>
    <row r="140" spans="2:7" s="1516" customFormat="1" ht="33.6" hidden="1">
      <c r="B140" s="1883"/>
      <c r="C140" s="1887" t="str">
        <f>'5Neo'!D25&amp;": "&amp;D140&amp;" bộ"</f>
        <v>Bộ chằng lệch đơn cho trụ 12m: CL12-C tại các vị trí: 0: 0 bộ</v>
      </c>
      <c r="D140" s="1888">
        <f>'5Neo'!F25</f>
        <v>0</v>
      </c>
      <c r="E140" s="1886"/>
      <c r="G140" s="1851"/>
    </row>
    <row r="141" spans="2:7" s="1516" customFormat="1" ht="33.6" hidden="1">
      <c r="B141" s="1883"/>
      <c r="C141" s="1887" t="str">
        <f>'5Neo'!D26&amp;": "&amp;D141&amp;" bộ"</f>
        <v>Bộ chằng xuống kép cho trụ 12m: CXX12-C tại các vị trí: 0: 0 bộ</v>
      </c>
      <c r="D141" s="1888">
        <f>'5Neo'!F26</f>
        <v>0</v>
      </c>
      <c r="E141" s="1886"/>
      <c r="G141" s="1851"/>
    </row>
    <row r="142" spans="2:7" s="1516" customFormat="1" ht="33.6" hidden="1">
      <c r="B142" s="1883"/>
      <c r="C142" s="1887" t="str">
        <f>'5Neo'!D27&amp;": "&amp;D142&amp;" bộ"</f>
        <v>Bộ chằng xuống đơn cho trụ 14m: CX14-C tại các vị trí: 0: 0 bộ</v>
      </c>
      <c r="D142" s="1888">
        <f>'5Neo'!F27</f>
        <v>0</v>
      </c>
      <c r="E142" s="1886"/>
      <c r="G142" s="1851"/>
    </row>
    <row r="143" spans="2:7" s="1516" customFormat="1" ht="33.6" hidden="1">
      <c r="B143" s="1883"/>
      <c r="C143" s="1887" t="str">
        <f>'5Neo'!D28&amp;": "&amp;D143&amp;" bộ"</f>
        <v>Bộ chằng lệch đơn cho trụ 14m: CL14-C tại các vị trí: 0: 0 bộ</v>
      </c>
      <c r="D143" s="1888">
        <f>'5Neo'!F28</f>
        <v>0</v>
      </c>
      <c r="E143" s="1886"/>
      <c r="G143" s="1851"/>
    </row>
    <row r="144" spans="2:7" s="1516" customFormat="1" ht="33.6" hidden="1">
      <c r="B144" s="1883"/>
      <c r="C144" s="1887" t="str">
        <f>'5Neo'!D29&amp;": "&amp;D144&amp;" bộ"</f>
        <v>Bộ chằng xuống kép cho trụ 14m: CXX14-C tại các vị trí: 0: 0 bộ</v>
      </c>
      <c r="D144" s="1888">
        <f>'5Neo'!F29</f>
        <v>0</v>
      </c>
      <c r="E144" s="1886"/>
      <c r="G144" s="1851"/>
    </row>
    <row r="145" spans="2:7" s="1516" customFormat="1" ht="33.6" hidden="1">
      <c r="B145" s="1883"/>
      <c r="C145" s="1887" t="str">
        <f>'5Neo'!D30&amp;": "&amp;D145&amp;" bộ"</f>
        <v>Bộ chằng xuống đơn cho trụ 20m: CX20-C tại các vị trí: 0: 0 bộ</v>
      </c>
      <c r="D145" s="1888">
        <f>'5Neo'!F30</f>
        <v>0</v>
      </c>
      <c r="E145" s="1886"/>
      <c r="G145" s="1851"/>
    </row>
    <row r="146" spans="2:7" s="1516" customFormat="1" hidden="1">
      <c r="B146" s="1883"/>
      <c r="C146" s="1887" t="str">
        <f>'5Neo'!D31&amp;": "&amp;D146&amp;" bộ"</f>
        <v>Bộ chằng vượt đơn: CK-C tại các vị trí: 0: 0 bộ</v>
      </c>
      <c r="D146" s="1888">
        <f>'5Neo'!F31</f>
        <v>0</v>
      </c>
      <c r="E146" s="1886"/>
      <c r="G146" s="1851"/>
    </row>
    <row r="147" spans="2:7" s="1516" customFormat="1" hidden="1">
      <c r="B147" s="1883"/>
      <c r="C147" s="1887" t="str">
        <f>'5Neo'!D32&amp;": "&amp;D147&amp;" bộ"</f>
        <v>Bộ chằng vượt kép: CKK-C tại các vị trí: 0: 0 bộ</v>
      </c>
      <c r="D147" s="1888">
        <f>'5Neo'!F32</f>
        <v>0</v>
      </c>
      <c r="E147" s="1886"/>
      <c r="G147" s="1851"/>
    </row>
    <row r="148" spans="2:7" s="1516" customFormat="1" ht="35.25" customHeight="1">
      <c r="B148" s="1883"/>
      <c r="C148" s="1884" t="s">
        <v>4916</v>
      </c>
      <c r="D148" s="1889">
        <f ca="1">SUM(D95,D109,D118)</f>
        <v>13</v>
      </c>
      <c r="E148" s="1886"/>
      <c r="G148" s="1851"/>
    </row>
    <row r="149" spans="2:7" ht="32.25" customHeight="1">
      <c r="B149" s="1883">
        <f>B24+2</f>
        <v>43028</v>
      </c>
      <c r="C149" s="1884" t="s">
        <v>4807</v>
      </c>
      <c r="D149" s="1885">
        <f>SUM(D150:D206)</f>
        <v>1035</v>
      </c>
      <c r="E149" s="1886"/>
    </row>
    <row r="150" spans="2:7">
      <c r="B150" s="1883"/>
      <c r="C150" s="1887" t="str">
        <f>'6PK'!D4</f>
        <v xml:space="preserve">Xà composite 110x800x5 dài 2,4m tại các vị trí: </v>
      </c>
      <c r="D150" s="1888">
        <f>'6PK'!F4</f>
        <v>0</v>
      </c>
      <c r="E150" s="1890" t="str">
        <f>'6PK'!E4</f>
        <v>cái</v>
      </c>
    </row>
    <row r="151" spans="2:7" hidden="1">
      <c r="B151" s="1883"/>
      <c r="C151" s="1887" t="str">
        <f>'6PK'!D5</f>
        <v>Xà composite 110x800x5 dài 2,6m</v>
      </c>
      <c r="D151" s="1888">
        <f>'6PK'!F5</f>
        <v>0</v>
      </c>
      <c r="E151" s="1890" t="str">
        <f>'6PK'!E5</f>
        <v>cái</v>
      </c>
    </row>
    <row r="152" spans="2:7" hidden="1">
      <c r="B152" s="1883"/>
      <c r="C152" s="1887" t="str">
        <f>'6PK'!D6</f>
        <v>Xà composite 110x800x5</v>
      </c>
      <c r="D152" s="1888">
        <f>'6PK'!F6</f>
        <v>0</v>
      </c>
      <c r="E152" s="1890" t="str">
        <f>'6PK'!E6</f>
        <v>m</v>
      </c>
    </row>
    <row r="153" spans="2:7" hidden="1">
      <c r="B153" s="1883"/>
      <c r="C153" s="1887" t="str">
        <f>'6PK'!D7</f>
        <v>Xà kẹp TU, TI U50x32x4 350</v>
      </c>
      <c r="D153" s="1888">
        <f>'6PK'!F7</f>
        <v>0</v>
      </c>
      <c r="E153" s="1890" t="str">
        <f>'6PK'!E7</f>
        <v>Bộ</v>
      </c>
    </row>
    <row r="154" spans="2:7" hidden="1">
      <c r="B154" s="1883"/>
      <c r="C154" s="1887" t="str">
        <f>'6PK'!D8</f>
        <v>Đà composite 0,8m + Thanh chống đà 720</v>
      </c>
      <c r="D154" s="1888">
        <f>'6PK'!F8</f>
        <v>0</v>
      </c>
      <c r="E154" s="1890" t="str">
        <f>'6PK'!E8</f>
        <v>cái</v>
      </c>
    </row>
    <row r="155" spans="2:7" ht="18" hidden="1" customHeight="1">
      <c r="B155" s="1883"/>
      <c r="C155" s="1887" t="e">
        <f>'6PK'!D11</f>
        <v>#N/A</v>
      </c>
      <c r="D155" s="1888">
        <f>'6PK'!F11</f>
        <v>0</v>
      </c>
      <c r="E155" s="1890" t="e">
        <f>'6PK'!E11</f>
        <v>#N/A</v>
      </c>
    </row>
    <row r="156" spans="2:7" hidden="1">
      <c r="B156" s="1883"/>
      <c r="C156" s="1887" t="str">
        <f>'6PK'!D12</f>
        <v>Bộ xà đơn L75x75x8 dài 1,66m:  X-1,66Đ</v>
      </c>
      <c r="D156" s="1888">
        <f>'6PK'!F12</f>
        <v>0</v>
      </c>
      <c r="E156" s="1890" t="str">
        <f>'6PK'!E12</f>
        <v>Bộ</v>
      </c>
    </row>
    <row r="157" spans="2:7" hidden="1">
      <c r="B157" s="1883"/>
      <c r="C157" s="1887" t="str">
        <f>'6PK'!D13</f>
        <v>Bộ xà kép L75x75x8 dài 1,66m:  X-1,66K</v>
      </c>
      <c r="D157" s="1888">
        <f>'6PK'!F13</f>
        <v>0</v>
      </c>
      <c r="E157" s="1890" t="str">
        <f>'6PK'!E13</f>
        <v>Bộ</v>
      </c>
    </row>
    <row r="158" spans="2:7" ht="33.6" hidden="1">
      <c r="B158" s="1883"/>
      <c r="C158" s="1887" t="str">
        <f>'6PK'!D14</f>
        <v>Bộ xà kép L75x75x8 dài 2.2m: X-22K-Đ - C810 (lắp trụ đơn)</v>
      </c>
      <c r="D158" s="1888">
        <f>'6PK'!F14</f>
        <v>0</v>
      </c>
      <c r="E158" s="1890" t="str">
        <f>'6PK'!E14</f>
        <v>Bộ</v>
      </c>
    </row>
    <row r="159" spans="2:7" hidden="1">
      <c r="B159" s="1883"/>
      <c r="C159" s="1887" t="str">
        <f>'6PK'!D15</f>
        <v>Bộ xà đơn L75x75x8 dài 2m:  X-20Đ</v>
      </c>
      <c r="D159" s="1888">
        <f>'6PK'!F15</f>
        <v>0</v>
      </c>
      <c r="E159" s="1890" t="str">
        <f>'6PK'!E15</f>
        <v>Bộ</v>
      </c>
    </row>
    <row r="160" spans="2:7" hidden="1">
      <c r="B160" s="1883"/>
      <c r="C160" s="1887" t="str">
        <f>'6PK'!D16</f>
        <v xml:space="preserve">Bộ xà kép L75x75x8 dài 2m: X-20K </v>
      </c>
      <c r="D160" s="1888">
        <f>'6PK'!F16</f>
        <v>0</v>
      </c>
      <c r="E160" s="1890" t="str">
        <f>'6PK'!E16</f>
        <v>Bộ</v>
      </c>
    </row>
    <row r="161" spans="2:5" hidden="1">
      <c r="B161" s="1883"/>
      <c r="C161" s="1887" t="str">
        <f>'6PK'!D17</f>
        <v>Bộ xà đơn L75x75x8 dài 2.2m: X-22Đ - C810</v>
      </c>
      <c r="D161" s="1888">
        <f>'6PK'!F17</f>
        <v>0</v>
      </c>
      <c r="E161" s="1890" t="str">
        <f>'6PK'!E17</f>
        <v>Bộ</v>
      </c>
    </row>
    <row r="162" spans="2:5" hidden="1">
      <c r="B162" s="1883"/>
      <c r="C162" s="1887" t="str">
        <f>'6PK'!D18</f>
        <v>Bộ xà đơn L75x75x8 dài 2.2m: X-22Đ - C920</v>
      </c>
      <c r="D162" s="1888">
        <f>'6PK'!F18</f>
        <v>0</v>
      </c>
      <c r="E162" s="1890" t="str">
        <f>'6PK'!E18</f>
        <v>Bộ</v>
      </c>
    </row>
    <row r="163" spans="2:5" hidden="1">
      <c r="B163" s="1883"/>
      <c r="C163" s="1887" t="str">
        <f>'6PK'!D19</f>
        <v xml:space="preserve">Tháo và lắp bộ xà kép L75x75x8 dài 2.1m: X-21K </v>
      </c>
      <c r="D163" s="1888">
        <f>'6PK'!F19</f>
        <v>0</v>
      </c>
      <c r="E163" s="1890" t="str">
        <f>'6PK'!E19</f>
        <v>Bộ</v>
      </c>
    </row>
    <row r="164" spans="2:5" ht="33.6" hidden="1">
      <c r="B164" s="1883"/>
      <c r="C164" s="1887" t="str">
        <f>'6PK'!D20</f>
        <v>Bộ xà kép L75x75x8 dài 2.2m: X-22K-K - C810 (lắp theo hướng trụ ghép)</v>
      </c>
      <c r="D164" s="1888">
        <f>'6PK'!F20</f>
        <v>0</v>
      </c>
      <c r="E164" s="1890" t="str">
        <f>'6PK'!E20</f>
        <v>Bộ</v>
      </c>
    </row>
    <row r="165" spans="2:5" hidden="1">
      <c r="B165" s="1883"/>
      <c r="C165" s="1887" t="str">
        <f>'6PK'!D21</f>
        <v>Bộ xà kép L75x75x8 dài 2.2m: X-22K - C920</v>
      </c>
      <c r="D165" s="1888">
        <f>'6PK'!F21</f>
        <v>0</v>
      </c>
      <c r="E165" s="1890" t="str">
        <f>'6PK'!E21</f>
        <v>Bộ</v>
      </c>
    </row>
    <row r="166" spans="2:5" hidden="1">
      <c r="B166" s="1883"/>
      <c r="C166" s="1887" t="str">
        <f>'6PK'!D22</f>
        <v xml:space="preserve">Bộ xà đơn L75x75x8 dài 2.4m: X-24Đ </v>
      </c>
      <c r="D166" s="1888">
        <f>'6PK'!F22</f>
        <v>0</v>
      </c>
      <c r="E166" s="1890" t="str">
        <f>'6PK'!E22</f>
        <v>Bộ</v>
      </c>
    </row>
    <row r="167" spans="2:5" hidden="1">
      <c r="B167" s="1883"/>
      <c r="C167" s="1887" t="str">
        <f>'6PK'!D23</f>
        <v xml:space="preserve">Bộ xà kép L75x75x8 dài 2.4m: X-24K </v>
      </c>
      <c r="D167" s="1888">
        <f>'6PK'!F23</f>
        <v>0</v>
      </c>
      <c r="E167" s="1890" t="str">
        <f>'6PK'!E23</f>
        <v>Bộ</v>
      </c>
    </row>
    <row r="168" spans="2:5" hidden="1">
      <c r="B168" s="1883"/>
      <c r="C168" s="1887" t="str">
        <f>'6PK'!D24</f>
        <v xml:space="preserve">Tháo và lắp bộ xà kép L75x75x8 dài 2.6m: X-26K_trụ PI </v>
      </c>
      <c r="D168" s="1888">
        <f>'6PK'!F24</f>
        <v>0</v>
      </c>
      <c r="E168" s="1890" t="str">
        <f>'6PK'!E24</f>
        <v>Bộ</v>
      </c>
    </row>
    <row r="169" spans="2:5" hidden="1">
      <c r="B169" s="1883"/>
      <c r="C169" s="1887" t="str">
        <f>'6PK'!D25</f>
        <v>Bộ xà lệch đơn L75x75x8 dài 0,8m: X-8ĐL</v>
      </c>
      <c r="D169" s="1888">
        <f>'6PK'!F25</f>
        <v>0</v>
      </c>
      <c r="E169" s="1890" t="str">
        <f>'6PK'!E25</f>
        <v>Bộ</v>
      </c>
    </row>
    <row r="170" spans="2:5" hidden="1">
      <c r="B170" s="1883"/>
      <c r="C170" s="1887" t="str">
        <f>'6PK'!D26</f>
        <v>Bộ xà lệch kép L75x75x8 dài 0,8m: X-8KL</v>
      </c>
      <c r="D170" s="1888">
        <f>'6PK'!F26</f>
        <v>0</v>
      </c>
      <c r="E170" s="1890" t="str">
        <f>'6PK'!E26</f>
        <v>Bộ</v>
      </c>
    </row>
    <row r="171" spans="2:5" hidden="1">
      <c r="B171" s="1883"/>
      <c r="C171" s="1887" t="str">
        <f>'6PK'!D27</f>
        <v>Bộ xà lệch đơn L75x75x8 dài 2,1m: X-21ĐL</v>
      </c>
      <c r="D171" s="1888">
        <f>'6PK'!F27</f>
        <v>0</v>
      </c>
      <c r="E171" s="1890" t="str">
        <f>'6PK'!E27</f>
        <v>Bộ</v>
      </c>
    </row>
    <row r="172" spans="2:5" hidden="1">
      <c r="B172" s="1883"/>
      <c r="C172" s="1887" t="str">
        <f>'6PK'!D28</f>
        <v>Bộ xà lệch kép L75x75x8 dài 2,1m: X-21KL</v>
      </c>
      <c r="D172" s="1888">
        <f>'6PK'!F28</f>
        <v>0</v>
      </c>
      <c r="E172" s="1890" t="str">
        <f>'6PK'!E28</f>
        <v>Bộ</v>
      </c>
    </row>
    <row r="173" spans="2:5" hidden="1">
      <c r="B173" s="1883"/>
      <c r="C173" s="1887" t="str">
        <f>'6PK'!D29</f>
        <v>Bộ xà lệch đơn L75x75x8 dài 2m: X-20ĐL2/3</v>
      </c>
      <c r="D173" s="1888">
        <f>'6PK'!F29</f>
        <v>151</v>
      </c>
      <c r="E173" s="1890" t="str">
        <f>'6PK'!E29</f>
        <v>Bộ</v>
      </c>
    </row>
    <row r="174" spans="2:5" hidden="1">
      <c r="B174" s="1883"/>
      <c r="C174" s="1887" t="str">
        <f>'6PK'!D30</f>
        <v>Bộ xà lệch kép L75x75x8 dài 2m: X-20KL2/3</v>
      </c>
      <c r="D174" s="1888">
        <f>'6PK'!F30</f>
        <v>8</v>
      </c>
      <c r="E174" s="1890" t="str">
        <f>'6PK'!E30</f>
        <v>Bộ</v>
      </c>
    </row>
    <row r="175" spans="2:5" hidden="1">
      <c r="B175" s="1883"/>
      <c r="C175" s="1887" t="str">
        <f>'6PK'!D31</f>
        <v>Bộ xà đơn 2400 trụ Pi tim 1400: X-24ĐP</v>
      </c>
      <c r="D175" s="1888">
        <f>'6PK'!F31</f>
        <v>0</v>
      </c>
      <c r="E175" s="1890" t="str">
        <f>'6PK'!E31</f>
        <v>Bộ</v>
      </c>
    </row>
    <row r="176" spans="2:5" hidden="1">
      <c r="B176" s="1883"/>
      <c r="C176" s="1887" t="str">
        <f>'6PK'!D32</f>
        <v>Bộ xà kép 2400 trụ Pi tim 1400: X-24KP</v>
      </c>
      <c r="D176" s="1888">
        <f>'6PK'!F32</f>
        <v>0</v>
      </c>
      <c r="E176" s="1890" t="str">
        <f>'6PK'!E32</f>
        <v>Bộ</v>
      </c>
    </row>
    <row r="177" spans="2:5" hidden="1">
      <c r="B177" s="1883"/>
      <c r="C177" s="1887" t="str">
        <f>'6PK'!D33</f>
        <v>Bộ xà đơn 2600 trụ Pi tim 2400: X-26ĐP</v>
      </c>
      <c r="D177" s="1888">
        <f>'6PK'!F33</f>
        <v>0</v>
      </c>
      <c r="E177" s="1890" t="str">
        <f>'6PK'!E33</f>
        <v>Bộ</v>
      </c>
    </row>
    <row r="178" spans="2:5" hidden="1">
      <c r="B178" s="1883"/>
      <c r="C178" s="1887" t="str">
        <f>'6PK'!D34</f>
        <v>Bộ xà kép 2600 trụ Pi tim 2400: X-26KP</v>
      </c>
      <c r="D178" s="1888">
        <f>'6PK'!F34</f>
        <v>0</v>
      </c>
      <c r="E178" s="1890" t="str">
        <f>'6PK'!E34</f>
        <v>Bộ</v>
      </c>
    </row>
    <row r="179" spans="2:5" hidden="1">
      <c r="B179" s="1883"/>
      <c r="C179" s="1887" t="str">
        <f>'6PK'!D35</f>
        <v>Bộ xà kép 2800 trụ Pi tim 1400: X-28KP</v>
      </c>
      <c r="D179" s="1888">
        <f>'6PK'!F35</f>
        <v>0</v>
      </c>
      <c r="E179" s="1890" t="str">
        <f>'6PK'!E35</f>
        <v>Bộ</v>
      </c>
    </row>
    <row r="180" spans="2:5" hidden="1">
      <c r="B180" s="1883"/>
      <c r="C180" s="1887" t="str">
        <f>'6PK'!D36</f>
        <v>Bộ xà kép 3000 trụ Pi tim 1400: X-30KP</v>
      </c>
      <c r="D180" s="1888">
        <f>'6PK'!F36</f>
        <v>0</v>
      </c>
      <c r="E180" s="1890" t="str">
        <f>'6PK'!E36</f>
        <v>Bộ</v>
      </c>
    </row>
    <row r="181" spans="2:5" hidden="1">
      <c r="B181" s="1883"/>
      <c r="C181" s="1887" t="str">
        <f>'6PK'!D37</f>
        <v>Bộ xà đỡ đơn L75x75x8 dài 3,8m: X-38Đ</v>
      </c>
      <c r="D181" s="1888">
        <f>'6PK'!F37</f>
        <v>0</v>
      </c>
      <c r="E181" s="1890" t="str">
        <f>'6PK'!E37</f>
        <v>Bộ</v>
      </c>
    </row>
    <row r="182" spans="2:5" hidden="1">
      <c r="B182" s="1883"/>
      <c r="C182" s="1887" t="str">
        <f>'6PK'!D38</f>
        <v>Bộ xà kép 4200 trụ Pi tim 1700: X-42KP</v>
      </c>
      <c r="D182" s="1888">
        <f>'6PK'!F38</f>
        <v>0</v>
      </c>
      <c r="E182" s="1890" t="str">
        <f>'6PK'!E38</f>
        <v>Bộ</v>
      </c>
    </row>
    <row r="183" spans="2:5" hidden="1">
      <c r="B183" s="1883"/>
      <c r="C183" s="1887" t="str">
        <f>'6PK'!D39</f>
        <v>Bộ xà kép 2400 trụ Pi tim 500: X-24KP500</v>
      </c>
      <c r="D183" s="1888">
        <f>'6PK'!F39</f>
        <v>0</v>
      </c>
      <c r="E183" s="1890" t="str">
        <f>'6PK'!E39</f>
        <v>Bộ</v>
      </c>
    </row>
    <row r="184" spans="2:5" hidden="1">
      <c r="B184" s="1883"/>
      <c r="C184" s="1887" t="str">
        <f>'6PK'!D40</f>
        <v>Bộ thanh giằng trụ Pi tim 1400: G-20KP</v>
      </c>
      <c r="D184" s="1888">
        <f>'6PK'!F40</f>
        <v>0</v>
      </c>
      <c r="E184" s="1890" t="str">
        <f>'6PK'!E40</f>
        <v>Bộ</v>
      </c>
    </row>
    <row r="185" spans="2:5" hidden="1">
      <c r="B185" s="1883"/>
      <c r="C185" s="1887" t="str">
        <f>'6PK'!D41</f>
        <v>Bộ thanh giằng trụ Pi tim 1700: G-23KP</v>
      </c>
      <c r="D185" s="1888">
        <f>'6PK'!F41</f>
        <v>0</v>
      </c>
      <c r="E185" s="1890" t="str">
        <f>'6PK'!E41</f>
        <v>Bộ</v>
      </c>
    </row>
    <row r="186" spans="2:5" hidden="1">
      <c r="B186" s="1883"/>
      <c r="C186" s="1887" t="str">
        <f>'6PK'!D42</f>
        <v>Bộ thanh giằng trụ Pi tim 500: G-720</v>
      </c>
      <c r="D186" s="1888">
        <f>'6PK'!F42</f>
        <v>0</v>
      </c>
      <c r="E186" s="1890" t="str">
        <f>'6PK'!E42</f>
        <v>Bộ</v>
      </c>
    </row>
    <row r="187" spans="2:5" hidden="1">
      <c r="B187" s="1883"/>
      <c r="C187" s="1887" t="str">
        <f>'6PK'!D43</f>
        <v>Bộ Uclevis đỡ dây trung hòa: Đth-U</v>
      </c>
      <c r="D187" s="1888">
        <f>'6PK'!F43</f>
        <v>163</v>
      </c>
      <c r="E187" s="1890" t="str">
        <f>'6PK'!E43</f>
        <v>bộ</v>
      </c>
    </row>
    <row r="188" spans="2:5" hidden="1">
      <c r="B188" s="1883"/>
      <c r="C188" s="1887" t="str">
        <f>'6PK'!D44</f>
        <v>Bộ Uclevis néo dây trung hòa vào trụ: Nth-U</v>
      </c>
      <c r="D188" s="1888">
        <f>'6PK'!F44</f>
        <v>0</v>
      </c>
      <c r="E188" s="1890" t="str">
        <f>'6PK'!E44</f>
        <v>bộ</v>
      </c>
    </row>
    <row r="189" spans="2:5" hidden="1">
      <c r="B189" s="1883"/>
      <c r="C189" s="1887" t="str">
        <f>'6PK'!D45</f>
        <v>Bộ khóa néo dây trung hòa vào trụ: Nth-T</v>
      </c>
      <c r="D189" s="1888">
        <f>'6PK'!F45</f>
        <v>29</v>
      </c>
      <c r="E189" s="1890" t="str">
        <f>'6PK'!E45</f>
        <v>bộ</v>
      </c>
    </row>
    <row r="190" spans="2:5" hidden="1">
      <c r="B190" s="1883"/>
      <c r="C190" s="1887" t="str">
        <f>'6PK'!D46</f>
        <v>Bộ khóa néo dây trung hòa vào xà: Nth-X</v>
      </c>
      <c r="D190" s="1888">
        <f>'6PK'!F46</f>
        <v>0</v>
      </c>
      <c r="E190" s="1890" t="str">
        <f>'6PK'!E46</f>
        <v>bộ</v>
      </c>
    </row>
    <row r="191" spans="2:5" hidden="1">
      <c r="B191" s="1883"/>
      <c r="C191" s="1887" t="str">
        <f>'6PK'!D47</f>
        <v>Bộ cách điện đứng+ty sứ : SĐU</v>
      </c>
      <c r="D191" s="1888">
        <f>'6PK'!F47</f>
        <v>591</v>
      </c>
      <c r="E191" s="1890" t="str">
        <f>'6PK'!E47</f>
        <v>bộ</v>
      </c>
    </row>
    <row r="192" spans="2:5" hidden="1">
      <c r="B192" s="1883"/>
      <c r="C192" s="1887" t="str">
        <f>'6PK'!D48</f>
        <v>Bộ cách điện đỉnh+ty sứ đơn : SĐI</v>
      </c>
      <c r="D192" s="1888">
        <f>'6PK'!F48</f>
        <v>0</v>
      </c>
      <c r="E192" s="1890" t="str">
        <f>'6PK'!E48</f>
        <v>bộ</v>
      </c>
    </row>
    <row r="193" spans="2:7" hidden="1">
      <c r="B193" s="1883"/>
      <c r="C193" s="1887" t="str">
        <f>'6PK'!D49</f>
        <v>Bộ cách điện đỉnh góc + ty sứ đơn : SĐG</v>
      </c>
      <c r="D193" s="1888">
        <f>'6PK'!F49</f>
        <v>0</v>
      </c>
      <c r="E193" s="1890" t="str">
        <f>'6PK'!E49</f>
        <v>bộ</v>
      </c>
    </row>
    <row r="194" spans="2:7" hidden="1">
      <c r="B194" s="1883"/>
      <c r="C194" s="1887" t="str">
        <f>'6PK'!D50</f>
        <v>Chuỗi sứ treo 2bát 25kV lắp vào trụ : CĐT 2BAT-T</v>
      </c>
      <c r="D194" s="1888">
        <f>'6PK'!F50</f>
        <v>0</v>
      </c>
      <c r="E194" s="1890" t="str">
        <f>'6PK'!E50</f>
        <v>bộ</v>
      </c>
    </row>
    <row r="195" spans="2:7" hidden="1">
      <c r="B195" s="1883"/>
      <c r="C195" s="1887" t="str">
        <f>'6PK'!D51</f>
        <v>Chuỗi sứ treo 2bát 24kV lắp vào xà : CĐT 2BAT-X</v>
      </c>
      <c r="D195" s="1888">
        <f>'6PK'!F51</f>
        <v>0</v>
      </c>
      <c r="E195" s="1890" t="str">
        <f>'6PK'!E51</f>
        <v>bộ</v>
      </c>
    </row>
    <row r="196" spans="2:7" hidden="1">
      <c r="B196" s="1883"/>
      <c r="C196" s="1887" t="str">
        <f>'6PK'!D52</f>
        <v>Chuỗi sứ treo Polymer 25kV lắp vào xà : CĐT ply-X</v>
      </c>
      <c r="D196" s="1888">
        <f>'6PK'!F52</f>
        <v>0</v>
      </c>
      <c r="E196" s="1890" t="str">
        <f>'6PK'!E52</f>
        <v>bộ</v>
      </c>
    </row>
    <row r="197" spans="2:7" hidden="1">
      <c r="B197" s="1883"/>
      <c r="C197" s="1887" t="str">
        <f>'6PK'!D53</f>
        <v>Chuỗi sứ treo Polymer 25kV lắp vào xà : CĐT 2BAT-X</v>
      </c>
      <c r="D197" s="1888">
        <f>'6PK'!F53</f>
        <v>0</v>
      </c>
      <c r="E197" s="1890" t="str">
        <f>'6PK'!E53</f>
        <v>bộ</v>
      </c>
    </row>
    <row r="198" spans="2:7" hidden="1">
      <c r="B198" s="1883"/>
      <c r="C198" s="1887" t="str">
        <f>'6PK'!D54</f>
        <v>Bộ Uclevis đỡ dây trung hòa trụ ghép: Đth-U-g (trụ ghép)</v>
      </c>
      <c r="D198" s="1888">
        <f>'6PK'!F54</f>
        <v>0</v>
      </c>
      <c r="E198" s="1890" t="str">
        <f>'6PK'!E54</f>
        <v>bộ</v>
      </c>
    </row>
    <row r="199" spans="2:7" hidden="1">
      <c r="B199" s="1883"/>
      <c r="C199" s="1887" t="str">
        <f>'6PK'!D55</f>
        <v>Bộ Uclevis đỡ dây trung hòa vào xà: Đth-X</v>
      </c>
      <c r="D199" s="1888">
        <f>'6PK'!F55</f>
        <v>0</v>
      </c>
      <c r="E199" s="1890" t="str">
        <f>'6PK'!E55</f>
        <v>bộ</v>
      </c>
    </row>
    <row r="200" spans="2:7" hidden="1">
      <c r="B200" s="1883"/>
      <c r="C200" s="1887" t="str">
        <f>'6PK'!D56</f>
        <v>Bộ khóa néo dây trung hòa vào trụ: Nth-T-g</v>
      </c>
      <c r="D200" s="1888">
        <f>'6PK'!F56</f>
        <v>0</v>
      </c>
      <c r="E200" s="1890" t="str">
        <f>'6PK'!E56</f>
        <v>bộ</v>
      </c>
    </row>
    <row r="201" spans="2:7" hidden="1">
      <c r="B201" s="1883"/>
      <c r="C201" s="1887" t="str">
        <f>'6PK'!D57</f>
        <v>Chuỗi sứ treo Polymer 25kV lắp vào xà : CĐT ply-X</v>
      </c>
      <c r="D201" s="1888">
        <f>'6PK'!F57</f>
        <v>93</v>
      </c>
      <c r="E201" s="1890" t="str">
        <f>'6PK'!E57</f>
        <v>bộ</v>
      </c>
    </row>
    <row r="202" spans="2:7" hidden="1">
      <c r="B202" s="1883"/>
      <c r="C202" s="1887" t="str">
        <f>'6PK'!D58</f>
        <v>Chuỗi sứ treo Polymer 25kV lắp vào trụ: CĐT ply-T</v>
      </c>
      <c r="D202" s="1888">
        <f>'6PK'!F58</f>
        <v>0</v>
      </c>
      <c r="E202" s="1890" t="str">
        <f>'6PK'!E58</f>
        <v>bộ</v>
      </c>
    </row>
    <row r="203" spans="2:7" hidden="1">
      <c r="B203" s="1883"/>
      <c r="C203" s="1887" t="str">
        <f>'6PK'!D59</f>
        <v>Kẹp treo cáp ABC4x120mm2</v>
      </c>
      <c r="D203" s="1888">
        <f>'6PK'!F59</f>
        <v>0</v>
      </c>
      <c r="E203" s="1890" t="str">
        <f>'6PK'!E59</f>
        <v>cái</v>
      </c>
    </row>
    <row r="204" spans="2:7">
      <c r="B204" s="1883"/>
      <c r="C204" s="1887" t="str">
        <f>'6PK'!D60</f>
        <v>Kẹp treo cáp ABC3x95mm2</v>
      </c>
      <c r="D204" s="1888">
        <f>'6PK'!F60</f>
        <v>0</v>
      </c>
      <c r="E204" s="1890" t="str">
        <f>'6PK'!E60</f>
        <v>cái</v>
      </c>
    </row>
    <row r="205" spans="2:7" hidden="1">
      <c r="B205" s="1883"/>
      <c r="C205" s="1887" t="str">
        <f>'6PK'!D61</f>
        <v>Kẹp treo cáp ABC4x70mm2</v>
      </c>
      <c r="D205" s="1888">
        <f>'6PK'!F61</f>
        <v>0</v>
      </c>
      <c r="E205" s="1890" t="str">
        <f>'6PK'!E61</f>
        <v>cái</v>
      </c>
    </row>
    <row r="206" spans="2:7" hidden="1">
      <c r="B206" s="1883"/>
      <c r="C206" s="1887" t="str">
        <f>'6PK'!D62</f>
        <v>Kẹp treo cáp ABC4x50mm2</v>
      </c>
      <c r="D206" s="1888">
        <f>'6PK'!F62</f>
        <v>0</v>
      </c>
      <c r="E206" s="1890" t="str">
        <f>'6PK'!E62</f>
        <v>cái</v>
      </c>
    </row>
    <row r="207" spans="2:7" s="1516" customFormat="1">
      <c r="B207" s="1883"/>
      <c r="C207" s="1887" t="str">
        <f>'6PK'!D63</f>
        <v>Móc treo chữ A</v>
      </c>
      <c r="D207" s="1888">
        <f>'6PK'!F63</f>
        <v>0</v>
      </c>
      <c r="E207" s="1890" t="str">
        <f>'6PK'!E63</f>
        <v>cái</v>
      </c>
      <c r="G207" s="1851"/>
    </row>
    <row r="208" spans="2:7" s="1516" customFormat="1" hidden="1">
      <c r="B208" s="1883"/>
      <c r="C208" s="1887" t="str">
        <f>'6PK'!D64</f>
        <v>Kẹp ngừng cáp ABC4x150mm2</v>
      </c>
      <c r="D208" s="1888">
        <f>'6PK'!F64</f>
        <v>0</v>
      </c>
      <c r="E208" s="1890" t="str">
        <f>'6PK'!E64</f>
        <v>cái</v>
      </c>
      <c r="G208" s="1851"/>
    </row>
    <row r="209" spans="2:7" s="1516" customFormat="1">
      <c r="B209" s="1883"/>
      <c r="C209" s="1887" t="str">
        <f>'6PK'!D65</f>
        <v>Kẹp ngừng cáp ABC3x95mm2</v>
      </c>
      <c r="D209" s="1888">
        <f>'6PK'!F65</f>
        <v>0</v>
      </c>
      <c r="E209" s="1890" t="str">
        <f>'6PK'!E65</f>
        <v>cái</v>
      </c>
      <c r="G209" s="1851"/>
    </row>
    <row r="210" spans="2:7" s="1516" customFormat="1" hidden="1">
      <c r="B210" s="1883"/>
      <c r="C210" s="1887" t="str">
        <f>'6PK'!D66</f>
        <v>Kẹp ngừng cáp ABC4x70mm2</v>
      </c>
      <c r="D210" s="1888">
        <f>'6PK'!F66</f>
        <v>0</v>
      </c>
      <c r="E210" s="1890" t="str">
        <f>'6PK'!E66</f>
        <v>cái</v>
      </c>
      <c r="G210" s="1851"/>
    </row>
    <row r="211" spans="2:7" s="1516" customFormat="1" hidden="1">
      <c r="B211" s="1883"/>
      <c r="C211" s="1887" t="e">
        <f>'6PK'!D84</f>
        <v>#N/A</v>
      </c>
      <c r="D211" s="1888">
        <f>'6PK'!F84</f>
        <v>0</v>
      </c>
      <c r="E211" s="1890" t="e">
        <f>'6PK'!E84</f>
        <v>#N/A</v>
      </c>
      <c r="G211" s="1851"/>
    </row>
    <row r="212" spans="2:7" s="1516" customFormat="1" hidden="1">
      <c r="B212" s="1883"/>
      <c r="C212" s="1887">
        <f>'6PK'!D85</f>
        <v>0</v>
      </c>
      <c r="D212" s="1888">
        <f>'6PK'!F85</f>
        <v>0</v>
      </c>
      <c r="E212" s="1890">
        <f>'6PK'!E85</f>
        <v>0</v>
      </c>
      <c r="G212" s="1851"/>
    </row>
    <row r="213" spans="2:7">
      <c r="B213" s="1883">
        <f>B149</f>
        <v>43028</v>
      </c>
      <c r="C213" s="1887" t="str">
        <f>"Kéo, rải, căng "&amp;WORD!AA4&amp;" dài "&amp;WORD!AA5&amp;"m"</f>
        <v>Kéo, rải, căng ABC 4x95mm2 dài 549m</v>
      </c>
      <c r="D213" s="1885">
        <f>D149</f>
        <v>1035</v>
      </c>
      <c r="E213" s="1886"/>
    </row>
    <row r="214" spans="2:7" ht="33.6">
      <c r="B214" s="1883"/>
      <c r="C214" s="1884" t="s">
        <v>4808</v>
      </c>
      <c r="D214" s="1885">
        <f>D213+D149</f>
        <v>2070</v>
      </c>
      <c r="E214" s="1886"/>
    </row>
    <row r="215" spans="2:7">
      <c r="B215" s="1883">
        <f>B213</f>
        <v>43028</v>
      </c>
      <c r="C215" s="1884" t="str">
        <f>"Lắp đặt TBA "&amp;'9TD'!G9</f>
        <v>Lắp đặt TBA 0</v>
      </c>
      <c r="D215" s="1885" t="s">
        <v>515</v>
      </c>
      <c r="E215" s="1886"/>
    </row>
    <row r="216" spans="2:7">
      <c r="B216" s="1883"/>
      <c r="C216" s="1884" t="str">
        <f>'8TB'!D2</f>
        <v>Trụ BTLT 12m F540 dự ứng lực (k=2)</v>
      </c>
      <c r="D216" s="1885" t="s">
        <v>515</v>
      </c>
      <c r="E216" s="1891"/>
    </row>
    <row r="217" spans="2:7">
      <c r="B217" s="1883"/>
      <c r="C217" s="1887" t="str">
        <f>'8TB'!D3</f>
        <v>Trụ BTLT 14m F650 dự ứng lực</v>
      </c>
      <c r="D217" s="1885" t="s">
        <v>515</v>
      </c>
      <c r="E217" s="1891"/>
    </row>
    <row r="218" spans="2:7">
      <c r="B218" s="1883"/>
      <c r="C218" s="1887" t="str">
        <f>'8TB'!D4</f>
        <v xml:space="preserve">Sứ đứng 24KV </v>
      </c>
      <c r="D218" s="1885" t="s">
        <v>515</v>
      </c>
      <c r="E218" s="1891"/>
    </row>
    <row r="219" spans="2:7">
      <c r="B219" s="1883"/>
      <c r="C219" s="1887" t="str">
        <f>'8TB'!D5</f>
        <v>Sứ treo polymer</v>
      </c>
      <c r="D219" s="1885" t="s">
        <v>515</v>
      </c>
      <c r="E219" s="1891"/>
    </row>
    <row r="220" spans="2:7">
      <c r="B220" s="1883"/>
      <c r="C220" s="1887" t="str">
        <f>'8TB'!D6</f>
        <v>LTD 1P 24KV - 600A</v>
      </c>
      <c r="D220" s="1885" t="s">
        <v>515</v>
      </c>
      <c r="E220" s="1891"/>
    </row>
    <row r="221" spans="2:7">
      <c r="B221" s="1883"/>
      <c r="C221" s="1887" t="str">
        <f>'8TB'!D7</f>
        <v>Cáp 24KV C/XLPE/PVC 150mm2</v>
      </c>
      <c r="D221" s="1885" t="s">
        <v>515</v>
      </c>
      <c r="E221" s="1891"/>
    </row>
    <row r="222" spans="2:7" s="1516" customFormat="1">
      <c r="B222" s="1883"/>
      <c r="C222" s="1887" t="str">
        <f>'8TB'!D8</f>
        <v>Cáp 24KV C/XLPE/PVC 25mm2</v>
      </c>
      <c r="D222" s="1885" t="s">
        <v>515</v>
      </c>
      <c r="E222" s="1891"/>
      <c r="G222" s="1851"/>
    </row>
    <row r="223" spans="2:7" s="1516" customFormat="1">
      <c r="B223" s="1883"/>
      <c r="C223" s="1887" t="str">
        <f>'8TB'!D9</f>
        <v>Cáp đồng trần M25mm2</v>
      </c>
      <c r="D223" s="1885" t="s">
        <v>515</v>
      </c>
      <c r="E223" s="1891"/>
      <c r="G223" s="1851"/>
    </row>
    <row r="224" spans="2:7" s="1516" customFormat="1">
      <c r="B224" s="1883"/>
      <c r="C224" s="1887" t="str">
        <f>'8TB'!D15</f>
        <v>Boulon 16x250+ 2 long đền vuông D18-50x50x3/Zn</v>
      </c>
      <c r="D224" s="1885" t="s">
        <v>515</v>
      </c>
      <c r="E224" s="1891"/>
      <c r="G224" s="1851"/>
    </row>
    <row r="225" spans="2:7" s="1516" customFormat="1">
      <c r="B225" s="1883"/>
      <c r="C225" s="1887" t="str">
        <f>'8TB'!D16</f>
        <v>Boulon 16x300+ 2 long đền vuông D18-50x50x3/Zn</v>
      </c>
      <c r="D225" s="1885" t="s">
        <v>515</v>
      </c>
      <c r="E225" s="1891"/>
      <c r="G225" s="1851"/>
    </row>
    <row r="226" spans="2:7" s="1516" customFormat="1">
      <c r="B226" s="1883"/>
      <c r="C226" s="1887" t="str">
        <f>'8TB'!D17</f>
        <v>Boulon 16x300VRS+ 4 long đền vuông D18-50x50x3/Zn</v>
      </c>
      <c r="D226" s="1885" t="s">
        <v>515</v>
      </c>
      <c r="E226" s="1891"/>
      <c r="G226" s="1851"/>
    </row>
    <row r="227" spans="2:7" s="1516" customFormat="1">
      <c r="B227" s="1883"/>
      <c r="C227" s="1892" t="s">
        <v>4812</v>
      </c>
      <c r="D227" s="1885"/>
      <c r="E227" s="1891"/>
      <c r="G227" s="1851"/>
    </row>
    <row r="228" spans="2:7" s="1516" customFormat="1">
      <c r="B228" s="1883"/>
      <c r="C228" s="1887" t="e">
        <f>'8TB'!D27</f>
        <v>#N/A</v>
      </c>
      <c r="D228" s="1885" t="s">
        <v>515</v>
      </c>
      <c r="E228" s="1891"/>
      <c r="G228" s="1851"/>
    </row>
    <row r="229" spans="2:7" s="1516" customFormat="1">
      <c r="B229" s="1883"/>
      <c r="C229" s="1887" t="e">
        <f>'8TB'!D28</f>
        <v>#N/A</v>
      </c>
      <c r="D229" s="1885" t="s">
        <v>515</v>
      </c>
      <c r="E229" s="1891"/>
      <c r="G229" s="1851"/>
    </row>
    <row r="230" spans="2:7" s="1516" customFormat="1">
      <c r="B230" s="1883"/>
      <c r="C230" s="1887" t="e">
        <f>'8TB'!D29</f>
        <v>#N/A</v>
      </c>
      <c r="D230" s="1885" t="s">
        <v>515</v>
      </c>
      <c r="E230" s="1891"/>
      <c r="G230" s="1851"/>
    </row>
    <row r="231" spans="2:7">
      <c r="B231" s="1883">
        <f>B215</f>
        <v>43028</v>
      </c>
      <c r="C231" s="1884" t="s">
        <v>4809</v>
      </c>
      <c r="D231" s="1885" t="s">
        <v>515</v>
      </c>
      <c r="E231" s="1886"/>
    </row>
    <row r="232" spans="2:7" ht="33.6">
      <c r="B232" s="1883"/>
      <c r="C232" s="1887" t="str">
        <f>'9TD'!D9</f>
        <v>Lắp đặt hệ thống lưới tiếp địa TBA 0 xây dựng mới (01 hệ thống).</v>
      </c>
      <c r="D232" s="1885" t="s">
        <v>515</v>
      </c>
      <c r="E232" s="1886"/>
    </row>
    <row r="233" spans="2:7">
      <c r="B233" s="1883"/>
      <c r="C233" s="1887" t="e">
        <f>'9TD'!D10</f>
        <v>#N/A</v>
      </c>
      <c r="D233" s="1885" t="s">
        <v>515</v>
      </c>
      <c r="E233" s="1886"/>
    </row>
    <row r="234" spans="2:7">
      <c r="B234" s="1883"/>
      <c r="C234" s="1887" t="e">
        <f>'9TD'!D11</f>
        <v>#N/A</v>
      </c>
      <c r="D234" s="1885" t="s">
        <v>515</v>
      </c>
      <c r="E234" s="1886"/>
    </row>
    <row r="235" spans="2:7">
      <c r="B235" s="1883"/>
      <c r="C235" s="1887" t="str">
        <f>'9TD'!D12</f>
        <v xml:space="preserve">       Độ chôn sâu đầu cọc đến mặt đất: 0,5 m </v>
      </c>
      <c r="D235" s="1885" t="s">
        <v>515</v>
      </c>
      <c r="E235" s="1886"/>
    </row>
    <row r="236" spans="2:7">
      <c r="B236" s="1883"/>
      <c r="C236" s="1887" t="str">
        <f>'9TD'!D13</f>
        <v xml:space="preserve">       Khoảng cách cọc cách cọc: 3 m.</v>
      </c>
      <c r="D236" s="1885" t="s">
        <v>515</v>
      </c>
      <c r="E236" s="1886"/>
    </row>
    <row r="237" spans="2:7" ht="33.6">
      <c r="B237" s="1883"/>
      <c r="C237" s="1887" t="str">
        <f>'9TD'!D14</f>
        <v>Lắp đặt hệ thống lưới tiếp địa lặp lại lưới trung thế (01 hệ thống).</v>
      </c>
      <c r="D237" s="1885" t="s">
        <v>515</v>
      </c>
      <c r="E237" s="1886"/>
    </row>
    <row r="238" spans="2:7">
      <c r="B238" s="1883"/>
      <c r="C238" s="1887" t="e">
        <f ca="1">'9TD'!D16</f>
        <v>#N/A</v>
      </c>
      <c r="D238" s="1885" t="s">
        <v>515</v>
      </c>
      <c r="E238" s="1886"/>
    </row>
    <row r="239" spans="2:7">
      <c r="B239" s="1883"/>
      <c r="C239" s="1887" t="e">
        <f ca="1">'9TD'!D17</f>
        <v>#N/A</v>
      </c>
      <c r="D239" s="1885" t="s">
        <v>515</v>
      </c>
      <c r="E239" s="1886"/>
    </row>
    <row r="240" spans="2:7" s="1516" customFormat="1" ht="33.6">
      <c r="B240" s="1883"/>
      <c r="C240" s="1884" t="s">
        <v>4813</v>
      </c>
      <c r="D240" s="1885"/>
      <c r="E240" s="1886"/>
      <c r="G240" s="1851"/>
    </row>
    <row r="241" spans="2:5" ht="33.6">
      <c r="B241" s="1883">
        <f>B231</f>
        <v>43028</v>
      </c>
      <c r="C241" s="1884" t="s">
        <v>4810</v>
      </c>
      <c r="D241" s="1885" t="s">
        <v>515</v>
      </c>
      <c r="E241" s="1886"/>
    </row>
    <row r="242" spans="2:5">
      <c r="B242" s="1883"/>
      <c r="C242" s="1887" t="str">
        <f>'10DN'!D8</f>
        <v>FCO 24kV - 100A: 00cái</v>
      </c>
      <c r="D242" s="1885" t="s">
        <v>515</v>
      </c>
      <c r="E242" s="1886"/>
    </row>
    <row r="243" spans="2:5">
      <c r="B243" s="1883"/>
      <c r="C243" s="1887" t="str">
        <f>'10DN'!D9</f>
        <v>Chụp đầu cực FCO (bộ 2 cái): 00bộ</v>
      </c>
      <c r="D243" s="1885" t="s">
        <v>515</v>
      </c>
      <c r="E243" s="1886"/>
    </row>
    <row r="244" spans="2:5">
      <c r="B244" s="1883"/>
      <c r="C244" s="1887" t="str">
        <f ca="1">'10DN'!D10</f>
        <v>Kẹp ép WR cỡ dây 50mm2: 00cái</v>
      </c>
      <c r="D244" s="1885" t="s">
        <v>515</v>
      </c>
      <c r="E244" s="1886"/>
    </row>
    <row r="245" spans="2:5">
      <c r="B245" s="1883"/>
      <c r="C245" s="1887" t="str">
        <f>'10DN'!D11</f>
        <v>Kẹp quai 2/0 + chụp cách điện: 00bộ</v>
      </c>
      <c r="D245" s="1885" t="s">
        <v>515</v>
      </c>
      <c r="E245" s="1886"/>
    </row>
    <row r="246" spans="2:5">
      <c r="B246" s="1883"/>
      <c r="C246" s="1887" t="str">
        <f>'10DN'!D13</f>
        <v>Cáp 24KV C/XLPE/PVC 25mm2: 00mét</v>
      </c>
      <c r="D246" s="1885" t="s">
        <v>515</v>
      </c>
      <c r="E246" s="1886"/>
    </row>
    <row r="247" spans="2:5">
      <c r="B247" s="1883"/>
      <c r="C247" s="1887" t="e">
        <f ca="1">'10DN'!D14</f>
        <v>#N/A</v>
      </c>
      <c r="D247" s="1885" t="s">
        <v>515</v>
      </c>
      <c r="E247" s="1886"/>
    </row>
    <row r="248" spans="2:5">
      <c r="B248" s="1883"/>
      <c r="C248" s="1887" t="e">
        <f>'10DN'!#REF!</f>
        <v>#REF!</v>
      </c>
      <c r="D248" s="1885" t="s">
        <v>515</v>
      </c>
      <c r="E248" s="1886"/>
    </row>
    <row r="249" spans="2:5">
      <c r="B249" s="1883"/>
      <c r="C249" s="1887" t="str">
        <f>'10DN'!D16</f>
        <v>Đấu nối hạ thế vào đường dây hạ thế hiện hữu:</v>
      </c>
      <c r="D249" s="1885" t="s">
        <v>515</v>
      </c>
      <c r="E249" s="1886"/>
    </row>
    <row r="250" spans="2:5">
      <c r="B250" s="1883"/>
      <c r="C250" s="1887" t="str">
        <f>'10DN'!D17</f>
        <v>Kẹp ép WR cỡ dây 95mm2: 00 cái</v>
      </c>
      <c r="D250" s="1885" t="s">
        <v>515</v>
      </c>
      <c r="E250" s="1886"/>
    </row>
    <row r="251" spans="2:5">
      <c r="B251" s="1883"/>
      <c r="C251" s="1884" t="str">
        <f>"Kiểm tra hoàn thiện đường dây trung thế và TBA "&amp;'9TD'!G9</f>
        <v>Kiểm tra hoàn thiện đường dây trung thế và TBA 0</v>
      </c>
      <c r="D251" s="1885"/>
      <c r="E251" s="1886"/>
    </row>
    <row r="252" spans="2:5" ht="33.6">
      <c r="B252" s="1893"/>
      <c r="C252" s="1894" t="s">
        <v>4814</v>
      </c>
      <c r="D252" s="1895"/>
      <c r="E252" s="1896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173</vt:i4>
      </vt:variant>
    </vt:vector>
  </HeadingPairs>
  <TitlesOfParts>
    <vt:vector size="215" baseType="lpstr">
      <vt:lpstr>WORD</vt:lpstr>
      <vt:lpstr>Solieu</vt:lpstr>
      <vt:lpstr>CT_tram</vt:lpstr>
      <vt:lpstr>ChiTietDuToan</vt:lpstr>
      <vt:lpstr>BangKeTruDoc</vt:lpstr>
      <vt:lpstr>bkt-DuToan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3Tru</vt:lpstr>
      <vt:lpstr>DaCan</vt:lpstr>
      <vt:lpstr>4BT</vt:lpstr>
      <vt:lpstr>5Neo</vt:lpstr>
      <vt:lpstr>6PK</vt:lpstr>
      <vt:lpstr>7day</vt:lpstr>
      <vt:lpstr>8TB</vt:lpstr>
      <vt:lpstr>9TD</vt:lpstr>
      <vt:lpstr>10DN</vt:lpstr>
      <vt:lpstr>NK-KLCY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B_CAP!Print_Area</vt:lpstr>
      <vt:lpstr>BCTienDo!Print_Area</vt:lpstr>
      <vt:lpstr>chitiet!Print_Area</vt:lpstr>
      <vt:lpstr>CT_tram!Print_Area</vt:lpstr>
      <vt:lpstr>DG!Print_Area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'NK-KLCY'!Print_Area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B_CAP!Print_Titles</vt:lpstr>
      <vt:lpstr>BCTienDo!Print_Titles</vt:lpstr>
      <vt:lpstr>chitiet!Print_Titles</vt:lpstr>
      <vt:lpstr>CT_tram!Print_Titles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'NK-KLCY'!Print_Titles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2019-10-22T10:18:56Z</dcterms:modified>
</cp:coreProperties>
</file>